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queryTables/queryTable4.xml" ContentType="application/vnd.openxmlformats-officedocument.spreadsheetml.queryTable+xml"/>
  <Override PartName="/xl/tables/table7.xml" ContentType="application/vnd.openxmlformats-officedocument.spreadsheetml.table+xml"/>
  <Override PartName="/xl/queryTables/queryTable5.xml" ContentType="application/vnd.openxmlformats-officedocument.spreadsheetml.queryTable+xml"/>
  <Override PartName="/xl/tables/table8.xml" ContentType="application/vnd.openxmlformats-officedocument.spreadsheetml.table+xml"/>
  <Override PartName="/xl/queryTables/queryTable6.xml" ContentType="application/vnd.openxmlformats-officedocument.spreadsheetml.queryTable+xml"/>
  <Override PartName="/xl/tables/table9.xml" ContentType="application/vnd.openxmlformats-officedocument.spreadsheetml.table+xml"/>
  <Override PartName="/xl/queryTables/queryTable7.xml" ContentType="application/vnd.openxmlformats-officedocument.spreadsheetml.queryTable+xml"/>
  <Override PartName="/xl/tables/table10.xml" ContentType="application/vnd.openxmlformats-officedocument.spreadsheetml.table+xml"/>
  <Override PartName="/xl/queryTables/queryTable8.xml" ContentType="application/vnd.openxmlformats-officedocument.spreadsheetml.queryTable+xml"/>
  <Override PartName="/xl/tables/table11.xml" ContentType="application/vnd.openxmlformats-officedocument.spreadsheetml.table+xml"/>
  <Override PartName="/xl/queryTables/queryTable9.xml" ContentType="application/vnd.openxmlformats-officedocument.spreadsheetml.queryTable+xml"/>
  <Override PartName="/xl/tables/table12.xml" ContentType="application/vnd.openxmlformats-officedocument.spreadsheetml.table+xml"/>
  <Override PartName="/xl/queryTables/queryTable10.xml" ContentType="application/vnd.openxmlformats-officedocument.spreadsheetml.queryTable+xml"/>
  <Override PartName="/xl/tables/table13.xml" ContentType="application/vnd.openxmlformats-officedocument.spreadsheetml.table+xml"/>
  <Override PartName="/xl/queryTables/queryTable11.xml" ContentType="application/vnd.openxmlformats-officedocument.spreadsheetml.queryTable+xml"/>
  <Override PartName="/xl/tables/table1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15.xml" ContentType="application/vnd.openxmlformats-officedocument.spreadsheetml.table+xml"/>
  <Override PartName="/xl/queryTables/queryTable12.xml" ContentType="application/vnd.openxmlformats-officedocument.spreadsheetml.query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queryTables/queryTable13.xml" ContentType="application/vnd.openxmlformats-officedocument.spreadsheetml.queryTable+xml"/>
  <Override PartName="/xl/tables/table19.xml" ContentType="application/vnd.openxmlformats-officedocument.spreadsheetml.table+xml"/>
  <Override PartName="/xl/queryTables/queryTable14.xml" ContentType="application/vnd.openxmlformats-officedocument.spreadsheetml.query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queryTables/queryTable15.xml" ContentType="application/vnd.openxmlformats-officedocument.spreadsheetml.queryTable+xml"/>
  <Override PartName="/xl/tables/table23.xml" ContentType="application/vnd.openxmlformats-officedocument.spreadsheetml.table+xml"/>
  <Override PartName="/xl/queryTables/queryTable16.xml" ContentType="application/vnd.openxmlformats-officedocument.spreadsheetml.queryTable+xml"/>
  <Override PartName="/xl/tables/table24.xml" ContentType="application/vnd.openxmlformats-officedocument.spreadsheetml.table+xml"/>
  <Override PartName="/xl/queryTables/queryTable17.xml" ContentType="application/vnd.openxmlformats-officedocument.spreadsheetml.queryTable+xml"/>
  <Override PartName="/xl/tables/table25.xml" ContentType="application/vnd.openxmlformats-officedocument.spreadsheetml.table+xml"/>
  <Override PartName="/xl/queryTables/queryTable18.xml" ContentType="application/vnd.openxmlformats-officedocument.spreadsheetml.query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queryTables/queryTable19.xml" ContentType="application/vnd.openxmlformats-officedocument.spreadsheetml.queryTable+xml"/>
  <Override PartName="/xl/tables/table30.xml" ContentType="application/vnd.openxmlformats-officedocument.spreadsheetml.table+xml"/>
  <Override PartName="/xl/queryTables/queryTable20.xml" ContentType="application/vnd.openxmlformats-officedocument.spreadsheetml.queryTable+xml"/>
  <Override PartName="/xl/tables/table31.xml" ContentType="application/vnd.openxmlformats-officedocument.spreadsheetml.table+xml"/>
  <Override PartName="/xl/tables/table32.xml" ContentType="application/vnd.openxmlformats-officedocument.spreadsheetml.table+xml"/>
  <Override PartName="/xl/queryTables/queryTable21.xml" ContentType="application/vnd.openxmlformats-officedocument.spreadsheetml.queryTable+xml"/>
  <Override PartName="/xl/tables/table33.xml" ContentType="application/vnd.openxmlformats-officedocument.spreadsheetml.table+xml"/>
  <Override PartName="/xl/queryTables/queryTable22.xml" ContentType="application/vnd.openxmlformats-officedocument.spreadsheetml.queryTable+xml"/>
  <Override PartName="/xl/tables/table34.xml" ContentType="application/vnd.openxmlformats-officedocument.spreadsheetml.table+xml"/>
  <Override PartName="/xl/queryTables/queryTable23.xml" ContentType="application/vnd.openxmlformats-officedocument.spreadsheetml.queryTable+xml"/>
  <Override PartName="/xl/tables/table35.xml" ContentType="application/vnd.openxmlformats-officedocument.spreadsheetml.table+xml"/>
  <Override PartName="/xl/queryTables/queryTable24.xml" ContentType="application/vnd.openxmlformats-officedocument.spreadsheetml.queryTable+xml"/>
  <Override PartName="/xl/tables/table36.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7.xml" ContentType="application/vnd.openxmlformats-officedocument.spreadsheetml.table+xml"/>
  <Override PartName="/xl/queryTables/queryTable25.xml" ContentType="application/vnd.openxmlformats-officedocument.spreadsheetml.queryTable+xml"/>
  <Override PartName="/xl/tables/table38.xml" ContentType="application/vnd.openxmlformats-officedocument.spreadsheetml.table+xml"/>
  <Override PartName="/xl/tables/table39.xml" ContentType="application/vnd.openxmlformats-officedocument.spreadsheetml.table+xml"/>
  <Override PartName="/xl/queryTables/queryTable26.xml" ContentType="application/vnd.openxmlformats-officedocument.spreadsheetml.query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queryTables/queryTable27.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44.xml" ContentType="application/vnd.openxmlformats-officedocument.spreadsheetml.table+xml"/>
  <Override PartName="/xl/queryTables/queryTable28.xml" ContentType="application/vnd.openxmlformats-officedocument.spreadsheetml.queryTable+xml"/>
  <Override PartName="/xl/tables/table45.xml" ContentType="application/vnd.openxmlformats-officedocument.spreadsheetml.table+xml"/>
  <Override PartName="/xl/queryTables/queryTable29.xml" ContentType="application/vnd.openxmlformats-officedocument.spreadsheetml.queryTable+xml"/>
  <Override PartName="/xl/tables/table46.xml" ContentType="application/vnd.openxmlformats-officedocument.spreadsheetml.table+xml"/>
  <Override PartName="/xl/queryTables/queryTable30.xml" ContentType="application/vnd.openxmlformats-officedocument.spreadsheetml.queryTable+xml"/>
  <Override PartName="/xl/tables/table47.xml" ContentType="application/vnd.openxmlformats-officedocument.spreadsheetml.table+xml"/>
  <Override PartName="/xl/queryTables/queryTable31.xml" ContentType="application/vnd.openxmlformats-officedocument.spreadsheetml.queryTable+xml"/>
  <Override PartName="/xl/tables/table48.xml" ContentType="application/vnd.openxmlformats-officedocument.spreadsheetml.table+xml"/>
  <Override PartName="/xl/queryTables/queryTable32.xml" ContentType="application/vnd.openxmlformats-officedocument.spreadsheetml.queryTable+xml"/>
  <Override PartName="/xl/tables/table49.xml" ContentType="application/vnd.openxmlformats-officedocument.spreadsheetml.table+xml"/>
  <Override PartName="/xl/tables/table50.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166925"/>
  <mc:AlternateContent xmlns:mc="http://schemas.openxmlformats.org/markup-compatibility/2006">
    <mc:Choice Requires="x15">
      <x15ac:absPath xmlns:x15ac="http://schemas.microsoft.com/office/spreadsheetml/2010/11/ac" url="https://impsoftwarecouk.sharepoint.com/Implementations/1.Admin/0. New Customer Build Templates/AA_NEW - Build Workbooks/AA_NEW - Planner Split Strands API/"/>
    </mc:Choice>
  </mc:AlternateContent>
  <xr:revisionPtr revIDLastSave="685" documentId="8_{D66F8381-D0E0-41FF-A038-3C9AFCC4F108}" xr6:coauthVersionLast="47" xr6:coauthVersionMax="47" xr10:uidLastSave="{B1BB41B6-E718-4E6D-8818-75FD03E64C9A}"/>
  <bookViews>
    <workbookView xWindow="-108" yWindow="-108" windowWidth="23256" windowHeight="12456" tabRatio="928" firstSheet="21" activeTab="34" xr2:uid="{8F8C9CD6-339C-4BFF-B485-4C471AECA1EE}"/>
  </bookViews>
  <sheets>
    <sheet name="Parameters" sheetId="89" r:id="rId1"/>
    <sheet name="Notes" sheetId="153" r:id="rId2"/>
    <sheet name="Strand 3 Checklist" sheetId="100" r:id="rId3"/>
    <sheet name="Build Checks Dashboard" sheetId="162" r:id="rId4"/>
    <sheet name="Import Checklist" sheetId="101" r:id="rId5"/>
    <sheet name="System Grouping Codes" sheetId="148" state="hidden" r:id="rId6"/>
    <sheet name="Funds" sheetId="45" r:id="rId7"/>
    <sheet name="Activity" sheetId="92" r:id="rId8"/>
    <sheet name="Ledger" sheetId="47" r:id="rId9"/>
    <sheet name="CustGroup" sheetId="46" r:id="rId10"/>
    <sheet name="SchHub" sheetId="41" r:id="rId11"/>
    <sheet name="SchType" sheetId="40" r:id="rId12"/>
    <sheet name="LocalAuth" sheetId="93" r:id="rId13"/>
    <sheet name="Schools" sheetId="42" r:id="rId14"/>
    <sheet name="Depts" sheetId="48" r:id="rId15"/>
    <sheet name="11_Finance Codes S3" sheetId="136" r:id="rId16"/>
    <sheet name="SourceFinanceCodes" sheetId="86" state="hidden" r:id="rId17"/>
    <sheet name="FinanceCodes Budget" sheetId="151" r:id="rId18"/>
    <sheet name="CalculatorsTempl" sheetId="49" state="hidden" r:id="rId19"/>
    <sheet name="CalcFinCodes" sheetId="50" state="hidden" r:id="rId20"/>
    <sheet name="14_Calculators" sheetId="137" r:id="rId21"/>
    <sheet name="CalculatorFC" sheetId="138" r:id="rId22"/>
    <sheet name="15_MonthProfiles" sheetId="90" r:id="rId23"/>
    <sheet name="ProjPupilNum" sheetId="143" state="hidden" r:id="rId24"/>
    <sheet name="StfRoleGroup" sheetId="116" r:id="rId25"/>
    <sheet name="Pupils Insert Table" sheetId="144" r:id="rId26"/>
    <sheet name="Pupil Number Checks" sheetId="145" r:id="rId27"/>
    <sheet name="ScenarioPupilNum" sheetId="63" state="hidden" r:id="rId28"/>
    <sheet name="ScenarioStatistics" sheetId="105" state="hidden" r:id="rId29"/>
    <sheet name="ScenarioFunding" sheetId="106" state="hidden" r:id="rId30"/>
    <sheet name="Pupils" sheetId="129" r:id="rId31"/>
    <sheet name="Statistics" sheetId="130" r:id="rId32"/>
    <sheet name="FS Mapping" sheetId="161" state="hidden" r:id="rId33"/>
    <sheet name="Funding Insert Table" sheetId="160" r:id="rId34"/>
    <sheet name="Funding" sheetId="133" r:id="rId35"/>
    <sheet name="Income" sheetId="131" r:id="rId36"/>
    <sheet name="ScenarioIncome" sheetId="108" state="hidden" r:id="rId37"/>
    <sheet name="Expenditure" sheetId="132" r:id="rId38"/>
    <sheet name="ScenarioExpenditure" sheetId="107" state="hidden" r:id="rId39"/>
    <sheet name="BF Balances" sheetId="134" r:id="rId40"/>
    <sheet name="ScenarioBFBalances" sheetId="121" state="hidden" r:id="rId41"/>
    <sheet name="ScenarioApBud" sheetId="94" r:id="rId42"/>
    <sheet name="Funding Check" sheetId="146" r:id="rId43"/>
    <sheet name="ScenarioSummary" sheetId="115" r:id="rId44"/>
    <sheet name="ScenarioAppend" sheetId="110" r:id="rId45"/>
    <sheet name="35_ScenarioRows" sheetId="112" r:id="rId46"/>
    <sheet name="36_ScenarioYearValues" sheetId="114" r:id="rId47"/>
    <sheet name="PreviousYears" sheetId="159" r:id="rId48"/>
    <sheet name="37_Monthly Values" sheetId="156" r:id="rId49"/>
    <sheet name="Checklist" sheetId="34" r:id="rId50"/>
    <sheet name="Lookup" sheetId="1" state="hidden" r:id="rId51"/>
    <sheet name="Validation" sheetId="37" r:id="rId52"/>
  </sheets>
  <definedNames>
    <definedName name="_xlnm._FilterDatabase" localSheetId="19" hidden="1">CalcFinCodes!$C$1:$G$1723</definedName>
    <definedName name="_xlnm._FilterDatabase" localSheetId="18" hidden="1">CalculatorsTempl!$A$1:$AK$751</definedName>
    <definedName name="_xlnm._FilterDatabase" localSheetId="14" hidden="1">Depts!#REF!</definedName>
    <definedName name="_xlnm._FilterDatabase" localSheetId="23" hidden="1">ProjPupilNum!$C$1:$J$175</definedName>
    <definedName name="_xlnm._FilterDatabase" localSheetId="41" hidden="1">ScenarioApBud!$A$1:$AM$2</definedName>
    <definedName name="_xlnm._FilterDatabase" localSheetId="40" hidden="1">ScenarioBFBalances!$A$1:$P$25</definedName>
    <definedName name="_xlnm._FilterDatabase" localSheetId="38" hidden="1">ScenarioExpenditure!$A$1:$P$84</definedName>
    <definedName name="_xlnm._FilterDatabase" localSheetId="36" hidden="1">ScenarioIncome!$A$1:$Q$185</definedName>
    <definedName name="_xlnm._FilterDatabase" localSheetId="27" hidden="1">ScenarioPupilNum!$A$1:$O$227</definedName>
    <definedName name="_xlnm._FilterDatabase" localSheetId="28" hidden="1">ScenarioStatistics!$A$1:$S$479</definedName>
    <definedName name="_xlnm._FilterDatabase" localSheetId="13" hidden="1">Schools!$G$2:$I$2</definedName>
    <definedName name="_xlnm._FilterDatabase" localSheetId="16" hidden="1">SourceFinanceCodes!$A$1:$M$667</definedName>
    <definedName name="_xlnm._FilterDatabase" localSheetId="24" hidden="1">StfRoleGroup!#REF!</definedName>
    <definedName name="BuildYear">Parameters!$B$5</definedName>
    <definedName name="ExternalData_1" localSheetId="48" hidden="1">'37_Monthly Values'!$A$1:$J$101</definedName>
    <definedName name="ExternalData_1" localSheetId="42" hidden="1">'Funding Check'!$F$1:$K$10</definedName>
    <definedName name="ExternalData_1" localSheetId="6" hidden="1">Funds!$G$2:$I$3</definedName>
    <definedName name="ExternalData_1" localSheetId="12" hidden="1">LocalAuth!$H$2:$K$5</definedName>
    <definedName name="ExternalData_1" localSheetId="30" hidden="1">Pupils!$X$1:$AL$52</definedName>
    <definedName name="ExternalData_1" localSheetId="25" hidden="1">'Pupils Insert Table'!$B$1:$N$30</definedName>
    <definedName name="ExternalData_1" localSheetId="44" hidden="1">ScenarioAppend!$A$1:$Y$190</definedName>
    <definedName name="ExternalData_1" localSheetId="13" hidden="1">Schools!$J$2:$R$12</definedName>
    <definedName name="ExternalData_1" localSheetId="24" hidden="1">StfRoleGroup!$A$2:$T$19</definedName>
    <definedName name="ExternalData_1" localSheetId="5" hidden="1">'System Grouping Codes'!$A$1:$C$509</definedName>
    <definedName name="ExternalData_2" localSheetId="15" hidden="1">'11_Finance Codes S3'!$P$1:$Z$76</definedName>
    <definedName name="ExternalData_2" localSheetId="7" hidden="1">Activity!$G$2:$I$3</definedName>
    <definedName name="ExternalData_2" localSheetId="14" hidden="1">Depts!$G$2:$O$3</definedName>
    <definedName name="ExternalData_2" localSheetId="26" hidden="1">'Pupil Number Checks'!$B$3:$F$4</definedName>
    <definedName name="ExternalData_2" localSheetId="31" hidden="1">Statistics!$W$1:$AK$2</definedName>
    <definedName name="ExternalData_3" localSheetId="20" hidden="1">'14_Calculators'!$T$1:$BC$95</definedName>
    <definedName name="ExternalData_3" localSheetId="45" hidden="1">'35_ScenarioRows'!$A$1:$R$112</definedName>
    <definedName name="ExternalData_3" localSheetId="17" hidden="1">'FinanceCodes Budget'!$N$2:$V$3</definedName>
    <definedName name="ExternalData_3" localSheetId="35" hidden="1">Income!$Y$1:$AM$34</definedName>
    <definedName name="ExternalData_3" localSheetId="8" hidden="1">Ledger!$G$2:$I$4</definedName>
    <definedName name="ExternalData_3" localSheetId="26" hidden="1">'Pupil Number Checks'!$AB$3:$AG$12</definedName>
    <definedName name="ExternalData_4" localSheetId="21" hidden="1">'CalculatorFC'!$D$1:$F$377</definedName>
    <definedName name="ExternalData_4" localSheetId="9" hidden="1">'CustGroup'!$G$2:$I$3</definedName>
    <definedName name="ExternalData_4" localSheetId="37" hidden="1">Expenditure!$Z$1:$AN$73</definedName>
    <definedName name="ExternalData_5" localSheetId="46" hidden="1">'36_ScenarioYearValues'!$A$1:$K$101</definedName>
    <definedName name="ExternalData_5" localSheetId="34" hidden="1">Funding!$Y$1:$AM$2</definedName>
    <definedName name="ExternalData_5" localSheetId="10" hidden="1">SchHub!$G$2:$I$3</definedName>
    <definedName name="ExternalData_6" localSheetId="39" hidden="1">'BF Balances'!$Y$1:$AM$7</definedName>
    <definedName name="ExternalData_6" localSheetId="33" hidden="1">'Funding Insert Table'!$P$2:$V$3</definedName>
    <definedName name="ExternalData_6" localSheetId="47" hidden="1">PreviousYears!$A$1:$P$411</definedName>
    <definedName name="ExternalData_6" localSheetId="11" hidden="1">SchType!$G$2:$I$5</definedName>
    <definedName name="ExternalData_7" localSheetId="33" hidden="1">'Funding Insert Table'!$A$2:$J$3</definedName>
    <definedName name="Scenario">'Funding Check'!$B$1</definedName>
  </definedNames>
  <calcPr calcId="191029"/>
  <pivotCaches>
    <pivotCache cacheId="5" r:id="rId53"/>
    <pivotCache cacheId="6" r:id="rId54"/>
    <pivotCache cacheId="7" r:id="rId55"/>
    <pivotCache cacheId="8" r:id="rId56"/>
    <pivotCache cacheId="9" r:id="rId5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38" l="1"/>
  <c r="A3" i="138"/>
  <c r="A4" i="138"/>
  <c r="A5" i="138"/>
  <c r="A6" i="138"/>
  <c r="A7" i="138"/>
  <c r="A8" i="138"/>
  <c r="A9" i="138"/>
  <c r="A10" i="138"/>
  <c r="A11" i="138"/>
  <c r="A12" i="138"/>
  <c r="A13" i="138"/>
  <c r="A14" i="138"/>
  <c r="A15" i="138"/>
  <c r="A16" i="138"/>
  <c r="A17" i="138"/>
  <c r="A18" i="138"/>
  <c r="A19" i="138"/>
  <c r="A20" i="138"/>
  <c r="A21" i="138"/>
  <c r="A22" i="138"/>
  <c r="A23" i="138"/>
  <c r="A24" i="138"/>
  <c r="A25" i="138"/>
  <c r="A26" i="138"/>
  <c r="A27" i="138"/>
  <c r="A28" i="138"/>
  <c r="A29" i="138"/>
  <c r="A30" i="138"/>
  <c r="A31" i="138"/>
  <c r="A32" i="138"/>
  <c r="A33" i="138"/>
  <c r="A34" i="138"/>
  <c r="A35" i="138"/>
  <c r="A36" i="138"/>
  <c r="A37" i="138"/>
  <c r="A38" i="138"/>
  <c r="A39" i="138"/>
  <c r="A40" i="138"/>
  <c r="A41" i="138"/>
  <c r="A42" i="138"/>
  <c r="A43" i="138"/>
  <c r="A44" i="138"/>
  <c r="A45" i="138"/>
  <c r="A46" i="138"/>
  <c r="A47" i="138"/>
  <c r="A48" i="138"/>
  <c r="A49" i="138"/>
  <c r="A50" i="138"/>
  <c r="A51" i="138"/>
  <c r="A52" i="138"/>
  <c r="A53" i="138"/>
  <c r="A54" i="138"/>
  <c r="A55" i="138"/>
  <c r="A56" i="138"/>
  <c r="A57" i="138"/>
  <c r="A58" i="138"/>
  <c r="A59" i="138"/>
  <c r="A60" i="138"/>
  <c r="A61" i="138"/>
  <c r="A62" i="138"/>
  <c r="A63" i="138"/>
  <c r="A64" i="138"/>
  <c r="A65" i="138"/>
  <c r="A66" i="138"/>
  <c r="A67" i="138"/>
  <c r="A68" i="138"/>
  <c r="A69" i="138"/>
  <c r="A70" i="138"/>
  <c r="A71" i="138"/>
  <c r="A72" i="138"/>
  <c r="A73" i="138"/>
  <c r="A74" i="138"/>
  <c r="A75" i="138"/>
  <c r="A76" i="138"/>
  <c r="A77" i="138"/>
  <c r="A78" i="138"/>
  <c r="A79" i="138"/>
  <c r="A80" i="138"/>
  <c r="A81" i="138"/>
  <c r="A82" i="138"/>
  <c r="A83" i="138"/>
  <c r="A84" i="138"/>
  <c r="A85" i="138"/>
  <c r="A86" i="138"/>
  <c r="A87" i="138"/>
  <c r="B22" i="137" s="1"/>
  <c r="A88" i="138"/>
  <c r="A89" i="138"/>
  <c r="A90" i="138"/>
  <c r="A91" i="138"/>
  <c r="A92" i="138"/>
  <c r="A93" i="138"/>
  <c r="A94" i="138"/>
  <c r="A95" i="138"/>
  <c r="A96" i="138"/>
  <c r="A97" i="138"/>
  <c r="A98" i="138"/>
  <c r="A99" i="138"/>
  <c r="A100" i="138"/>
  <c r="A101" i="138"/>
  <c r="A102" i="138"/>
  <c r="A103" i="138"/>
  <c r="A104" i="138"/>
  <c r="A105" i="138"/>
  <c r="A106" i="138"/>
  <c r="A107" i="138"/>
  <c r="A108" i="138"/>
  <c r="A109" i="138"/>
  <c r="A110" i="138"/>
  <c r="A111" i="138"/>
  <c r="A112" i="138"/>
  <c r="A113" i="138"/>
  <c r="A114" i="138"/>
  <c r="A115" i="138"/>
  <c r="A116" i="138"/>
  <c r="A117" i="138"/>
  <c r="A118" i="138"/>
  <c r="A119" i="138"/>
  <c r="A120" i="138"/>
  <c r="A121" i="138"/>
  <c r="A122" i="138"/>
  <c r="A123" i="138"/>
  <c r="A124" i="138"/>
  <c r="A125" i="138"/>
  <c r="A126" i="138"/>
  <c r="C126" i="138" s="1"/>
  <c r="A127" i="138"/>
  <c r="B31" i="137" s="1"/>
  <c r="A128" i="138"/>
  <c r="A129" i="138"/>
  <c r="A130" i="138"/>
  <c r="A131" i="138"/>
  <c r="A132" i="138"/>
  <c r="A133" i="138"/>
  <c r="A134" i="138"/>
  <c r="A135" i="138"/>
  <c r="A136" i="138"/>
  <c r="A137" i="138"/>
  <c r="A138" i="138"/>
  <c r="A139" i="138"/>
  <c r="A140" i="138"/>
  <c r="A141" i="138"/>
  <c r="A142" i="138"/>
  <c r="C142" i="138" s="1"/>
  <c r="A143" i="138"/>
  <c r="A144" i="138"/>
  <c r="A145" i="138"/>
  <c r="A146" i="138"/>
  <c r="A147" i="138"/>
  <c r="A148" i="138"/>
  <c r="A149" i="138"/>
  <c r="A150" i="138"/>
  <c r="A151" i="138"/>
  <c r="A152" i="138"/>
  <c r="A153" i="138"/>
  <c r="A154" i="138"/>
  <c r="A155" i="138"/>
  <c r="C155" i="138" s="1"/>
  <c r="A156" i="138"/>
  <c r="A157" i="138"/>
  <c r="A158" i="138"/>
  <c r="C158" i="138" s="1"/>
  <c r="A159" i="138"/>
  <c r="A160" i="138"/>
  <c r="A161" i="138"/>
  <c r="A162" i="138"/>
  <c r="A163" i="138"/>
  <c r="A164" i="138"/>
  <c r="A165" i="138"/>
  <c r="A166" i="138"/>
  <c r="A167" i="138"/>
  <c r="A168" i="138"/>
  <c r="A169" i="138"/>
  <c r="A170" i="138"/>
  <c r="A171" i="138"/>
  <c r="C171" i="138" s="1"/>
  <c r="A172" i="138"/>
  <c r="A173" i="138"/>
  <c r="A174" i="138"/>
  <c r="C174" i="138" s="1"/>
  <c r="A175" i="138"/>
  <c r="A176" i="138"/>
  <c r="A177" i="138"/>
  <c r="A178" i="138"/>
  <c r="A179" i="138"/>
  <c r="A180" i="138"/>
  <c r="A181" i="138"/>
  <c r="A182" i="138"/>
  <c r="A183" i="138"/>
  <c r="A184" i="138"/>
  <c r="A185" i="138"/>
  <c r="A186" i="138"/>
  <c r="A187" i="138"/>
  <c r="C187" i="138" s="1"/>
  <c r="A188" i="138"/>
  <c r="A189" i="138"/>
  <c r="A190" i="138"/>
  <c r="C190" i="138" s="1"/>
  <c r="A191" i="138"/>
  <c r="A192" i="138"/>
  <c r="A193" i="138"/>
  <c r="A194" i="138"/>
  <c r="A195" i="138"/>
  <c r="A196" i="138"/>
  <c r="A197" i="138"/>
  <c r="A198" i="138"/>
  <c r="A199" i="138"/>
  <c r="A200" i="138"/>
  <c r="A201" i="138"/>
  <c r="A202" i="138"/>
  <c r="A203" i="138"/>
  <c r="A204" i="138"/>
  <c r="A205" i="138"/>
  <c r="A206" i="138"/>
  <c r="C206" i="138" s="1"/>
  <c r="A207" i="138"/>
  <c r="A208" i="138"/>
  <c r="A209" i="138"/>
  <c r="A210" i="138"/>
  <c r="A211" i="138"/>
  <c r="A212" i="138"/>
  <c r="A213" i="138"/>
  <c r="A214" i="138"/>
  <c r="A215" i="138"/>
  <c r="A216" i="138"/>
  <c r="A217" i="138"/>
  <c r="A218" i="138"/>
  <c r="A219" i="138"/>
  <c r="C219" i="138" s="1"/>
  <c r="A220" i="138"/>
  <c r="A221" i="138"/>
  <c r="A222" i="138"/>
  <c r="C222" i="138" s="1"/>
  <c r="A223" i="138"/>
  <c r="A224" i="138"/>
  <c r="A225" i="138"/>
  <c r="A226" i="138"/>
  <c r="A227" i="138"/>
  <c r="A228" i="138"/>
  <c r="A229" i="138"/>
  <c r="A230" i="138"/>
  <c r="A231" i="138"/>
  <c r="A232" i="138"/>
  <c r="A233" i="138"/>
  <c r="A234" i="138"/>
  <c r="A235" i="138"/>
  <c r="C235" i="138" s="1"/>
  <c r="A236" i="138"/>
  <c r="A237" i="138"/>
  <c r="A238" i="138"/>
  <c r="C238" i="138" s="1"/>
  <c r="A239" i="138"/>
  <c r="A240" i="138"/>
  <c r="A241" i="138"/>
  <c r="A242" i="138"/>
  <c r="A243" i="138"/>
  <c r="A244" i="138"/>
  <c r="A245" i="138"/>
  <c r="A246" i="138"/>
  <c r="A247" i="138"/>
  <c r="A248" i="138"/>
  <c r="A249" i="138"/>
  <c r="A250" i="138"/>
  <c r="A251" i="138"/>
  <c r="C251" i="138" s="1"/>
  <c r="A252" i="138"/>
  <c r="A253" i="138"/>
  <c r="A254" i="138"/>
  <c r="A255" i="138"/>
  <c r="B67" i="137" s="1"/>
  <c r="A256" i="138"/>
  <c r="A257" i="138"/>
  <c r="A258" i="138"/>
  <c r="A259" i="138"/>
  <c r="A260" i="138"/>
  <c r="A261" i="138"/>
  <c r="A262" i="138"/>
  <c r="A263" i="138"/>
  <c r="A264" i="138"/>
  <c r="A265" i="138"/>
  <c r="A266" i="138"/>
  <c r="A267" i="138"/>
  <c r="C267" i="138" s="1"/>
  <c r="A268" i="138"/>
  <c r="B71" i="137" s="1"/>
  <c r="A269" i="138"/>
  <c r="A270" i="138"/>
  <c r="C270" i="138" s="1"/>
  <c r="A271" i="138"/>
  <c r="A272" i="138"/>
  <c r="B73" i="137" s="1"/>
  <c r="A273" i="138"/>
  <c r="B74" i="137" s="1"/>
  <c r="A274" i="138"/>
  <c r="A275" i="138"/>
  <c r="A276" i="138"/>
  <c r="A277" i="138"/>
  <c r="A278" i="138"/>
  <c r="A279" i="138"/>
  <c r="A280" i="138"/>
  <c r="A281" i="138"/>
  <c r="A282" i="138"/>
  <c r="A283" i="138"/>
  <c r="C283" i="138" s="1"/>
  <c r="A284" i="138"/>
  <c r="A285" i="138"/>
  <c r="A286" i="138"/>
  <c r="C286" i="138" s="1"/>
  <c r="A287" i="138"/>
  <c r="A288" i="138"/>
  <c r="B86" i="137" s="1"/>
  <c r="A289" i="138"/>
  <c r="A290" i="138"/>
  <c r="A291" i="138"/>
  <c r="A292" i="138"/>
  <c r="A293" i="138"/>
  <c r="A294" i="138"/>
  <c r="A295" i="138"/>
  <c r="A296" i="138"/>
  <c r="A297" i="138"/>
  <c r="A298" i="138"/>
  <c r="A299" i="138"/>
  <c r="C299" i="138" s="1"/>
  <c r="A300" i="138"/>
  <c r="A301" i="138"/>
  <c r="A302" i="138"/>
  <c r="C302" i="138" s="1"/>
  <c r="A303" i="138"/>
  <c r="A304" i="138"/>
  <c r="A305" i="138"/>
  <c r="A306" i="138"/>
  <c r="A307" i="138"/>
  <c r="A308" i="138"/>
  <c r="A309" i="138"/>
  <c r="A310" i="138"/>
  <c r="A311" i="138"/>
  <c r="A312" i="138"/>
  <c r="A313" i="138"/>
  <c r="A314" i="138"/>
  <c r="A315" i="138"/>
  <c r="C315" i="138" s="1"/>
  <c r="A316" i="138"/>
  <c r="C316" i="138" s="1"/>
  <c r="A317" i="138"/>
  <c r="A318" i="138"/>
  <c r="C318" i="138" s="1"/>
  <c r="A319" i="138"/>
  <c r="A320" i="138"/>
  <c r="A321" i="138"/>
  <c r="A322" i="138"/>
  <c r="A323" i="138"/>
  <c r="A324" i="138"/>
  <c r="A325" i="138"/>
  <c r="A326" i="138"/>
  <c r="A327" i="138"/>
  <c r="A328" i="138"/>
  <c r="A329" i="138"/>
  <c r="A330" i="138"/>
  <c r="A331" i="138"/>
  <c r="C331" i="138" s="1"/>
  <c r="A332" i="138"/>
  <c r="A333" i="138"/>
  <c r="A334" i="138"/>
  <c r="C334" i="138" s="1"/>
  <c r="A335" i="138"/>
  <c r="A336" i="138"/>
  <c r="A337" i="138"/>
  <c r="A338" i="138"/>
  <c r="A339" i="138"/>
  <c r="A340" i="138"/>
  <c r="A341" i="138"/>
  <c r="A342" i="138"/>
  <c r="A343" i="138"/>
  <c r="A344" i="138"/>
  <c r="A345" i="138"/>
  <c r="A346" i="138"/>
  <c r="A347" i="138"/>
  <c r="C347" i="138" s="1"/>
  <c r="A348" i="138"/>
  <c r="A349" i="138"/>
  <c r="A350" i="138"/>
  <c r="C350" i="138" s="1"/>
  <c r="A351" i="138"/>
  <c r="A352" i="138"/>
  <c r="A353" i="138"/>
  <c r="A354" i="138"/>
  <c r="A355" i="138"/>
  <c r="A356" i="138"/>
  <c r="A357" i="138"/>
  <c r="A358" i="138"/>
  <c r="A359" i="138"/>
  <c r="A360" i="138"/>
  <c r="A361" i="138"/>
  <c r="A362" i="138"/>
  <c r="A363" i="138"/>
  <c r="C363" i="138" s="1"/>
  <c r="A364" i="138"/>
  <c r="C364" i="138" s="1"/>
  <c r="A365" i="138"/>
  <c r="A366" i="138"/>
  <c r="C366" i="138" s="1"/>
  <c r="A367" i="138"/>
  <c r="A368" i="138"/>
  <c r="A369" i="138"/>
  <c r="A370" i="138"/>
  <c r="A371" i="138"/>
  <c r="A372" i="138"/>
  <c r="A373" i="138"/>
  <c r="A374" i="138"/>
  <c r="A375" i="138"/>
  <c r="B93" i="137" s="1"/>
  <c r="A376" i="138"/>
  <c r="B94" i="137" s="1"/>
  <c r="A377" i="138"/>
  <c r="B2" i="138"/>
  <c r="C2" i="138" s="1"/>
  <c r="B3" i="138"/>
  <c r="C3" i="138" s="1"/>
  <c r="B4" i="138"/>
  <c r="C4" i="138" s="1"/>
  <c r="B5" i="138"/>
  <c r="C5" i="138" s="1"/>
  <c r="B6" i="138"/>
  <c r="C6" i="138" s="1"/>
  <c r="B7" i="138"/>
  <c r="C7" i="138" s="1"/>
  <c r="B8" i="138"/>
  <c r="B9" i="138"/>
  <c r="B10" i="138"/>
  <c r="B11" i="138"/>
  <c r="B12" i="138"/>
  <c r="B13" i="138"/>
  <c r="B14" i="138"/>
  <c r="B15" i="138"/>
  <c r="B16" i="138"/>
  <c r="B17" i="138"/>
  <c r="B18" i="138"/>
  <c r="C18" i="138" s="1"/>
  <c r="B19" i="138"/>
  <c r="C19" i="138" s="1"/>
  <c r="B20" i="138"/>
  <c r="C20" i="138" s="1"/>
  <c r="B21" i="138"/>
  <c r="C21" i="138" s="1"/>
  <c r="B22" i="138"/>
  <c r="C22" i="138" s="1"/>
  <c r="B23" i="138"/>
  <c r="C23" i="138" s="1"/>
  <c r="B24" i="138"/>
  <c r="B25" i="138"/>
  <c r="B26" i="138"/>
  <c r="B27" i="138"/>
  <c r="B28" i="138"/>
  <c r="B29" i="138"/>
  <c r="B30" i="138"/>
  <c r="B31" i="138"/>
  <c r="B32" i="138"/>
  <c r="B33" i="138"/>
  <c r="B34" i="138"/>
  <c r="C34" i="138" s="1"/>
  <c r="B35" i="138"/>
  <c r="C35" i="138" s="1"/>
  <c r="B36" i="138"/>
  <c r="C36" i="138" s="1"/>
  <c r="B37" i="138"/>
  <c r="C37" i="138" s="1"/>
  <c r="B38" i="138"/>
  <c r="C38" i="138" s="1"/>
  <c r="B39" i="138"/>
  <c r="C39" i="138" s="1"/>
  <c r="B40" i="138"/>
  <c r="B41" i="138"/>
  <c r="B42" i="138"/>
  <c r="B43" i="138"/>
  <c r="B44" i="138"/>
  <c r="B45" i="138"/>
  <c r="B46" i="138"/>
  <c r="B47" i="138"/>
  <c r="B48" i="138"/>
  <c r="B49" i="138"/>
  <c r="B50" i="138"/>
  <c r="C50" i="138" s="1"/>
  <c r="B51" i="138"/>
  <c r="C51" i="138" s="1"/>
  <c r="B52" i="138"/>
  <c r="C52" i="138" s="1"/>
  <c r="B53" i="138"/>
  <c r="C53" i="138" s="1"/>
  <c r="B54" i="138"/>
  <c r="C54" i="138" s="1"/>
  <c r="B55" i="138"/>
  <c r="C55" i="138" s="1"/>
  <c r="B56" i="138"/>
  <c r="B57" i="138"/>
  <c r="B58" i="138"/>
  <c r="B59" i="138"/>
  <c r="B60" i="138"/>
  <c r="B61" i="138"/>
  <c r="B62" i="138"/>
  <c r="B63" i="138"/>
  <c r="B64" i="138"/>
  <c r="B65" i="138"/>
  <c r="B66" i="138"/>
  <c r="C66" i="138" s="1"/>
  <c r="B67" i="138"/>
  <c r="C67" i="138" s="1"/>
  <c r="B68" i="138"/>
  <c r="C68" i="138" s="1"/>
  <c r="B69" i="138"/>
  <c r="C69" i="138" s="1"/>
  <c r="B70" i="138"/>
  <c r="C70" i="138" s="1"/>
  <c r="B71" i="138"/>
  <c r="C71" i="138" s="1"/>
  <c r="B72" i="138"/>
  <c r="B73" i="138"/>
  <c r="B74" i="138"/>
  <c r="B75" i="138"/>
  <c r="B76" i="138"/>
  <c r="B77" i="138"/>
  <c r="B78" i="138"/>
  <c r="B79" i="138"/>
  <c r="B80" i="138"/>
  <c r="B81" i="138"/>
  <c r="B82" i="138"/>
  <c r="C82" i="138" s="1"/>
  <c r="B83" i="138"/>
  <c r="C83" i="138" s="1"/>
  <c r="B84" i="138"/>
  <c r="C84" i="138" s="1"/>
  <c r="B85" i="138"/>
  <c r="C85" i="138" s="1"/>
  <c r="B86" i="138"/>
  <c r="C86" i="138" s="1"/>
  <c r="B87" i="138"/>
  <c r="C87" i="138" s="1"/>
  <c r="B88" i="138"/>
  <c r="B89" i="138"/>
  <c r="B90" i="138"/>
  <c r="B91" i="138"/>
  <c r="B92" i="138"/>
  <c r="B93" i="138"/>
  <c r="B94" i="138"/>
  <c r="B95" i="138"/>
  <c r="B96" i="138"/>
  <c r="B97" i="138"/>
  <c r="B98" i="138"/>
  <c r="C98" i="138" s="1"/>
  <c r="B99" i="138"/>
  <c r="C99" i="138" s="1"/>
  <c r="B100" i="138"/>
  <c r="C100" i="138" s="1"/>
  <c r="B101" i="138"/>
  <c r="C101" i="138" s="1"/>
  <c r="B102" i="138"/>
  <c r="C102" i="138" s="1"/>
  <c r="B103" i="138"/>
  <c r="C103" i="138" s="1"/>
  <c r="B104" i="138"/>
  <c r="B105" i="138"/>
  <c r="B106" i="138"/>
  <c r="B107" i="138"/>
  <c r="B108" i="138"/>
  <c r="B109" i="138"/>
  <c r="B110" i="138"/>
  <c r="B111" i="138"/>
  <c r="B112" i="138"/>
  <c r="B113" i="138"/>
  <c r="B114" i="138"/>
  <c r="C114" i="138" s="1"/>
  <c r="B115" i="138"/>
  <c r="C115" i="138" s="1"/>
  <c r="B116" i="138"/>
  <c r="C116" i="138" s="1"/>
  <c r="B117" i="138"/>
  <c r="C117" i="138" s="1"/>
  <c r="B118" i="138"/>
  <c r="C118" i="138" s="1"/>
  <c r="B119" i="138"/>
  <c r="C119" i="138" s="1"/>
  <c r="B120" i="138"/>
  <c r="B121" i="138"/>
  <c r="B122" i="138"/>
  <c r="B123" i="138"/>
  <c r="B124" i="138"/>
  <c r="B125" i="138"/>
  <c r="B126" i="138"/>
  <c r="B127" i="138"/>
  <c r="B128" i="138"/>
  <c r="B129" i="138"/>
  <c r="B130" i="138"/>
  <c r="C130" i="138" s="1"/>
  <c r="B131" i="138"/>
  <c r="C131" i="138" s="1"/>
  <c r="B132" i="138"/>
  <c r="C132" i="138" s="1"/>
  <c r="B133" i="138"/>
  <c r="C133" i="138" s="1"/>
  <c r="B134" i="138"/>
  <c r="C134" i="138" s="1"/>
  <c r="B135" i="138"/>
  <c r="C135" i="138" s="1"/>
  <c r="B136" i="138"/>
  <c r="B137" i="138"/>
  <c r="B138" i="138"/>
  <c r="B139" i="138"/>
  <c r="B140" i="138"/>
  <c r="B141" i="138"/>
  <c r="B142" i="138"/>
  <c r="B143" i="138"/>
  <c r="B144" i="138"/>
  <c r="B145" i="138"/>
  <c r="B146" i="138"/>
  <c r="C146" i="138" s="1"/>
  <c r="B147" i="138"/>
  <c r="C147" i="138" s="1"/>
  <c r="B148" i="138"/>
  <c r="C148" i="138" s="1"/>
  <c r="B149" i="138"/>
  <c r="C149" i="138" s="1"/>
  <c r="B150" i="138"/>
  <c r="C150" i="138" s="1"/>
  <c r="B151" i="138"/>
  <c r="C151" i="138" s="1"/>
  <c r="B152" i="138"/>
  <c r="B153" i="138"/>
  <c r="B154" i="138"/>
  <c r="B155" i="138"/>
  <c r="B156" i="138"/>
  <c r="B157" i="138"/>
  <c r="B158" i="138"/>
  <c r="B159" i="138"/>
  <c r="B160" i="138"/>
  <c r="B161" i="138"/>
  <c r="B162" i="138"/>
  <c r="C162" i="138" s="1"/>
  <c r="B163" i="138"/>
  <c r="C163" i="138" s="1"/>
  <c r="B164" i="138"/>
  <c r="C164" i="138" s="1"/>
  <c r="B165" i="138"/>
  <c r="C165" i="138" s="1"/>
  <c r="B166" i="138"/>
  <c r="C166" i="138" s="1"/>
  <c r="B167" i="138"/>
  <c r="B168" i="138"/>
  <c r="B169" i="138"/>
  <c r="B170" i="138"/>
  <c r="B171" i="138"/>
  <c r="B172" i="138"/>
  <c r="B173" i="138"/>
  <c r="B174" i="138"/>
  <c r="B175" i="138"/>
  <c r="B176" i="138"/>
  <c r="B177" i="138"/>
  <c r="B178" i="138"/>
  <c r="C178" i="138" s="1"/>
  <c r="B179" i="138"/>
  <c r="C179" i="138" s="1"/>
  <c r="B180" i="138"/>
  <c r="C180" i="138" s="1"/>
  <c r="B181" i="138"/>
  <c r="C181" i="138" s="1"/>
  <c r="B182" i="138"/>
  <c r="C182" i="138" s="1"/>
  <c r="B183" i="138"/>
  <c r="C183" i="138" s="1"/>
  <c r="B184" i="138"/>
  <c r="B185" i="138"/>
  <c r="B186" i="138"/>
  <c r="B187" i="138"/>
  <c r="B188" i="138"/>
  <c r="B189" i="138"/>
  <c r="B190" i="138"/>
  <c r="B191" i="138"/>
  <c r="B192" i="138"/>
  <c r="B193" i="138"/>
  <c r="B194" i="138"/>
  <c r="C194" i="138" s="1"/>
  <c r="B195" i="138"/>
  <c r="C195" i="138" s="1"/>
  <c r="B196" i="138"/>
  <c r="C196" i="138" s="1"/>
  <c r="B197" i="138"/>
  <c r="C197" i="138" s="1"/>
  <c r="B198" i="138"/>
  <c r="C198" i="138" s="1"/>
  <c r="B199" i="138"/>
  <c r="B200" i="138"/>
  <c r="B201" i="138"/>
  <c r="B202" i="138"/>
  <c r="B203" i="138"/>
  <c r="B204" i="138"/>
  <c r="B205" i="138"/>
  <c r="B206" i="138"/>
  <c r="B207" i="138"/>
  <c r="B208" i="138"/>
  <c r="B209" i="138"/>
  <c r="B210" i="138"/>
  <c r="C210" i="138" s="1"/>
  <c r="B211" i="138"/>
  <c r="C211" i="138" s="1"/>
  <c r="B212" i="138"/>
  <c r="C212" i="138" s="1"/>
  <c r="B213" i="138"/>
  <c r="C213" i="138" s="1"/>
  <c r="B214" i="138"/>
  <c r="C214" i="138" s="1"/>
  <c r="B215" i="138"/>
  <c r="C215" i="138" s="1"/>
  <c r="B216" i="138"/>
  <c r="B217" i="138"/>
  <c r="B218" i="138"/>
  <c r="B219" i="138"/>
  <c r="B220" i="138"/>
  <c r="B221" i="138"/>
  <c r="B222" i="138"/>
  <c r="B223" i="138"/>
  <c r="B224" i="138"/>
  <c r="B225" i="138"/>
  <c r="B226" i="138"/>
  <c r="C226" i="138" s="1"/>
  <c r="B227" i="138"/>
  <c r="C227" i="138" s="1"/>
  <c r="B228" i="138"/>
  <c r="C228" i="138" s="1"/>
  <c r="B229" i="138"/>
  <c r="C229" i="138" s="1"/>
  <c r="B230" i="138"/>
  <c r="C230" i="138" s="1"/>
  <c r="B231" i="138"/>
  <c r="B232" i="138"/>
  <c r="B233" i="138"/>
  <c r="B234" i="138"/>
  <c r="B235" i="138"/>
  <c r="B236" i="138"/>
  <c r="B237" i="138"/>
  <c r="B238" i="138"/>
  <c r="B239" i="138"/>
  <c r="B240" i="138"/>
  <c r="B241" i="138"/>
  <c r="B242" i="138"/>
  <c r="C242" i="138" s="1"/>
  <c r="B243" i="138"/>
  <c r="C243" i="138" s="1"/>
  <c r="B244" i="138"/>
  <c r="C244" i="138" s="1"/>
  <c r="B245" i="138"/>
  <c r="C245" i="138" s="1"/>
  <c r="B246" i="138"/>
  <c r="C246" i="138" s="1"/>
  <c r="B247" i="138"/>
  <c r="C247" i="138" s="1"/>
  <c r="B248" i="138"/>
  <c r="B249" i="138"/>
  <c r="B250" i="138"/>
  <c r="B251" i="138"/>
  <c r="B252" i="138"/>
  <c r="B253" i="138"/>
  <c r="B254" i="138"/>
  <c r="B255" i="138"/>
  <c r="B256" i="138"/>
  <c r="B257" i="138"/>
  <c r="B258" i="138"/>
  <c r="C258" i="138" s="1"/>
  <c r="B259" i="138"/>
  <c r="C259" i="138" s="1"/>
  <c r="B260" i="138"/>
  <c r="C260" i="138" s="1"/>
  <c r="B261" i="138"/>
  <c r="C261" i="138" s="1"/>
  <c r="B262" i="138"/>
  <c r="C262" i="138" s="1"/>
  <c r="B263" i="138"/>
  <c r="B264" i="138"/>
  <c r="B265" i="138"/>
  <c r="B266" i="138"/>
  <c r="B267" i="138"/>
  <c r="B268" i="138"/>
  <c r="B269" i="138"/>
  <c r="B270" i="138"/>
  <c r="B271" i="138"/>
  <c r="B272" i="138"/>
  <c r="B273" i="138"/>
  <c r="B274" i="138"/>
  <c r="C274" i="138" s="1"/>
  <c r="B275" i="138"/>
  <c r="C275" i="138" s="1"/>
  <c r="B276" i="138"/>
  <c r="C276" i="138" s="1"/>
  <c r="B277" i="138"/>
  <c r="C277" i="138" s="1"/>
  <c r="B278" i="138"/>
  <c r="C278" i="138" s="1"/>
  <c r="B279" i="138"/>
  <c r="B280" i="138"/>
  <c r="B281" i="138"/>
  <c r="B282" i="138"/>
  <c r="B283" i="138"/>
  <c r="B284" i="138"/>
  <c r="B285" i="138"/>
  <c r="B286" i="138"/>
  <c r="B287" i="138"/>
  <c r="B288" i="138"/>
  <c r="B289" i="138"/>
  <c r="B290" i="138"/>
  <c r="C290" i="138" s="1"/>
  <c r="B291" i="138"/>
  <c r="C291" i="138" s="1"/>
  <c r="B292" i="138"/>
  <c r="C292" i="138" s="1"/>
  <c r="B293" i="138"/>
  <c r="C293" i="138" s="1"/>
  <c r="B294" i="138"/>
  <c r="C294" i="138" s="1"/>
  <c r="B295" i="138"/>
  <c r="B296" i="138"/>
  <c r="B297" i="138"/>
  <c r="B298" i="138"/>
  <c r="B299" i="138"/>
  <c r="B300" i="138"/>
  <c r="B301" i="138"/>
  <c r="B302" i="138"/>
  <c r="B303" i="138"/>
  <c r="B304" i="138"/>
  <c r="B305" i="138"/>
  <c r="B306" i="138"/>
  <c r="C306" i="138" s="1"/>
  <c r="B307" i="138"/>
  <c r="C307" i="138" s="1"/>
  <c r="B308" i="138"/>
  <c r="C308" i="138" s="1"/>
  <c r="B309" i="138"/>
  <c r="C309" i="138" s="1"/>
  <c r="B310" i="138"/>
  <c r="C310" i="138" s="1"/>
  <c r="B311" i="138"/>
  <c r="C311" i="138" s="1"/>
  <c r="B312" i="138"/>
  <c r="B313" i="138"/>
  <c r="B314" i="138"/>
  <c r="B315" i="138"/>
  <c r="B316" i="138"/>
  <c r="B317" i="138"/>
  <c r="B318" i="138"/>
  <c r="B319" i="138"/>
  <c r="B320" i="138"/>
  <c r="B321" i="138"/>
  <c r="B322" i="138"/>
  <c r="C322" i="138" s="1"/>
  <c r="B323" i="138"/>
  <c r="C323" i="138" s="1"/>
  <c r="B324" i="138"/>
  <c r="C324" i="138" s="1"/>
  <c r="B325" i="138"/>
  <c r="C325" i="138" s="1"/>
  <c r="B326" i="138"/>
  <c r="C326" i="138" s="1"/>
  <c r="B327" i="138"/>
  <c r="B328" i="138"/>
  <c r="B329" i="138"/>
  <c r="B330" i="138"/>
  <c r="B331" i="138"/>
  <c r="B332" i="138"/>
  <c r="B333" i="138"/>
  <c r="B334" i="138"/>
  <c r="B335" i="138"/>
  <c r="B336" i="138"/>
  <c r="B337" i="138"/>
  <c r="B338" i="138"/>
  <c r="C338" i="138" s="1"/>
  <c r="B339" i="138"/>
  <c r="C339" i="138" s="1"/>
  <c r="B340" i="138"/>
  <c r="C340" i="138" s="1"/>
  <c r="B341" i="138"/>
  <c r="C341" i="138" s="1"/>
  <c r="B342" i="138"/>
  <c r="C342" i="138" s="1"/>
  <c r="B343" i="138"/>
  <c r="C343" i="138" s="1"/>
  <c r="B344" i="138"/>
  <c r="B345" i="138"/>
  <c r="B346" i="138"/>
  <c r="B347" i="138"/>
  <c r="B348" i="138"/>
  <c r="B349" i="138"/>
  <c r="B350" i="138"/>
  <c r="B351" i="138"/>
  <c r="B352" i="138"/>
  <c r="B353" i="138"/>
  <c r="B354" i="138"/>
  <c r="C354" i="138" s="1"/>
  <c r="B355" i="138"/>
  <c r="C355" i="138" s="1"/>
  <c r="B356" i="138"/>
  <c r="C356" i="138" s="1"/>
  <c r="B357" i="138"/>
  <c r="C357" i="138" s="1"/>
  <c r="B358" i="138"/>
  <c r="C358" i="138" s="1"/>
  <c r="B359" i="138"/>
  <c r="B360" i="138"/>
  <c r="B361" i="138"/>
  <c r="B362" i="138"/>
  <c r="B363" i="138"/>
  <c r="B364" i="138"/>
  <c r="B365" i="138"/>
  <c r="B366" i="138"/>
  <c r="B367" i="138"/>
  <c r="B368" i="138"/>
  <c r="B369" i="138"/>
  <c r="B370" i="138"/>
  <c r="C370" i="138" s="1"/>
  <c r="B371" i="138"/>
  <c r="C371" i="138" s="1"/>
  <c r="B372" i="138"/>
  <c r="C372" i="138" s="1"/>
  <c r="B373" i="138"/>
  <c r="C373" i="138" s="1"/>
  <c r="B374" i="138"/>
  <c r="C374" i="138" s="1"/>
  <c r="B375" i="138"/>
  <c r="C375" i="138" s="1"/>
  <c r="B376" i="138"/>
  <c r="B377" i="138"/>
  <c r="C109" i="138"/>
  <c r="C110" i="138"/>
  <c r="C203" i="138"/>
  <c r="C254" i="138"/>
  <c r="C1723" i="50"/>
  <c r="C1722" i="50"/>
  <c r="C1721" i="50"/>
  <c r="A2" i="129"/>
  <c r="A3" i="129"/>
  <c r="A4" i="129"/>
  <c r="A5" i="129"/>
  <c r="A6" i="129"/>
  <c r="A7" i="129"/>
  <c r="A8" i="129"/>
  <c r="A9" i="129"/>
  <c r="A10" i="129"/>
  <c r="A11" i="129"/>
  <c r="A12" i="129"/>
  <c r="A13" i="129"/>
  <c r="A14" i="129"/>
  <c r="A15" i="129"/>
  <c r="A16" i="129"/>
  <c r="A17" i="129"/>
  <c r="A18" i="129"/>
  <c r="A19" i="129"/>
  <c r="A20" i="129"/>
  <c r="A21" i="129"/>
  <c r="A22" i="129"/>
  <c r="A23" i="129"/>
  <c r="A24" i="129"/>
  <c r="A25" i="129"/>
  <c r="A26" i="129"/>
  <c r="A27" i="129"/>
  <c r="A28" i="129"/>
  <c r="A29" i="129"/>
  <c r="A30" i="129"/>
  <c r="A31" i="129"/>
  <c r="A32" i="129"/>
  <c r="A33" i="129"/>
  <c r="A34" i="129"/>
  <c r="A35" i="129"/>
  <c r="A36" i="129"/>
  <c r="A37" i="129"/>
  <c r="A38" i="129"/>
  <c r="A39" i="129"/>
  <c r="A40" i="129"/>
  <c r="A41" i="129"/>
  <c r="A42" i="129"/>
  <c r="A43" i="129"/>
  <c r="A44" i="129"/>
  <c r="A45" i="129"/>
  <c r="A46" i="129"/>
  <c r="A47" i="129"/>
  <c r="A48" i="129"/>
  <c r="A49" i="129"/>
  <c r="A50" i="129"/>
  <c r="A51" i="129"/>
  <c r="A52" i="129"/>
  <c r="C2" i="129" a="1"/>
  <c r="C2" i="129" s="1"/>
  <c r="C3" i="129" a="1"/>
  <c r="C3" i="129" s="1"/>
  <c r="C4" i="129" a="1"/>
  <c r="C4" i="129" s="1"/>
  <c r="C5" i="129" a="1"/>
  <c r="C5" i="129" s="1"/>
  <c r="C6" i="129" a="1"/>
  <c r="C6" i="129" s="1"/>
  <c r="C7" i="129" a="1"/>
  <c r="C7" i="129" s="1"/>
  <c r="C8" i="129" a="1"/>
  <c r="C8" i="129" s="1"/>
  <c r="C9" i="129" a="1"/>
  <c r="C9" i="129" s="1"/>
  <c r="C10" i="129" a="1"/>
  <c r="C10" i="129" s="1"/>
  <c r="C11" i="129" a="1"/>
  <c r="C11" i="129" s="1"/>
  <c r="C12" i="129" a="1"/>
  <c r="C12" i="129" s="1"/>
  <c r="C13" i="129" a="1"/>
  <c r="C13" i="129" s="1"/>
  <c r="C14" i="129" a="1"/>
  <c r="C14" i="129" s="1"/>
  <c r="C15" i="129" a="1"/>
  <c r="C15" i="129" s="1"/>
  <c r="C16" i="129" a="1"/>
  <c r="C16" i="129" s="1"/>
  <c r="C17" i="129" a="1"/>
  <c r="C17" i="129" s="1"/>
  <c r="C18" i="129" a="1"/>
  <c r="C18" i="129" s="1"/>
  <c r="C19" i="129" a="1"/>
  <c r="C19" i="129" s="1"/>
  <c r="C20" i="129" a="1"/>
  <c r="C20" i="129" s="1"/>
  <c r="C21" i="129" a="1"/>
  <c r="C21" i="129" s="1"/>
  <c r="C22" i="129" a="1"/>
  <c r="C22" i="129" s="1"/>
  <c r="C23" i="129" a="1"/>
  <c r="C23" i="129" s="1"/>
  <c r="C24" i="129" a="1"/>
  <c r="C24" i="129" s="1"/>
  <c r="C25" i="129" a="1"/>
  <c r="C25" i="129"/>
  <c r="C26" i="129" a="1"/>
  <c r="C26" i="129" s="1"/>
  <c r="C27" i="129" a="1"/>
  <c r="C27" i="129" s="1"/>
  <c r="C28" i="129" a="1"/>
  <c r="C28" i="129" s="1"/>
  <c r="C29" i="129" a="1"/>
  <c r="C29" i="129" s="1"/>
  <c r="C30" i="129" a="1"/>
  <c r="C30" i="129"/>
  <c r="C31" i="129" a="1"/>
  <c r="C31" i="129" s="1"/>
  <c r="C32" i="129" a="1"/>
  <c r="C32" i="129" s="1"/>
  <c r="C33" i="129" a="1"/>
  <c r="C33" i="129" s="1"/>
  <c r="C34" i="129" a="1"/>
  <c r="C34" i="129" s="1"/>
  <c r="C35" i="129" a="1"/>
  <c r="C35" i="129" s="1"/>
  <c r="C36" i="129" a="1"/>
  <c r="C36" i="129" s="1"/>
  <c r="C37" i="129" a="1"/>
  <c r="C37" i="129" s="1"/>
  <c r="C38" i="129" a="1"/>
  <c r="C38" i="129" s="1"/>
  <c r="C39" i="129" a="1"/>
  <c r="C39" i="129" s="1"/>
  <c r="C40" i="129" a="1"/>
  <c r="C40" i="129" s="1"/>
  <c r="C41" i="129" a="1"/>
  <c r="C41" i="129" s="1"/>
  <c r="C42" i="129" a="1"/>
  <c r="C42" i="129" s="1"/>
  <c r="C43" i="129" a="1"/>
  <c r="C43" i="129" s="1"/>
  <c r="C44" i="129" a="1"/>
  <c r="C44" i="129" s="1"/>
  <c r="C45" i="129" a="1"/>
  <c r="C45" i="129" s="1"/>
  <c r="C46" i="129" a="1"/>
  <c r="C46" i="129" s="1"/>
  <c r="C47" i="129" a="1"/>
  <c r="C47" i="129" s="1"/>
  <c r="C48" i="129" a="1"/>
  <c r="C48" i="129" s="1"/>
  <c r="C49" i="129" a="1"/>
  <c r="C49" i="129" s="1"/>
  <c r="C50" i="129" a="1"/>
  <c r="C50" i="129" s="1"/>
  <c r="C51" i="129" a="1"/>
  <c r="C51" i="129"/>
  <c r="C52" i="129" a="1"/>
  <c r="C52" i="129" s="1"/>
  <c r="D2" i="129"/>
  <c r="D3" i="129"/>
  <c r="D4" i="129"/>
  <c r="D5" i="129"/>
  <c r="D6" i="129"/>
  <c r="D7" i="129"/>
  <c r="D8" i="129"/>
  <c r="D9" i="129"/>
  <c r="D10" i="129"/>
  <c r="D11" i="129"/>
  <c r="D12" i="129"/>
  <c r="D13" i="129"/>
  <c r="D14" i="129"/>
  <c r="D15" i="129"/>
  <c r="D16" i="129"/>
  <c r="D17" i="129"/>
  <c r="D18" i="129"/>
  <c r="D19" i="129"/>
  <c r="D20" i="129"/>
  <c r="D21" i="129"/>
  <c r="D22" i="129"/>
  <c r="D23" i="129"/>
  <c r="D24" i="129"/>
  <c r="D25" i="129"/>
  <c r="D26" i="129"/>
  <c r="D27" i="129"/>
  <c r="D28" i="129"/>
  <c r="D29" i="129"/>
  <c r="D30" i="129"/>
  <c r="D31" i="129"/>
  <c r="D32" i="129"/>
  <c r="D33" i="129"/>
  <c r="D34" i="129"/>
  <c r="D35" i="129"/>
  <c r="D36" i="129"/>
  <c r="D37" i="129"/>
  <c r="D38" i="129"/>
  <c r="D39" i="129"/>
  <c r="D40" i="129"/>
  <c r="D41" i="129"/>
  <c r="D42" i="129"/>
  <c r="D43" i="129"/>
  <c r="D44" i="129"/>
  <c r="D45" i="129"/>
  <c r="D46" i="129"/>
  <c r="D47" i="129"/>
  <c r="D48" i="129"/>
  <c r="D49" i="129"/>
  <c r="D50" i="129"/>
  <c r="D51" i="129"/>
  <c r="D52" i="129"/>
  <c r="E2" i="129"/>
  <c r="E3" i="129"/>
  <c r="E4" i="129"/>
  <c r="E5" i="129"/>
  <c r="E6" i="129"/>
  <c r="E7" i="129"/>
  <c r="E8" i="129"/>
  <c r="E9" i="129"/>
  <c r="E10" i="129"/>
  <c r="E11" i="129"/>
  <c r="E12" i="129"/>
  <c r="E13" i="129"/>
  <c r="E14" i="129"/>
  <c r="E15" i="129"/>
  <c r="E16" i="129"/>
  <c r="E17" i="129"/>
  <c r="E18" i="129"/>
  <c r="E19" i="129"/>
  <c r="E20" i="129"/>
  <c r="E21" i="129"/>
  <c r="E22" i="129"/>
  <c r="E23" i="129"/>
  <c r="E24" i="129"/>
  <c r="E25" i="129"/>
  <c r="E26" i="129"/>
  <c r="E27" i="129"/>
  <c r="E28" i="129"/>
  <c r="E29" i="129"/>
  <c r="E30" i="129"/>
  <c r="E31" i="129"/>
  <c r="E32" i="129"/>
  <c r="E33" i="129"/>
  <c r="E34" i="129"/>
  <c r="E35" i="129"/>
  <c r="E36" i="129"/>
  <c r="E37" i="129"/>
  <c r="E38" i="129"/>
  <c r="E39" i="129"/>
  <c r="E40" i="129"/>
  <c r="E41" i="129"/>
  <c r="E42" i="129"/>
  <c r="E43" i="129"/>
  <c r="E44" i="129"/>
  <c r="E45" i="129"/>
  <c r="E46" i="129"/>
  <c r="E47" i="129"/>
  <c r="E48" i="129"/>
  <c r="E49" i="129"/>
  <c r="E50" i="129"/>
  <c r="E51" i="129"/>
  <c r="E52" i="129"/>
  <c r="F2" i="129"/>
  <c r="F3" i="129"/>
  <c r="F4" i="129"/>
  <c r="F5" i="129"/>
  <c r="F6" i="129"/>
  <c r="F7" i="129"/>
  <c r="F8" i="129"/>
  <c r="F9" i="129"/>
  <c r="F10" i="129"/>
  <c r="F11" i="129"/>
  <c r="F12" i="129"/>
  <c r="F13" i="129"/>
  <c r="F14" i="129"/>
  <c r="F15" i="129"/>
  <c r="F16" i="129"/>
  <c r="F17" i="129"/>
  <c r="F18" i="129"/>
  <c r="F19" i="129"/>
  <c r="F20" i="129"/>
  <c r="F21" i="129"/>
  <c r="F22" i="129"/>
  <c r="F23" i="129"/>
  <c r="F24" i="129"/>
  <c r="F25" i="129"/>
  <c r="F26" i="129"/>
  <c r="F27" i="129"/>
  <c r="F28" i="129"/>
  <c r="F29" i="129"/>
  <c r="F30" i="129"/>
  <c r="F31" i="129"/>
  <c r="F32" i="129"/>
  <c r="F33" i="129"/>
  <c r="F34" i="129"/>
  <c r="F35" i="129"/>
  <c r="F36" i="129"/>
  <c r="F37" i="129"/>
  <c r="F38" i="129"/>
  <c r="F39" i="129"/>
  <c r="F40" i="129"/>
  <c r="F41" i="129"/>
  <c r="F42" i="129"/>
  <c r="F43" i="129"/>
  <c r="F44" i="129"/>
  <c r="F45" i="129"/>
  <c r="F46" i="129"/>
  <c r="F47" i="129"/>
  <c r="F48" i="129"/>
  <c r="F49" i="129"/>
  <c r="F50" i="129"/>
  <c r="F51" i="129"/>
  <c r="F52" i="129"/>
  <c r="G2" i="129" a="1"/>
  <c r="G2" i="129" s="1"/>
  <c r="G3" i="129" a="1"/>
  <c r="G3" i="129" s="1"/>
  <c r="G4" i="129" a="1"/>
  <c r="G4" i="129" s="1"/>
  <c r="G5" i="129" a="1"/>
  <c r="G5" i="129" s="1"/>
  <c r="G6" i="129" a="1"/>
  <c r="G6" i="129" s="1"/>
  <c r="G7" i="129" a="1"/>
  <c r="G7" i="129" s="1"/>
  <c r="G8" i="129" a="1"/>
  <c r="G8" i="129"/>
  <c r="G9" i="129" a="1"/>
  <c r="G9" i="129" s="1"/>
  <c r="G10" i="129" a="1"/>
  <c r="G10" i="129" s="1"/>
  <c r="G11" i="129" a="1"/>
  <c r="G11" i="129" s="1"/>
  <c r="G12" i="129" a="1"/>
  <c r="G12" i="129" s="1"/>
  <c r="G13" i="129" a="1"/>
  <c r="G13" i="129" s="1"/>
  <c r="G14" i="129" a="1"/>
  <c r="G14" i="129" s="1"/>
  <c r="G15" i="129" a="1"/>
  <c r="G15" i="129" s="1"/>
  <c r="G16" i="129" a="1"/>
  <c r="G16" i="129" s="1"/>
  <c r="G17" i="129" a="1"/>
  <c r="G17" i="129"/>
  <c r="G18" i="129" a="1"/>
  <c r="G18" i="129" s="1"/>
  <c r="G19" i="129" a="1"/>
  <c r="G19" i="129" s="1"/>
  <c r="G20" i="129" a="1"/>
  <c r="G20" i="129" s="1"/>
  <c r="G21" i="129" a="1"/>
  <c r="G21" i="129" s="1"/>
  <c r="G22" i="129" a="1"/>
  <c r="G22" i="129" s="1"/>
  <c r="G23" i="129" a="1"/>
  <c r="G23" i="129" s="1"/>
  <c r="G24" i="129" a="1"/>
  <c r="G24" i="129" s="1"/>
  <c r="G25" i="129" a="1"/>
  <c r="G25" i="129" s="1"/>
  <c r="G26" i="129" a="1"/>
  <c r="G26" i="129" s="1"/>
  <c r="G27" i="129" a="1"/>
  <c r="G27" i="129" s="1"/>
  <c r="G28" i="129" a="1"/>
  <c r="G28" i="129" s="1"/>
  <c r="G29" i="129" a="1"/>
  <c r="G29" i="129" s="1"/>
  <c r="G30" i="129" a="1"/>
  <c r="G30" i="129" s="1"/>
  <c r="G31" i="129" a="1"/>
  <c r="G31" i="129" s="1"/>
  <c r="G32" i="129" a="1"/>
  <c r="G32" i="129" s="1"/>
  <c r="G33" i="129" a="1"/>
  <c r="G33" i="129"/>
  <c r="G34" i="129" a="1"/>
  <c r="G34" i="129" s="1"/>
  <c r="G35" i="129" a="1"/>
  <c r="G35" i="129"/>
  <c r="G36" i="129" a="1"/>
  <c r="G36" i="129" s="1"/>
  <c r="G37" i="129" a="1"/>
  <c r="G37" i="129" s="1"/>
  <c r="G38" i="129" a="1"/>
  <c r="G38" i="129"/>
  <c r="G39" i="129" a="1"/>
  <c r="G39" i="129" s="1"/>
  <c r="G40" i="129" a="1"/>
  <c r="G40" i="129" s="1"/>
  <c r="G41" i="129" a="1"/>
  <c r="G41" i="129" s="1"/>
  <c r="G42" i="129" a="1"/>
  <c r="G42" i="129" s="1"/>
  <c r="G43" i="129" a="1"/>
  <c r="G43" i="129" s="1"/>
  <c r="G44" i="129" a="1"/>
  <c r="G44" i="129" s="1"/>
  <c r="G45" i="129" a="1"/>
  <c r="G45" i="129" s="1"/>
  <c r="G46" i="129" a="1"/>
  <c r="G46" i="129" s="1"/>
  <c r="G47" i="129" a="1"/>
  <c r="G47" i="129" s="1"/>
  <c r="G48" i="129" a="1"/>
  <c r="G48" i="129" s="1"/>
  <c r="G49" i="129" a="1"/>
  <c r="G49" i="129" s="1"/>
  <c r="G50" i="129" a="1"/>
  <c r="G50" i="129" s="1"/>
  <c r="G51" i="129" a="1"/>
  <c r="G51" i="129" s="1"/>
  <c r="G52" i="129" a="1"/>
  <c r="G52" i="129"/>
  <c r="H2" i="129" a="1"/>
  <c r="H2" i="129" s="1"/>
  <c r="H3" i="129" a="1"/>
  <c r="H3" i="129" s="1"/>
  <c r="H4" i="129" a="1"/>
  <c r="H4" i="129" s="1"/>
  <c r="H5" i="129" a="1"/>
  <c r="H5" i="129"/>
  <c r="H6" i="129" a="1"/>
  <c r="H6" i="129" s="1"/>
  <c r="H7" i="129" a="1"/>
  <c r="H7" i="129" s="1"/>
  <c r="H8" i="129" a="1"/>
  <c r="H8" i="129" s="1"/>
  <c r="H9" i="129" a="1"/>
  <c r="H9" i="129" s="1"/>
  <c r="H10" i="129" a="1"/>
  <c r="H10" i="129" s="1"/>
  <c r="H11" i="129" a="1"/>
  <c r="H11" i="129" s="1"/>
  <c r="H12" i="129" a="1"/>
  <c r="H12" i="129" s="1"/>
  <c r="H13" i="129" a="1"/>
  <c r="H13" i="129" s="1"/>
  <c r="H14" i="129" a="1"/>
  <c r="H14" i="129"/>
  <c r="H15" i="129" a="1"/>
  <c r="H15" i="129" s="1"/>
  <c r="H16" i="129" a="1"/>
  <c r="H16" i="129" s="1"/>
  <c r="H17" i="129" a="1"/>
  <c r="H17" i="129" s="1"/>
  <c r="H18" i="129" a="1"/>
  <c r="H18" i="129" s="1"/>
  <c r="H19" i="129" a="1"/>
  <c r="H19" i="129"/>
  <c r="H20" i="129" a="1"/>
  <c r="H20" i="129" s="1"/>
  <c r="H21" i="129" a="1"/>
  <c r="H21" i="129" s="1"/>
  <c r="H22" i="129" a="1"/>
  <c r="H22" i="129" s="1"/>
  <c r="H23" i="129" a="1"/>
  <c r="H23" i="129" s="1"/>
  <c r="H24" i="129" a="1"/>
  <c r="H24" i="129"/>
  <c r="H25" i="129" a="1"/>
  <c r="H25" i="129" s="1"/>
  <c r="H26" i="129" a="1"/>
  <c r="H26" i="129"/>
  <c r="H27" i="129" a="1"/>
  <c r="H27" i="129" s="1"/>
  <c r="H28" i="129" a="1"/>
  <c r="H28" i="129" s="1"/>
  <c r="H29" i="129" a="1"/>
  <c r="H29" i="129" s="1"/>
  <c r="H30" i="129" a="1"/>
  <c r="H30" i="129" s="1"/>
  <c r="H31" i="129" a="1"/>
  <c r="H31" i="129" s="1"/>
  <c r="H32" i="129" a="1"/>
  <c r="H32" i="129" s="1"/>
  <c r="H33" i="129" a="1"/>
  <c r="H33" i="129" s="1"/>
  <c r="H34" i="129" a="1"/>
  <c r="H34" i="129" s="1"/>
  <c r="H35" i="129" a="1"/>
  <c r="H35" i="129"/>
  <c r="H36" i="129" a="1"/>
  <c r="H36" i="129" s="1"/>
  <c r="H37" i="129" a="1"/>
  <c r="H37" i="129" s="1"/>
  <c r="H38" i="129" a="1"/>
  <c r="H38" i="129" s="1"/>
  <c r="H39" i="129" a="1"/>
  <c r="H39" i="129" s="1"/>
  <c r="H40" i="129" a="1"/>
  <c r="H40" i="129" s="1"/>
  <c r="H41" i="129" a="1"/>
  <c r="H41" i="129" s="1"/>
  <c r="H42" i="129" a="1"/>
  <c r="H42" i="129" s="1"/>
  <c r="H43" i="129" a="1"/>
  <c r="H43" i="129" s="1"/>
  <c r="H44" i="129" a="1"/>
  <c r="H44" i="129" s="1"/>
  <c r="H45" i="129" a="1"/>
  <c r="H45" i="129" s="1"/>
  <c r="H46" i="129" a="1"/>
  <c r="H46" i="129" s="1"/>
  <c r="H47" i="129" a="1"/>
  <c r="H47" i="129" s="1"/>
  <c r="H48" i="129" a="1"/>
  <c r="H48" i="129"/>
  <c r="H49" i="129" a="1"/>
  <c r="H49" i="129" s="1"/>
  <c r="H50" i="129" a="1"/>
  <c r="H50" i="129" s="1"/>
  <c r="H51" i="129" a="1"/>
  <c r="H51" i="129" s="1"/>
  <c r="H52" i="129" a="1"/>
  <c r="H52" i="129" s="1"/>
  <c r="I2" i="129"/>
  <c r="I3" i="129"/>
  <c r="I4" i="129"/>
  <c r="I5" i="129"/>
  <c r="I6" i="129"/>
  <c r="I7" i="129"/>
  <c r="I8" i="129"/>
  <c r="I9" i="129"/>
  <c r="I10" i="129"/>
  <c r="I11" i="129"/>
  <c r="I12" i="129"/>
  <c r="I13" i="129"/>
  <c r="I14" i="129"/>
  <c r="I15" i="129"/>
  <c r="I16" i="129"/>
  <c r="I17" i="129"/>
  <c r="I18" i="129"/>
  <c r="I19" i="129"/>
  <c r="I20" i="129"/>
  <c r="I21" i="129"/>
  <c r="I22" i="129"/>
  <c r="I23" i="129"/>
  <c r="I24" i="129"/>
  <c r="I25" i="129"/>
  <c r="I26" i="129"/>
  <c r="I27" i="129"/>
  <c r="I28" i="129"/>
  <c r="I29" i="129"/>
  <c r="I30" i="129"/>
  <c r="I31" i="129"/>
  <c r="I32" i="129"/>
  <c r="I33" i="129"/>
  <c r="I34" i="129"/>
  <c r="I35" i="129"/>
  <c r="I36" i="129"/>
  <c r="I37" i="129"/>
  <c r="I38" i="129"/>
  <c r="I39" i="129"/>
  <c r="I40" i="129"/>
  <c r="I41" i="129"/>
  <c r="I42" i="129"/>
  <c r="I43" i="129"/>
  <c r="I44" i="129"/>
  <c r="I45" i="129"/>
  <c r="I46" i="129"/>
  <c r="I47" i="129"/>
  <c r="I48" i="129"/>
  <c r="I49" i="129"/>
  <c r="I50" i="129"/>
  <c r="I51" i="129"/>
  <c r="I52" i="129"/>
  <c r="J2" i="129"/>
  <c r="J3" i="129"/>
  <c r="J4" i="129"/>
  <c r="J5" i="129"/>
  <c r="J6" i="129"/>
  <c r="J7" i="129"/>
  <c r="J8" i="129"/>
  <c r="J9" i="129"/>
  <c r="J10" i="129"/>
  <c r="J11" i="129"/>
  <c r="J12" i="129"/>
  <c r="J13" i="129"/>
  <c r="J14" i="129"/>
  <c r="J15" i="129"/>
  <c r="J16" i="129"/>
  <c r="J17" i="129"/>
  <c r="J18" i="129"/>
  <c r="J19" i="129"/>
  <c r="J20" i="129"/>
  <c r="J21" i="129"/>
  <c r="J22" i="129"/>
  <c r="J23" i="129"/>
  <c r="J24" i="129"/>
  <c r="J25" i="129"/>
  <c r="J26" i="129"/>
  <c r="J27" i="129"/>
  <c r="J28" i="129"/>
  <c r="J29" i="129"/>
  <c r="J30" i="129"/>
  <c r="J31" i="129"/>
  <c r="J32" i="129"/>
  <c r="J33" i="129"/>
  <c r="J34" i="129"/>
  <c r="J35" i="129"/>
  <c r="J36" i="129"/>
  <c r="J37" i="129"/>
  <c r="J38" i="129"/>
  <c r="J39" i="129"/>
  <c r="J40" i="129"/>
  <c r="J41" i="129"/>
  <c r="J42" i="129"/>
  <c r="J43" i="129"/>
  <c r="J44" i="129"/>
  <c r="J45" i="129"/>
  <c r="J46" i="129"/>
  <c r="J47" i="129"/>
  <c r="J48" i="129"/>
  <c r="J49" i="129"/>
  <c r="J50" i="129"/>
  <c r="J51" i="129"/>
  <c r="J52" i="129"/>
  <c r="K2" i="129"/>
  <c r="K3" i="129"/>
  <c r="K4" i="129"/>
  <c r="K5" i="129"/>
  <c r="K6" i="129"/>
  <c r="K7" i="129"/>
  <c r="K8" i="129"/>
  <c r="K9" i="129"/>
  <c r="K10" i="129"/>
  <c r="K11" i="129"/>
  <c r="K12" i="129"/>
  <c r="K13" i="129"/>
  <c r="K14" i="129"/>
  <c r="K15" i="129"/>
  <c r="K16" i="129"/>
  <c r="K17" i="129"/>
  <c r="K18" i="129"/>
  <c r="K19" i="129"/>
  <c r="K20" i="129"/>
  <c r="K21" i="129"/>
  <c r="K22" i="129"/>
  <c r="K23" i="129"/>
  <c r="K24" i="129"/>
  <c r="K25" i="129"/>
  <c r="K26" i="129"/>
  <c r="K27" i="129"/>
  <c r="K28" i="129"/>
  <c r="K29" i="129"/>
  <c r="K30" i="129"/>
  <c r="K31" i="129"/>
  <c r="K32" i="129"/>
  <c r="K33" i="129"/>
  <c r="K34" i="129"/>
  <c r="K35" i="129"/>
  <c r="K36" i="129"/>
  <c r="K37" i="129"/>
  <c r="K38" i="129"/>
  <c r="K39" i="129"/>
  <c r="K40" i="129"/>
  <c r="K41" i="129"/>
  <c r="K42" i="129"/>
  <c r="K43" i="129"/>
  <c r="K44" i="129"/>
  <c r="K45" i="129"/>
  <c r="K46" i="129"/>
  <c r="K47" i="129"/>
  <c r="K48" i="129"/>
  <c r="K49" i="129"/>
  <c r="K50" i="129"/>
  <c r="K51" i="129"/>
  <c r="K52" i="129"/>
  <c r="L2" i="129"/>
  <c r="L3" i="129"/>
  <c r="L4" i="129"/>
  <c r="L5" i="129"/>
  <c r="L6" i="129"/>
  <c r="L7" i="129"/>
  <c r="L8" i="129"/>
  <c r="L9" i="129"/>
  <c r="L10" i="129"/>
  <c r="L11" i="129"/>
  <c r="L12" i="129"/>
  <c r="L13" i="129"/>
  <c r="L14" i="129"/>
  <c r="L15" i="129"/>
  <c r="L16" i="129"/>
  <c r="L17" i="129"/>
  <c r="L18" i="129"/>
  <c r="L19" i="129"/>
  <c r="L20" i="129"/>
  <c r="L21" i="129"/>
  <c r="L22" i="129"/>
  <c r="L23" i="129"/>
  <c r="L24" i="129"/>
  <c r="L25" i="129"/>
  <c r="L26" i="129"/>
  <c r="L27" i="129"/>
  <c r="L28" i="129"/>
  <c r="L29" i="129"/>
  <c r="L30" i="129"/>
  <c r="L31" i="129"/>
  <c r="L32" i="129"/>
  <c r="L33" i="129"/>
  <c r="L34" i="129"/>
  <c r="L35" i="129"/>
  <c r="L36" i="129"/>
  <c r="L37" i="129"/>
  <c r="L38" i="129"/>
  <c r="L39" i="129"/>
  <c r="L40" i="129"/>
  <c r="L41" i="129"/>
  <c r="L42" i="129"/>
  <c r="L43" i="129"/>
  <c r="L44" i="129"/>
  <c r="L45" i="129"/>
  <c r="L46" i="129"/>
  <c r="L47" i="129"/>
  <c r="L48" i="129"/>
  <c r="L49" i="129"/>
  <c r="L50" i="129"/>
  <c r="L51" i="129"/>
  <c r="L52" i="129"/>
  <c r="M2" i="129"/>
  <c r="M3" i="129"/>
  <c r="M4" i="129"/>
  <c r="M5" i="129"/>
  <c r="M6" i="129"/>
  <c r="M7" i="129"/>
  <c r="M8" i="129"/>
  <c r="M9" i="129"/>
  <c r="M10" i="129"/>
  <c r="M11" i="129"/>
  <c r="M12" i="129"/>
  <c r="M13" i="129"/>
  <c r="M14" i="129"/>
  <c r="M15" i="129"/>
  <c r="M16" i="129"/>
  <c r="M17" i="129"/>
  <c r="M18" i="129"/>
  <c r="M19" i="129"/>
  <c r="M20" i="129"/>
  <c r="M21" i="129"/>
  <c r="M22" i="129"/>
  <c r="M23" i="129"/>
  <c r="M24" i="129"/>
  <c r="M25" i="129"/>
  <c r="M26" i="129"/>
  <c r="M27" i="129"/>
  <c r="M28" i="129"/>
  <c r="M29" i="129"/>
  <c r="M30" i="129"/>
  <c r="M31" i="129"/>
  <c r="M32" i="129"/>
  <c r="M33" i="129"/>
  <c r="M34" i="129"/>
  <c r="M35" i="129"/>
  <c r="M36" i="129"/>
  <c r="M37" i="129"/>
  <c r="M38" i="129"/>
  <c r="M39" i="129"/>
  <c r="M40" i="129"/>
  <c r="M41" i="129"/>
  <c r="M42" i="129"/>
  <c r="M43" i="129"/>
  <c r="M44" i="129"/>
  <c r="M45" i="129"/>
  <c r="M46" i="129"/>
  <c r="M47" i="129"/>
  <c r="M48" i="129"/>
  <c r="M49" i="129"/>
  <c r="M50" i="129"/>
  <c r="M51" i="129"/>
  <c r="M52" i="129"/>
  <c r="N2" i="129"/>
  <c r="N3" i="129"/>
  <c r="N4" i="129"/>
  <c r="N5" i="129"/>
  <c r="N6" i="129"/>
  <c r="N7" i="129"/>
  <c r="N8" i="129"/>
  <c r="N9" i="129"/>
  <c r="N10" i="129"/>
  <c r="N11" i="129"/>
  <c r="N12" i="129"/>
  <c r="N13" i="129"/>
  <c r="N14" i="129"/>
  <c r="N15" i="129"/>
  <c r="N16" i="129"/>
  <c r="N17" i="129"/>
  <c r="N18" i="129"/>
  <c r="N19" i="129"/>
  <c r="N20" i="129"/>
  <c r="N21" i="129"/>
  <c r="N22" i="129"/>
  <c r="N23" i="129"/>
  <c r="N24" i="129"/>
  <c r="N25" i="129"/>
  <c r="N26" i="129"/>
  <c r="N27" i="129"/>
  <c r="N28" i="129"/>
  <c r="N29" i="129"/>
  <c r="N30" i="129"/>
  <c r="N31" i="129"/>
  <c r="N32" i="129"/>
  <c r="N33" i="129"/>
  <c r="N34" i="129"/>
  <c r="N35" i="129"/>
  <c r="N36" i="129"/>
  <c r="N37" i="129"/>
  <c r="N38" i="129"/>
  <c r="N39" i="129"/>
  <c r="N40" i="129"/>
  <c r="N41" i="129"/>
  <c r="N42" i="129"/>
  <c r="N43" i="129"/>
  <c r="N44" i="129"/>
  <c r="N45" i="129"/>
  <c r="N46" i="129"/>
  <c r="N47" i="129"/>
  <c r="N48" i="129"/>
  <c r="N49" i="129"/>
  <c r="N50" i="129"/>
  <c r="N51" i="129"/>
  <c r="N52" i="129"/>
  <c r="O2" i="129"/>
  <c r="O3" i="129"/>
  <c r="O4" i="129"/>
  <c r="O5" i="129"/>
  <c r="O6" i="129"/>
  <c r="O7" i="129"/>
  <c r="O8" i="129"/>
  <c r="O9" i="129"/>
  <c r="O10" i="129"/>
  <c r="O11" i="129"/>
  <c r="O12" i="129"/>
  <c r="O13" i="129"/>
  <c r="O14" i="129"/>
  <c r="O15" i="129"/>
  <c r="O16" i="129"/>
  <c r="O17" i="129"/>
  <c r="O18" i="129"/>
  <c r="O19" i="129"/>
  <c r="O20" i="129"/>
  <c r="O21" i="129"/>
  <c r="O22" i="129"/>
  <c r="O23" i="129"/>
  <c r="O24" i="129"/>
  <c r="O25" i="129"/>
  <c r="O26" i="129"/>
  <c r="O27" i="129"/>
  <c r="O28" i="129"/>
  <c r="O29" i="129"/>
  <c r="O30" i="129"/>
  <c r="O31" i="129"/>
  <c r="O32" i="129"/>
  <c r="O33" i="129"/>
  <c r="O34" i="129"/>
  <c r="O35" i="129"/>
  <c r="O36" i="129"/>
  <c r="O37" i="129"/>
  <c r="O38" i="129"/>
  <c r="O39" i="129"/>
  <c r="O40" i="129"/>
  <c r="O41" i="129"/>
  <c r="O42" i="129"/>
  <c r="O43" i="129"/>
  <c r="O44" i="129"/>
  <c r="O45" i="129"/>
  <c r="O46" i="129"/>
  <c r="O47" i="129"/>
  <c r="O48" i="129"/>
  <c r="O49" i="129"/>
  <c r="O50" i="129"/>
  <c r="O51" i="129"/>
  <c r="O52" i="129"/>
  <c r="P2" i="129"/>
  <c r="P3" i="129"/>
  <c r="P4" i="129"/>
  <c r="P5" i="129"/>
  <c r="P6" i="129"/>
  <c r="P7" i="129"/>
  <c r="P8" i="129"/>
  <c r="P9" i="129"/>
  <c r="P10" i="129"/>
  <c r="P11" i="129"/>
  <c r="P12" i="129"/>
  <c r="P13" i="129"/>
  <c r="P14" i="129"/>
  <c r="P15" i="129"/>
  <c r="P16" i="129"/>
  <c r="P17" i="129"/>
  <c r="P18" i="129"/>
  <c r="P19" i="129"/>
  <c r="P20" i="129"/>
  <c r="P21" i="129"/>
  <c r="P22" i="129"/>
  <c r="P23" i="129"/>
  <c r="P24" i="129"/>
  <c r="P25" i="129"/>
  <c r="P26" i="129"/>
  <c r="P27" i="129"/>
  <c r="P28" i="129"/>
  <c r="P29" i="129"/>
  <c r="P30" i="129"/>
  <c r="P31" i="129"/>
  <c r="P32" i="129"/>
  <c r="P33" i="129"/>
  <c r="P34" i="129"/>
  <c r="P35" i="129"/>
  <c r="P36" i="129"/>
  <c r="P37" i="129"/>
  <c r="P38" i="129"/>
  <c r="P39" i="129"/>
  <c r="P40" i="129"/>
  <c r="P41" i="129"/>
  <c r="P42" i="129"/>
  <c r="P43" i="129"/>
  <c r="P44" i="129"/>
  <c r="P45" i="129"/>
  <c r="P46" i="129"/>
  <c r="P47" i="129"/>
  <c r="P48" i="129"/>
  <c r="P49" i="129"/>
  <c r="P50" i="129"/>
  <c r="P51" i="129"/>
  <c r="P52" i="129"/>
  <c r="Q2" i="129"/>
  <c r="Q3" i="129"/>
  <c r="Q4" i="129"/>
  <c r="Q5" i="129"/>
  <c r="Q6" i="129"/>
  <c r="Q7" i="129"/>
  <c r="Q8" i="129"/>
  <c r="Q9" i="129"/>
  <c r="Q10" i="129"/>
  <c r="Q11" i="129"/>
  <c r="Q12" i="129"/>
  <c r="Q13" i="129"/>
  <c r="Q14" i="129"/>
  <c r="Q15" i="129"/>
  <c r="Q16" i="129"/>
  <c r="Q17" i="129"/>
  <c r="Q18" i="129"/>
  <c r="Q19" i="129"/>
  <c r="Q20" i="129"/>
  <c r="Q21" i="129"/>
  <c r="Q22" i="129"/>
  <c r="Q23" i="129"/>
  <c r="Q24" i="129"/>
  <c r="Q25" i="129"/>
  <c r="Q26" i="129"/>
  <c r="Q27" i="129"/>
  <c r="Q28" i="129"/>
  <c r="Q29" i="129"/>
  <c r="Q30" i="129"/>
  <c r="Q31" i="129"/>
  <c r="Q32" i="129"/>
  <c r="Q33" i="129"/>
  <c r="Q34" i="129"/>
  <c r="Q35" i="129"/>
  <c r="Q36" i="129"/>
  <c r="Q37" i="129"/>
  <c r="Q38" i="129"/>
  <c r="Q39" i="129"/>
  <c r="Q40" i="129"/>
  <c r="Q41" i="129"/>
  <c r="Q42" i="129"/>
  <c r="Q43" i="129"/>
  <c r="Q44" i="129"/>
  <c r="Q45" i="129"/>
  <c r="Q46" i="129"/>
  <c r="Q47" i="129"/>
  <c r="Q48" i="129"/>
  <c r="Q49" i="129"/>
  <c r="Q50" i="129"/>
  <c r="Q51" i="129"/>
  <c r="Q52" i="129"/>
  <c r="R2" i="129"/>
  <c r="R3" i="129"/>
  <c r="R4" i="129"/>
  <c r="R5" i="129"/>
  <c r="R6" i="129"/>
  <c r="R7" i="129"/>
  <c r="R8" i="129"/>
  <c r="R9" i="129"/>
  <c r="R10" i="129"/>
  <c r="R11" i="129"/>
  <c r="R12" i="129"/>
  <c r="R13" i="129"/>
  <c r="R14" i="129"/>
  <c r="R15" i="129"/>
  <c r="R16" i="129"/>
  <c r="R17" i="129"/>
  <c r="R18" i="129"/>
  <c r="R19" i="129"/>
  <c r="R20" i="129"/>
  <c r="R21" i="129"/>
  <c r="R22" i="129"/>
  <c r="R23" i="129"/>
  <c r="R24" i="129"/>
  <c r="R25" i="129"/>
  <c r="R26" i="129"/>
  <c r="R27" i="129"/>
  <c r="R28" i="129"/>
  <c r="R29" i="129"/>
  <c r="R30" i="129"/>
  <c r="R31" i="129"/>
  <c r="R32" i="129"/>
  <c r="R33" i="129"/>
  <c r="R34" i="129"/>
  <c r="R35" i="129"/>
  <c r="R36" i="129"/>
  <c r="R37" i="129"/>
  <c r="R38" i="129"/>
  <c r="R39" i="129"/>
  <c r="R40" i="129"/>
  <c r="R41" i="129"/>
  <c r="R42" i="129"/>
  <c r="R43" i="129"/>
  <c r="R44" i="129"/>
  <c r="R45" i="129"/>
  <c r="R46" i="129"/>
  <c r="R47" i="129"/>
  <c r="R48" i="129"/>
  <c r="R49" i="129"/>
  <c r="R50" i="129"/>
  <c r="R51" i="129"/>
  <c r="R52" i="129"/>
  <c r="S2" i="129"/>
  <c r="S3" i="129"/>
  <c r="S4" i="129"/>
  <c r="S5" i="129"/>
  <c r="S6" i="129"/>
  <c r="S7" i="129"/>
  <c r="S8" i="129"/>
  <c r="S9" i="129"/>
  <c r="S10" i="129"/>
  <c r="S11" i="129"/>
  <c r="S12" i="129"/>
  <c r="S13" i="129"/>
  <c r="S14" i="129"/>
  <c r="S15" i="129"/>
  <c r="S16" i="129"/>
  <c r="S17" i="129"/>
  <c r="S18" i="129"/>
  <c r="S19" i="129"/>
  <c r="S20" i="129"/>
  <c r="S21" i="129"/>
  <c r="S22" i="129"/>
  <c r="S23" i="129"/>
  <c r="S24" i="129"/>
  <c r="S25" i="129"/>
  <c r="S26" i="129"/>
  <c r="S27" i="129"/>
  <c r="S28" i="129"/>
  <c r="S29" i="129"/>
  <c r="S30" i="129"/>
  <c r="S31" i="129"/>
  <c r="S32" i="129"/>
  <c r="S33" i="129"/>
  <c r="S34" i="129"/>
  <c r="S35" i="129"/>
  <c r="S36" i="129"/>
  <c r="S37" i="129"/>
  <c r="S38" i="129"/>
  <c r="S39" i="129"/>
  <c r="S40" i="129"/>
  <c r="S41" i="129"/>
  <c r="S42" i="129"/>
  <c r="S43" i="129"/>
  <c r="S44" i="129"/>
  <c r="S45" i="129"/>
  <c r="S46" i="129"/>
  <c r="S47" i="129"/>
  <c r="S48" i="129"/>
  <c r="S49" i="129"/>
  <c r="S50" i="129"/>
  <c r="S51" i="129"/>
  <c r="S52" i="129"/>
  <c r="T2" i="129"/>
  <c r="T3" i="129"/>
  <c r="T4" i="129"/>
  <c r="T5" i="129"/>
  <c r="T6" i="129"/>
  <c r="T7" i="129"/>
  <c r="T8" i="129"/>
  <c r="T9" i="129"/>
  <c r="T10" i="129"/>
  <c r="T11" i="129"/>
  <c r="T12" i="129"/>
  <c r="T13" i="129"/>
  <c r="T14" i="129"/>
  <c r="T15" i="129"/>
  <c r="T16" i="129"/>
  <c r="T17" i="129"/>
  <c r="T18" i="129"/>
  <c r="T19" i="129"/>
  <c r="T20" i="129"/>
  <c r="T21" i="129"/>
  <c r="T22" i="129"/>
  <c r="T23" i="129"/>
  <c r="T24" i="129"/>
  <c r="T25" i="129"/>
  <c r="T26" i="129"/>
  <c r="T27" i="129"/>
  <c r="T28" i="129"/>
  <c r="T29" i="129"/>
  <c r="T30" i="129"/>
  <c r="T31" i="129"/>
  <c r="T32" i="129"/>
  <c r="T33" i="129"/>
  <c r="T34" i="129"/>
  <c r="T35" i="129"/>
  <c r="T36" i="129"/>
  <c r="T37" i="129"/>
  <c r="T38" i="129"/>
  <c r="T39" i="129"/>
  <c r="T40" i="129"/>
  <c r="T41" i="129"/>
  <c r="T42" i="129"/>
  <c r="T43" i="129"/>
  <c r="T44" i="129"/>
  <c r="T45" i="129"/>
  <c r="T46" i="129"/>
  <c r="T47" i="129"/>
  <c r="T48" i="129"/>
  <c r="T49" i="129"/>
  <c r="T50" i="129"/>
  <c r="T51" i="129"/>
  <c r="T52" i="129"/>
  <c r="U2" i="129"/>
  <c r="U3" i="129"/>
  <c r="U4" i="129"/>
  <c r="U5" i="129"/>
  <c r="U6" i="129"/>
  <c r="U7" i="129"/>
  <c r="U8" i="129"/>
  <c r="U9" i="129"/>
  <c r="U10" i="129"/>
  <c r="U11" i="129"/>
  <c r="U12" i="129"/>
  <c r="U13" i="129"/>
  <c r="U14" i="129"/>
  <c r="U15" i="129"/>
  <c r="U16" i="129"/>
  <c r="U17" i="129"/>
  <c r="U18" i="129"/>
  <c r="U19" i="129"/>
  <c r="U20" i="129"/>
  <c r="U21" i="129"/>
  <c r="U22" i="129"/>
  <c r="U23" i="129"/>
  <c r="U24" i="129"/>
  <c r="U25" i="129"/>
  <c r="U26" i="129"/>
  <c r="U27" i="129"/>
  <c r="U28" i="129"/>
  <c r="U29" i="129"/>
  <c r="U30" i="129"/>
  <c r="U31" i="129"/>
  <c r="U32" i="129"/>
  <c r="U33" i="129"/>
  <c r="U34" i="129"/>
  <c r="U35" i="129"/>
  <c r="U36" i="129"/>
  <c r="U37" i="129"/>
  <c r="U38" i="129"/>
  <c r="U39" i="129"/>
  <c r="U40" i="129"/>
  <c r="U41" i="129"/>
  <c r="U42" i="129"/>
  <c r="U43" i="129"/>
  <c r="U44" i="129"/>
  <c r="U45" i="129"/>
  <c r="U46" i="129"/>
  <c r="U47" i="129"/>
  <c r="U48" i="129"/>
  <c r="U49" i="129"/>
  <c r="U50" i="129"/>
  <c r="U51" i="129"/>
  <c r="U52" i="129"/>
  <c r="W2" i="129"/>
  <c r="W3" i="129"/>
  <c r="W4" i="129"/>
  <c r="W5" i="129"/>
  <c r="W6" i="129"/>
  <c r="W7" i="129"/>
  <c r="W8" i="129"/>
  <c r="W9" i="129"/>
  <c r="W10" i="129"/>
  <c r="W11" i="129"/>
  <c r="W12" i="129"/>
  <c r="W13" i="129"/>
  <c r="W14" i="129"/>
  <c r="W15" i="129"/>
  <c r="W16" i="129"/>
  <c r="W17" i="129"/>
  <c r="W18" i="129"/>
  <c r="W19" i="129"/>
  <c r="W20" i="129"/>
  <c r="W21" i="129"/>
  <c r="W22" i="129"/>
  <c r="W23" i="129"/>
  <c r="W24" i="129"/>
  <c r="W25" i="129"/>
  <c r="W26" i="129"/>
  <c r="W27" i="129"/>
  <c r="W28" i="129"/>
  <c r="W29" i="129"/>
  <c r="W30" i="129"/>
  <c r="W31" i="129"/>
  <c r="W32" i="129"/>
  <c r="W33" i="129"/>
  <c r="W34" i="129"/>
  <c r="W35" i="129"/>
  <c r="W36" i="129"/>
  <c r="W37" i="129"/>
  <c r="W38" i="129"/>
  <c r="W39" i="129"/>
  <c r="W40" i="129"/>
  <c r="W41" i="129"/>
  <c r="W42" i="129"/>
  <c r="W43" i="129"/>
  <c r="W44" i="129"/>
  <c r="W45" i="129"/>
  <c r="W46" i="129"/>
  <c r="W47" i="129"/>
  <c r="W48" i="129"/>
  <c r="W49" i="129"/>
  <c r="W50" i="129"/>
  <c r="W51" i="129"/>
  <c r="W52" i="129"/>
  <c r="C1720" i="50"/>
  <c r="B194" i="162"/>
  <c r="B193" i="162"/>
  <c r="B192" i="162"/>
  <c r="B191" i="162"/>
  <c r="B190" i="162"/>
  <c r="B189" i="162"/>
  <c r="B188" i="162"/>
  <c r="B187" i="162"/>
  <c r="B186" i="162"/>
  <c r="B185" i="162"/>
  <c r="B184" i="162"/>
  <c r="B183" i="162"/>
  <c r="D183" i="162" s="1"/>
  <c r="E183" i="162" s="1"/>
  <c r="B182" i="162"/>
  <c r="D182" i="162" s="1"/>
  <c r="E182" i="162" s="1"/>
  <c r="B181" i="162"/>
  <c r="D181" i="162" s="1"/>
  <c r="E181" i="162" s="1"/>
  <c r="B180" i="162"/>
  <c r="D180" i="162" s="1"/>
  <c r="E180" i="162" s="1"/>
  <c r="B179" i="162"/>
  <c r="D179" i="162" s="1"/>
  <c r="E179" i="162" s="1"/>
  <c r="B178" i="162"/>
  <c r="D178" i="162" s="1"/>
  <c r="E178" i="162" s="1"/>
  <c r="B177" i="162"/>
  <c r="D177" i="162" s="1"/>
  <c r="E177" i="162" s="1"/>
  <c r="B176" i="162"/>
  <c r="D176" i="162" s="1"/>
  <c r="E176" i="162" s="1"/>
  <c r="B175" i="162"/>
  <c r="D175" i="162" s="1"/>
  <c r="E175" i="162" s="1"/>
  <c r="C169" i="162"/>
  <c r="B169" i="162"/>
  <c r="C168" i="162"/>
  <c r="B168" i="162"/>
  <c r="C167" i="162"/>
  <c r="B167" i="162"/>
  <c r="C166" i="162"/>
  <c r="B166" i="162"/>
  <c r="C165" i="162"/>
  <c r="B165" i="162"/>
  <c r="C164" i="162"/>
  <c r="B164" i="162"/>
  <c r="C163" i="162"/>
  <c r="B163" i="162"/>
  <c r="C162" i="162"/>
  <c r="B162" i="162"/>
  <c r="C161" i="162"/>
  <c r="B161" i="162"/>
  <c r="C160" i="162"/>
  <c r="B160" i="162"/>
  <c r="C159" i="162"/>
  <c r="B159" i="162"/>
  <c r="C158" i="162"/>
  <c r="B158" i="162"/>
  <c r="C157" i="162"/>
  <c r="B157" i="162"/>
  <c r="D157" i="162" s="1"/>
  <c r="F157" i="162" s="1"/>
  <c r="H157" i="162" s="1"/>
  <c r="C156" i="162"/>
  <c r="B156" i="162"/>
  <c r="D156" i="162" s="1"/>
  <c r="F156" i="162" s="1"/>
  <c r="H156" i="162" s="1"/>
  <c r="C155" i="162"/>
  <c r="B155" i="162"/>
  <c r="C154" i="162"/>
  <c r="B154" i="162"/>
  <c r="D154" i="162" s="1"/>
  <c r="F154" i="162" s="1"/>
  <c r="H154" i="162" s="1"/>
  <c r="C153" i="162"/>
  <c r="D153" i="162" s="1"/>
  <c r="F153" i="162" s="1"/>
  <c r="H153" i="162" s="1"/>
  <c r="B153" i="162"/>
  <c r="C152" i="162"/>
  <c r="B152" i="162"/>
  <c r="C151" i="162"/>
  <c r="B151" i="162"/>
  <c r="C150" i="162"/>
  <c r="B150" i="162"/>
  <c r="E144" i="162"/>
  <c r="D144" i="162"/>
  <c r="C144" i="162"/>
  <c r="E143" i="162"/>
  <c r="D143" i="162"/>
  <c r="C143" i="162"/>
  <c r="E142" i="162"/>
  <c r="D142" i="162"/>
  <c r="C142" i="162"/>
  <c r="E141" i="162"/>
  <c r="D141" i="162"/>
  <c r="C141" i="162"/>
  <c r="E140" i="162"/>
  <c r="D140" i="162"/>
  <c r="C140" i="162"/>
  <c r="E139" i="162"/>
  <c r="D139" i="162"/>
  <c r="C139" i="162"/>
  <c r="E138" i="162"/>
  <c r="D138" i="162"/>
  <c r="C138" i="162"/>
  <c r="E137" i="162"/>
  <c r="D137" i="162"/>
  <c r="C137" i="162"/>
  <c r="E136" i="162"/>
  <c r="D136" i="162"/>
  <c r="C136" i="162"/>
  <c r="E135" i="162"/>
  <c r="D135" i="162"/>
  <c r="C135" i="162"/>
  <c r="E134" i="162"/>
  <c r="D134" i="162"/>
  <c r="C134" i="162"/>
  <c r="E133" i="162"/>
  <c r="D133" i="162"/>
  <c r="C133" i="162"/>
  <c r="E132" i="162"/>
  <c r="D132" i="162"/>
  <c r="C132" i="162"/>
  <c r="E131" i="162"/>
  <c r="D131" i="162"/>
  <c r="C131" i="162"/>
  <c r="E130" i="162"/>
  <c r="D130" i="162"/>
  <c r="C130" i="162"/>
  <c r="E129" i="162"/>
  <c r="D129" i="162"/>
  <c r="C129" i="162"/>
  <c r="E128" i="162"/>
  <c r="D128" i="162"/>
  <c r="C128" i="162"/>
  <c r="E127" i="162"/>
  <c r="D127" i="162"/>
  <c r="C127" i="162"/>
  <c r="E126" i="162"/>
  <c r="D126" i="162"/>
  <c r="C126" i="162"/>
  <c r="E125" i="162"/>
  <c r="D125" i="162"/>
  <c r="C125" i="162"/>
  <c r="E124" i="162"/>
  <c r="D124" i="162"/>
  <c r="C124" i="162"/>
  <c r="E123" i="162"/>
  <c r="D123" i="162"/>
  <c r="C123" i="162"/>
  <c r="E122" i="162"/>
  <c r="D122" i="162"/>
  <c r="C122" i="162"/>
  <c r="E121" i="162"/>
  <c r="D121" i="162"/>
  <c r="C121" i="162"/>
  <c r="E120" i="162"/>
  <c r="D120" i="162"/>
  <c r="C120" i="162"/>
  <c r="E119" i="162"/>
  <c r="D119" i="162"/>
  <c r="C119" i="162"/>
  <c r="E118" i="162"/>
  <c r="D118" i="162"/>
  <c r="C118" i="162"/>
  <c r="E117" i="162"/>
  <c r="D117" i="162"/>
  <c r="C117" i="162"/>
  <c r="E116" i="162"/>
  <c r="D116" i="162"/>
  <c r="C116" i="162"/>
  <c r="E115" i="162"/>
  <c r="D115" i="162"/>
  <c r="C115" i="162"/>
  <c r="E114" i="162"/>
  <c r="D114" i="162"/>
  <c r="C114" i="162"/>
  <c r="E113" i="162"/>
  <c r="D113" i="162"/>
  <c r="C113" i="162"/>
  <c r="E112" i="162"/>
  <c r="D112" i="162"/>
  <c r="C112" i="162"/>
  <c r="E111" i="162"/>
  <c r="D111" i="162"/>
  <c r="C111" i="162"/>
  <c r="E110" i="162"/>
  <c r="D110" i="162"/>
  <c r="C110" i="162"/>
  <c r="E109" i="162"/>
  <c r="D109" i="162"/>
  <c r="C109" i="162"/>
  <c r="E108" i="162"/>
  <c r="D108" i="162"/>
  <c r="C108" i="162"/>
  <c r="E107" i="162"/>
  <c r="D107" i="162"/>
  <c r="C107" i="162"/>
  <c r="E106" i="162"/>
  <c r="D106" i="162"/>
  <c r="C106" i="162"/>
  <c r="E105" i="162"/>
  <c r="D105" i="162"/>
  <c r="C105" i="162"/>
  <c r="E104" i="162"/>
  <c r="K104" i="162" s="1"/>
  <c r="D104" i="162"/>
  <c r="J104" i="162" s="1"/>
  <c r="C104" i="162"/>
  <c r="I104" i="162" s="1"/>
  <c r="E103" i="162"/>
  <c r="K103" i="162" s="1"/>
  <c r="D103" i="162"/>
  <c r="J103" i="162" s="1"/>
  <c r="C103" i="162"/>
  <c r="I103" i="162" s="1"/>
  <c r="E102" i="162"/>
  <c r="K102" i="162" s="1"/>
  <c r="D102" i="162"/>
  <c r="J102" i="162" s="1"/>
  <c r="C102" i="162"/>
  <c r="I102" i="162" s="1"/>
  <c r="E101" i="162"/>
  <c r="K101" i="162" s="1"/>
  <c r="D101" i="162"/>
  <c r="J101" i="162" s="1"/>
  <c r="C101" i="162"/>
  <c r="I101" i="162" s="1"/>
  <c r="E100" i="162"/>
  <c r="K100" i="162" s="1"/>
  <c r="D100" i="162"/>
  <c r="C100" i="162"/>
  <c r="E99" i="162"/>
  <c r="K99" i="162" s="1"/>
  <c r="D99" i="162"/>
  <c r="J99" i="162" s="1"/>
  <c r="C99" i="162"/>
  <c r="E98" i="162"/>
  <c r="K98" i="162" s="1"/>
  <c r="D98" i="162"/>
  <c r="J98" i="162" s="1"/>
  <c r="C98" i="162"/>
  <c r="I98" i="162" s="1"/>
  <c r="E97" i="162"/>
  <c r="D97" i="162"/>
  <c r="J97" i="162" s="1"/>
  <c r="C97" i="162"/>
  <c r="I97" i="162" s="1"/>
  <c r="E96" i="162"/>
  <c r="K96" i="162" s="1"/>
  <c r="D96" i="162"/>
  <c r="J96" i="162" s="1"/>
  <c r="C96" i="162"/>
  <c r="I96" i="162" s="1"/>
  <c r="E95" i="162"/>
  <c r="K95" i="162" s="1"/>
  <c r="D95" i="162"/>
  <c r="J95" i="162" s="1"/>
  <c r="C95" i="162"/>
  <c r="E94" i="162"/>
  <c r="D94" i="162"/>
  <c r="J94" i="162" s="1"/>
  <c r="C94" i="162"/>
  <c r="E93" i="162"/>
  <c r="D93" i="162"/>
  <c r="C93" i="162"/>
  <c r="I93" i="162" s="1"/>
  <c r="E92" i="162"/>
  <c r="K92" i="162" s="1"/>
  <c r="D92" i="162"/>
  <c r="J92" i="162" s="1"/>
  <c r="C92" i="162"/>
  <c r="I92" i="162" s="1"/>
  <c r="E91" i="162"/>
  <c r="K91" i="162" s="1"/>
  <c r="D91" i="162"/>
  <c r="C91" i="162"/>
  <c r="E90" i="162"/>
  <c r="K90" i="162" s="1"/>
  <c r="D90" i="162"/>
  <c r="J90" i="162" s="1"/>
  <c r="C90" i="162"/>
  <c r="I90" i="162" s="1"/>
  <c r="E89" i="162"/>
  <c r="K89" i="162" s="1"/>
  <c r="D89" i="162"/>
  <c r="J89" i="162" s="1"/>
  <c r="C89" i="162"/>
  <c r="I89" i="162" s="1"/>
  <c r="E88" i="162"/>
  <c r="K88" i="162" s="1"/>
  <c r="D88" i="162"/>
  <c r="C88" i="162"/>
  <c r="E87" i="162"/>
  <c r="K87" i="162" s="1"/>
  <c r="D87" i="162"/>
  <c r="J87" i="162" s="1"/>
  <c r="C87" i="162"/>
  <c r="I87" i="162" s="1"/>
  <c r="E86" i="162"/>
  <c r="K86" i="162" s="1"/>
  <c r="D86" i="162"/>
  <c r="J86" i="162" s="1"/>
  <c r="C86" i="162"/>
  <c r="I86" i="162" s="1"/>
  <c r="E85" i="162"/>
  <c r="K85" i="162" s="1"/>
  <c r="D85" i="162"/>
  <c r="J85" i="162" s="1"/>
  <c r="C85" i="162"/>
  <c r="I85" i="162" s="1"/>
  <c r="E84" i="162"/>
  <c r="K84" i="162" s="1"/>
  <c r="D84" i="162"/>
  <c r="C84" i="162"/>
  <c r="I84" i="162" s="1"/>
  <c r="E83" i="162"/>
  <c r="K83" i="162" s="1"/>
  <c r="D83" i="162"/>
  <c r="J83" i="162" s="1"/>
  <c r="C83" i="162"/>
  <c r="I83" i="162" s="1"/>
  <c r="E82" i="162"/>
  <c r="K82" i="162" s="1"/>
  <c r="D82" i="162"/>
  <c r="J82" i="162" s="1"/>
  <c r="C82" i="162"/>
  <c r="I82" i="162" s="1"/>
  <c r="E81" i="162"/>
  <c r="K81" i="162" s="1"/>
  <c r="D81" i="162"/>
  <c r="J81" i="162" s="1"/>
  <c r="C81" i="162"/>
  <c r="I81" i="162" s="1"/>
  <c r="E80" i="162"/>
  <c r="K80" i="162" s="1"/>
  <c r="D80" i="162"/>
  <c r="J80" i="162" s="1"/>
  <c r="C80" i="162"/>
  <c r="I80" i="162" s="1"/>
  <c r="E79" i="162"/>
  <c r="K79" i="162" s="1"/>
  <c r="D79" i="162"/>
  <c r="J79" i="162" s="1"/>
  <c r="C79" i="162"/>
  <c r="E78" i="162"/>
  <c r="D78" i="162"/>
  <c r="J78" i="162" s="1"/>
  <c r="C78" i="162"/>
  <c r="I78" i="162" s="1"/>
  <c r="E77" i="162"/>
  <c r="K77" i="162" s="1"/>
  <c r="D77" i="162"/>
  <c r="J77" i="162" s="1"/>
  <c r="C77" i="162"/>
  <c r="I77" i="162" s="1"/>
  <c r="E76" i="162"/>
  <c r="K76" i="162" s="1"/>
  <c r="D76" i="162"/>
  <c r="J76" i="162" s="1"/>
  <c r="C76" i="162"/>
  <c r="E75" i="162"/>
  <c r="K75" i="162" s="1"/>
  <c r="D75" i="162"/>
  <c r="J75" i="162" s="1"/>
  <c r="C75" i="162"/>
  <c r="I75" i="162" s="1"/>
  <c r="E74" i="162"/>
  <c r="K74" i="162" s="1"/>
  <c r="D74" i="162"/>
  <c r="J74" i="162" s="1"/>
  <c r="C74" i="162"/>
  <c r="I74" i="162" s="1"/>
  <c r="E73" i="162"/>
  <c r="K73" i="162" s="1"/>
  <c r="D73" i="162"/>
  <c r="J73" i="162" s="1"/>
  <c r="C73" i="162"/>
  <c r="I73" i="162" s="1"/>
  <c r="E72" i="162"/>
  <c r="K72" i="162" s="1"/>
  <c r="D72" i="162"/>
  <c r="J72" i="162" s="1"/>
  <c r="C72" i="162"/>
  <c r="I72" i="162" s="1"/>
  <c r="E71" i="162"/>
  <c r="K71" i="162" s="1"/>
  <c r="D71" i="162"/>
  <c r="J71" i="162" s="1"/>
  <c r="C71" i="162"/>
  <c r="I71" i="162" s="1"/>
  <c r="E70" i="162"/>
  <c r="K70" i="162" s="1"/>
  <c r="D70" i="162"/>
  <c r="J70" i="162" s="1"/>
  <c r="C70" i="162"/>
  <c r="I70" i="162" s="1"/>
  <c r="E69" i="162"/>
  <c r="K69" i="162" s="1"/>
  <c r="D69" i="162"/>
  <c r="J69" i="162" s="1"/>
  <c r="C69" i="162"/>
  <c r="I69" i="162" s="1"/>
  <c r="E68" i="162"/>
  <c r="K68" i="162" s="1"/>
  <c r="D68" i="162"/>
  <c r="J68" i="162" s="1"/>
  <c r="C68" i="162"/>
  <c r="I68" i="162" s="1"/>
  <c r="E67" i="162"/>
  <c r="K67" i="162" s="1"/>
  <c r="D67" i="162"/>
  <c r="J67" i="162" s="1"/>
  <c r="C67" i="162"/>
  <c r="I67" i="162" s="1"/>
  <c r="E66" i="162"/>
  <c r="K66" i="162" s="1"/>
  <c r="D66" i="162"/>
  <c r="J66" i="162" s="1"/>
  <c r="C66" i="162"/>
  <c r="I66" i="162" s="1"/>
  <c r="E65" i="162"/>
  <c r="K65" i="162" s="1"/>
  <c r="D65" i="162"/>
  <c r="J65" i="162" s="1"/>
  <c r="C65" i="162"/>
  <c r="I65" i="162" s="1"/>
  <c r="K59" i="162"/>
  <c r="H59" i="162"/>
  <c r="E59" i="162"/>
  <c r="B59" i="162"/>
  <c r="K58" i="162"/>
  <c r="H58" i="162"/>
  <c r="E58" i="162"/>
  <c r="B58" i="162"/>
  <c r="K57" i="162"/>
  <c r="H57" i="162"/>
  <c r="E57" i="162"/>
  <c r="B57" i="162"/>
  <c r="K56" i="162"/>
  <c r="H56" i="162"/>
  <c r="E56" i="162"/>
  <c r="B56" i="162"/>
  <c r="K55" i="162"/>
  <c r="H55" i="162"/>
  <c r="E55" i="162"/>
  <c r="B55" i="162"/>
  <c r="K54" i="162"/>
  <c r="H54" i="162"/>
  <c r="E54" i="162"/>
  <c r="B54" i="162"/>
  <c r="K53" i="162"/>
  <c r="H53" i="162"/>
  <c r="E53" i="162"/>
  <c r="B53" i="162"/>
  <c r="K52" i="162"/>
  <c r="H52" i="162"/>
  <c r="E52" i="162"/>
  <c r="B52" i="162"/>
  <c r="K51" i="162"/>
  <c r="H51" i="162"/>
  <c r="E51" i="162"/>
  <c r="B51" i="162"/>
  <c r="K50" i="162"/>
  <c r="H50" i="162"/>
  <c r="E50" i="162"/>
  <c r="B50" i="162"/>
  <c r="K49" i="162"/>
  <c r="M49" i="162" s="1"/>
  <c r="H49" i="162"/>
  <c r="E49" i="162"/>
  <c r="G49" i="162" s="1"/>
  <c r="B49" i="162"/>
  <c r="D49" i="162" s="1"/>
  <c r="K48" i="162"/>
  <c r="M48" i="162" s="1"/>
  <c r="H48" i="162"/>
  <c r="J48" i="162" s="1"/>
  <c r="E48" i="162"/>
  <c r="G48" i="162" s="1"/>
  <c r="B48" i="162"/>
  <c r="D48" i="162" s="1"/>
  <c r="K47" i="162"/>
  <c r="M47" i="162" s="1"/>
  <c r="H47" i="162"/>
  <c r="E47" i="162"/>
  <c r="B47" i="162"/>
  <c r="D47" i="162" s="1"/>
  <c r="K46" i="162"/>
  <c r="M46" i="162" s="1"/>
  <c r="H46" i="162"/>
  <c r="J46" i="162" s="1"/>
  <c r="E46" i="162"/>
  <c r="G46" i="162" s="1"/>
  <c r="B46" i="162"/>
  <c r="D46" i="162" s="1"/>
  <c r="K45" i="162"/>
  <c r="M45" i="162" s="1"/>
  <c r="H45" i="162"/>
  <c r="J45" i="162" s="1"/>
  <c r="E45" i="162"/>
  <c r="G45" i="162" s="1"/>
  <c r="B45" i="162"/>
  <c r="D45" i="162" s="1"/>
  <c r="K44" i="162"/>
  <c r="M44" i="162" s="1"/>
  <c r="H44" i="162"/>
  <c r="J44" i="162" s="1"/>
  <c r="E44" i="162"/>
  <c r="G44" i="162" s="1"/>
  <c r="B44" i="162"/>
  <c r="D44" i="162" s="1"/>
  <c r="K43" i="162"/>
  <c r="M43" i="162" s="1"/>
  <c r="H43" i="162"/>
  <c r="J43" i="162" s="1"/>
  <c r="E43" i="162"/>
  <c r="G43" i="162" s="1"/>
  <c r="B43" i="162"/>
  <c r="D43" i="162" s="1"/>
  <c r="K42" i="162"/>
  <c r="H42" i="162"/>
  <c r="E42" i="162"/>
  <c r="B42" i="162"/>
  <c r="K41" i="162"/>
  <c r="M41" i="162" s="1"/>
  <c r="H41" i="162"/>
  <c r="E41" i="162"/>
  <c r="G41" i="162" s="1"/>
  <c r="B41" i="162"/>
  <c r="D41" i="162" s="1"/>
  <c r="K40" i="162"/>
  <c r="M40" i="162" s="1"/>
  <c r="H40" i="162"/>
  <c r="J40" i="162" s="1"/>
  <c r="E40" i="162"/>
  <c r="G40" i="162" s="1"/>
  <c r="B40" i="162"/>
  <c r="D40" i="162" s="1"/>
  <c r="B26" i="162"/>
  <c r="B25" i="162"/>
  <c r="B24" i="162"/>
  <c r="B23" i="162"/>
  <c r="B22" i="162"/>
  <c r="B21" i="162"/>
  <c r="B20" i="162"/>
  <c r="B19" i="162"/>
  <c r="B18" i="162"/>
  <c r="B17" i="162"/>
  <c r="B16" i="162"/>
  <c r="B15" i="162"/>
  <c r="B14" i="162"/>
  <c r="B13" i="162"/>
  <c r="B12" i="162"/>
  <c r="B11" i="162"/>
  <c r="B10" i="162"/>
  <c r="B9" i="162"/>
  <c r="B8" i="162"/>
  <c r="B7" i="162"/>
  <c r="E194" i="162"/>
  <c r="D194" i="162"/>
  <c r="A194" i="162"/>
  <c r="E193" i="162"/>
  <c r="D193" i="162"/>
  <c r="A193" i="162"/>
  <c r="E192" i="162"/>
  <c r="D192" i="162"/>
  <c r="A192" i="162"/>
  <c r="E191" i="162"/>
  <c r="D191" i="162"/>
  <c r="A191" i="162"/>
  <c r="E190" i="162"/>
  <c r="D190" i="162"/>
  <c r="A190" i="162"/>
  <c r="E189" i="162"/>
  <c r="D189" i="162"/>
  <c r="A189" i="162"/>
  <c r="E188" i="162"/>
  <c r="D188" i="162"/>
  <c r="A188" i="162"/>
  <c r="E187" i="162"/>
  <c r="D187" i="162"/>
  <c r="A187" i="162"/>
  <c r="E186" i="162"/>
  <c r="D186" i="162"/>
  <c r="A186" i="162"/>
  <c r="E185" i="162"/>
  <c r="D185" i="162"/>
  <c r="A185" i="162"/>
  <c r="D184" i="162"/>
  <c r="E184" i="162" s="1"/>
  <c r="A184" i="162"/>
  <c r="A183" i="162"/>
  <c r="A182" i="162"/>
  <c r="A181" i="162"/>
  <c r="A180" i="162"/>
  <c r="A179" i="162"/>
  <c r="A178" i="162"/>
  <c r="A177" i="162"/>
  <c r="A176" i="162"/>
  <c r="A175" i="162"/>
  <c r="H169" i="162"/>
  <c r="F169" i="162"/>
  <c r="D169" i="162"/>
  <c r="A169" i="162"/>
  <c r="H168" i="162"/>
  <c r="F168" i="162"/>
  <c r="D168" i="162"/>
  <c r="A168" i="162"/>
  <c r="H167" i="162"/>
  <c r="F167" i="162"/>
  <c r="D167" i="162"/>
  <c r="A167" i="162"/>
  <c r="H166" i="162"/>
  <c r="F166" i="162"/>
  <c r="D166" i="162"/>
  <c r="A166" i="162"/>
  <c r="H165" i="162"/>
  <c r="F165" i="162"/>
  <c r="D165" i="162"/>
  <c r="A165" i="162"/>
  <c r="H164" i="162"/>
  <c r="F164" i="162"/>
  <c r="D164" i="162"/>
  <c r="A164" i="162"/>
  <c r="H163" i="162"/>
  <c r="F163" i="162"/>
  <c r="D163" i="162"/>
  <c r="A163" i="162"/>
  <c r="H162" i="162"/>
  <c r="F162" i="162"/>
  <c r="D162" i="162"/>
  <c r="A162" i="162"/>
  <c r="H161" i="162"/>
  <c r="F161" i="162"/>
  <c r="D161" i="162"/>
  <c r="A161" i="162"/>
  <c r="H160" i="162"/>
  <c r="F160" i="162"/>
  <c r="D160" i="162"/>
  <c r="A160" i="162"/>
  <c r="A159" i="162"/>
  <c r="A158" i="162"/>
  <c r="A157" i="162"/>
  <c r="A156" i="162"/>
  <c r="A155" i="162"/>
  <c r="A154" i="162"/>
  <c r="A153" i="162"/>
  <c r="D152" i="162"/>
  <c r="F152" i="162" s="1"/>
  <c r="H152" i="162" s="1"/>
  <c r="A152" i="162"/>
  <c r="A151" i="162"/>
  <c r="A150" i="162"/>
  <c r="L144" i="162"/>
  <c r="K144" i="162"/>
  <c r="J144" i="162"/>
  <c r="I144" i="162"/>
  <c r="B144" i="162"/>
  <c r="L143" i="162"/>
  <c r="K143" i="162"/>
  <c r="J143" i="162"/>
  <c r="I143" i="162"/>
  <c r="B143" i="162"/>
  <c r="L142" i="162"/>
  <c r="K142" i="162"/>
  <c r="J142" i="162"/>
  <c r="I142" i="162"/>
  <c r="B142" i="162"/>
  <c r="L141" i="162"/>
  <c r="K141" i="162"/>
  <c r="J141" i="162"/>
  <c r="I141" i="162"/>
  <c r="B141" i="162"/>
  <c r="A141" i="162"/>
  <c r="L140" i="162"/>
  <c r="K140" i="162"/>
  <c r="J140" i="162"/>
  <c r="I140" i="162"/>
  <c r="B140" i="162"/>
  <c r="L139" i="162"/>
  <c r="K139" i="162"/>
  <c r="J139" i="162"/>
  <c r="I139" i="162"/>
  <c r="B139" i="162"/>
  <c r="L138" i="162"/>
  <c r="K138" i="162"/>
  <c r="J138" i="162"/>
  <c r="I138" i="162"/>
  <c r="B138" i="162"/>
  <c r="L137" i="162"/>
  <c r="K137" i="162"/>
  <c r="J137" i="162"/>
  <c r="I137" i="162"/>
  <c r="B137" i="162"/>
  <c r="A137" i="162"/>
  <c r="L136" i="162"/>
  <c r="K136" i="162"/>
  <c r="J136" i="162"/>
  <c r="I136" i="162"/>
  <c r="B136" i="162"/>
  <c r="L135" i="162"/>
  <c r="K135" i="162"/>
  <c r="J135" i="162"/>
  <c r="I135" i="162"/>
  <c r="B135" i="162"/>
  <c r="L134" i="162"/>
  <c r="K134" i="162"/>
  <c r="J134" i="162"/>
  <c r="I134" i="162"/>
  <c r="B134" i="162"/>
  <c r="L133" i="162"/>
  <c r="K133" i="162"/>
  <c r="J133" i="162"/>
  <c r="I133" i="162"/>
  <c r="B133" i="162"/>
  <c r="A133" i="162"/>
  <c r="L132" i="162"/>
  <c r="K132" i="162"/>
  <c r="J132" i="162"/>
  <c r="I132" i="162"/>
  <c r="B132" i="162"/>
  <c r="L131" i="162"/>
  <c r="K131" i="162"/>
  <c r="J131" i="162"/>
  <c r="I131" i="162"/>
  <c r="B131" i="162"/>
  <c r="L130" i="162"/>
  <c r="K130" i="162"/>
  <c r="J130" i="162"/>
  <c r="I130" i="162"/>
  <c r="B130" i="162"/>
  <c r="L129" i="162"/>
  <c r="K129" i="162"/>
  <c r="J129" i="162"/>
  <c r="I129" i="162"/>
  <c r="B129" i="162"/>
  <c r="A129" i="162"/>
  <c r="L128" i="162"/>
  <c r="K128" i="162"/>
  <c r="J128" i="162"/>
  <c r="I128" i="162"/>
  <c r="B128" i="162"/>
  <c r="L127" i="162"/>
  <c r="K127" i="162"/>
  <c r="J127" i="162"/>
  <c r="I127" i="162"/>
  <c r="B127" i="162"/>
  <c r="L126" i="162"/>
  <c r="K126" i="162"/>
  <c r="J126" i="162"/>
  <c r="I126" i="162"/>
  <c r="B126" i="162"/>
  <c r="L125" i="162"/>
  <c r="K125" i="162"/>
  <c r="J125" i="162"/>
  <c r="I125" i="162"/>
  <c r="B125" i="162"/>
  <c r="A125" i="162"/>
  <c r="L124" i="162"/>
  <c r="K124" i="162"/>
  <c r="J124" i="162"/>
  <c r="I124" i="162"/>
  <c r="B124" i="162"/>
  <c r="L123" i="162"/>
  <c r="K123" i="162"/>
  <c r="J123" i="162"/>
  <c r="I123" i="162"/>
  <c r="B123" i="162"/>
  <c r="L122" i="162"/>
  <c r="K122" i="162"/>
  <c r="J122" i="162"/>
  <c r="I122" i="162"/>
  <c r="B122" i="162"/>
  <c r="L121" i="162"/>
  <c r="K121" i="162"/>
  <c r="J121" i="162"/>
  <c r="I121" i="162"/>
  <c r="B121" i="162"/>
  <c r="A121" i="162"/>
  <c r="L120" i="162"/>
  <c r="K120" i="162"/>
  <c r="J120" i="162"/>
  <c r="I120" i="162"/>
  <c r="B120" i="162"/>
  <c r="L119" i="162"/>
  <c r="K119" i="162"/>
  <c r="J119" i="162"/>
  <c r="I119" i="162"/>
  <c r="B119" i="162"/>
  <c r="L118" i="162"/>
  <c r="K118" i="162"/>
  <c r="J118" i="162"/>
  <c r="I118" i="162"/>
  <c r="B118" i="162"/>
  <c r="L117" i="162"/>
  <c r="K117" i="162"/>
  <c r="J117" i="162"/>
  <c r="I117" i="162"/>
  <c r="B117" i="162"/>
  <c r="A117" i="162"/>
  <c r="L116" i="162"/>
  <c r="K116" i="162"/>
  <c r="J116" i="162"/>
  <c r="I116" i="162"/>
  <c r="B116" i="162"/>
  <c r="L115" i="162"/>
  <c r="K115" i="162"/>
  <c r="J115" i="162"/>
  <c r="I115" i="162"/>
  <c r="B115" i="162"/>
  <c r="L114" i="162"/>
  <c r="K114" i="162"/>
  <c r="J114" i="162"/>
  <c r="I114" i="162"/>
  <c r="B114" i="162"/>
  <c r="L113" i="162"/>
  <c r="K113" i="162"/>
  <c r="J113" i="162"/>
  <c r="I113" i="162"/>
  <c r="B113" i="162"/>
  <c r="A113" i="162"/>
  <c r="L112" i="162"/>
  <c r="K112" i="162"/>
  <c r="J112" i="162"/>
  <c r="I112" i="162"/>
  <c r="B112" i="162"/>
  <c r="L111" i="162"/>
  <c r="K111" i="162"/>
  <c r="J111" i="162"/>
  <c r="I111" i="162"/>
  <c r="B111" i="162"/>
  <c r="L110" i="162"/>
  <c r="K110" i="162"/>
  <c r="J110" i="162"/>
  <c r="I110" i="162"/>
  <c r="B110" i="162"/>
  <c r="L109" i="162"/>
  <c r="K109" i="162"/>
  <c r="J109" i="162"/>
  <c r="I109" i="162"/>
  <c r="B109" i="162"/>
  <c r="A109" i="162"/>
  <c r="L108" i="162"/>
  <c r="K108" i="162"/>
  <c r="J108" i="162"/>
  <c r="I108" i="162"/>
  <c r="B108" i="162"/>
  <c r="L107" i="162"/>
  <c r="K107" i="162"/>
  <c r="J107" i="162"/>
  <c r="I107" i="162"/>
  <c r="B107" i="162"/>
  <c r="L106" i="162"/>
  <c r="K106" i="162"/>
  <c r="J106" i="162"/>
  <c r="I106" i="162"/>
  <c r="B106" i="162"/>
  <c r="L105" i="162"/>
  <c r="K105" i="162"/>
  <c r="J105" i="162"/>
  <c r="I105" i="162"/>
  <c r="B105" i="162"/>
  <c r="A105" i="162"/>
  <c r="B104" i="162"/>
  <c r="B103" i="162"/>
  <c r="B102" i="162"/>
  <c r="B101" i="162"/>
  <c r="A101" i="162"/>
  <c r="J100" i="162"/>
  <c r="I100" i="162"/>
  <c r="B100" i="162"/>
  <c r="I99" i="162"/>
  <c r="B99" i="162"/>
  <c r="B98" i="162"/>
  <c r="K97" i="162"/>
  <c r="B97" i="162"/>
  <c r="A97" i="162"/>
  <c r="B96" i="162"/>
  <c r="I95" i="162"/>
  <c r="B95" i="162"/>
  <c r="K94" i="162"/>
  <c r="I94" i="162"/>
  <c r="B94" i="162"/>
  <c r="K93" i="162"/>
  <c r="J93" i="162"/>
  <c r="B93" i="162"/>
  <c r="A93" i="162"/>
  <c r="B92" i="162"/>
  <c r="J91" i="162"/>
  <c r="I91" i="162"/>
  <c r="B91" i="162"/>
  <c r="B90" i="162"/>
  <c r="B89" i="162"/>
  <c r="A89" i="162"/>
  <c r="J88" i="162"/>
  <c r="I88" i="162"/>
  <c r="B88" i="162"/>
  <c r="B87" i="162"/>
  <c r="B86" i="162"/>
  <c r="B85" i="162"/>
  <c r="A85" i="162"/>
  <c r="J84" i="162"/>
  <c r="B84" i="162"/>
  <c r="B83" i="162"/>
  <c r="B82" i="162"/>
  <c r="B81" i="162"/>
  <c r="A81" i="162"/>
  <c r="B80" i="162"/>
  <c r="I79" i="162"/>
  <c r="B79" i="162"/>
  <c r="K78" i="162"/>
  <c r="B78" i="162"/>
  <c r="B77" i="162"/>
  <c r="A77" i="162"/>
  <c r="I76" i="162"/>
  <c r="B76" i="162"/>
  <c r="B75" i="162"/>
  <c r="B74" i="162"/>
  <c r="B73" i="162"/>
  <c r="A73" i="162"/>
  <c r="B72" i="162"/>
  <c r="B71" i="162"/>
  <c r="B70" i="162"/>
  <c r="B69" i="162"/>
  <c r="A69" i="162"/>
  <c r="B68" i="162"/>
  <c r="B67" i="162"/>
  <c r="B66" i="162"/>
  <c r="B65" i="162"/>
  <c r="A65" i="162"/>
  <c r="N59" i="162"/>
  <c r="M59" i="162"/>
  <c r="J59" i="162"/>
  <c r="G59" i="162"/>
  <c r="D59" i="162"/>
  <c r="A59" i="162"/>
  <c r="N58" i="162"/>
  <c r="M58" i="162"/>
  <c r="J58" i="162"/>
  <c r="G58" i="162"/>
  <c r="D58" i="162"/>
  <c r="A58" i="162"/>
  <c r="N57" i="162"/>
  <c r="M57" i="162"/>
  <c r="J57" i="162"/>
  <c r="G57" i="162"/>
  <c r="D57" i="162"/>
  <c r="A57" i="162"/>
  <c r="N56" i="162"/>
  <c r="M56" i="162"/>
  <c r="J56" i="162"/>
  <c r="G56" i="162"/>
  <c r="D56" i="162"/>
  <c r="A56" i="162"/>
  <c r="N55" i="162"/>
  <c r="M55" i="162"/>
  <c r="J55" i="162"/>
  <c r="G55" i="162"/>
  <c r="D55" i="162"/>
  <c r="A55" i="162"/>
  <c r="N54" i="162"/>
  <c r="M54" i="162"/>
  <c r="J54" i="162"/>
  <c r="G54" i="162"/>
  <c r="D54" i="162"/>
  <c r="A54" i="162"/>
  <c r="N53" i="162"/>
  <c r="M53" i="162"/>
  <c r="J53" i="162"/>
  <c r="G53" i="162"/>
  <c r="D53" i="162"/>
  <c r="A53" i="162"/>
  <c r="N52" i="162"/>
  <c r="M52" i="162"/>
  <c r="J52" i="162"/>
  <c r="G52" i="162"/>
  <c r="D52" i="162"/>
  <c r="A52" i="162"/>
  <c r="N51" i="162"/>
  <c r="M51" i="162"/>
  <c r="J51" i="162"/>
  <c r="G51" i="162"/>
  <c r="D51" i="162"/>
  <c r="A51" i="162"/>
  <c r="N50" i="162"/>
  <c r="M50" i="162"/>
  <c r="J50" i="162"/>
  <c r="G50" i="162"/>
  <c r="D50" i="162"/>
  <c r="A50" i="162"/>
  <c r="J49" i="162"/>
  <c r="A49" i="162"/>
  <c r="A48" i="162"/>
  <c r="J47" i="162"/>
  <c r="G47" i="162"/>
  <c r="A47" i="162"/>
  <c r="A46" i="162"/>
  <c r="A45" i="162"/>
  <c r="A44" i="162"/>
  <c r="A43" i="162"/>
  <c r="M42" i="162"/>
  <c r="J42" i="162"/>
  <c r="G42" i="162"/>
  <c r="D42" i="162"/>
  <c r="A42" i="162"/>
  <c r="J41" i="162"/>
  <c r="A41" i="162"/>
  <c r="A40" i="162"/>
  <c r="AN41" i="132"/>
  <c r="J41" i="132" s="1"/>
  <c r="AN42" i="132"/>
  <c r="J42" i="132" s="1"/>
  <c r="AN43" i="132"/>
  <c r="J43" i="132" s="1"/>
  <c r="AN44" i="132"/>
  <c r="J44" i="132" s="1"/>
  <c r="AN45" i="132"/>
  <c r="J45" i="132" s="1"/>
  <c r="AN46" i="132"/>
  <c r="J46" i="132" s="1"/>
  <c r="AN47" i="132"/>
  <c r="J47" i="132" s="1"/>
  <c r="AN48" i="132"/>
  <c r="J48" i="132" s="1"/>
  <c r="AN49" i="132"/>
  <c r="J49" i="132" s="1"/>
  <c r="AN50" i="132"/>
  <c r="J50" i="132" s="1"/>
  <c r="AN51" i="132"/>
  <c r="J51" i="132" s="1"/>
  <c r="AN52" i="132"/>
  <c r="J52" i="132" s="1"/>
  <c r="AN53" i="132"/>
  <c r="J53" i="132" s="1"/>
  <c r="AN54" i="132"/>
  <c r="J54" i="132" s="1"/>
  <c r="AN55" i="132"/>
  <c r="J55" i="132" s="1"/>
  <c r="AN56" i="132"/>
  <c r="J56" i="132" s="1"/>
  <c r="AN57" i="132"/>
  <c r="J57" i="132" s="1"/>
  <c r="AN58" i="132"/>
  <c r="J58" i="132" s="1"/>
  <c r="AN59" i="132"/>
  <c r="J59" i="132" s="1"/>
  <c r="AN40" i="132"/>
  <c r="J40" i="132" s="1"/>
  <c r="A2" i="132"/>
  <c r="A3" i="132"/>
  <c r="A4" i="132"/>
  <c r="A5" i="132"/>
  <c r="A6" i="132"/>
  <c r="A7" i="132"/>
  <c r="A8" i="132"/>
  <c r="A9" i="132"/>
  <c r="A10" i="132"/>
  <c r="A11" i="132"/>
  <c r="A12" i="132"/>
  <c r="A13" i="132"/>
  <c r="A14" i="132"/>
  <c r="A15" i="132"/>
  <c r="A16" i="132"/>
  <c r="A17" i="132"/>
  <c r="A18" i="132"/>
  <c r="A19" i="132"/>
  <c r="A20" i="132"/>
  <c r="A21" i="132"/>
  <c r="A22" i="132"/>
  <c r="A23" i="132"/>
  <c r="A24" i="132"/>
  <c r="A25" i="132"/>
  <c r="A26" i="132"/>
  <c r="A27" i="132"/>
  <c r="A28" i="132"/>
  <c r="A29" i="132"/>
  <c r="A30" i="132"/>
  <c r="A31" i="132"/>
  <c r="A32" i="132"/>
  <c r="A33" i="132"/>
  <c r="A34" i="132"/>
  <c r="A35" i="132"/>
  <c r="A36" i="132"/>
  <c r="A37" i="132"/>
  <c r="A38" i="132"/>
  <c r="A39" i="132"/>
  <c r="A40" i="132"/>
  <c r="A41" i="132"/>
  <c r="A42" i="132"/>
  <c r="A43" i="132"/>
  <c r="A44" i="132"/>
  <c r="A45" i="132"/>
  <c r="A46" i="132"/>
  <c r="A47" i="132"/>
  <c r="A48" i="132"/>
  <c r="A49" i="132"/>
  <c r="A50" i="132"/>
  <c r="A51" i="132"/>
  <c r="A52" i="132"/>
  <c r="A53" i="132"/>
  <c r="A54" i="132"/>
  <c r="A55" i="132"/>
  <c r="A56" i="132"/>
  <c r="A57" i="132"/>
  <c r="A58" i="132"/>
  <c r="A59" i="132"/>
  <c r="A60" i="132"/>
  <c r="A61" i="132"/>
  <c r="A62" i="132"/>
  <c r="A63" i="132"/>
  <c r="A64" i="132"/>
  <c r="A65" i="132"/>
  <c r="A66" i="132"/>
  <c r="A67" i="132"/>
  <c r="A68" i="132"/>
  <c r="A69" i="132"/>
  <c r="A70" i="132"/>
  <c r="A71" i="132"/>
  <c r="A72" i="132"/>
  <c r="A73" i="132"/>
  <c r="C2" i="132" a="1"/>
  <c r="C2" i="132" s="1"/>
  <c r="C3" i="132" a="1"/>
  <c r="C3" i="132" s="1"/>
  <c r="C4" i="132" a="1"/>
  <c r="C4" i="132" s="1"/>
  <c r="C5" i="132" a="1"/>
  <c r="C5" i="132" s="1"/>
  <c r="C6" i="132" a="1"/>
  <c r="C6" i="132" s="1"/>
  <c r="C7" i="132" a="1"/>
  <c r="C7" i="132" s="1"/>
  <c r="C8" i="132" a="1"/>
  <c r="C8" i="132" s="1"/>
  <c r="C9" i="132" a="1"/>
  <c r="C9" i="132" s="1"/>
  <c r="C10" i="132" a="1"/>
  <c r="C10" i="132" s="1"/>
  <c r="C11" i="132" a="1"/>
  <c r="C11" i="132" s="1"/>
  <c r="C12" i="132" a="1"/>
  <c r="C12" i="132" s="1"/>
  <c r="C13" i="132" a="1"/>
  <c r="C13" i="132" s="1"/>
  <c r="C14" i="132" a="1"/>
  <c r="C14" i="132" s="1"/>
  <c r="C15" i="132" a="1"/>
  <c r="C15" i="132" s="1"/>
  <c r="C16" i="132" a="1"/>
  <c r="C16" i="132" s="1"/>
  <c r="C17" i="132" a="1"/>
  <c r="C17" i="132" s="1"/>
  <c r="C18" i="132" a="1"/>
  <c r="C18" i="132" s="1"/>
  <c r="C19" i="132" a="1"/>
  <c r="C19" i="132" s="1"/>
  <c r="C20" i="132" a="1"/>
  <c r="C20" i="132" s="1"/>
  <c r="C21" i="132" a="1"/>
  <c r="C21" i="132" s="1"/>
  <c r="C22" i="132" a="1"/>
  <c r="C22" i="132" s="1"/>
  <c r="C23" i="132" a="1"/>
  <c r="C23" i="132" s="1"/>
  <c r="C24" i="132" a="1"/>
  <c r="C24" i="132" s="1"/>
  <c r="C25" i="132" a="1"/>
  <c r="C25" i="132" s="1"/>
  <c r="C26" i="132" a="1"/>
  <c r="C26" i="132" s="1"/>
  <c r="C27" i="132" a="1"/>
  <c r="C27" i="132" s="1"/>
  <c r="C28" i="132" a="1"/>
  <c r="C28" i="132" s="1"/>
  <c r="C29" i="132" a="1"/>
  <c r="C29" i="132" s="1"/>
  <c r="C30" i="132" a="1"/>
  <c r="C30" i="132" s="1"/>
  <c r="C31" i="132" a="1"/>
  <c r="C31" i="132" s="1"/>
  <c r="C32" i="132" a="1"/>
  <c r="C32" i="132" s="1"/>
  <c r="C33" i="132" a="1"/>
  <c r="C33" i="132" s="1"/>
  <c r="C34" i="132" a="1"/>
  <c r="C34" i="132" s="1"/>
  <c r="C35" i="132" a="1"/>
  <c r="C35" i="132" s="1"/>
  <c r="C36" i="132" a="1"/>
  <c r="C36" i="132" s="1"/>
  <c r="C37" i="132" a="1"/>
  <c r="C37" i="132" s="1"/>
  <c r="C38" i="132" a="1"/>
  <c r="C38" i="132" s="1"/>
  <c r="C39" i="132" a="1"/>
  <c r="C39" i="132" s="1"/>
  <c r="C40" i="132" a="1"/>
  <c r="C40" i="132" s="1"/>
  <c r="C41" i="132" a="1"/>
  <c r="C41" i="132" s="1"/>
  <c r="C42" i="132" a="1"/>
  <c r="C42" i="132" s="1"/>
  <c r="C43" i="132" a="1"/>
  <c r="C43" i="132" s="1"/>
  <c r="C44" i="132" a="1"/>
  <c r="C44" i="132" s="1"/>
  <c r="C45" i="132" a="1"/>
  <c r="C45" i="132" s="1"/>
  <c r="C46" i="132" a="1"/>
  <c r="C46" i="132" s="1"/>
  <c r="C47" i="132" a="1"/>
  <c r="C47" i="132" s="1"/>
  <c r="C48" i="132" a="1"/>
  <c r="C48" i="132" s="1"/>
  <c r="C49" i="132" a="1"/>
  <c r="C49" i="132" s="1"/>
  <c r="C50" i="132" a="1"/>
  <c r="C50" i="132" s="1"/>
  <c r="C51" i="132" a="1"/>
  <c r="C51" i="132" s="1"/>
  <c r="C52" i="132" a="1"/>
  <c r="C52" i="132" s="1"/>
  <c r="C53" i="132" a="1"/>
  <c r="C53" i="132" s="1"/>
  <c r="C54" i="132" a="1"/>
  <c r="C54" i="132" s="1"/>
  <c r="C55" i="132" a="1"/>
  <c r="C55" i="132" s="1"/>
  <c r="C56" i="132" a="1"/>
  <c r="C56" i="132" s="1"/>
  <c r="C57" i="132" a="1"/>
  <c r="C57" i="132" s="1"/>
  <c r="C58" i="132" a="1"/>
  <c r="C58" i="132" s="1"/>
  <c r="C59" i="132" a="1"/>
  <c r="C59" i="132" s="1"/>
  <c r="C60" i="132" a="1"/>
  <c r="C60" i="132" s="1"/>
  <c r="C61" i="132" a="1"/>
  <c r="C61" i="132" s="1"/>
  <c r="C62" i="132" a="1"/>
  <c r="C62" i="132" s="1"/>
  <c r="C63" i="132" a="1"/>
  <c r="C63" i="132" s="1"/>
  <c r="C64" i="132" a="1"/>
  <c r="C64" i="132" s="1"/>
  <c r="C65" i="132" a="1"/>
  <c r="C65" i="132" s="1"/>
  <c r="C66" i="132" a="1"/>
  <c r="C66" i="132" s="1"/>
  <c r="C67" i="132" a="1"/>
  <c r="C67" i="132" s="1"/>
  <c r="C68" i="132" a="1"/>
  <c r="C68" i="132" s="1"/>
  <c r="C69" i="132" a="1"/>
  <c r="C69" i="132" s="1"/>
  <c r="C70" i="132" a="1"/>
  <c r="C70" i="132" s="1"/>
  <c r="C71" i="132" a="1"/>
  <c r="C71" i="132" s="1"/>
  <c r="C72" i="132" a="1"/>
  <c r="C72" i="132" s="1"/>
  <c r="C73" i="132" a="1"/>
  <c r="C73" i="132" s="1"/>
  <c r="D2" i="132"/>
  <c r="D3" i="132"/>
  <c r="D4" i="132"/>
  <c r="D5" i="132"/>
  <c r="D6" i="132"/>
  <c r="D7" i="132"/>
  <c r="D8" i="132"/>
  <c r="D9" i="132"/>
  <c r="D10" i="132"/>
  <c r="D11" i="132"/>
  <c r="D12" i="132"/>
  <c r="D13" i="132"/>
  <c r="D14" i="132"/>
  <c r="D15" i="132"/>
  <c r="D16" i="132"/>
  <c r="D17" i="132"/>
  <c r="D18" i="132"/>
  <c r="D19" i="132"/>
  <c r="D20" i="132"/>
  <c r="D21" i="132"/>
  <c r="D22" i="132"/>
  <c r="D23" i="132"/>
  <c r="D24" i="132"/>
  <c r="D25" i="132"/>
  <c r="D26" i="132"/>
  <c r="D27" i="132"/>
  <c r="D28" i="132"/>
  <c r="D29" i="132"/>
  <c r="D30" i="132"/>
  <c r="D31" i="132"/>
  <c r="D32" i="132"/>
  <c r="D33" i="132"/>
  <c r="D34" i="132"/>
  <c r="D35" i="132"/>
  <c r="D36" i="132"/>
  <c r="D37" i="132"/>
  <c r="D38" i="132"/>
  <c r="D39" i="132"/>
  <c r="D40" i="132"/>
  <c r="D41" i="132"/>
  <c r="D42" i="132"/>
  <c r="D43" i="132"/>
  <c r="D44" i="132"/>
  <c r="D45" i="132"/>
  <c r="D46" i="132"/>
  <c r="D47" i="132"/>
  <c r="D48" i="132"/>
  <c r="D49" i="132"/>
  <c r="D50" i="132"/>
  <c r="D51" i="132"/>
  <c r="D52" i="132"/>
  <c r="D53" i="132"/>
  <c r="D54" i="132"/>
  <c r="D55" i="132"/>
  <c r="D56" i="132"/>
  <c r="D57" i="132"/>
  <c r="D58" i="132"/>
  <c r="D59" i="132"/>
  <c r="D60" i="132"/>
  <c r="D61" i="132"/>
  <c r="D62" i="132"/>
  <c r="D63" i="132"/>
  <c r="D64" i="132"/>
  <c r="D65" i="132"/>
  <c r="D66" i="132"/>
  <c r="D67" i="132"/>
  <c r="D68" i="132"/>
  <c r="D69" i="132"/>
  <c r="D70" i="132"/>
  <c r="D71" i="132"/>
  <c r="D72" i="132"/>
  <c r="D73" i="132"/>
  <c r="F2" i="132"/>
  <c r="F3" i="132"/>
  <c r="F4" i="132"/>
  <c r="F5" i="132"/>
  <c r="F6" i="132"/>
  <c r="F7" i="132"/>
  <c r="F8" i="132"/>
  <c r="F9" i="132"/>
  <c r="F10" i="132"/>
  <c r="F11" i="132"/>
  <c r="F12" i="132"/>
  <c r="F13" i="132"/>
  <c r="F14" i="132"/>
  <c r="F15" i="132"/>
  <c r="F16" i="132"/>
  <c r="F17" i="132"/>
  <c r="F18" i="132"/>
  <c r="F19" i="132"/>
  <c r="F20" i="132"/>
  <c r="F21" i="132"/>
  <c r="F22" i="132"/>
  <c r="F23" i="132"/>
  <c r="F24" i="132"/>
  <c r="F25" i="132"/>
  <c r="F26" i="132"/>
  <c r="F27" i="132"/>
  <c r="F28" i="132"/>
  <c r="F29" i="132"/>
  <c r="F30" i="132"/>
  <c r="F31" i="132"/>
  <c r="F32" i="132"/>
  <c r="F33" i="132"/>
  <c r="F34" i="132"/>
  <c r="F35" i="132"/>
  <c r="F36" i="132"/>
  <c r="F37" i="132"/>
  <c r="F38" i="132"/>
  <c r="F39" i="132"/>
  <c r="F40" i="132"/>
  <c r="F41" i="132"/>
  <c r="F42" i="132"/>
  <c r="F43" i="132"/>
  <c r="F44" i="132"/>
  <c r="F45" i="132"/>
  <c r="F46" i="132"/>
  <c r="F47" i="132"/>
  <c r="F48" i="132"/>
  <c r="F49" i="132"/>
  <c r="F50" i="132"/>
  <c r="F51" i="132"/>
  <c r="F52" i="132"/>
  <c r="F53" i="132"/>
  <c r="F54" i="132"/>
  <c r="F55" i="132"/>
  <c r="F56" i="132"/>
  <c r="F57" i="132"/>
  <c r="F58" i="132"/>
  <c r="F59" i="132"/>
  <c r="F60" i="132"/>
  <c r="F61" i="132"/>
  <c r="F62" i="132"/>
  <c r="F63" i="132"/>
  <c r="F64" i="132"/>
  <c r="F65" i="132"/>
  <c r="F66" i="132"/>
  <c r="F67" i="132"/>
  <c r="F68" i="132"/>
  <c r="F69" i="132"/>
  <c r="F70" i="132"/>
  <c r="F71" i="132"/>
  <c r="F72" i="132"/>
  <c r="F73" i="132"/>
  <c r="G2" i="132" a="1"/>
  <c r="G2" i="132" s="1"/>
  <c r="G3" i="132" a="1"/>
  <c r="G3" i="132" s="1"/>
  <c r="G4" i="132" a="1"/>
  <c r="G4" i="132" s="1"/>
  <c r="G5" i="132" a="1"/>
  <c r="G5" i="132" s="1"/>
  <c r="G6" i="132" a="1"/>
  <c r="G6" i="132" s="1"/>
  <c r="G7" i="132" a="1"/>
  <c r="G7" i="132" s="1"/>
  <c r="G8" i="132" a="1"/>
  <c r="G8" i="132" s="1"/>
  <c r="G9" i="132" a="1"/>
  <c r="G9" i="132"/>
  <c r="G10" i="132" a="1"/>
  <c r="G10" i="132" s="1"/>
  <c r="G11" i="132" a="1"/>
  <c r="G11" i="132" s="1"/>
  <c r="G12" i="132" a="1"/>
  <c r="G12" i="132" s="1"/>
  <c r="G13" i="132" a="1"/>
  <c r="G13" i="132" s="1"/>
  <c r="G14" i="132" a="1"/>
  <c r="G14" i="132" s="1"/>
  <c r="G15" i="132" a="1"/>
  <c r="G15" i="132" s="1"/>
  <c r="G16" i="132" a="1"/>
  <c r="G16" i="132" s="1"/>
  <c r="G17" i="132" a="1"/>
  <c r="G17" i="132" s="1"/>
  <c r="G18" i="132" a="1"/>
  <c r="G18" i="132" s="1"/>
  <c r="G19" i="132" a="1"/>
  <c r="G19" i="132" s="1"/>
  <c r="G20" i="132" a="1"/>
  <c r="G20" i="132" s="1"/>
  <c r="G21" i="132" a="1"/>
  <c r="G21" i="132" s="1"/>
  <c r="G22" i="132" a="1"/>
  <c r="G22" i="132" s="1"/>
  <c r="G23" i="132" a="1"/>
  <c r="G23" i="132" s="1"/>
  <c r="G24" i="132" a="1"/>
  <c r="G24" i="132" s="1"/>
  <c r="G25" i="132" a="1"/>
  <c r="G25" i="132" s="1"/>
  <c r="G26" i="132" a="1"/>
  <c r="G26" i="132" s="1"/>
  <c r="G27" i="132" a="1"/>
  <c r="G27" i="132" s="1"/>
  <c r="G28" i="132" a="1"/>
  <c r="G28" i="132" s="1"/>
  <c r="G29" i="132" a="1"/>
  <c r="G29" i="132" s="1"/>
  <c r="G30" i="132" a="1"/>
  <c r="G30" i="132" s="1"/>
  <c r="G31" i="132" a="1"/>
  <c r="G31" i="132" s="1"/>
  <c r="G32" i="132" a="1"/>
  <c r="G32" i="132" s="1"/>
  <c r="G33" i="132" a="1"/>
  <c r="G33" i="132" s="1"/>
  <c r="G34" i="132" a="1"/>
  <c r="G34" i="132" s="1"/>
  <c r="G35" i="132" a="1"/>
  <c r="G35" i="132" s="1"/>
  <c r="G36" i="132" a="1"/>
  <c r="G36" i="132" s="1"/>
  <c r="G37" i="132" a="1"/>
  <c r="G37" i="132" s="1"/>
  <c r="G38" i="132" a="1"/>
  <c r="G38" i="132" s="1"/>
  <c r="G39" i="132" a="1"/>
  <c r="G39" i="132" s="1"/>
  <c r="G40" i="132" a="1"/>
  <c r="G40" i="132" s="1"/>
  <c r="G41" i="132" a="1"/>
  <c r="G41" i="132" s="1"/>
  <c r="G42" i="132" a="1"/>
  <c r="G42" i="132" s="1"/>
  <c r="G43" i="132" a="1"/>
  <c r="G43" i="132" s="1"/>
  <c r="G44" i="132" a="1"/>
  <c r="G44" i="132" s="1"/>
  <c r="G45" i="132" a="1"/>
  <c r="G45" i="132" s="1"/>
  <c r="G46" i="132" a="1"/>
  <c r="G46" i="132" s="1"/>
  <c r="G47" i="132" a="1"/>
  <c r="G47" i="132" s="1"/>
  <c r="G48" i="132" a="1"/>
  <c r="G48" i="132"/>
  <c r="G49" i="132" a="1"/>
  <c r="G49" i="132" s="1"/>
  <c r="G50" i="132" a="1"/>
  <c r="G50" i="132" s="1"/>
  <c r="G51" i="132" a="1"/>
  <c r="G51" i="132" s="1"/>
  <c r="G52" i="132" a="1"/>
  <c r="G52" i="132" s="1"/>
  <c r="G53" i="132" a="1"/>
  <c r="G53" i="132" s="1"/>
  <c r="G54" i="132" a="1"/>
  <c r="G54" i="132" s="1"/>
  <c r="G55" i="132" a="1"/>
  <c r="G55" i="132" s="1"/>
  <c r="G56" i="132" a="1"/>
  <c r="G56" i="132" s="1"/>
  <c r="G57" i="132" a="1"/>
  <c r="G57" i="132" s="1"/>
  <c r="G58" i="132" a="1"/>
  <c r="G58" i="132" s="1"/>
  <c r="G59" i="132" a="1"/>
  <c r="G59" i="132" s="1"/>
  <c r="G60" i="132" a="1"/>
  <c r="G60" i="132" s="1"/>
  <c r="G61" i="132" a="1"/>
  <c r="G61" i="132" s="1"/>
  <c r="G62" i="132" a="1"/>
  <c r="G62" i="132" s="1"/>
  <c r="G63" i="132" a="1"/>
  <c r="G63" i="132" s="1"/>
  <c r="G64" i="132" a="1"/>
  <c r="G64" i="132" s="1"/>
  <c r="G65" i="132" a="1"/>
  <c r="G65" i="132" s="1"/>
  <c r="G66" i="132" a="1"/>
  <c r="G66" i="132" s="1"/>
  <c r="G67" i="132" a="1"/>
  <c r="G67" i="132" s="1"/>
  <c r="G68" i="132" a="1"/>
  <c r="G68" i="132" s="1"/>
  <c r="G69" i="132" a="1"/>
  <c r="G69" i="132" s="1"/>
  <c r="G70" i="132" a="1"/>
  <c r="G70" i="132" s="1"/>
  <c r="G71" i="132" a="1"/>
  <c r="G71" i="132" s="1"/>
  <c r="G72" i="132" a="1"/>
  <c r="G72" i="132" s="1"/>
  <c r="G73" i="132" a="1"/>
  <c r="G73" i="132" s="1"/>
  <c r="H2" i="132"/>
  <c r="H3" i="132"/>
  <c r="H4" i="132"/>
  <c r="H5" i="132"/>
  <c r="H6" i="132"/>
  <c r="H7" i="132"/>
  <c r="H8" i="132"/>
  <c r="H9" i="132"/>
  <c r="H10" i="132"/>
  <c r="H11" i="132"/>
  <c r="H12" i="132"/>
  <c r="H13" i="132"/>
  <c r="H14" i="132"/>
  <c r="H15" i="132"/>
  <c r="H16" i="132"/>
  <c r="H17" i="132"/>
  <c r="H18" i="132"/>
  <c r="H19" i="132"/>
  <c r="H20" i="132"/>
  <c r="H21" i="132"/>
  <c r="H22" i="132"/>
  <c r="H23" i="132"/>
  <c r="H24" i="132"/>
  <c r="H25" i="132"/>
  <c r="H26" i="132"/>
  <c r="H27" i="132"/>
  <c r="H28" i="132"/>
  <c r="H29" i="132"/>
  <c r="H30" i="132"/>
  <c r="H31" i="132"/>
  <c r="H32" i="132"/>
  <c r="H33" i="132"/>
  <c r="H34" i="132"/>
  <c r="H35" i="132"/>
  <c r="H36" i="132"/>
  <c r="H37" i="132"/>
  <c r="H38" i="132"/>
  <c r="H39" i="132"/>
  <c r="H40" i="132"/>
  <c r="H41" i="132"/>
  <c r="H42" i="132"/>
  <c r="H43" i="132"/>
  <c r="H44" i="132"/>
  <c r="H45" i="132"/>
  <c r="H46" i="132"/>
  <c r="H47" i="132"/>
  <c r="H48" i="132"/>
  <c r="H49" i="132"/>
  <c r="H50" i="132"/>
  <c r="H51" i="132"/>
  <c r="H52" i="132"/>
  <c r="H53" i="132"/>
  <c r="H54" i="132"/>
  <c r="H55" i="132"/>
  <c r="H56" i="132"/>
  <c r="H57" i="132"/>
  <c r="H58" i="132"/>
  <c r="H59" i="132"/>
  <c r="H60" i="132"/>
  <c r="H61" i="132"/>
  <c r="H62" i="132"/>
  <c r="H63" i="132"/>
  <c r="H64" i="132"/>
  <c r="H65" i="132"/>
  <c r="H66" i="132"/>
  <c r="H67" i="132"/>
  <c r="H68" i="132"/>
  <c r="H69" i="132"/>
  <c r="H70" i="132"/>
  <c r="H71" i="132"/>
  <c r="H72" i="132"/>
  <c r="H73" i="132"/>
  <c r="I2" i="132" a="1"/>
  <c r="I2" i="132" s="1"/>
  <c r="I3" i="132" a="1"/>
  <c r="I3" i="132" s="1"/>
  <c r="I4" i="132" a="1"/>
  <c r="I4" i="132" s="1"/>
  <c r="I5" i="132" a="1"/>
  <c r="I5" i="132" s="1"/>
  <c r="I6" i="132" a="1"/>
  <c r="I6" i="132" s="1"/>
  <c r="I7" i="132" a="1"/>
  <c r="I7" i="132" s="1"/>
  <c r="I8" i="132" a="1"/>
  <c r="I8" i="132" s="1"/>
  <c r="I9" i="132" a="1"/>
  <c r="I9" i="132" s="1"/>
  <c r="I10" i="132" a="1"/>
  <c r="I10" i="132" s="1"/>
  <c r="I11" i="132" a="1"/>
  <c r="I11" i="132" s="1"/>
  <c r="I12" i="132" a="1"/>
  <c r="I12" i="132"/>
  <c r="I13" i="132" a="1"/>
  <c r="I13" i="132" s="1"/>
  <c r="I14" i="132" a="1"/>
  <c r="I14" i="132" s="1"/>
  <c r="I15" i="132" a="1"/>
  <c r="I15" i="132" s="1"/>
  <c r="I16" i="132" a="1"/>
  <c r="I16" i="132" s="1"/>
  <c r="I17" i="132" a="1"/>
  <c r="I17" i="132" s="1"/>
  <c r="I18" i="132" a="1"/>
  <c r="I18" i="132" s="1"/>
  <c r="I19" i="132" a="1"/>
  <c r="I19" i="132" s="1"/>
  <c r="I20" i="132" a="1"/>
  <c r="I20" i="132" s="1"/>
  <c r="I21" i="132" a="1"/>
  <c r="I21" i="132" s="1"/>
  <c r="I22" i="132" a="1"/>
  <c r="I22" i="132" s="1"/>
  <c r="I23" i="132" a="1"/>
  <c r="I23" i="132"/>
  <c r="I24" i="132" a="1"/>
  <c r="I24" i="132" s="1"/>
  <c r="I25" i="132" a="1"/>
  <c r="I25" i="132" s="1"/>
  <c r="I26" i="132" a="1"/>
  <c r="I26" i="132" s="1"/>
  <c r="I27" i="132" a="1"/>
  <c r="I27" i="132" s="1"/>
  <c r="I28" i="132" a="1"/>
  <c r="I28" i="132" s="1"/>
  <c r="I29" i="132" a="1"/>
  <c r="I29" i="132" s="1"/>
  <c r="I30" i="132" a="1"/>
  <c r="I30" i="132"/>
  <c r="I31" i="132" a="1"/>
  <c r="I31" i="132" s="1"/>
  <c r="I32" i="132" a="1"/>
  <c r="I32" i="132" s="1"/>
  <c r="I33" i="132" a="1"/>
  <c r="I33" i="132" s="1"/>
  <c r="I34" i="132" a="1"/>
  <c r="I34" i="132" s="1"/>
  <c r="I35" i="132" a="1"/>
  <c r="I35" i="132" s="1"/>
  <c r="I36" i="132" a="1"/>
  <c r="I36" i="132" s="1"/>
  <c r="I37" i="132" a="1"/>
  <c r="I37" i="132" s="1"/>
  <c r="I38" i="132" a="1"/>
  <c r="I38" i="132" s="1"/>
  <c r="I39" i="132" a="1"/>
  <c r="I39" i="132" s="1"/>
  <c r="I40" i="132" a="1"/>
  <c r="I40" i="132" s="1"/>
  <c r="I41" i="132" a="1"/>
  <c r="I41" i="132" s="1"/>
  <c r="I42" i="132" a="1"/>
  <c r="I42" i="132" s="1"/>
  <c r="I43" i="132" a="1"/>
  <c r="I43" i="132" s="1"/>
  <c r="I44" i="132" a="1"/>
  <c r="I44" i="132" s="1"/>
  <c r="I45" i="132" a="1"/>
  <c r="I45" i="132" s="1"/>
  <c r="I46" i="132" a="1"/>
  <c r="I46" i="132" s="1"/>
  <c r="I47" i="132" a="1"/>
  <c r="I47" i="132" s="1"/>
  <c r="I48" i="132" a="1"/>
  <c r="I48" i="132" s="1"/>
  <c r="I49" i="132" a="1"/>
  <c r="I49" i="132" s="1"/>
  <c r="I50" i="132" a="1"/>
  <c r="I50" i="132" s="1"/>
  <c r="I51" i="132" a="1"/>
  <c r="I51" i="132" s="1"/>
  <c r="I52" i="132" a="1"/>
  <c r="I52" i="132"/>
  <c r="I53" i="132" a="1"/>
  <c r="I53" i="132" s="1"/>
  <c r="I54" i="132" a="1"/>
  <c r="I54" i="132" s="1"/>
  <c r="I55" i="132" a="1"/>
  <c r="I55" i="132" s="1"/>
  <c r="I56" i="132" a="1"/>
  <c r="I56" i="132" s="1"/>
  <c r="I57" i="132" a="1"/>
  <c r="I57" i="132" s="1"/>
  <c r="I58" i="132" a="1"/>
  <c r="I58" i="132" s="1"/>
  <c r="I59" i="132" a="1"/>
  <c r="I59" i="132" s="1"/>
  <c r="I60" i="132" a="1"/>
  <c r="I60" i="132" s="1"/>
  <c r="I61" i="132" a="1"/>
  <c r="I61" i="132" s="1"/>
  <c r="I62" i="132" a="1"/>
  <c r="I62" i="132" s="1"/>
  <c r="I63" i="132" a="1"/>
  <c r="I63" i="132" s="1"/>
  <c r="I64" i="132" a="1"/>
  <c r="I64" i="132" s="1"/>
  <c r="I65" i="132" a="1"/>
  <c r="I65" i="132" s="1"/>
  <c r="I66" i="132" a="1"/>
  <c r="I66" i="132" s="1"/>
  <c r="I67" i="132" a="1"/>
  <c r="I67" i="132" s="1"/>
  <c r="I68" i="132" a="1"/>
  <c r="I68" i="132" s="1"/>
  <c r="I69" i="132" a="1"/>
  <c r="I69" i="132" s="1"/>
  <c r="I70" i="132" a="1"/>
  <c r="I70" i="132" s="1"/>
  <c r="I71" i="132" a="1"/>
  <c r="I71" i="132" s="1"/>
  <c r="I72" i="132" a="1"/>
  <c r="I72" i="132" s="1"/>
  <c r="I73" i="132" a="1"/>
  <c r="I73" i="132" s="1"/>
  <c r="J2" i="132"/>
  <c r="J3" i="132"/>
  <c r="J4" i="132"/>
  <c r="J5" i="132"/>
  <c r="J6" i="132"/>
  <c r="J7" i="132"/>
  <c r="J8" i="132"/>
  <c r="J9" i="132"/>
  <c r="J10" i="132"/>
  <c r="J11" i="132"/>
  <c r="J12" i="132"/>
  <c r="J13" i="132"/>
  <c r="J14" i="132"/>
  <c r="J15" i="132"/>
  <c r="J16" i="132"/>
  <c r="J17" i="132"/>
  <c r="J18" i="132"/>
  <c r="J19" i="132"/>
  <c r="J20" i="132"/>
  <c r="J21" i="132"/>
  <c r="J22" i="132"/>
  <c r="J23" i="132"/>
  <c r="J24" i="132"/>
  <c r="J25" i="132"/>
  <c r="J26" i="132"/>
  <c r="J27" i="132"/>
  <c r="J28" i="132"/>
  <c r="J29" i="132"/>
  <c r="J30" i="132"/>
  <c r="J31" i="132"/>
  <c r="J32" i="132"/>
  <c r="J33" i="132"/>
  <c r="J34" i="132"/>
  <c r="J35" i="132"/>
  <c r="J36" i="132"/>
  <c r="J37" i="132"/>
  <c r="J38" i="132"/>
  <c r="J39" i="132"/>
  <c r="J60" i="132"/>
  <c r="J61" i="132"/>
  <c r="J62" i="132"/>
  <c r="J63" i="132"/>
  <c r="J64" i="132"/>
  <c r="J65" i="132"/>
  <c r="J66" i="132"/>
  <c r="J67" i="132"/>
  <c r="J68" i="132"/>
  <c r="J69" i="132"/>
  <c r="J70" i="132"/>
  <c r="J71" i="132"/>
  <c r="J72" i="132"/>
  <c r="J73" i="132"/>
  <c r="K2" i="132"/>
  <c r="K3" i="132"/>
  <c r="K4" i="132"/>
  <c r="K5" i="132"/>
  <c r="K6" i="132"/>
  <c r="K7" i="132"/>
  <c r="K8" i="132"/>
  <c r="K9" i="132"/>
  <c r="K10" i="132"/>
  <c r="K11" i="132"/>
  <c r="K12" i="132"/>
  <c r="K13" i="132"/>
  <c r="K14" i="132"/>
  <c r="K15" i="132"/>
  <c r="K16" i="132"/>
  <c r="K17" i="132"/>
  <c r="K18" i="132"/>
  <c r="K19" i="132"/>
  <c r="K20" i="132"/>
  <c r="K21" i="132"/>
  <c r="K22" i="132"/>
  <c r="K23" i="132"/>
  <c r="K24" i="132"/>
  <c r="K25" i="132"/>
  <c r="K26" i="132"/>
  <c r="K27" i="132"/>
  <c r="K28" i="132"/>
  <c r="K29" i="132"/>
  <c r="K30" i="132"/>
  <c r="K31" i="132"/>
  <c r="K32" i="132"/>
  <c r="K33" i="132"/>
  <c r="K34" i="132"/>
  <c r="K35" i="132"/>
  <c r="K36" i="132"/>
  <c r="K37" i="132"/>
  <c r="K38" i="132"/>
  <c r="K39" i="132"/>
  <c r="K40" i="132"/>
  <c r="K41" i="132"/>
  <c r="K42" i="132"/>
  <c r="K43" i="132"/>
  <c r="K44" i="132"/>
  <c r="K45" i="132"/>
  <c r="K46" i="132"/>
  <c r="K47" i="132"/>
  <c r="K48" i="132"/>
  <c r="K49" i="132"/>
  <c r="K50" i="132"/>
  <c r="K51" i="132"/>
  <c r="K52" i="132"/>
  <c r="K53" i="132"/>
  <c r="K54" i="132"/>
  <c r="K55" i="132"/>
  <c r="K56" i="132"/>
  <c r="K57" i="132"/>
  <c r="K58" i="132"/>
  <c r="K59" i="132"/>
  <c r="K60" i="132"/>
  <c r="K61" i="132"/>
  <c r="K62" i="132"/>
  <c r="K63" i="132"/>
  <c r="K64" i="132"/>
  <c r="K65" i="132"/>
  <c r="K66" i="132"/>
  <c r="K67" i="132"/>
  <c r="K68" i="132"/>
  <c r="K69" i="132"/>
  <c r="K70" i="132"/>
  <c r="K71" i="132"/>
  <c r="K72" i="132"/>
  <c r="K73" i="132"/>
  <c r="L2" i="132"/>
  <c r="L3" i="132"/>
  <c r="L4" i="132"/>
  <c r="L5" i="132"/>
  <c r="L6" i="132"/>
  <c r="L7" i="132"/>
  <c r="L8" i="132"/>
  <c r="L9" i="132"/>
  <c r="L10" i="132"/>
  <c r="L11" i="132"/>
  <c r="L12" i="132"/>
  <c r="L13" i="132"/>
  <c r="L14" i="132"/>
  <c r="L15" i="132"/>
  <c r="L16" i="132"/>
  <c r="L17" i="132"/>
  <c r="L18" i="132"/>
  <c r="L19" i="132"/>
  <c r="L20" i="132"/>
  <c r="L21" i="132"/>
  <c r="L22" i="132"/>
  <c r="L23" i="132"/>
  <c r="L24" i="132"/>
  <c r="L25" i="132"/>
  <c r="L26" i="132"/>
  <c r="L27" i="132"/>
  <c r="L28" i="132"/>
  <c r="L29" i="132"/>
  <c r="L30" i="132"/>
  <c r="L31" i="132"/>
  <c r="L32" i="132"/>
  <c r="L33" i="132"/>
  <c r="L34" i="132"/>
  <c r="L35" i="132"/>
  <c r="L36" i="132"/>
  <c r="L37" i="132"/>
  <c r="L38" i="132"/>
  <c r="L39" i="132"/>
  <c r="L40" i="132"/>
  <c r="L41" i="132"/>
  <c r="L42" i="132"/>
  <c r="L43" i="132"/>
  <c r="L44" i="132"/>
  <c r="L45" i="132"/>
  <c r="L46" i="132"/>
  <c r="L47" i="132"/>
  <c r="L48" i="132"/>
  <c r="L49" i="132"/>
  <c r="L50" i="132"/>
  <c r="L51" i="132"/>
  <c r="L52" i="132"/>
  <c r="L53" i="132"/>
  <c r="L54" i="132"/>
  <c r="L55" i="132"/>
  <c r="L56" i="132"/>
  <c r="L57" i="132"/>
  <c r="L58" i="132"/>
  <c r="L59" i="132"/>
  <c r="L60" i="132"/>
  <c r="L61" i="132"/>
  <c r="L62" i="132"/>
  <c r="L63" i="132"/>
  <c r="L64" i="132"/>
  <c r="L65" i="132"/>
  <c r="L66" i="132"/>
  <c r="L67" i="132"/>
  <c r="L68" i="132"/>
  <c r="L69" i="132"/>
  <c r="L70" i="132"/>
  <c r="L71" i="132"/>
  <c r="L72" i="132"/>
  <c r="L73" i="132"/>
  <c r="M2" i="132"/>
  <c r="M3" i="132"/>
  <c r="M4" i="132"/>
  <c r="M5" i="132"/>
  <c r="M6" i="132"/>
  <c r="M7" i="132"/>
  <c r="M8" i="132"/>
  <c r="M9" i="132"/>
  <c r="M10" i="132"/>
  <c r="M11" i="132"/>
  <c r="M12" i="132"/>
  <c r="M13" i="132"/>
  <c r="M14" i="132"/>
  <c r="M15" i="132"/>
  <c r="M16" i="132"/>
  <c r="M17" i="132"/>
  <c r="M18" i="132"/>
  <c r="M19" i="132"/>
  <c r="M20" i="132"/>
  <c r="M21" i="132"/>
  <c r="M22" i="132"/>
  <c r="M23" i="132"/>
  <c r="M24" i="132"/>
  <c r="M25" i="132"/>
  <c r="M26" i="132"/>
  <c r="M27" i="132"/>
  <c r="M28" i="132"/>
  <c r="M29" i="132"/>
  <c r="M30" i="132"/>
  <c r="M31" i="132"/>
  <c r="M32" i="132"/>
  <c r="M33" i="132"/>
  <c r="M34" i="132"/>
  <c r="M35" i="132"/>
  <c r="M36" i="132"/>
  <c r="M37" i="132"/>
  <c r="M38" i="132"/>
  <c r="M39" i="132"/>
  <c r="M40" i="132"/>
  <c r="M41" i="132"/>
  <c r="M42" i="132"/>
  <c r="M43" i="132"/>
  <c r="M44" i="132"/>
  <c r="M45" i="132"/>
  <c r="M46" i="132"/>
  <c r="M47" i="132"/>
  <c r="M48" i="132"/>
  <c r="M49" i="132"/>
  <c r="M50" i="132"/>
  <c r="M51" i="132"/>
  <c r="M52" i="132"/>
  <c r="M53" i="132"/>
  <c r="M54" i="132"/>
  <c r="M55" i="132"/>
  <c r="M56" i="132"/>
  <c r="M57" i="132"/>
  <c r="M58" i="132"/>
  <c r="M59" i="132"/>
  <c r="M60" i="132"/>
  <c r="M61" i="132"/>
  <c r="M62" i="132"/>
  <c r="M63" i="132"/>
  <c r="M64" i="132"/>
  <c r="M65" i="132"/>
  <c r="M66" i="132"/>
  <c r="M67" i="132"/>
  <c r="M68" i="132"/>
  <c r="M69" i="132"/>
  <c r="M70" i="132"/>
  <c r="M71" i="132"/>
  <c r="M72" i="132"/>
  <c r="M73" i="132"/>
  <c r="N2" i="132"/>
  <c r="N3" i="132"/>
  <c r="N4" i="132"/>
  <c r="N5" i="132"/>
  <c r="N6" i="132"/>
  <c r="N7" i="132"/>
  <c r="N8" i="132"/>
  <c r="N9" i="132"/>
  <c r="N10" i="132"/>
  <c r="N11" i="132"/>
  <c r="N12" i="132"/>
  <c r="N13" i="132"/>
  <c r="N14" i="132"/>
  <c r="N15" i="132"/>
  <c r="N16" i="132"/>
  <c r="N17" i="132"/>
  <c r="N18" i="132"/>
  <c r="N19" i="132"/>
  <c r="N20" i="132"/>
  <c r="N21" i="132"/>
  <c r="N22" i="132"/>
  <c r="N23" i="132"/>
  <c r="N24" i="132"/>
  <c r="N25" i="132"/>
  <c r="N26" i="132"/>
  <c r="N27" i="132"/>
  <c r="N28" i="132"/>
  <c r="N29" i="132"/>
  <c r="N30" i="132"/>
  <c r="N31" i="132"/>
  <c r="N32" i="132"/>
  <c r="N33" i="132"/>
  <c r="N34" i="132"/>
  <c r="N35" i="132"/>
  <c r="N36" i="132"/>
  <c r="N37" i="132"/>
  <c r="N38" i="132"/>
  <c r="N39" i="132"/>
  <c r="N40" i="132"/>
  <c r="N41" i="132"/>
  <c r="N42" i="132"/>
  <c r="N43" i="132"/>
  <c r="N44" i="132"/>
  <c r="N45" i="132"/>
  <c r="N46" i="132"/>
  <c r="N47" i="132"/>
  <c r="N48" i="132"/>
  <c r="N49" i="132"/>
  <c r="N50" i="132"/>
  <c r="N51" i="132"/>
  <c r="N52" i="132"/>
  <c r="N53" i="132"/>
  <c r="N54" i="132"/>
  <c r="N55" i="132"/>
  <c r="N56" i="132"/>
  <c r="N57" i="132"/>
  <c r="N58" i="132"/>
  <c r="N59" i="132"/>
  <c r="N60" i="132"/>
  <c r="N61" i="132"/>
  <c r="N62" i="132"/>
  <c r="N63" i="132"/>
  <c r="N64" i="132"/>
  <c r="N65" i="132"/>
  <c r="N66" i="132"/>
  <c r="N67" i="132"/>
  <c r="N68" i="132"/>
  <c r="N69" i="132"/>
  <c r="N70" i="132"/>
  <c r="N71" i="132"/>
  <c r="N72" i="132"/>
  <c r="N73" i="132"/>
  <c r="O2" i="132"/>
  <c r="O3" i="132"/>
  <c r="O4" i="132"/>
  <c r="O5" i="132"/>
  <c r="O6" i="132"/>
  <c r="O7" i="132"/>
  <c r="O8" i="132"/>
  <c r="O9" i="132"/>
  <c r="O10" i="132"/>
  <c r="O11" i="132"/>
  <c r="O12" i="132"/>
  <c r="O13" i="132"/>
  <c r="O14" i="132"/>
  <c r="O15" i="132"/>
  <c r="O16" i="132"/>
  <c r="O17" i="132"/>
  <c r="O18" i="132"/>
  <c r="O19" i="132"/>
  <c r="O20" i="132"/>
  <c r="O21" i="132"/>
  <c r="O22" i="132"/>
  <c r="O23" i="132"/>
  <c r="O24" i="132"/>
  <c r="O25" i="132"/>
  <c r="O26" i="132"/>
  <c r="O27" i="132"/>
  <c r="O28" i="132"/>
  <c r="O29" i="132"/>
  <c r="O30" i="132"/>
  <c r="O31" i="132"/>
  <c r="O32" i="132"/>
  <c r="O33" i="132"/>
  <c r="O34" i="132"/>
  <c r="O35" i="132"/>
  <c r="O36" i="132"/>
  <c r="O37" i="132"/>
  <c r="O38" i="132"/>
  <c r="O39" i="132"/>
  <c r="O40" i="132"/>
  <c r="O41" i="132"/>
  <c r="O42" i="132"/>
  <c r="O43" i="132"/>
  <c r="O44" i="132"/>
  <c r="O45" i="132"/>
  <c r="O46" i="132"/>
  <c r="O47" i="132"/>
  <c r="O48" i="132"/>
  <c r="O49" i="132"/>
  <c r="O50" i="132"/>
  <c r="O51" i="132"/>
  <c r="O52" i="132"/>
  <c r="O53" i="132"/>
  <c r="O54" i="132"/>
  <c r="O55" i="132"/>
  <c r="O56" i="132"/>
  <c r="O57" i="132"/>
  <c r="O58" i="132"/>
  <c r="O59" i="132"/>
  <c r="O60" i="132"/>
  <c r="O61" i="132"/>
  <c r="O62" i="132"/>
  <c r="O63" i="132"/>
  <c r="O64" i="132"/>
  <c r="O65" i="132"/>
  <c r="O66" i="132"/>
  <c r="O67" i="132"/>
  <c r="O68" i="132"/>
  <c r="O69" i="132"/>
  <c r="O70" i="132"/>
  <c r="O71" i="132"/>
  <c r="O72" i="132"/>
  <c r="O73" i="132"/>
  <c r="P2" i="132"/>
  <c r="P3" i="132"/>
  <c r="P4" i="132"/>
  <c r="P5" i="132"/>
  <c r="P6" i="132"/>
  <c r="P7" i="132"/>
  <c r="P8" i="132"/>
  <c r="P9" i="132"/>
  <c r="P10" i="132"/>
  <c r="P11" i="132"/>
  <c r="P12" i="132"/>
  <c r="P13" i="132"/>
  <c r="P14" i="132"/>
  <c r="P15" i="132"/>
  <c r="P16" i="132"/>
  <c r="P17" i="132"/>
  <c r="P18" i="132"/>
  <c r="P19" i="132"/>
  <c r="P20" i="132"/>
  <c r="P21" i="132"/>
  <c r="P22" i="132"/>
  <c r="P23" i="132"/>
  <c r="P24" i="132"/>
  <c r="P25" i="132"/>
  <c r="P26" i="132"/>
  <c r="P27" i="132"/>
  <c r="P28" i="132"/>
  <c r="P29" i="132"/>
  <c r="P30" i="132"/>
  <c r="P31" i="132"/>
  <c r="P32" i="132"/>
  <c r="P33" i="132"/>
  <c r="P34" i="132"/>
  <c r="P35" i="132"/>
  <c r="P36" i="132"/>
  <c r="P37" i="132"/>
  <c r="P38" i="132"/>
  <c r="P39" i="132"/>
  <c r="P40" i="132"/>
  <c r="P41" i="132"/>
  <c r="P42" i="132"/>
  <c r="P43" i="132"/>
  <c r="P44" i="132"/>
  <c r="P45" i="132"/>
  <c r="P46" i="132"/>
  <c r="P47" i="132"/>
  <c r="P48" i="132"/>
  <c r="P49" i="132"/>
  <c r="P50" i="132"/>
  <c r="P51" i="132"/>
  <c r="P52" i="132"/>
  <c r="P53" i="132"/>
  <c r="P54" i="132"/>
  <c r="P55" i="132"/>
  <c r="P56" i="132"/>
  <c r="P57" i="132"/>
  <c r="P58" i="132"/>
  <c r="P59" i="132"/>
  <c r="P60" i="132"/>
  <c r="P61" i="132"/>
  <c r="P62" i="132"/>
  <c r="P63" i="132"/>
  <c r="P64" i="132"/>
  <c r="P65" i="132"/>
  <c r="P66" i="132"/>
  <c r="P67" i="132"/>
  <c r="P68" i="132"/>
  <c r="P69" i="132"/>
  <c r="P70" i="132"/>
  <c r="P71" i="132"/>
  <c r="P72" i="132"/>
  <c r="P73" i="132"/>
  <c r="Q2" i="132"/>
  <c r="Q3" i="132"/>
  <c r="Q4" i="132"/>
  <c r="Q5" i="132"/>
  <c r="Q6" i="132"/>
  <c r="Q7" i="132"/>
  <c r="Q8" i="132"/>
  <c r="Q9" i="132"/>
  <c r="Q10" i="132"/>
  <c r="Q11" i="132"/>
  <c r="Q12" i="132"/>
  <c r="Q13" i="132"/>
  <c r="Q14" i="132"/>
  <c r="Q15" i="132"/>
  <c r="Q16" i="132"/>
  <c r="Q17" i="132"/>
  <c r="Q18" i="132"/>
  <c r="Q19" i="132"/>
  <c r="Q20" i="132"/>
  <c r="Q21" i="132"/>
  <c r="Q22" i="132"/>
  <c r="Q23" i="132"/>
  <c r="Q24" i="132"/>
  <c r="Q25" i="132"/>
  <c r="Q26" i="132"/>
  <c r="Q27" i="132"/>
  <c r="Q28" i="132"/>
  <c r="Q29" i="132"/>
  <c r="Q30" i="132"/>
  <c r="Q31" i="132"/>
  <c r="Q32" i="132"/>
  <c r="Q33" i="132"/>
  <c r="Q34" i="132"/>
  <c r="Q35" i="132"/>
  <c r="Q36" i="132"/>
  <c r="Q37" i="132"/>
  <c r="Q38" i="132"/>
  <c r="Q39" i="132"/>
  <c r="Q40" i="132"/>
  <c r="Q41" i="132"/>
  <c r="Q42" i="132"/>
  <c r="Q43" i="132"/>
  <c r="Q44" i="132"/>
  <c r="Q45" i="132"/>
  <c r="Q46" i="132"/>
  <c r="Q47" i="132"/>
  <c r="Q48" i="132"/>
  <c r="Q49" i="132"/>
  <c r="Q50" i="132"/>
  <c r="Q51" i="132"/>
  <c r="Q52" i="132"/>
  <c r="Q53" i="132"/>
  <c r="Q54" i="132"/>
  <c r="Q55" i="132"/>
  <c r="Q56" i="132"/>
  <c r="Q57" i="132"/>
  <c r="Q58" i="132"/>
  <c r="Q59" i="132"/>
  <c r="Q60" i="132"/>
  <c r="Q61" i="132"/>
  <c r="Q62" i="132"/>
  <c r="Q63" i="132"/>
  <c r="Q64" i="132"/>
  <c r="Q65" i="132"/>
  <c r="Q66" i="132"/>
  <c r="Q67" i="132"/>
  <c r="Q68" i="132"/>
  <c r="Q69" i="132"/>
  <c r="Q70" i="132"/>
  <c r="Q71" i="132"/>
  <c r="Q72" i="132"/>
  <c r="Q73" i="132"/>
  <c r="R2" i="132"/>
  <c r="R3" i="132"/>
  <c r="R4" i="132"/>
  <c r="R5" i="132"/>
  <c r="R6" i="132"/>
  <c r="R7" i="132"/>
  <c r="R8" i="132"/>
  <c r="R9" i="132"/>
  <c r="R10" i="132"/>
  <c r="R11" i="132"/>
  <c r="R12" i="132"/>
  <c r="R13" i="132"/>
  <c r="R14" i="132"/>
  <c r="R15" i="132"/>
  <c r="R16" i="132"/>
  <c r="R17" i="132"/>
  <c r="R18" i="132"/>
  <c r="R19" i="132"/>
  <c r="R20" i="132"/>
  <c r="R21" i="132"/>
  <c r="R22" i="132"/>
  <c r="R23" i="132"/>
  <c r="R24" i="132"/>
  <c r="R25" i="132"/>
  <c r="R26" i="132"/>
  <c r="R27" i="132"/>
  <c r="R28" i="132"/>
  <c r="R29" i="132"/>
  <c r="R30" i="132"/>
  <c r="R31" i="132"/>
  <c r="R32" i="132"/>
  <c r="R33" i="132"/>
  <c r="R34" i="132"/>
  <c r="R35" i="132"/>
  <c r="R36" i="132"/>
  <c r="R37" i="132"/>
  <c r="R38" i="132"/>
  <c r="R39" i="132"/>
  <c r="R40" i="132"/>
  <c r="R41" i="132"/>
  <c r="R42" i="132"/>
  <c r="R43" i="132"/>
  <c r="R44" i="132"/>
  <c r="R45" i="132"/>
  <c r="R46" i="132"/>
  <c r="R47" i="132"/>
  <c r="R48" i="132"/>
  <c r="R49" i="132"/>
  <c r="R50" i="132"/>
  <c r="R51" i="132"/>
  <c r="R52" i="132"/>
  <c r="R53" i="132"/>
  <c r="R54" i="132"/>
  <c r="R55" i="132"/>
  <c r="R56" i="132"/>
  <c r="R57" i="132"/>
  <c r="R58" i="132"/>
  <c r="R59" i="132"/>
  <c r="R60" i="132"/>
  <c r="R61" i="132"/>
  <c r="R62" i="132"/>
  <c r="R63" i="132"/>
  <c r="R64" i="132"/>
  <c r="R65" i="132"/>
  <c r="R66" i="132"/>
  <c r="R67" i="132"/>
  <c r="R68" i="132"/>
  <c r="R69" i="132"/>
  <c r="R70" i="132"/>
  <c r="R71" i="132"/>
  <c r="R72" i="132"/>
  <c r="R73" i="132"/>
  <c r="S2" i="132"/>
  <c r="S3" i="132"/>
  <c r="S4" i="132"/>
  <c r="S5" i="132"/>
  <c r="S6" i="132"/>
  <c r="S7" i="132"/>
  <c r="S8" i="132"/>
  <c r="S9" i="132"/>
  <c r="S10" i="132"/>
  <c r="S11" i="132"/>
  <c r="S12" i="132"/>
  <c r="S13" i="132"/>
  <c r="S14" i="132"/>
  <c r="S15" i="132"/>
  <c r="S16" i="132"/>
  <c r="S17" i="132"/>
  <c r="S18" i="132"/>
  <c r="S19" i="132"/>
  <c r="S20" i="132"/>
  <c r="S21" i="132"/>
  <c r="S22" i="132"/>
  <c r="S23" i="132"/>
  <c r="S24" i="132"/>
  <c r="S25" i="132"/>
  <c r="S26" i="132"/>
  <c r="S27" i="132"/>
  <c r="S28" i="132"/>
  <c r="S29" i="132"/>
  <c r="S30" i="132"/>
  <c r="S31" i="132"/>
  <c r="S32" i="132"/>
  <c r="S33" i="132"/>
  <c r="S34" i="132"/>
  <c r="S35" i="132"/>
  <c r="S36" i="132"/>
  <c r="S37" i="132"/>
  <c r="S38" i="132"/>
  <c r="S39" i="132"/>
  <c r="S40" i="132"/>
  <c r="S41" i="132"/>
  <c r="S42" i="132"/>
  <c r="S43" i="132"/>
  <c r="S44" i="132"/>
  <c r="S45" i="132"/>
  <c r="S46" i="132"/>
  <c r="S47" i="132"/>
  <c r="S48" i="132"/>
  <c r="S49" i="132"/>
  <c r="S50" i="132"/>
  <c r="S51" i="132"/>
  <c r="S52" i="132"/>
  <c r="S53" i="132"/>
  <c r="S54" i="132"/>
  <c r="S55" i="132"/>
  <c r="S56" i="132"/>
  <c r="S57" i="132"/>
  <c r="S58" i="132"/>
  <c r="S59" i="132"/>
  <c r="S60" i="132"/>
  <c r="S61" i="132"/>
  <c r="S62" i="132"/>
  <c r="S63" i="132"/>
  <c r="S64" i="132"/>
  <c r="S65" i="132"/>
  <c r="S66" i="132"/>
  <c r="S67" i="132"/>
  <c r="S68" i="132"/>
  <c r="S69" i="132"/>
  <c r="S70" i="132"/>
  <c r="S71" i="132"/>
  <c r="S72" i="132"/>
  <c r="S73" i="132"/>
  <c r="T2" i="132"/>
  <c r="T3" i="132"/>
  <c r="T4" i="132"/>
  <c r="T5" i="132"/>
  <c r="T6" i="132"/>
  <c r="T7" i="132"/>
  <c r="T8" i="132"/>
  <c r="T9" i="132"/>
  <c r="T10" i="132"/>
  <c r="T11" i="132"/>
  <c r="T12" i="132"/>
  <c r="T13" i="132"/>
  <c r="T14" i="132"/>
  <c r="T15" i="132"/>
  <c r="T16" i="132"/>
  <c r="T17" i="132"/>
  <c r="T18" i="132"/>
  <c r="T19" i="132"/>
  <c r="T20" i="132"/>
  <c r="T21" i="132"/>
  <c r="T22" i="132"/>
  <c r="T23" i="132"/>
  <c r="T24" i="132"/>
  <c r="T25" i="132"/>
  <c r="T26" i="132"/>
  <c r="T27" i="132"/>
  <c r="T28" i="132"/>
  <c r="T29" i="132"/>
  <c r="T30" i="132"/>
  <c r="T31" i="132"/>
  <c r="T32" i="132"/>
  <c r="T33" i="132"/>
  <c r="T34" i="132"/>
  <c r="T35" i="132"/>
  <c r="T36" i="132"/>
  <c r="T37" i="132"/>
  <c r="T38" i="132"/>
  <c r="T39" i="132"/>
  <c r="T40" i="132"/>
  <c r="T41" i="132"/>
  <c r="T42" i="132"/>
  <c r="T43" i="132"/>
  <c r="T44" i="132"/>
  <c r="T45" i="132"/>
  <c r="T46" i="132"/>
  <c r="T47" i="132"/>
  <c r="T48" i="132"/>
  <c r="T49" i="132"/>
  <c r="T50" i="132"/>
  <c r="T51" i="132"/>
  <c r="T52" i="132"/>
  <c r="T53" i="132"/>
  <c r="T54" i="132"/>
  <c r="T55" i="132"/>
  <c r="T56" i="132"/>
  <c r="T57" i="132"/>
  <c r="T58" i="132"/>
  <c r="T59" i="132"/>
  <c r="T60" i="132"/>
  <c r="T61" i="132"/>
  <c r="T62" i="132"/>
  <c r="T63" i="132"/>
  <c r="T64" i="132"/>
  <c r="T65" i="132"/>
  <c r="T66" i="132"/>
  <c r="T67" i="132"/>
  <c r="T68" i="132"/>
  <c r="T69" i="132"/>
  <c r="T70" i="132"/>
  <c r="T71" i="132"/>
  <c r="T72" i="132"/>
  <c r="T73" i="132"/>
  <c r="U2" i="132"/>
  <c r="U3" i="132"/>
  <c r="U4" i="132"/>
  <c r="U5" i="132"/>
  <c r="U6" i="132"/>
  <c r="U7" i="132"/>
  <c r="U8" i="132"/>
  <c r="U9" i="132"/>
  <c r="U10" i="132"/>
  <c r="U11" i="132"/>
  <c r="U12" i="132"/>
  <c r="U13" i="132"/>
  <c r="U14" i="132"/>
  <c r="U15" i="132"/>
  <c r="U16" i="132"/>
  <c r="U17" i="132"/>
  <c r="U18" i="132"/>
  <c r="U19" i="132"/>
  <c r="U20" i="132"/>
  <c r="U21" i="132"/>
  <c r="U22" i="132"/>
  <c r="U23" i="132"/>
  <c r="U24" i="132"/>
  <c r="U25" i="132"/>
  <c r="U26" i="132"/>
  <c r="U27" i="132"/>
  <c r="U28" i="132"/>
  <c r="U29" i="132"/>
  <c r="U30" i="132"/>
  <c r="U31" i="132"/>
  <c r="U32" i="132"/>
  <c r="U33" i="132"/>
  <c r="U34" i="132"/>
  <c r="U35" i="132"/>
  <c r="U36" i="132"/>
  <c r="U37" i="132"/>
  <c r="U38" i="132"/>
  <c r="U39" i="132"/>
  <c r="U40" i="132"/>
  <c r="U41" i="132"/>
  <c r="U42" i="132"/>
  <c r="U43" i="132"/>
  <c r="U44" i="132"/>
  <c r="U45" i="132"/>
  <c r="U46" i="132"/>
  <c r="U47" i="132"/>
  <c r="U48" i="132"/>
  <c r="U49" i="132"/>
  <c r="U50" i="132"/>
  <c r="U51" i="132"/>
  <c r="U52" i="132"/>
  <c r="U53" i="132"/>
  <c r="U54" i="132"/>
  <c r="U55" i="132"/>
  <c r="U56" i="132"/>
  <c r="U57" i="132"/>
  <c r="U58" i="132"/>
  <c r="U59" i="132"/>
  <c r="U60" i="132"/>
  <c r="U61" i="132"/>
  <c r="U62" i="132"/>
  <c r="U63" i="132"/>
  <c r="U64" i="132"/>
  <c r="U65" i="132"/>
  <c r="U66" i="132"/>
  <c r="U67" i="132"/>
  <c r="U68" i="132"/>
  <c r="U69" i="132"/>
  <c r="U70" i="132"/>
  <c r="U71" i="132"/>
  <c r="U72" i="132"/>
  <c r="U73" i="132"/>
  <c r="V2" i="132"/>
  <c r="V3" i="132"/>
  <c r="V4" i="132"/>
  <c r="V5" i="132"/>
  <c r="V6" i="132"/>
  <c r="V7" i="132"/>
  <c r="V8" i="132"/>
  <c r="V9" i="132"/>
  <c r="V10" i="132"/>
  <c r="V11" i="132"/>
  <c r="V12" i="132"/>
  <c r="V13" i="132"/>
  <c r="V14" i="132"/>
  <c r="V15" i="132"/>
  <c r="V16" i="132"/>
  <c r="V17" i="132"/>
  <c r="V18" i="132"/>
  <c r="V19" i="132"/>
  <c r="V20" i="132"/>
  <c r="V21" i="132"/>
  <c r="V22" i="132"/>
  <c r="V23" i="132"/>
  <c r="V24" i="132"/>
  <c r="V25" i="132"/>
  <c r="V26" i="132"/>
  <c r="V27" i="132"/>
  <c r="V28" i="132"/>
  <c r="V29" i="132"/>
  <c r="V30" i="132"/>
  <c r="V31" i="132"/>
  <c r="V32" i="132"/>
  <c r="V33" i="132"/>
  <c r="V34" i="132"/>
  <c r="V35" i="132"/>
  <c r="V36" i="132"/>
  <c r="V37" i="132"/>
  <c r="V38" i="132"/>
  <c r="V39" i="132"/>
  <c r="V40" i="132"/>
  <c r="V41" i="132"/>
  <c r="V42" i="132"/>
  <c r="V43" i="132"/>
  <c r="V44" i="132"/>
  <c r="V45" i="132"/>
  <c r="V46" i="132"/>
  <c r="V47" i="132"/>
  <c r="V48" i="132"/>
  <c r="V49" i="132"/>
  <c r="V50" i="132"/>
  <c r="V51" i="132"/>
  <c r="V52" i="132"/>
  <c r="V53" i="132"/>
  <c r="V54" i="132"/>
  <c r="V55" i="132"/>
  <c r="V56" i="132"/>
  <c r="V57" i="132"/>
  <c r="V58" i="132"/>
  <c r="V59" i="132"/>
  <c r="V60" i="132"/>
  <c r="V61" i="132"/>
  <c r="V62" i="132"/>
  <c r="V63" i="132"/>
  <c r="V64" i="132"/>
  <c r="V65" i="132"/>
  <c r="V66" i="132"/>
  <c r="V67" i="132"/>
  <c r="V68" i="132"/>
  <c r="V69" i="132"/>
  <c r="V70" i="132"/>
  <c r="V71" i="132"/>
  <c r="V72" i="132"/>
  <c r="V73" i="132"/>
  <c r="X2" i="132"/>
  <c r="X3" i="132"/>
  <c r="X4" i="132"/>
  <c r="X5" i="132"/>
  <c r="X6" i="132"/>
  <c r="X7" i="132"/>
  <c r="X8" i="132"/>
  <c r="X9" i="132"/>
  <c r="X10" i="132"/>
  <c r="X11" i="132"/>
  <c r="X12" i="132"/>
  <c r="X13" i="132"/>
  <c r="X14" i="132"/>
  <c r="X15" i="132"/>
  <c r="X16" i="132"/>
  <c r="X17" i="132"/>
  <c r="X18" i="132"/>
  <c r="X19" i="132"/>
  <c r="X20" i="132"/>
  <c r="X21" i="132"/>
  <c r="X22" i="132"/>
  <c r="X23" i="132"/>
  <c r="X24" i="132"/>
  <c r="X25" i="132"/>
  <c r="X26" i="132"/>
  <c r="X27" i="132"/>
  <c r="X28" i="132"/>
  <c r="X29" i="132"/>
  <c r="X30" i="132"/>
  <c r="X31" i="132"/>
  <c r="X32" i="132"/>
  <c r="X33" i="132"/>
  <c r="X34" i="132"/>
  <c r="X35" i="132"/>
  <c r="X36" i="132"/>
  <c r="X37" i="132"/>
  <c r="X38" i="132"/>
  <c r="X39" i="132"/>
  <c r="X40" i="132"/>
  <c r="X41" i="132"/>
  <c r="X42" i="132"/>
  <c r="X43" i="132"/>
  <c r="X44" i="132"/>
  <c r="X45" i="132"/>
  <c r="X46" i="132"/>
  <c r="X47" i="132"/>
  <c r="X48" i="132"/>
  <c r="X49" i="132"/>
  <c r="X50" i="132"/>
  <c r="X51" i="132"/>
  <c r="X52" i="132"/>
  <c r="X53" i="132"/>
  <c r="X54" i="132"/>
  <c r="X55" i="132"/>
  <c r="X56" i="132"/>
  <c r="X57" i="132"/>
  <c r="X58" i="132"/>
  <c r="X59" i="132"/>
  <c r="X60" i="132"/>
  <c r="X61" i="132"/>
  <c r="X62" i="132"/>
  <c r="X63" i="132"/>
  <c r="X64" i="132"/>
  <c r="X65" i="132"/>
  <c r="X66" i="132"/>
  <c r="X67" i="132"/>
  <c r="X68" i="132"/>
  <c r="X69" i="132"/>
  <c r="X70" i="132"/>
  <c r="X71" i="132"/>
  <c r="X72" i="132"/>
  <c r="X73" i="132"/>
  <c r="Y2" i="132"/>
  <c r="Y3" i="132"/>
  <c r="Y4" i="132"/>
  <c r="Y5" i="132"/>
  <c r="Y6" i="132"/>
  <c r="Y7" i="132"/>
  <c r="Y8" i="132"/>
  <c r="Y9" i="132"/>
  <c r="Y10" i="132"/>
  <c r="Y11" i="132"/>
  <c r="Y12" i="132"/>
  <c r="Y13" i="132"/>
  <c r="Y14" i="132"/>
  <c r="Y15" i="132"/>
  <c r="Y16" i="132"/>
  <c r="Y17" i="132"/>
  <c r="Y18" i="132"/>
  <c r="Y19" i="132"/>
  <c r="Y20" i="132"/>
  <c r="Y21" i="132"/>
  <c r="Y22" i="132"/>
  <c r="Y23" i="132"/>
  <c r="Y24" i="132"/>
  <c r="Y25" i="132"/>
  <c r="Y26" i="132"/>
  <c r="Y27" i="132"/>
  <c r="Y28" i="132"/>
  <c r="Y29" i="132"/>
  <c r="Y30" i="132"/>
  <c r="Y31" i="132"/>
  <c r="Y32" i="132"/>
  <c r="Y33" i="132"/>
  <c r="Y34" i="132"/>
  <c r="Y35" i="132"/>
  <c r="Y36" i="132"/>
  <c r="Y37" i="132"/>
  <c r="Y38" i="132"/>
  <c r="Y39" i="132"/>
  <c r="Y40" i="132"/>
  <c r="Y41" i="132"/>
  <c r="Y42" i="132"/>
  <c r="Y43" i="132"/>
  <c r="Y44" i="132"/>
  <c r="Y45" i="132"/>
  <c r="Y46" i="132"/>
  <c r="Y47" i="132"/>
  <c r="Y48" i="132"/>
  <c r="Y49" i="132"/>
  <c r="Y50" i="132"/>
  <c r="Y51" i="132"/>
  <c r="Y52" i="132"/>
  <c r="Y53" i="132"/>
  <c r="Y54" i="132"/>
  <c r="Y55" i="132"/>
  <c r="Y56" i="132"/>
  <c r="Y57" i="132"/>
  <c r="Y58" i="132"/>
  <c r="Y59" i="132"/>
  <c r="Y60" i="132"/>
  <c r="Y61" i="132"/>
  <c r="Y62" i="132"/>
  <c r="Y63" i="132"/>
  <c r="Y64" i="132"/>
  <c r="Y65" i="132"/>
  <c r="Y66" i="132"/>
  <c r="Y67" i="132"/>
  <c r="Y68" i="132"/>
  <c r="Y69" i="132"/>
  <c r="Y70" i="132"/>
  <c r="Y71" i="132"/>
  <c r="Y72" i="132"/>
  <c r="Y73" i="132"/>
  <c r="A3" i="93"/>
  <c r="A4" i="93"/>
  <c r="A5" i="93"/>
  <c r="B3" i="93"/>
  <c r="B4" i="93"/>
  <c r="B5" i="93"/>
  <c r="C3" i="93"/>
  <c r="C4" i="93"/>
  <c r="C5" i="93"/>
  <c r="D3" i="93"/>
  <c r="D4" i="93"/>
  <c r="D5" i="93"/>
  <c r="E3" i="93"/>
  <c r="E4" i="93"/>
  <c r="E5" i="93"/>
  <c r="G3" i="93"/>
  <c r="H3" i="42" s="1"/>
  <c r="G4" i="93"/>
  <c r="G5" i="93"/>
  <c r="H12" i="42" s="1"/>
  <c r="A4" i="42"/>
  <c r="A9" i="42"/>
  <c r="A12" i="42"/>
  <c r="A10" i="42"/>
  <c r="A5" i="42"/>
  <c r="A6" i="42"/>
  <c r="A7" i="42"/>
  <c r="A11" i="42"/>
  <c r="A8" i="42"/>
  <c r="A3" i="42"/>
  <c r="B4" i="42"/>
  <c r="B9" i="42"/>
  <c r="B12" i="42"/>
  <c r="B10" i="42"/>
  <c r="B5" i="42"/>
  <c r="B6" i="42"/>
  <c r="B7" i="42"/>
  <c r="B11" i="42"/>
  <c r="B8" i="42"/>
  <c r="B3" i="42"/>
  <c r="C4" i="42"/>
  <c r="C9" i="42"/>
  <c r="C12" i="42"/>
  <c r="C10" i="42"/>
  <c r="C5" i="42"/>
  <c r="C6" i="42"/>
  <c r="C7" i="42"/>
  <c r="C11" i="42"/>
  <c r="C8" i="42"/>
  <c r="C3" i="42"/>
  <c r="D4" i="42"/>
  <c r="D9" i="42"/>
  <c r="D12" i="42"/>
  <c r="D10" i="42"/>
  <c r="D5" i="42"/>
  <c r="D6" i="42"/>
  <c r="D7" i="42"/>
  <c r="D11" i="42"/>
  <c r="D8" i="42"/>
  <c r="D3" i="42"/>
  <c r="E4" i="42"/>
  <c r="E9" i="42"/>
  <c r="E12" i="42"/>
  <c r="E10" i="42"/>
  <c r="E5" i="42"/>
  <c r="E6" i="42"/>
  <c r="E7" i="42"/>
  <c r="E11" i="42"/>
  <c r="E8" i="42"/>
  <c r="E3" i="42"/>
  <c r="AC2" i="94" a="1"/>
  <c r="AC2" i="94" s="1"/>
  <c r="B9" i="137"/>
  <c r="B17" i="137"/>
  <c r="B21" i="137"/>
  <c r="B23" i="137"/>
  <c r="B38" i="137"/>
  <c r="B39" i="137"/>
  <c r="B40" i="137"/>
  <c r="B41" i="137"/>
  <c r="B54" i="137"/>
  <c r="B55" i="137"/>
  <c r="B56" i="137"/>
  <c r="B57" i="137"/>
  <c r="B58" i="137"/>
  <c r="B65" i="137"/>
  <c r="B66" i="137"/>
  <c r="B79" i="137"/>
  <c r="B80" i="137"/>
  <c r="B83" i="137"/>
  <c r="B84" i="137"/>
  <c r="B85" i="137"/>
  <c r="A2" i="137"/>
  <c r="A3" i="137"/>
  <c r="A4" i="137"/>
  <c r="A5" i="137"/>
  <c r="A6" i="137"/>
  <c r="A7" i="137"/>
  <c r="A8" i="137"/>
  <c r="A9" i="137"/>
  <c r="A10" i="137"/>
  <c r="A11" i="137"/>
  <c r="A12" i="137"/>
  <c r="A13" i="137"/>
  <c r="A14" i="137"/>
  <c r="A15" i="137"/>
  <c r="A16" i="137"/>
  <c r="A17" i="137"/>
  <c r="A18" i="137"/>
  <c r="A19" i="137"/>
  <c r="A20" i="137"/>
  <c r="A21" i="137"/>
  <c r="A22" i="137"/>
  <c r="A23" i="137"/>
  <c r="A24" i="137"/>
  <c r="A25" i="137"/>
  <c r="A26" i="137"/>
  <c r="A27" i="137"/>
  <c r="A28" i="137"/>
  <c r="A29" i="137"/>
  <c r="A30" i="137"/>
  <c r="A31" i="137"/>
  <c r="A32" i="137"/>
  <c r="A33" i="137"/>
  <c r="A34" i="137"/>
  <c r="A35" i="137"/>
  <c r="A36" i="137"/>
  <c r="A37" i="137"/>
  <c r="A38" i="137"/>
  <c r="A39" i="137"/>
  <c r="A40" i="137"/>
  <c r="A41" i="137"/>
  <c r="A42" i="137"/>
  <c r="A43" i="137"/>
  <c r="A44" i="137"/>
  <c r="A45" i="137"/>
  <c r="A46" i="137"/>
  <c r="A47" i="137"/>
  <c r="A48" i="137"/>
  <c r="A49" i="137"/>
  <c r="A50" i="137"/>
  <c r="A51" i="137"/>
  <c r="A52" i="137"/>
  <c r="A53" i="137"/>
  <c r="A54" i="137"/>
  <c r="A55" i="137"/>
  <c r="A56" i="137"/>
  <c r="A57" i="137"/>
  <c r="A58" i="137"/>
  <c r="A59" i="137"/>
  <c r="A60" i="137"/>
  <c r="A61" i="137"/>
  <c r="A62" i="137"/>
  <c r="A63" i="137"/>
  <c r="A64" i="137"/>
  <c r="A65" i="137"/>
  <c r="A66" i="137"/>
  <c r="A67" i="137"/>
  <c r="A68" i="137"/>
  <c r="A69" i="137"/>
  <c r="A70" i="137"/>
  <c r="A71" i="137"/>
  <c r="A72" i="137"/>
  <c r="A73" i="137"/>
  <c r="A74" i="137"/>
  <c r="A75" i="137"/>
  <c r="A76" i="137"/>
  <c r="A77" i="137"/>
  <c r="A78" i="137"/>
  <c r="A79" i="137"/>
  <c r="A80" i="137"/>
  <c r="A81" i="137"/>
  <c r="A82" i="137"/>
  <c r="A83" i="137"/>
  <c r="A84" i="137"/>
  <c r="A85" i="137"/>
  <c r="A86" i="137"/>
  <c r="A87" i="137"/>
  <c r="A88" i="137"/>
  <c r="A89" i="137"/>
  <c r="A90" i="137"/>
  <c r="A91" i="137"/>
  <c r="A92" i="137"/>
  <c r="A93" i="137"/>
  <c r="A94" i="137"/>
  <c r="A95" i="137"/>
  <c r="B2" i="137"/>
  <c r="B3" i="137"/>
  <c r="B4" i="137"/>
  <c r="B5" i="137"/>
  <c r="B6" i="137"/>
  <c r="B7" i="137"/>
  <c r="C2" i="137"/>
  <c r="C3" i="137"/>
  <c r="C4" i="137"/>
  <c r="C5" i="137"/>
  <c r="C6" i="137"/>
  <c r="C7" i="137"/>
  <c r="C8" i="137"/>
  <c r="C9" i="137"/>
  <c r="C10" i="137"/>
  <c r="C11" i="137"/>
  <c r="C12" i="137"/>
  <c r="C13" i="137"/>
  <c r="C14" i="137"/>
  <c r="C15" i="137"/>
  <c r="C16" i="137"/>
  <c r="C17" i="137"/>
  <c r="C18" i="137"/>
  <c r="C19" i="137"/>
  <c r="C20" i="137"/>
  <c r="C21" i="137"/>
  <c r="C22" i="137"/>
  <c r="C23" i="137"/>
  <c r="C24" i="137"/>
  <c r="C25" i="137"/>
  <c r="C26" i="137"/>
  <c r="C27" i="137"/>
  <c r="C28" i="137"/>
  <c r="C29" i="137"/>
  <c r="C30" i="137"/>
  <c r="C31" i="137"/>
  <c r="C32" i="137"/>
  <c r="C33" i="137"/>
  <c r="C34" i="137"/>
  <c r="C35" i="137"/>
  <c r="C36" i="137"/>
  <c r="C37" i="137"/>
  <c r="C38" i="137"/>
  <c r="C39" i="137"/>
  <c r="C40" i="137"/>
  <c r="C41" i="137"/>
  <c r="C42" i="137"/>
  <c r="C43" i="137"/>
  <c r="C44" i="137"/>
  <c r="C45" i="137"/>
  <c r="C46" i="137"/>
  <c r="C47" i="137"/>
  <c r="C48" i="137"/>
  <c r="C49" i="137"/>
  <c r="C50" i="137"/>
  <c r="C51" i="137"/>
  <c r="C52" i="137"/>
  <c r="C53" i="137"/>
  <c r="C54" i="137"/>
  <c r="C55" i="137"/>
  <c r="C56" i="137"/>
  <c r="C57" i="137"/>
  <c r="C58" i="137"/>
  <c r="C59" i="137"/>
  <c r="C60" i="137"/>
  <c r="C61" i="137"/>
  <c r="C62" i="137"/>
  <c r="C63" i="137"/>
  <c r="C64" i="137"/>
  <c r="C65" i="137"/>
  <c r="C66" i="137"/>
  <c r="C67" i="137"/>
  <c r="C68" i="137"/>
  <c r="C69" i="137"/>
  <c r="C70" i="137"/>
  <c r="C71" i="137"/>
  <c r="C72" i="137"/>
  <c r="C73" i="137"/>
  <c r="C74" i="137"/>
  <c r="C75" i="137"/>
  <c r="C76" i="137"/>
  <c r="C77" i="137"/>
  <c r="C78" i="137"/>
  <c r="C79" i="137"/>
  <c r="C80" i="137"/>
  <c r="C81" i="137"/>
  <c r="C82" i="137"/>
  <c r="C83" i="137"/>
  <c r="C84" i="137"/>
  <c r="C85" i="137"/>
  <c r="C86" i="137"/>
  <c r="C87" i="137"/>
  <c r="C88" i="137"/>
  <c r="C89" i="137"/>
  <c r="C90" i="137"/>
  <c r="C91" i="137"/>
  <c r="C92" i="137"/>
  <c r="C93" i="137"/>
  <c r="C94" i="137"/>
  <c r="C95" i="137"/>
  <c r="D2" i="137"/>
  <c r="D3" i="137"/>
  <c r="D4" i="137"/>
  <c r="D5" i="137"/>
  <c r="D6" i="137"/>
  <c r="D7" i="137"/>
  <c r="D8" i="137"/>
  <c r="D9" i="137"/>
  <c r="D10" i="137"/>
  <c r="D11" i="137"/>
  <c r="D12" i="137"/>
  <c r="D13" i="137"/>
  <c r="D14" i="137"/>
  <c r="D15" i="137"/>
  <c r="D16" i="137"/>
  <c r="D17" i="137"/>
  <c r="D18" i="137"/>
  <c r="D19" i="137"/>
  <c r="D20" i="137"/>
  <c r="D21" i="137"/>
  <c r="D22" i="137"/>
  <c r="D23" i="137"/>
  <c r="D24" i="137"/>
  <c r="D25" i="137"/>
  <c r="D26" i="137"/>
  <c r="D27" i="137"/>
  <c r="D28" i="137"/>
  <c r="D29" i="137"/>
  <c r="D30" i="137"/>
  <c r="D31" i="137"/>
  <c r="D32" i="137"/>
  <c r="D33" i="137"/>
  <c r="D34" i="137"/>
  <c r="D35" i="137"/>
  <c r="D36" i="137"/>
  <c r="D37" i="137"/>
  <c r="D38" i="137"/>
  <c r="D39" i="137"/>
  <c r="D40" i="137"/>
  <c r="D41" i="137"/>
  <c r="D42" i="137"/>
  <c r="D43" i="137"/>
  <c r="D44" i="137"/>
  <c r="D45" i="137"/>
  <c r="D46" i="137"/>
  <c r="D47" i="137"/>
  <c r="D48" i="137"/>
  <c r="D49" i="137"/>
  <c r="D50" i="137"/>
  <c r="D51" i="137"/>
  <c r="D52" i="137"/>
  <c r="D53" i="137"/>
  <c r="D54" i="137"/>
  <c r="D55" i="137"/>
  <c r="D56" i="137"/>
  <c r="D57" i="137"/>
  <c r="D58" i="137"/>
  <c r="D59" i="137"/>
  <c r="D60" i="137"/>
  <c r="D61" i="137"/>
  <c r="D62" i="137"/>
  <c r="D63" i="137"/>
  <c r="D64" i="137"/>
  <c r="D65" i="137"/>
  <c r="D66" i="137"/>
  <c r="D67" i="137"/>
  <c r="D68" i="137"/>
  <c r="D69" i="137"/>
  <c r="D70" i="137"/>
  <c r="D71" i="137"/>
  <c r="D72" i="137"/>
  <c r="D73" i="137"/>
  <c r="D74" i="137"/>
  <c r="D75" i="137"/>
  <c r="D76" i="137"/>
  <c r="D77" i="137"/>
  <c r="D78" i="137"/>
  <c r="D79" i="137"/>
  <c r="D80" i="137"/>
  <c r="D81" i="137"/>
  <c r="D82" i="137"/>
  <c r="D83" i="137"/>
  <c r="D84" i="137"/>
  <c r="D85" i="137"/>
  <c r="D86" i="137"/>
  <c r="D87" i="137"/>
  <c r="D88" i="137"/>
  <c r="D89" i="137"/>
  <c r="D90" i="137"/>
  <c r="D91" i="137"/>
  <c r="D92" i="137"/>
  <c r="D93" i="137"/>
  <c r="D94" i="137"/>
  <c r="D95" i="137"/>
  <c r="E2" i="137"/>
  <c r="E3" i="137"/>
  <c r="E4" i="137"/>
  <c r="E5" i="137"/>
  <c r="E6" i="137"/>
  <c r="E7" i="137"/>
  <c r="E8" i="137"/>
  <c r="E9" i="137"/>
  <c r="E10" i="137"/>
  <c r="E11" i="137"/>
  <c r="E12" i="137"/>
  <c r="E13" i="137"/>
  <c r="E14" i="137"/>
  <c r="E15" i="137"/>
  <c r="E16" i="137"/>
  <c r="E17" i="137"/>
  <c r="E18" i="137"/>
  <c r="E19" i="137"/>
  <c r="E20" i="137"/>
  <c r="E21" i="137"/>
  <c r="E22" i="137"/>
  <c r="E23" i="137"/>
  <c r="E24" i="137"/>
  <c r="E25" i="137"/>
  <c r="E26" i="137"/>
  <c r="E27" i="137"/>
  <c r="E28" i="137"/>
  <c r="E29" i="137"/>
  <c r="E30" i="137"/>
  <c r="E31" i="137"/>
  <c r="E32" i="137"/>
  <c r="E33" i="137"/>
  <c r="E34" i="137"/>
  <c r="E35" i="137"/>
  <c r="E36" i="137"/>
  <c r="E37" i="137"/>
  <c r="E38" i="137"/>
  <c r="E39" i="137"/>
  <c r="E40" i="137"/>
  <c r="E41" i="137"/>
  <c r="E42" i="137"/>
  <c r="E43" i="137"/>
  <c r="E44" i="137"/>
  <c r="E45" i="137"/>
  <c r="E46" i="137"/>
  <c r="E47" i="137"/>
  <c r="E48" i="137"/>
  <c r="E49" i="137"/>
  <c r="E50" i="137"/>
  <c r="E51" i="137"/>
  <c r="E52" i="137"/>
  <c r="E53" i="137"/>
  <c r="E54" i="137"/>
  <c r="E55" i="137"/>
  <c r="E56" i="137"/>
  <c r="E57" i="137"/>
  <c r="E58" i="137"/>
  <c r="E59" i="137"/>
  <c r="E60" i="137"/>
  <c r="E61" i="137"/>
  <c r="E62" i="137"/>
  <c r="E63" i="137"/>
  <c r="E64" i="137"/>
  <c r="E65" i="137"/>
  <c r="E66" i="137"/>
  <c r="E67" i="137"/>
  <c r="E68" i="137"/>
  <c r="E69" i="137"/>
  <c r="E70" i="137"/>
  <c r="E71" i="137"/>
  <c r="E72" i="137"/>
  <c r="E73" i="137"/>
  <c r="E74" i="137"/>
  <c r="E75" i="137"/>
  <c r="E76" i="137"/>
  <c r="E77" i="137"/>
  <c r="E78" i="137"/>
  <c r="E79" i="137"/>
  <c r="E80" i="137"/>
  <c r="E81" i="137"/>
  <c r="E82" i="137"/>
  <c r="E83" i="137"/>
  <c r="E84" i="137"/>
  <c r="E85" i="137"/>
  <c r="E86" i="137"/>
  <c r="E87" i="137"/>
  <c r="E88" i="137"/>
  <c r="E89" i="137"/>
  <c r="E90" i="137"/>
  <c r="E91" i="137"/>
  <c r="E92" i="137"/>
  <c r="E93" i="137"/>
  <c r="E94" i="137"/>
  <c r="E95" i="137"/>
  <c r="F2" i="137"/>
  <c r="F3" i="137"/>
  <c r="F4" i="137"/>
  <c r="F5" i="137"/>
  <c r="F6" i="137"/>
  <c r="F7" i="137"/>
  <c r="F8" i="137"/>
  <c r="F9" i="137"/>
  <c r="F10" i="137"/>
  <c r="F11" i="137"/>
  <c r="F12" i="137"/>
  <c r="F13" i="137"/>
  <c r="F14" i="137"/>
  <c r="F15" i="137"/>
  <c r="F16" i="137"/>
  <c r="F17" i="137"/>
  <c r="F18" i="137"/>
  <c r="F19" i="137"/>
  <c r="F20" i="137"/>
  <c r="F21" i="137"/>
  <c r="F22" i="137"/>
  <c r="F23" i="137"/>
  <c r="F24" i="137"/>
  <c r="F25" i="137"/>
  <c r="F26" i="137"/>
  <c r="F27" i="137"/>
  <c r="F28" i="137"/>
  <c r="F29" i="137"/>
  <c r="F30" i="137"/>
  <c r="F31" i="137"/>
  <c r="F32" i="137"/>
  <c r="F33" i="137"/>
  <c r="F34" i="137"/>
  <c r="F35" i="137"/>
  <c r="F36" i="137"/>
  <c r="F37" i="137"/>
  <c r="F38" i="137"/>
  <c r="F39" i="137"/>
  <c r="F40" i="137"/>
  <c r="F41" i="137"/>
  <c r="F42" i="137"/>
  <c r="F43" i="137"/>
  <c r="F44" i="137"/>
  <c r="F45" i="137"/>
  <c r="F46" i="137"/>
  <c r="F47" i="137"/>
  <c r="F48" i="137"/>
  <c r="F49" i="137"/>
  <c r="F50" i="137"/>
  <c r="F51" i="137"/>
  <c r="F52" i="137"/>
  <c r="F53" i="137"/>
  <c r="F54" i="137"/>
  <c r="F55" i="137"/>
  <c r="F56" i="137"/>
  <c r="F57" i="137"/>
  <c r="F58" i="137"/>
  <c r="F59" i="137"/>
  <c r="F60" i="137"/>
  <c r="F61" i="137"/>
  <c r="F62" i="137"/>
  <c r="F63" i="137"/>
  <c r="F64" i="137"/>
  <c r="F65" i="137"/>
  <c r="F66" i="137"/>
  <c r="F67" i="137"/>
  <c r="F68" i="137"/>
  <c r="F69" i="137"/>
  <c r="F70" i="137"/>
  <c r="F71" i="137"/>
  <c r="F72" i="137"/>
  <c r="F73" i="137"/>
  <c r="F74" i="137"/>
  <c r="F75" i="137"/>
  <c r="F76" i="137"/>
  <c r="F77" i="137"/>
  <c r="F78" i="137"/>
  <c r="F79" i="137"/>
  <c r="F80" i="137"/>
  <c r="F81" i="137"/>
  <c r="F82" i="137"/>
  <c r="F83" i="137"/>
  <c r="F84" i="137"/>
  <c r="F85" i="137"/>
  <c r="F86" i="137"/>
  <c r="F87" i="137"/>
  <c r="F88" i="137"/>
  <c r="F89" i="137"/>
  <c r="F90" i="137"/>
  <c r="F91" i="137"/>
  <c r="F92" i="137"/>
  <c r="F93" i="137"/>
  <c r="F94" i="137"/>
  <c r="F95" i="137"/>
  <c r="G2" i="137"/>
  <c r="G3" i="137"/>
  <c r="G4" i="137"/>
  <c r="G5" i="137"/>
  <c r="G6" i="137"/>
  <c r="G7" i="137"/>
  <c r="G8" i="137"/>
  <c r="G9" i="137"/>
  <c r="G10" i="137"/>
  <c r="G11" i="137"/>
  <c r="G12" i="137"/>
  <c r="G13" i="137"/>
  <c r="G14" i="137"/>
  <c r="G15" i="137"/>
  <c r="G16" i="137"/>
  <c r="G17" i="137"/>
  <c r="G18" i="137"/>
  <c r="G19" i="137"/>
  <c r="G20" i="137"/>
  <c r="G21" i="137"/>
  <c r="G22" i="137"/>
  <c r="G23" i="137"/>
  <c r="G24" i="137"/>
  <c r="G25" i="137"/>
  <c r="G26" i="137"/>
  <c r="G27" i="137"/>
  <c r="G28" i="137"/>
  <c r="G29" i="137"/>
  <c r="G30" i="137"/>
  <c r="G31" i="137"/>
  <c r="G32" i="137"/>
  <c r="G33" i="137"/>
  <c r="G34" i="137"/>
  <c r="G35" i="137"/>
  <c r="G36" i="137"/>
  <c r="G37" i="137"/>
  <c r="G38" i="137"/>
  <c r="G39" i="137"/>
  <c r="G40" i="137"/>
  <c r="G41" i="137"/>
  <c r="G42" i="137"/>
  <c r="G43" i="137"/>
  <c r="G44" i="137"/>
  <c r="G45" i="137"/>
  <c r="G46" i="137"/>
  <c r="G47" i="137"/>
  <c r="G48" i="137"/>
  <c r="G49" i="137"/>
  <c r="G50" i="137"/>
  <c r="G51" i="137"/>
  <c r="G52" i="137"/>
  <c r="G53" i="137"/>
  <c r="G54" i="137"/>
  <c r="G55" i="137"/>
  <c r="G56" i="137"/>
  <c r="G57" i="137"/>
  <c r="G58" i="137"/>
  <c r="G59" i="137"/>
  <c r="G60" i="137"/>
  <c r="G61" i="137"/>
  <c r="G62" i="137"/>
  <c r="G63" i="137"/>
  <c r="G64" i="137"/>
  <c r="G65" i="137"/>
  <c r="G66" i="137"/>
  <c r="G67" i="137"/>
  <c r="G68" i="137"/>
  <c r="G69" i="137"/>
  <c r="G70" i="137"/>
  <c r="G71" i="137"/>
  <c r="G72" i="137"/>
  <c r="G73" i="137"/>
  <c r="G74" i="137"/>
  <c r="G75" i="137"/>
  <c r="G76" i="137"/>
  <c r="G77" i="137"/>
  <c r="G78" i="137"/>
  <c r="G79" i="137"/>
  <c r="G80" i="137"/>
  <c r="G81" i="137"/>
  <c r="G82" i="137"/>
  <c r="G83" i="137"/>
  <c r="G84" i="137"/>
  <c r="G85" i="137"/>
  <c r="G86" i="137"/>
  <c r="G87" i="137"/>
  <c r="G88" i="137"/>
  <c r="G89" i="137"/>
  <c r="G90" i="137"/>
  <c r="G91" i="137"/>
  <c r="G92" i="137"/>
  <c r="G93" i="137"/>
  <c r="G94" i="137"/>
  <c r="G95" i="137"/>
  <c r="H2" i="137"/>
  <c r="H3" i="137"/>
  <c r="H4" i="137"/>
  <c r="H5" i="137"/>
  <c r="H6" i="137"/>
  <c r="H7" i="137"/>
  <c r="H8" i="137"/>
  <c r="H9" i="137"/>
  <c r="H10" i="137"/>
  <c r="H11" i="137"/>
  <c r="H12" i="137"/>
  <c r="H13" i="137"/>
  <c r="H14" i="137"/>
  <c r="H15" i="137"/>
  <c r="H16" i="137"/>
  <c r="H17" i="137"/>
  <c r="H18" i="137"/>
  <c r="H19" i="137"/>
  <c r="H20" i="137"/>
  <c r="H21" i="137"/>
  <c r="H22" i="137"/>
  <c r="H23" i="137"/>
  <c r="H24" i="137"/>
  <c r="H25" i="137"/>
  <c r="H26" i="137"/>
  <c r="H27" i="137"/>
  <c r="H28" i="137"/>
  <c r="H29" i="137"/>
  <c r="H30" i="137"/>
  <c r="H31" i="137"/>
  <c r="H32" i="137"/>
  <c r="H33" i="137"/>
  <c r="H34" i="137"/>
  <c r="H35" i="137"/>
  <c r="H36" i="137"/>
  <c r="H37" i="137"/>
  <c r="H38" i="137"/>
  <c r="H39" i="137"/>
  <c r="H40" i="137"/>
  <c r="H41" i="137"/>
  <c r="H42" i="137"/>
  <c r="H43" i="137"/>
  <c r="H44" i="137"/>
  <c r="H45" i="137"/>
  <c r="H46" i="137"/>
  <c r="H47" i="137"/>
  <c r="H48" i="137"/>
  <c r="H49" i="137"/>
  <c r="H50" i="137"/>
  <c r="H51" i="137"/>
  <c r="H52" i="137"/>
  <c r="H53" i="137"/>
  <c r="H54" i="137"/>
  <c r="H55" i="137"/>
  <c r="H56" i="137"/>
  <c r="H57" i="137"/>
  <c r="H58" i="137"/>
  <c r="H59" i="137"/>
  <c r="H60" i="137"/>
  <c r="H61" i="137"/>
  <c r="H62" i="137"/>
  <c r="H63" i="137"/>
  <c r="H64" i="137"/>
  <c r="H65" i="137"/>
  <c r="H66" i="137"/>
  <c r="H67" i="137"/>
  <c r="H68" i="137"/>
  <c r="H69" i="137"/>
  <c r="H70" i="137"/>
  <c r="H71" i="137"/>
  <c r="H72" i="137"/>
  <c r="H73" i="137"/>
  <c r="H74" i="137"/>
  <c r="H75" i="137"/>
  <c r="H76" i="137"/>
  <c r="H77" i="137"/>
  <c r="H78" i="137"/>
  <c r="H79" i="137"/>
  <c r="H80" i="137"/>
  <c r="H81" i="137"/>
  <c r="H82" i="137"/>
  <c r="H83" i="137"/>
  <c r="H84" i="137"/>
  <c r="H85" i="137"/>
  <c r="H86" i="137"/>
  <c r="H87" i="137"/>
  <c r="H88" i="137"/>
  <c r="H89" i="137"/>
  <c r="H90" i="137"/>
  <c r="H91" i="137"/>
  <c r="H92" i="137"/>
  <c r="H93" i="137"/>
  <c r="H94" i="137"/>
  <c r="H95" i="137"/>
  <c r="I2" i="137"/>
  <c r="I3" i="137"/>
  <c r="I4" i="137"/>
  <c r="I5" i="137"/>
  <c r="I6" i="137"/>
  <c r="I7" i="137"/>
  <c r="I8" i="137"/>
  <c r="I9" i="137"/>
  <c r="I10" i="137"/>
  <c r="I11" i="137"/>
  <c r="I12" i="137"/>
  <c r="I13" i="137"/>
  <c r="I14" i="137"/>
  <c r="I15" i="137"/>
  <c r="I16" i="137"/>
  <c r="I17" i="137"/>
  <c r="I18" i="137"/>
  <c r="I19" i="137"/>
  <c r="I20" i="137"/>
  <c r="I21" i="137"/>
  <c r="I22" i="137"/>
  <c r="I23" i="137"/>
  <c r="I24" i="137"/>
  <c r="I25" i="137"/>
  <c r="I26" i="137"/>
  <c r="I27" i="137"/>
  <c r="I28" i="137"/>
  <c r="I29" i="137"/>
  <c r="I30" i="137"/>
  <c r="I31" i="137"/>
  <c r="I32" i="137"/>
  <c r="I33" i="137"/>
  <c r="I34" i="137"/>
  <c r="I35" i="137"/>
  <c r="I36" i="137"/>
  <c r="I37" i="137"/>
  <c r="I38" i="137"/>
  <c r="I39" i="137"/>
  <c r="I40" i="137"/>
  <c r="I41" i="137"/>
  <c r="I42" i="137"/>
  <c r="I43" i="137"/>
  <c r="I44" i="137"/>
  <c r="I45" i="137"/>
  <c r="I46" i="137"/>
  <c r="I47" i="137"/>
  <c r="I48" i="137"/>
  <c r="I49" i="137"/>
  <c r="I50" i="137"/>
  <c r="I51" i="137"/>
  <c r="I52" i="137"/>
  <c r="I53" i="137"/>
  <c r="I54" i="137"/>
  <c r="I55" i="137"/>
  <c r="I56" i="137"/>
  <c r="I57" i="137"/>
  <c r="I58" i="137"/>
  <c r="I59" i="137"/>
  <c r="I60" i="137"/>
  <c r="I61" i="137"/>
  <c r="I62" i="137"/>
  <c r="I63" i="137"/>
  <c r="I64" i="137"/>
  <c r="I65" i="137"/>
  <c r="I66" i="137"/>
  <c r="I67" i="137"/>
  <c r="I68" i="137"/>
  <c r="I69" i="137"/>
  <c r="I70" i="137"/>
  <c r="I71" i="137"/>
  <c r="I72" i="137"/>
  <c r="I73" i="137"/>
  <c r="I74" i="137"/>
  <c r="I75" i="137"/>
  <c r="I76" i="137"/>
  <c r="I77" i="137"/>
  <c r="I78" i="137"/>
  <c r="I79" i="137"/>
  <c r="I80" i="137"/>
  <c r="I81" i="137"/>
  <c r="I82" i="137"/>
  <c r="I83" i="137"/>
  <c r="I84" i="137"/>
  <c r="I85" i="137"/>
  <c r="I86" i="137"/>
  <c r="I87" i="137"/>
  <c r="I88" i="137"/>
  <c r="I89" i="137"/>
  <c r="I90" i="137"/>
  <c r="I91" i="137"/>
  <c r="I92" i="137"/>
  <c r="I93" i="137"/>
  <c r="I94" i="137"/>
  <c r="I95" i="137"/>
  <c r="J2" i="137"/>
  <c r="J3" i="137"/>
  <c r="J4" i="137"/>
  <c r="J5" i="137"/>
  <c r="J6" i="137"/>
  <c r="J7" i="137"/>
  <c r="J8" i="137"/>
  <c r="J9" i="137"/>
  <c r="J10" i="137"/>
  <c r="J11" i="137"/>
  <c r="J12" i="137"/>
  <c r="J13" i="137"/>
  <c r="J14" i="137"/>
  <c r="J15" i="137"/>
  <c r="J16" i="137"/>
  <c r="J17" i="137"/>
  <c r="J18" i="137"/>
  <c r="J19" i="137"/>
  <c r="J20" i="137"/>
  <c r="J21" i="137"/>
  <c r="J22" i="137"/>
  <c r="J23" i="137"/>
  <c r="J24" i="137"/>
  <c r="J25" i="137"/>
  <c r="J26" i="137"/>
  <c r="J27" i="137"/>
  <c r="J28" i="137"/>
  <c r="J29" i="137"/>
  <c r="J30" i="137"/>
  <c r="J31" i="137"/>
  <c r="J32" i="137"/>
  <c r="J33" i="137"/>
  <c r="J34" i="137"/>
  <c r="J35" i="137"/>
  <c r="J36" i="137"/>
  <c r="J37" i="137"/>
  <c r="J38" i="137"/>
  <c r="J39" i="137"/>
  <c r="J40" i="137"/>
  <c r="J41" i="137"/>
  <c r="J42" i="137"/>
  <c r="J43" i="137"/>
  <c r="J44" i="137"/>
  <c r="J45" i="137"/>
  <c r="J46" i="137"/>
  <c r="J47" i="137"/>
  <c r="J48" i="137"/>
  <c r="J49" i="137"/>
  <c r="J50" i="137"/>
  <c r="J51" i="137"/>
  <c r="J52" i="137"/>
  <c r="J53" i="137"/>
  <c r="J54" i="137"/>
  <c r="J55" i="137"/>
  <c r="J56" i="137"/>
  <c r="J57" i="137"/>
  <c r="J58" i="137"/>
  <c r="J59" i="137"/>
  <c r="J60" i="137"/>
  <c r="J61" i="137"/>
  <c r="J62" i="137"/>
  <c r="J63" i="137"/>
  <c r="J64" i="137"/>
  <c r="J65" i="137"/>
  <c r="J66" i="137"/>
  <c r="J67" i="137"/>
  <c r="J68" i="137"/>
  <c r="J69" i="137"/>
  <c r="J70" i="137"/>
  <c r="J71" i="137"/>
  <c r="J72" i="137"/>
  <c r="J73" i="137"/>
  <c r="J74" i="137"/>
  <c r="J75" i="137"/>
  <c r="J76" i="137"/>
  <c r="J77" i="137"/>
  <c r="J78" i="137"/>
  <c r="J79" i="137"/>
  <c r="J80" i="137"/>
  <c r="J81" i="137"/>
  <c r="J82" i="137"/>
  <c r="J83" i="137"/>
  <c r="J84" i="137"/>
  <c r="J85" i="137"/>
  <c r="J86" i="137"/>
  <c r="J87" i="137"/>
  <c r="J88" i="137"/>
  <c r="J89" i="137"/>
  <c r="J90" i="137"/>
  <c r="J91" i="137"/>
  <c r="J92" i="137"/>
  <c r="J93" i="137"/>
  <c r="J94" i="137"/>
  <c r="J95" i="137"/>
  <c r="K2" i="137"/>
  <c r="K3" i="137"/>
  <c r="K4" i="137"/>
  <c r="K5" i="137"/>
  <c r="K6" i="137"/>
  <c r="K7" i="137"/>
  <c r="K8" i="137"/>
  <c r="K9" i="137"/>
  <c r="K10" i="137"/>
  <c r="K11" i="137"/>
  <c r="K12" i="137"/>
  <c r="K13" i="137"/>
  <c r="K14" i="137"/>
  <c r="K15" i="137"/>
  <c r="K16" i="137"/>
  <c r="K17" i="137"/>
  <c r="K18" i="137"/>
  <c r="K19" i="137"/>
  <c r="K20" i="137"/>
  <c r="K21" i="137"/>
  <c r="K22" i="137"/>
  <c r="K23" i="137"/>
  <c r="K24" i="137"/>
  <c r="K25" i="137"/>
  <c r="K26" i="137"/>
  <c r="K27" i="137"/>
  <c r="K28" i="137"/>
  <c r="K29" i="137"/>
  <c r="K30" i="137"/>
  <c r="K31" i="137"/>
  <c r="K32" i="137"/>
  <c r="K33" i="137"/>
  <c r="K34" i="137"/>
  <c r="K35" i="137"/>
  <c r="K36" i="137"/>
  <c r="K37" i="137"/>
  <c r="K38" i="137"/>
  <c r="K39" i="137"/>
  <c r="K40" i="137"/>
  <c r="K41" i="137"/>
  <c r="K42" i="137"/>
  <c r="K43" i="137"/>
  <c r="K44" i="137"/>
  <c r="K45" i="137"/>
  <c r="K46" i="137"/>
  <c r="K47" i="137"/>
  <c r="K48" i="137"/>
  <c r="K49" i="137"/>
  <c r="K50" i="137"/>
  <c r="K51" i="137"/>
  <c r="K52" i="137"/>
  <c r="K53" i="137"/>
  <c r="K54" i="137"/>
  <c r="K55" i="137"/>
  <c r="K56" i="137"/>
  <c r="K57" i="137"/>
  <c r="K58" i="137"/>
  <c r="K59" i="137"/>
  <c r="K60" i="137"/>
  <c r="K61" i="137"/>
  <c r="K62" i="137"/>
  <c r="K63" i="137"/>
  <c r="K64" i="137"/>
  <c r="K65" i="137"/>
  <c r="K66" i="137"/>
  <c r="K67" i="137"/>
  <c r="K68" i="137"/>
  <c r="K69" i="137"/>
  <c r="K70" i="137"/>
  <c r="K71" i="137"/>
  <c r="K72" i="137"/>
  <c r="K73" i="137"/>
  <c r="K74" i="137"/>
  <c r="K75" i="137"/>
  <c r="K76" i="137"/>
  <c r="K77" i="137"/>
  <c r="K78" i="137"/>
  <c r="K79" i="137"/>
  <c r="K80" i="137"/>
  <c r="K81" i="137"/>
  <c r="K82" i="137"/>
  <c r="K83" i="137"/>
  <c r="K84" i="137"/>
  <c r="K85" i="137"/>
  <c r="K86" i="137"/>
  <c r="K87" i="137"/>
  <c r="K88" i="137"/>
  <c r="K89" i="137"/>
  <c r="K90" i="137"/>
  <c r="K91" i="137"/>
  <c r="K92" i="137"/>
  <c r="K93" i="137"/>
  <c r="K94" i="137"/>
  <c r="K95" i="137"/>
  <c r="L2" i="137"/>
  <c r="L3" i="137"/>
  <c r="L4" i="137"/>
  <c r="L5" i="137"/>
  <c r="L6" i="137"/>
  <c r="L7" i="137"/>
  <c r="L8" i="137"/>
  <c r="L9" i="137"/>
  <c r="L10" i="137"/>
  <c r="L11" i="137"/>
  <c r="L12" i="137"/>
  <c r="L13" i="137"/>
  <c r="L14" i="137"/>
  <c r="L15" i="137"/>
  <c r="L16" i="137"/>
  <c r="L17" i="137"/>
  <c r="L18" i="137"/>
  <c r="L19" i="137"/>
  <c r="L20" i="137"/>
  <c r="L21" i="137"/>
  <c r="L22" i="137"/>
  <c r="L23" i="137"/>
  <c r="L24" i="137"/>
  <c r="L25" i="137"/>
  <c r="L26" i="137"/>
  <c r="L27" i="137"/>
  <c r="L28" i="137"/>
  <c r="L29" i="137"/>
  <c r="L30" i="137"/>
  <c r="L31" i="137"/>
  <c r="L32" i="137"/>
  <c r="L33" i="137"/>
  <c r="L34" i="137"/>
  <c r="L35" i="137"/>
  <c r="L36" i="137"/>
  <c r="L37" i="137"/>
  <c r="L38" i="137"/>
  <c r="L39" i="137"/>
  <c r="L40" i="137"/>
  <c r="L41" i="137"/>
  <c r="L42" i="137"/>
  <c r="L43" i="137"/>
  <c r="L44" i="137"/>
  <c r="L45" i="137"/>
  <c r="L46" i="137"/>
  <c r="L47" i="137"/>
  <c r="L48" i="137"/>
  <c r="L49" i="137"/>
  <c r="L50" i="137"/>
  <c r="L51" i="137"/>
  <c r="L52" i="137"/>
  <c r="L53" i="137"/>
  <c r="L54" i="137"/>
  <c r="L55" i="137"/>
  <c r="L56" i="137"/>
  <c r="L57" i="137"/>
  <c r="L58" i="137"/>
  <c r="L59" i="137"/>
  <c r="L60" i="137"/>
  <c r="L61" i="137"/>
  <c r="L62" i="137"/>
  <c r="L63" i="137"/>
  <c r="L64" i="137"/>
  <c r="L65" i="137"/>
  <c r="L66" i="137"/>
  <c r="L67" i="137"/>
  <c r="L68" i="137"/>
  <c r="L69" i="137"/>
  <c r="L70" i="137"/>
  <c r="L71" i="137"/>
  <c r="L72" i="137"/>
  <c r="L73" i="137"/>
  <c r="L74" i="137"/>
  <c r="L75" i="137"/>
  <c r="L76" i="137"/>
  <c r="L77" i="137"/>
  <c r="L78" i="137"/>
  <c r="L79" i="137"/>
  <c r="L80" i="137"/>
  <c r="L81" i="137"/>
  <c r="L82" i="137"/>
  <c r="L83" i="137"/>
  <c r="L84" i="137"/>
  <c r="L85" i="137"/>
  <c r="L86" i="137"/>
  <c r="L87" i="137"/>
  <c r="L88" i="137"/>
  <c r="L89" i="137"/>
  <c r="L90" i="137"/>
  <c r="L91" i="137"/>
  <c r="L92" i="137"/>
  <c r="L93" i="137"/>
  <c r="L94" i="137"/>
  <c r="L95" i="137"/>
  <c r="N2" i="137" a="1"/>
  <c r="N2" i="137" s="1"/>
  <c r="N3" i="137" a="1"/>
  <c r="N3" i="137" s="1"/>
  <c r="N4" i="137" a="1"/>
  <c r="N4" i="137" s="1"/>
  <c r="N5" i="137" a="1"/>
  <c r="N5" i="137" s="1"/>
  <c r="N6" i="137" a="1"/>
  <c r="N6" i="137" s="1"/>
  <c r="N7" i="137" a="1"/>
  <c r="N7" i="137" s="1"/>
  <c r="N8" i="137" a="1"/>
  <c r="N8" i="137" s="1"/>
  <c r="N9" i="137" a="1"/>
  <c r="N9" i="137" s="1"/>
  <c r="N10" i="137" a="1"/>
  <c r="N10" i="137" s="1"/>
  <c r="N11" i="137" a="1"/>
  <c r="N11" i="137" s="1"/>
  <c r="N12" i="137" a="1"/>
  <c r="N12" i="137" s="1"/>
  <c r="N13" i="137" a="1"/>
  <c r="N13" i="137" s="1"/>
  <c r="N14" i="137" a="1"/>
  <c r="N14" i="137" s="1"/>
  <c r="N15" i="137" a="1"/>
  <c r="N15" i="137" s="1"/>
  <c r="N16" i="137" a="1"/>
  <c r="N16" i="137" s="1"/>
  <c r="N17" i="137" a="1"/>
  <c r="N17" i="137" s="1"/>
  <c r="N18" i="137" a="1"/>
  <c r="N18" i="137" s="1"/>
  <c r="N19" i="137" a="1"/>
  <c r="N19" i="137" s="1"/>
  <c r="N20" i="137" a="1"/>
  <c r="N20" i="137" s="1"/>
  <c r="N21" i="137" a="1"/>
  <c r="N21" i="137" s="1"/>
  <c r="N22" i="137" a="1"/>
  <c r="N22" i="137" s="1"/>
  <c r="N23" i="137" a="1"/>
  <c r="N23" i="137" s="1"/>
  <c r="N24" i="137" a="1"/>
  <c r="N24" i="137" s="1"/>
  <c r="N25" i="137" a="1"/>
  <c r="N25" i="137" s="1"/>
  <c r="N26" i="137" a="1"/>
  <c r="N26" i="137" s="1"/>
  <c r="N27" i="137" a="1"/>
  <c r="N27" i="137" s="1"/>
  <c r="N28" i="137" a="1"/>
  <c r="N28" i="137" s="1"/>
  <c r="N29" i="137" a="1"/>
  <c r="N29" i="137" s="1"/>
  <c r="N30" i="137" a="1"/>
  <c r="N30" i="137" s="1"/>
  <c r="N31" i="137" a="1"/>
  <c r="N31" i="137" s="1"/>
  <c r="N32" i="137" a="1"/>
  <c r="N32" i="137" s="1"/>
  <c r="N33" i="137" a="1"/>
  <c r="N33" i="137" s="1"/>
  <c r="N34" i="137" a="1"/>
  <c r="N34" i="137" s="1"/>
  <c r="N35" i="137" a="1"/>
  <c r="N35" i="137" s="1"/>
  <c r="N36" i="137" a="1"/>
  <c r="N36" i="137" s="1"/>
  <c r="N37" i="137" a="1"/>
  <c r="N37" i="137" s="1"/>
  <c r="N38" i="137" a="1"/>
  <c r="N38" i="137" s="1"/>
  <c r="N39" i="137" a="1"/>
  <c r="N39" i="137" s="1"/>
  <c r="N40" i="137" a="1"/>
  <c r="N40" i="137" s="1"/>
  <c r="N41" i="137" a="1"/>
  <c r="N41" i="137" s="1"/>
  <c r="N42" i="137" a="1"/>
  <c r="N42" i="137" s="1"/>
  <c r="N43" i="137" a="1"/>
  <c r="N43" i="137" s="1"/>
  <c r="N44" i="137" a="1"/>
  <c r="N44" i="137" s="1"/>
  <c r="N45" i="137" a="1"/>
  <c r="N45" i="137" s="1"/>
  <c r="N46" i="137" a="1"/>
  <c r="N46" i="137" s="1"/>
  <c r="N47" i="137" a="1"/>
  <c r="N47" i="137" s="1"/>
  <c r="N48" i="137" a="1"/>
  <c r="N48" i="137" s="1"/>
  <c r="N49" i="137" a="1"/>
  <c r="N49" i="137" s="1"/>
  <c r="N50" i="137" a="1"/>
  <c r="N50" i="137" s="1"/>
  <c r="N51" i="137" a="1"/>
  <c r="N51" i="137" s="1"/>
  <c r="N52" i="137" a="1"/>
  <c r="N52" i="137" s="1"/>
  <c r="N53" i="137" a="1"/>
  <c r="N53" i="137" s="1"/>
  <c r="N54" i="137" a="1"/>
  <c r="N54" i="137" s="1"/>
  <c r="N55" i="137" a="1"/>
  <c r="N55" i="137" s="1"/>
  <c r="N56" i="137" a="1"/>
  <c r="N56" i="137" s="1"/>
  <c r="N57" i="137" a="1"/>
  <c r="N57" i="137" s="1"/>
  <c r="N58" i="137" a="1"/>
  <c r="N58" i="137" s="1"/>
  <c r="N59" i="137" a="1"/>
  <c r="N59" i="137" s="1"/>
  <c r="N60" i="137" a="1"/>
  <c r="N60" i="137" s="1"/>
  <c r="N61" i="137" a="1"/>
  <c r="N61" i="137" s="1"/>
  <c r="N62" i="137" a="1"/>
  <c r="N62" i="137" s="1"/>
  <c r="N63" i="137" a="1"/>
  <c r="N63" i="137" s="1"/>
  <c r="N64" i="137" a="1"/>
  <c r="N64" i="137" s="1"/>
  <c r="N65" i="137" a="1"/>
  <c r="N65" i="137" s="1"/>
  <c r="N66" i="137" a="1"/>
  <c r="N66" i="137" s="1"/>
  <c r="N67" i="137" a="1"/>
  <c r="N67" i="137" s="1"/>
  <c r="N68" i="137" a="1"/>
  <c r="N68" i="137" s="1"/>
  <c r="N69" i="137" a="1"/>
  <c r="N69" i="137" s="1"/>
  <c r="N70" i="137" a="1"/>
  <c r="N70" i="137" s="1"/>
  <c r="N71" i="137" a="1"/>
  <c r="N71" i="137" s="1"/>
  <c r="N72" i="137" a="1"/>
  <c r="N72" i="137" s="1"/>
  <c r="N73" i="137" a="1"/>
  <c r="N73" i="137" s="1"/>
  <c r="N74" i="137" a="1"/>
  <c r="N74" i="137" s="1"/>
  <c r="N75" i="137" a="1"/>
  <c r="N75" i="137" s="1"/>
  <c r="N76" i="137" a="1"/>
  <c r="N76" i="137" s="1"/>
  <c r="N77" i="137" a="1"/>
  <c r="N77" i="137" s="1"/>
  <c r="N78" i="137" a="1"/>
  <c r="N78" i="137" s="1"/>
  <c r="N79" i="137" a="1"/>
  <c r="N79" i="137" s="1"/>
  <c r="N80" i="137" a="1"/>
  <c r="N80" i="137" s="1"/>
  <c r="N81" i="137" a="1"/>
  <c r="N81" i="137" s="1"/>
  <c r="N82" i="137" a="1"/>
  <c r="N82" i="137" s="1"/>
  <c r="N83" i="137" a="1"/>
  <c r="N83" i="137" s="1"/>
  <c r="N84" i="137" a="1"/>
  <c r="N84" i="137" s="1"/>
  <c r="N85" i="137" a="1"/>
  <c r="N85" i="137" s="1"/>
  <c r="N86" i="137" a="1"/>
  <c r="N86" i="137" s="1"/>
  <c r="N87" i="137" a="1"/>
  <c r="N87" i="137" s="1"/>
  <c r="N88" i="137" a="1"/>
  <c r="N88" i="137" s="1"/>
  <c r="N89" i="137" a="1"/>
  <c r="N89" i="137" s="1"/>
  <c r="N90" i="137" a="1"/>
  <c r="N90" i="137" s="1"/>
  <c r="N91" i="137" a="1"/>
  <c r="N91" i="137" s="1"/>
  <c r="N92" i="137" a="1"/>
  <c r="N92" i="137" s="1"/>
  <c r="N93" i="137" a="1"/>
  <c r="N93" i="137" s="1"/>
  <c r="N94" i="137" a="1"/>
  <c r="N94" i="137" s="1"/>
  <c r="N95" i="137" a="1"/>
  <c r="N95" i="137" s="1"/>
  <c r="O2" i="137" a="1"/>
  <c r="O2" i="137" s="1"/>
  <c r="O3" i="137" a="1"/>
  <c r="O3" i="137" s="1"/>
  <c r="O4" i="137" a="1"/>
  <c r="O4" i="137" s="1"/>
  <c r="O5" i="137" a="1"/>
  <c r="O5" i="137" s="1"/>
  <c r="O6" i="137" a="1"/>
  <c r="O6" i="137" s="1"/>
  <c r="O7" i="137" a="1"/>
  <c r="O7" i="137" s="1"/>
  <c r="O8" i="137" a="1"/>
  <c r="O8" i="137" s="1"/>
  <c r="O9" i="137" a="1"/>
  <c r="O9" i="137" s="1"/>
  <c r="O10" i="137" a="1"/>
  <c r="O10" i="137" s="1"/>
  <c r="O11" i="137" a="1"/>
  <c r="O11" i="137" s="1"/>
  <c r="O12" i="137" a="1"/>
  <c r="O12" i="137" s="1"/>
  <c r="O13" i="137" a="1"/>
  <c r="O13" i="137" s="1"/>
  <c r="O14" i="137" a="1"/>
  <c r="O14" i="137" s="1"/>
  <c r="O15" i="137" a="1"/>
  <c r="O15" i="137" s="1"/>
  <c r="O16" i="137" a="1"/>
  <c r="O16" i="137" s="1"/>
  <c r="O17" i="137" a="1"/>
  <c r="O17" i="137" s="1"/>
  <c r="O18" i="137" a="1"/>
  <c r="O18" i="137" s="1"/>
  <c r="O19" i="137" a="1"/>
  <c r="O19" i="137" s="1"/>
  <c r="O20" i="137" a="1"/>
  <c r="O20" i="137" s="1"/>
  <c r="O21" i="137" a="1"/>
  <c r="O21" i="137" s="1"/>
  <c r="O22" i="137" a="1"/>
  <c r="O22" i="137" s="1"/>
  <c r="O23" i="137" a="1"/>
  <c r="O23" i="137" s="1"/>
  <c r="O24" i="137" a="1"/>
  <c r="O24" i="137" s="1"/>
  <c r="O25" i="137" a="1"/>
  <c r="O25" i="137" s="1"/>
  <c r="O26" i="137" a="1"/>
  <c r="O26" i="137" s="1"/>
  <c r="O27" i="137" a="1"/>
  <c r="O27" i="137" s="1"/>
  <c r="O28" i="137" a="1"/>
  <c r="O28" i="137" s="1"/>
  <c r="O29" i="137" a="1"/>
  <c r="O29" i="137" s="1"/>
  <c r="O30" i="137" a="1"/>
  <c r="O30" i="137" s="1"/>
  <c r="O31" i="137" a="1"/>
  <c r="O31" i="137" s="1"/>
  <c r="O32" i="137" a="1"/>
  <c r="O32" i="137" s="1"/>
  <c r="O33" i="137" a="1"/>
  <c r="O33" i="137" s="1"/>
  <c r="O34" i="137" a="1"/>
  <c r="O34" i="137" s="1"/>
  <c r="O35" i="137" a="1"/>
  <c r="O35" i="137" s="1"/>
  <c r="O36" i="137" a="1"/>
  <c r="O36" i="137" s="1"/>
  <c r="O37" i="137" a="1"/>
  <c r="O37" i="137" s="1"/>
  <c r="O38" i="137" a="1"/>
  <c r="O38" i="137" s="1"/>
  <c r="O39" i="137" a="1"/>
  <c r="O39" i="137" s="1"/>
  <c r="O40" i="137" a="1"/>
  <c r="O40" i="137" s="1"/>
  <c r="O41" i="137" a="1"/>
  <c r="O41" i="137" s="1"/>
  <c r="O42" i="137" a="1"/>
  <c r="O42" i="137" s="1"/>
  <c r="O43" i="137" a="1"/>
  <c r="O43" i="137" s="1"/>
  <c r="O44" i="137" a="1"/>
  <c r="O44" i="137" s="1"/>
  <c r="O45" i="137" a="1"/>
  <c r="O45" i="137" s="1"/>
  <c r="O46" i="137" a="1"/>
  <c r="O46" i="137" s="1"/>
  <c r="O47" i="137" a="1"/>
  <c r="O47" i="137" s="1"/>
  <c r="O48" i="137" a="1"/>
  <c r="O48" i="137" s="1"/>
  <c r="O49" i="137" a="1"/>
  <c r="O49" i="137" s="1"/>
  <c r="O50" i="137" a="1"/>
  <c r="O50" i="137" s="1"/>
  <c r="O51" i="137" a="1"/>
  <c r="O51" i="137" s="1"/>
  <c r="O52" i="137" a="1"/>
  <c r="O52" i="137" s="1"/>
  <c r="O53" i="137" a="1"/>
  <c r="O53" i="137" s="1"/>
  <c r="O54" i="137" a="1"/>
  <c r="O54" i="137" s="1"/>
  <c r="O55" i="137" a="1"/>
  <c r="O55" i="137" s="1"/>
  <c r="O56" i="137" a="1"/>
  <c r="O56" i="137" s="1"/>
  <c r="O57" i="137" a="1"/>
  <c r="O57" i="137" s="1"/>
  <c r="O58" i="137" a="1"/>
  <c r="O58" i="137" s="1"/>
  <c r="O59" i="137" a="1"/>
  <c r="O59" i="137" s="1"/>
  <c r="O60" i="137" a="1"/>
  <c r="O60" i="137" s="1"/>
  <c r="O61" i="137" a="1"/>
  <c r="O61" i="137" s="1"/>
  <c r="O62" i="137" a="1"/>
  <c r="O62" i="137" s="1"/>
  <c r="O63" i="137" a="1"/>
  <c r="O63" i="137" s="1"/>
  <c r="O64" i="137" a="1"/>
  <c r="O64" i="137" s="1"/>
  <c r="O65" i="137" a="1"/>
  <c r="O65" i="137" s="1"/>
  <c r="O66" i="137" a="1"/>
  <c r="O66" i="137" s="1"/>
  <c r="O67" i="137" a="1"/>
  <c r="O67" i="137" s="1"/>
  <c r="O68" i="137" a="1"/>
  <c r="O68" i="137" s="1"/>
  <c r="O69" i="137" a="1"/>
  <c r="O69" i="137" s="1"/>
  <c r="O70" i="137" a="1"/>
  <c r="O70" i="137" s="1"/>
  <c r="O71" i="137" a="1"/>
  <c r="O71" i="137" s="1"/>
  <c r="O72" i="137" a="1"/>
  <c r="O72" i="137" s="1"/>
  <c r="O73" i="137" a="1"/>
  <c r="O73" i="137" s="1"/>
  <c r="O74" i="137" a="1"/>
  <c r="O74" i="137" s="1"/>
  <c r="O75" i="137" a="1"/>
  <c r="O75" i="137" s="1"/>
  <c r="O76" i="137" a="1"/>
  <c r="O76" i="137" s="1"/>
  <c r="O77" i="137" a="1"/>
  <c r="O77" i="137" s="1"/>
  <c r="O78" i="137" a="1"/>
  <c r="O78" i="137" s="1"/>
  <c r="O79" i="137" a="1"/>
  <c r="O79" i="137" s="1"/>
  <c r="O80" i="137" a="1"/>
  <c r="O80" i="137" s="1"/>
  <c r="O81" i="137" a="1"/>
  <c r="O81" i="137" s="1"/>
  <c r="O82" i="137" a="1"/>
  <c r="O82" i="137" s="1"/>
  <c r="O83" i="137" a="1"/>
  <c r="O83" i="137" s="1"/>
  <c r="O84" i="137" a="1"/>
  <c r="O84" i="137" s="1"/>
  <c r="O85" i="137" a="1"/>
  <c r="O85" i="137" s="1"/>
  <c r="O86" i="137" a="1"/>
  <c r="O86" i="137" s="1"/>
  <c r="O87" i="137" a="1"/>
  <c r="O87" i="137" s="1"/>
  <c r="O88" i="137" a="1"/>
  <c r="O88" i="137" s="1"/>
  <c r="O89" i="137" a="1"/>
  <c r="O89" i="137" s="1"/>
  <c r="O90" i="137" a="1"/>
  <c r="O90" i="137" s="1"/>
  <c r="O91" i="137" a="1"/>
  <c r="O91" i="137" s="1"/>
  <c r="O92" i="137" a="1"/>
  <c r="O92" i="137" s="1"/>
  <c r="O93" i="137" a="1"/>
  <c r="O93" i="137" s="1"/>
  <c r="O94" i="137" a="1"/>
  <c r="O94" i="137" s="1"/>
  <c r="O95" i="137" a="1"/>
  <c r="O95" i="137" s="1"/>
  <c r="P2" i="137" a="1"/>
  <c r="P2" i="137" s="1"/>
  <c r="P3" i="137" a="1"/>
  <c r="P3" i="137" s="1"/>
  <c r="P4" i="137" a="1"/>
  <c r="P4" i="137" s="1"/>
  <c r="P5" i="137" a="1"/>
  <c r="P5" i="137" s="1"/>
  <c r="P6" i="137" a="1"/>
  <c r="P6" i="137" s="1"/>
  <c r="P7" i="137" a="1"/>
  <c r="P7" i="137" s="1"/>
  <c r="P8" i="137" a="1"/>
  <c r="P8" i="137" s="1"/>
  <c r="P9" i="137" a="1"/>
  <c r="P9" i="137" s="1"/>
  <c r="P10" i="137" a="1"/>
  <c r="P10" i="137" s="1"/>
  <c r="P11" i="137" a="1"/>
  <c r="P11" i="137" s="1"/>
  <c r="P12" i="137" a="1"/>
  <c r="P12" i="137" s="1"/>
  <c r="P13" i="137" a="1"/>
  <c r="P13" i="137" s="1"/>
  <c r="P14" i="137" a="1"/>
  <c r="P14" i="137" s="1"/>
  <c r="P15" i="137" a="1"/>
  <c r="P15" i="137" s="1"/>
  <c r="P16" i="137" a="1"/>
  <c r="P16" i="137" s="1"/>
  <c r="P17" i="137" a="1"/>
  <c r="P17" i="137" s="1"/>
  <c r="P18" i="137" a="1"/>
  <c r="P18" i="137" s="1"/>
  <c r="P19" i="137" a="1"/>
  <c r="P19" i="137" s="1"/>
  <c r="P20" i="137" a="1"/>
  <c r="P20" i="137" s="1"/>
  <c r="P21" i="137" a="1"/>
  <c r="P21" i="137" s="1"/>
  <c r="P22" i="137" a="1"/>
  <c r="P22" i="137" s="1"/>
  <c r="P23" i="137" a="1"/>
  <c r="P23" i="137" s="1"/>
  <c r="P24" i="137" a="1"/>
  <c r="P24" i="137" s="1"/>
  <c r="P25" i="137" a="1"/>
  <c r="P25" i="137" s="1"/>
  <c r="P26" i="137" a="1"/>
  <c r="P26" i="137" s="1"/>
  <c r="P27" i="137" a="1"/>
  <c r="P27" i="137" s="1"/>
  <c r="P28" i="137" a="1"/>
  <c r="P28" i="137" s="1"/>
  <c r="P29" i="137" a="1"/>
  <c r="P29" i="137" s="1"/>
  <c r="P30" i="137" a="1"/>
  <c r="P30" i="137" s="1"/>
  <c r="P31" i="137" a="1"/>
  <c r="P31" i="137" s="1"/>
  <c r="P32" i="137" a="1"/>
  <c r="P32" i="137" s="1"/>
  <c r="P33" i="137" a="1"/>
  <c r="P33" i="137" s="1"/>
  <c r="P34" i="137" a="1"/>
  <c r="P34" i="137" s="1"/>
  <c r="P35" i="137" a="1"/>
  <c r="P35" i="137" s="1"/>
  <c r="P36" i="137" a="1"/>
  <c r="P36" i="137" s="1"/>
  <c r="P37" i="137" a="1"/>
  <c r="P37" i="137" s="1"/>
  <c r="P38" i="137" a="1"/>
  <c r="P38" i="137" s="1"/>
  <c r="P39" i="137" a="1"/>
  <c r="P39" i="137" s="1"/>
  <c r="P40" i="137" a="1"/>
  <c r="P40" i="137" s="1"/>
  <c r="P41" i="137" a="1"/>
  <c r="P41" i="137" s="1"/>
  <c r="P42" i="137" a="1"/>
  <c r="P42" i="137" s="1"/>
  <c r="P43" i="137" a="1"/>
  <c r="P43" i="137" s="1"/>
  <c r="P44" i="137" a="1"/>
  <c r="P44" i="137" s="1"/>
  <c r="P45" i="137" a="1"/>
  <c r="P45" i="137" s="1"/>
  <c r="P46" i="137" a="1"/>
  <c r="P46" i="137" s="1"/>
  <c r="P47" i="137" a="1"/>
  <c r="P47" i="137" s="1"/>
  <c r="P48" i="137" a="1"/>
  <c r="P48" i="137" s="1"/>
  <c r="P49" i="137" a="1"/>
  <c r="P49" i="137" s="1"/>
  <c r="P50" i="137" a="1"/>
  <c r="P50" i="137" s="1"/>
  <c r="P51" i="137" a="1"/>
  <c r="P51" i="137" s="1"/>
  <c r="P52" i="137" a="1"/>
  <c r="P52" i="137" s="1"/>
  <c r="P53" i="137" a="1"/>
  <c r="P53" i="137" s="1"/>
  <c r="P54" i="137" a="1"/>
  <c r="P54" i="137" s="1"/>
  <c r="P55" i="137" a="1"/>
  <c r="P55" i="137" s="1"/>
  <c r="P56" i="137" a="1"/>
  <c r="P56" i="137" s="1"/>
  <c r="P57" i="137" a="1"/>
  <c r="P57" i="137" s="1"/>
  <c r="P58" i="137" a="1"/>
  <c r="P58" i="137" s="1"/>
  <c r="P59" i="137" a="1"/>
  <c r="P59" i="137" s="1"/>
  <c r="P60" i="137" a="1"/>
  <c r="P60" i="137" s="1"/>
  <c r="P61" i="137" a="1"/>
  <c r="P61" i="137" s="1"/>
  <c r="P62" i="137" a="1"/>
  <c r="P62" i="137" s="1"/>
  <c r="P63" i="137" a="1"/>
  <c r="P63" i="137" s="1"/>
  <c r="P64" i="137" a="1"/>
  <c r="P64" i="137" s="1"/>
  <c r="P65" i="137" a="1"/>
  <c r="P65" i="137" s="1"/>
  <c r="P66" i="137" a="1"/>
  <c r="P66" i="137" s="1"/>
  <c r="P67" i="137" a="1"/>
  <c r="P67" i="137" s="1"/>
  <c r="P68" i="137" a="1"/>
  <c r="P68" i="137" s="1"/>
  <c r="P69" i="137" a="1"/>
  <c r="P69" i="137" s="1"/>
  <c r="P70" i="137" a="1"/>
  <c r="P70" i="137" s="1"/>
  <c r="P71" i="137" a="1"/>
  <c r="P71" i="137" s="1"/>
  <c r="P72" i="137" a="1"/>
  <c r="P72" i="137" s="1"/>
  <c r="P73" i="137" a="1"/>
  <c r="P73" i="137" s="1"/>
  <c r="P74" i="137" a="1"/>
  <c r="P74" i="137" s="1"/>
  <c r="P75" i="137" a="1"/>
  <c r="P75" i="137" s="1"/>
  <c r="P76" i="137" a="1"/>
  <c r="P76" i="137" s="1"/>
  <c r="P77" i="137" a="1"/>
  <c r="P77" i="137" s="1"/>
  <c r="P78" i="137" a="1"/>
  <c r="P78" i="137" s="1"/>
  <c r="P79" i="137" a="1"/>
  <c r="P79" i="137" s="1"/>
  <c r="P80" i="137" a="1"/>
  <c r="P80" i="137" s="1"/>
  <c r="P81" i="137" a="1"/>
  <c r="P81" i="137" s="1"/>
  <c r="P82" i="137" a="1"/>
  <c r="P82" i="137" s="1"/>
  <c r="P83" i="137" a="1"/>
  <c r="P83" i="137" s="1"/>
  <c r="P84" i="137" a="1"/>
  <c r="P84" i="137" s="1"/>
  <c r="P85" i="137" a="1"/>
  <c r="P85" i="137" s="1"/>
  <c r="P86" i="137" a="1"/>
  <c r="P86" i="137" s="1"/>
  <c r="P87" i="137" a="1"/>
  <c r="P87" i="137" s="1"/>
  <c r="P88" i="137" a="1"/>
  <c r="P88" i="137" s="1"/>
  <c r="P89" i="137" a="1"/>
  <c r="P89" i="137" s="1"/>
  <c r="P90" i="137" a="1"/>
  <c r="P90" i="137" s="1"/>
  <c r="P91" i="137" a="1"/>
  <c r="P91" i="137" s="1"/>
  <c r="P92" i="137" a="1"/>
  <c r="P92" i="137" s="1"/>
  <c r="P93" i="137" a="1"/>
  <c r="P93" i="137" s="1"/>
  <c r="P94" i="137" a="1"/>
  <c r="P94" i="137" s="1"/>
  <c r="P95" i="137" a="1"/>
  <c r="P95" i="137" s="1"/>
  <c r="Q2" i="137" a="1"/>
  <c r="Q2" i="137" s="1"/>
  <c r="Q3" i="137" a="1"/>
  <c r="Q3" i="137" s="1"/>
  <c r="Q4" i="137" a="1"/>
  <c r="Q4" i="137" s="1"/>
  <c r="Q5" i="137" a="1"/>
  <c r="Q5" i="137" s="1"/>
  <c r="Q6" i="137" a="1"/>
  <c r="Q6" i="137" s="1"/>
  <c r="Q7" i="137" a="1"/>
  <c r="Q7" i="137" s="1"/>
  <c r="Q8" i="137" a="1"/>
  <c r="Q8" i="137" s="1"/>
  <c r="Q9" i="137" a="1"/>
  <c r="Q9" i="137" s="1"/>
  <c r="Q10" i="137" a="1"/>
  <c r="Q10" i="137" s="1"/>
  <c r="Q11" i="137" a="1"/>
  <c r="Q11" i="137" s="1"/>
  <c r="Q12" i="137" a="1"/>
  <c r="Q12" i="137" s="1"/>
  <c r="Q13" i="137" a="1"/>
  <c r="Q13" i="137" s="1"/>
  <c r="Q14" i="137" a="1"/>
  <c r="Q14" i="137" s="1"/>
  <c r="Q15" i="137" a="1"/>
  <c r="Q15" i="137" s="1"/>
  <c r="Q16" i="137" a="1"/>
  <c r="Q16" i="137" s="1"/>
  <c r="Q17" i="137" a="1"/>
  <c r="Q17" i="137" s="1"/>
  <c r="Q18" i="137" a="1"/>
  <c r="Q18" i="137" s="1"/>
  <c r="Q19" i="137" a="1"/>
  <c r="Q19" i="137" s="1"/>
  <c r="Q20" i="137" a="1"/>
  <c r="Q20" i="137" s="1"/>
  <c r="Q21" i="137" a="1"/>
  <c r="Q21" i="137" s="1"/>
  <c r="Q22" i="137" a="1"/>
  <c r="Q22" i="137" s="1"/>
  <c r="Q23" i="137" a="1"/>
  <c r="Q23" i="137" s="1"/>
  <c r="Q24" i="137" a="1"/>
  <c r="Q24" i="137" s="1"/>
  <c r="Q25" i="137" a="1"/>
  <c r="Q25" i="137" s="1"/>
  <c r="Q26" i="137" a="1"/>
  <c r="Q26" i="137" s="1"/>
  <c r="Q27" i="137" a="1"/>
  <c r="Q27" i="137" s="1"/>
  <c r="Q28" i="137" a="1"/>
  <c r="Q28" i="137" s="1"/>
  <c r="Q29" i="137" a="1"/>
  <c r="Q29" i="137" s="1"/>
  <c r="Q30" i="137" a="1"/>
  <c r="Q30" i="137" s="1"/>
  <c r="Q31" i="137" a="1"/>
  <c r="Q31" i="137" s="1"/>
  <c r="Q32" i="137" a="1"/>
  <c r="Q32" i="137" s="1"/>
  <c r="Q33" i="137" a="1"/>
  <c r="Q33" i="137" s="1"/>
  <c r="Q34" i="137" a="1"/>
  <c r="Q34" i="137" s="1"/>
  <c r="Q35" i="137" a="1"/>
  <c r="Q35" i="137" s="1"/>
  <c r="Q36" i="137" a="1"/>
  <c r="Q36" i="137" s="1"/>
  <c r="Q37" i="137" a="1"/>
  <c r="Q37" i="137" s="1"/>
  <c r="Q38" i="137" a="1"/>
  <c r="Q38" i="137" s="1"/>
  <c r="Q39" i="137" a="1"/>
  <c r="Q39" i="137" s="1"/>
  <c r="Q40" i="137" a="1"/>
  <c r="Q40" i="137" s="1"/>
  <c r="Q41" i="137" a="1"/>
  <c r="Q41" i="137" s="1"/>
  <c r="Q42" i="137" a="1"/>
  <c r="Q42" i="137" s="1"/>
  <c r="Q43" i="137" a="1"/>
  <c r="Q43" i="137" s="1"/>
  <c r="Q44" i="137" a="1"/>
  <c r="Q44" i="137" s="1"/>
  <c r="Q45" i="137" a="1"/>
  <c r="Q45" i="137" s="1"/>
  <c r="Q46" i="137" a="1"/>
  <c r="Q46" i="137" s="1"/>
  <c r="Q47" i="137" a="1"/>
  <c r="Q47" i="137" s="1"/>
  <c r="Q48" i="137" a="1"/>
  <c r="Q48" i="137" s="1"/>
  <c r="Q49" i="137" a="1"/>
  <c r="Q49" i="137" s="1"/>
  <c r="Q50" i="137" a="1"/>
  <c r="Q50" i="137" s="1"/>
  <c r="Q51" i="137" a="1"/>
  <c r="Q51" i="137" s="1"/>
  <c r="Q52" i="137" a="1"/>
  <c r="Q52" i="137" s="1"/>
  <c r="Q53" i="137" a="1"/>
  <c r="Q53" i="137" s="1"/>
  <c r="Q54" i="137" a="1"/>
  <c r="Q54" i="137" s="1"/>
  <c r="Q55" i="137" a="1"/>
  <c r="Q55" i="137" s="1"/>
  <c r="Q56" i="137" a="1"/>
  <c r="Q56" i="137" s="1"/>
  <c r="Q57" i="137" a="1"/>
  <c r="Q57" i="137" s="1"/>
  <c r="Q58" i="137" a="1"/>
  <c r="Q58" i="137" s="1"/>
  <c r="Q59" i="137" a="1"/>
  <c r="Q59" i="137" s="1"/>
  <c r="Q60" i="137" a="1"/>
  <c r="Q60" i="137" s="1"/>
  <c r="Q61" i="137" a="1"/>
  <c r="Q61" i="137" s="1"/>
  <c r="Q62" i="137" a="1"/>
  <c r="Q62" i="137" s="1"/>
  <c r="Q63" i="137" a="1"/>
  <c r="Q63" i="137" s="1"/>
  <c r="Q64" i="137" a="1"/>
  <c r="Q64" i="137" s="1"/>
  <c r="Q65" i="137" a="1"/>
  <c r="Q65" i="137" s="1"/>
  <c r="Q66" i="137" a="1"/>
  <c r="Q66" i="137" s="1"/>
  <c r="Q67" i="137" a="1"/>
  <c r="Q67" i="137" s="1"/>
  <c r="Q68" i="137" a="1"/>
  <c r="Q68" i="137" s="1"/>
  <c r="Q69" i="137" a="1"/>
  <c r="Q69" i="137" s="1"/>
  <c r="Q70" i="137" a="1"/>
  <c r="Q70" i="137" s="1"/>
  <c r="Q71" i="137" a="1"/>
  <c r="Q71" i="137" s="1"/>
  <c r="Q72" i="137" a="1"/>
  <c r="Q72" i="137" s="1"/>
  <c r="Q73" i="137" a="1"/>
  <c r="Q73" i="137" s="1"/>
  <c r="Q74" i="137" a="1"/>
  <c r="Q74" i="137" s="1"/>
  <c r="Q75" i="137" a="1"/>
  <c r="Q75" i="137" s="1"/>
  <c r="Q76" i="137" a="1"/>
  <c r="Q76" i="137" s="1"/>
  <c r="Q77" i="137" a="1"/>
  <c r="Q77" i="137" s="1"/>
  <c r="Q78" i="137" a="1"/>
  <c r="Q78" i="137" s="1"/>
  <c r="Q79" i="137" a="1"/>
  <c r="Q79" i="137" s="1"/>
  <c r="Q80" i="137" a="1"/>
  <c r="Q80" i="137" s="1"/>
  <c r="Q81" i="137" a="1"/>
  <c r="Q81" i="137" s="1"/>
  <c r="Q82" i="137" a="1"/>
  <c r="Q82" i="137" s="1"/>
  <c r="Q83" i="137" a="1"/>
  <c r="Q83" i="137" s="1"/>
  <c r="Q84" i="137" a="1"/>
  <c r="Q84" i="137" s="1"/>
  <c r="Q85" i="137" a="1"/>
  <c r="Q85" i="137" s="1"/>
  <c r="Q86" i="137" a="1"/>
  <c r="Q86" i="137" s="1"/>
  <c r="Q87" i="137" a="1"/>
  <c r="Q87" i="137" s="1"/>
  <c r="Q88" i="137" a="1"/>
  <c r="Q88" i="137" s="1"/>
  <c r="Q89" i="137" a="1"/>
  <c r="Q89" i="137" s="1"/>
  <c r="Q90" i="137" a="1"/>
  <c r="Q90" i="137" s="1"/>
  <c r="Q91" i="137" a="1"/>
  <c r="Q91" i="137" s="1"/>
  <c r="Q92" i="137" a="1"/>
  <c r="Q92" i="137" s="1"/>
  <c r="Q93" i="137" a="1"/>
  <c r="Q93" i="137" s="1"/>
  <c r="Q94" i="137" a="1"/>
  <c r="Q94" i="137" s="1"/>
  <c r="Q95" i="137" a="1"/>
  <c r="Q95" i="137" s="1"/>
  <c r="R2" i="137" a="1"/>
  <c r="R2" i="137" s="1"/>
  <c r="R3" i="137" a="1"/>
  <c r="R3" i="137" s="1"/>
  <c r="R4" i="137" a="1"/>
  <c r="R4" i="137" s="1"/>
  <c r="R5" i="137" a="1"/>
  <c r="R5" i="137" s="1"/>
  <c r="R6" i="137" a="1"/>
  <c r="R6" i="137" s="1"/>
  <c r="R7" i="137" a="1"/>
  <c r="R7" i="137" s="1"/>
  <c r="R8" i="137" a="1"/>
  <c r="R8" i="137" s="1"/>
  <c r="R9" i="137" a="1"/>
  <c r="R9" i="137" s="1"/>
  <c r="R10" i="137" a="1"/>
  <c r="R10" i="137" s="1"/>
  <c r="R11" i="137" a="1"/>
  <c r="R11" i="137" s="1"/>
  <c r="R12" i="137" a="1"/>
  <c r="R12" i="137" s="1"/>
  <c r="R13" i="137" a="1"/>
  <c r="R13" i="137" s="1"/>
  <c r="R14" i="137" a="1"/>
  <c r="R14" i="137" s="1"/>
  <c r="R15" i="137" a="1"/>
  <c r="R15" i="137" s="1"/>
  <c r="R16" i="137" a="1"/>
  <c r="R16" i="137" s="1"/>
  <c r="R17" i="137" a="1"/>
  <c r="R17" i="137" s="1"/>
  <c r="R18" i="137" a="1"/>
  <c r="R18" i="137" s="1"/>
  <c r="R19" i="137" a="1"/>
  <c r="R19" i="137" s="1"/>
  <c r="R20" i="137" a="1"/>
  <c r="R20" i="137" s="1"/>
  <c r="R21" i="137" a="1"/>
  <c r="R21" i="137" s="1"/>
  <c r="R22" i="137" a="1"/>
  <c r="R22" i="137" s="1"/>
  <c r="R23" i="137" a="1"/>
  <c r="R23" i="137" s="1"/>
  <c r="R24" i="137" a="1"/>
  <c r="R24" i="137" s="1"/>
  <c r="R25" i="137" a="1"/>
  <c r="R25" i="137" s="1"/>
  <c r="R26" i="137" a="1"/>
  <c r="R26" i="137" s="1"/>
  <c r="R27" i="137" a="1"/>
  <c r="R27" i="137" s="1"/>
  <c r="R28" i="137" a="1"/>
  <c r="R28" i="137" s="1"/>
  <c r="R29" i="137" a="1"/>
  <c r="R29" i="137" s="1"/>
  <c r="R30" i="137" a="1"/>
  <c r="R30" i="137" s="1"/>
  <c r="R31" i="137" a="1"/>
  <c r="R31" i="137" s="1"/>
  <c r="R32" i="137" a="1"/>
  <c r="R32" i="137" s="1"/>
  <c r="R33" i="137" a="1"/>
  <c r="R33" i="137" s="1"/>
  <c r="R34" i="137" a="1"/>
  <c r="R34" i="137" s="1"/>
  <c r="R35" i="137" a="1"/>
  <c r="R35" i="137" s="1"/>
  <c r="R36" i="137" a="1"/>
  <c r="R36" i="137" s="1"/>
  <c r="R37" i="137" a="1"/>
  <c r="R37" i="137" s="1"/>
  <c r="R38" i="137" a="1"/>
  <c r="R38" i="137" s="1"/>
  <c r="R39" i="137" a="1"/>
  <c r="R39" i="137" s="1"/>
  <c r="R40" i="137" a="1"/>
  <c r="R40" i="137" s="1"/>
  <c r="R41" i="137" a="1"/>
  <c r="R41" i="137" s="1"/>
  <c r="R42" i="137" a="1"/>
  <c r="R42" i="137" s="1"/>
  <c r="R43" i="137" a="1"/>
  <c r="R43" i="137" s="1"/>
  <c r="R44" i="137" a="1"/>
  <c r="R44" i="137" s="1"/>
  <c r="R45" i="137" a="1"/>
  <c r="R45" i="137" s="1"/>
  <c r="R46" i="137" a="1"/>
  <c r="R46" i="137" s="1"/>
  <c r="R47" i="137" a="1"/>
  <c r="R47" i="137" s="1"/>
  <c r="R48" i="137" a="1"/>
  <c r="R48" i="137" s="1"/>
  <c r="R49" i="137" a="1"/>
  <c r="R49" i="137" s="1"/>
  <c r="R50" i="137" a="1"/>
  <c r="R50" i="137" s="1"/>
  <c r="R51" i="137" a="1"/>
  <c r="R51" i="137" s="1"/>
  <c r="R52" i="137" a="1"/>
  <c r="R52" i="137" s="1"/>
  <c r="R53" i="137" a="1"/>
  <c r="R53" i="137" s="1"/>
  <c r="R54" i="137" a="1"/>
  <c r="R54" i="137" s="1"/>
  <c r="R55" i="137" a="1"/>
  <c r="R55" i="137" s="1"/>
  <c r="R56" i="137" a="1"/>
  <c r="R56" i="137" s="1"/>
  <c r="R57" i="137" a="1"/>
  <c r="R57" i="137" s="1"/>
  <c r="R58" i="137" a="1"/>
  <c r="R58" i="137" s="1"/>
  <c r="R59" i="137" a="1"/>
  <c r="R59" i="137" s="1"/>
  <c r="R60" i="137" a="1"/>
  <c r="R60" i="137" s="1"/>
  <c r="R61" i="137" a="1"/>
  <c r="R61" i="137" s="1"/>
  <c r="R62" i="137" a="1"/>
  <c r="R62" i="137" s="1"/>
  <c r="R63" i="137" a="1"/>
  <c r="R63" i="137" s="1"/>
  <c r="R64" i="137" a="1"/>
  <c r="R64" i="137" s="1"/>
  <c r="R65" i="137" a="1"/>
  <c r="R65" i="137" s="1"/>
  <c r="R66" i="137" a="1"/>
  <c r="R66" i="137" s="1"/>
  <c r="R67" i="137" a="1"/>
  <c r="R67" i="137" s="1"/>
  <c r="R68" i="137" a="1"/>
  <c r="R68" i="137" s="1"/>
  <c r="R69" i="137" a="1"/>
  <c r="R69" i="137" s="1"/>
  <c r="R70" i="137" a="1"/>
  <c r="R70" i="137" s="1"/>
  <c r="R71" i="137" a="1"/>
  <c r="R71" i="137" s="1"/>
  <c r="R72" i="137" a="1"/>
  <c r="R72" i="137" s="1"/>
  <c r="R73" i="137" a="1"/>
  <c r="R73" i="137" s="1"/>
  <c r="R74" i="137" a="1"/>
  <c r="R74" i="137" s="1"/>
  <c r="R75" i="137" a="1"/>
  <c r="R75" i="137" s="1"/>
  <c r="R76" i="137" a="1"/>
  <c r="R76" i="137" s="1"/>
  <c r="R77" i="137" a="1"/>
  <c r="R77" i="137" s="1"/>
  <c r="R78" i="137" a="1"/>
  <c r="R78" i="137" s="1"/>
  <c r="R79" i="137" a="1"/>
  <c r="R79" i="137" s="1"/>
  <c r="R80" i="137" a="1"/>
  <c r="R80" i="137" s="1"/>
  <c r="R81" i="137" a="1"/>
  <c r="R81" i="137" s="1"/>
  <c r="R82" i="137" a="1"/>
  <c r="R82" i="137" s="1"/>
  <c r="R83" i="137" a="1"/>
  <c r="R83" i="137" s="1"/>
  <c r="R84" i="137" a="1"/>
  <c r="R84" i="137" s="1"/>
  <c r="R85" i="137" a="1"/>
  <c r="R85" i="137" s="1"/>
  <c r="R86" i="137" a="1"/>
  <c r="R86" i="137" s="1"/>
  <c r="R87" i="137" a="1"/>
  <c r="R87" i="137" s="1"/>
  <c r="R88" i="137" a="1"/>
  <c r="R88" i="137" s="1"/>
  <c r="R89" i="137" a="1"/>
  <c r="R89" i="137" s="1"/>
  <c r="R90" i="137" a="1"/>
  <c r="R90" i="137" s="1"/>
  <c r="R91" i="137" a="1"/>
  <c r="R91" i="137" s="1"/>
  <c r="R92" i="137" a="1"/>
  <c r="R92" i="137" s="1"/>
  <c r="R93" i="137" a="1"/>
  <c r="R93" i="137" s="1"/>
  <c r="R94" i="137" a="1"/>
  <c r="R94" i="137" s="1"/>
  <c r="R95" i="137" a="1"/>
  <c r="R95" i="137" s="1"/>
  <c r="S2" i="137" a="1"/>
  <c r="S2" i="137" s="1"/>
  <c r="S3" i="137" a="1"/>
  <c r="S3" i="137" s="1"/>
  <c r="S4" i="137" a="1"/>
  <c r="S4" i="137" s="1"/>
  <c r="S5" i="137" a="1"/>
  <c r="S5" i="137" s="1"/>
  <c r="S6" i="137" a="1"/>
  <c r="S6" i="137" s="1"/>
  <c r="S7" i="137" a="1"/>
  <c r="S7" i="137" s="1"/>
  <c r="S8" i="137" a="1"/>
  <c r="S8" i="137" s="1"/>
  <c r="S9" i="137" a="1"/>
  <c r="S9" i="137" s="1"/>
  <c r="S10" i="137" a="1"/>
  <c r="S10" i="137" s="1"/>
  <c r="S11" i="137" a="1"/>
  <c r="S11" i="137" s="1"/>
  <c r="S12" i="137" a="1"/>
  <c r="S12" i="137" s="1"/>
  <c r="S13" i="137" a="1"/>
  <c r="S13" i="137" s="1"/>
  <c r="S14" i="137" a="1"/>
  <c r="S14" i="137" s="1"/>
  <c r="S15" i="137" a="1"/>
  <c r="S15" i="137" s="1"/>
  <c r="S16" i="137" a="1"/>
  <c r="S16" i="137" s="1"/>
  <c r="S17" i="137" a="1"/>
  <c r="S17" i="137" s="1"/>
  <c r="S18" i="137" a="1"/>
  <c r="S18" i="137" s="1"/>
  <c r="S19" i="137" a="1"/>
  <c r="S19" i="137" s="1"/>
  <c r="S20" i="137" a="1"/>
  <c r="S20" i="137" s="1"/>
  <c r="S21" i="137" a="1"/>
  <c r="S21" i="137" s="1"/>
  <c r="S22" i="137" a="1"/>
  <c r="S22" i="137" s="1"/>
  <c r="S23" i="137" a="1"/>
  <c r="S23" i="137" s="1"/>
  <c r="S24" i="137" a="1"/>
  <c r="S24" i="137" s="1"/>
  <c r="S25" i="137" a="1"/>
  <c r="S25" i="137" s="1"/>
  <c r="S26" i="137" a="1"/>
  <c r="S26" i="137" s="1"/>
  <c r="S27" i="137" a="1"/>
  <c r="S27" i="137" s="1"/>
  <c r="S28" i="137" a="1"/>
  <c r="S28" i="137" s="1"/>
  <c r="S29" i="137" a="1"/>
  <c r="S29" i="137" s="1"/>
  <c r="S30" i="137" a="1"/>
  <c r="S30" i="137" s="1"/>
  <c r="S31" i="137" a="1"/>
  <c r="S31" i="137" s="1"/>
  <c r="S32" i="137" a="1"/>
  <c r="S32" i="137" s="1"/>
  <c r="S33" i="137" a="1"/>
  <c r="S33" i="137" s="1"/>
  <c r="S34" i="137" a="1"/>
  <c r="S34" i="137" s="1"/>
  <c r="S35" i="137" a="1"/>
  <c r="S35" i="137" s="1"/>
  <c r="S36" i="137" a="1"/>
  <c r="S36" i="137" s="1"/>
  <c r="S37" i="137" a="1"/>
  <c r="S37" i="137" s="1"/>
  <c r="S38" i="137" a="1"/>
  <c r="S38" i="137" s="1"/>
  <c r="S39" i="137" a="1"/>
  <c r="S39" i="137" s="1"/>
  <c r="S40" i="137" a="1"/>
  <c r="S40" i="137" s="1"/>
  <c r="S41" i="137" a="1"/>
  <c r="S41" i="137" s="1"/>
  <c r="S42" i="137" a="1"/>
  <c r="S42" i="137" s="1"/>
  <c r="S43" i="137" a="1"/>
  <c r="S43" i="137" s="1"/>
  <c r="S44" i="137" a="1"/>
  <c r="S44" i="137" s="1"/>
  <c r="S45" i="137" a="1"/>
  <c r="S45" i="137" s="1"/>
  <c r="S46" i="137" a="1"/>
  <c r="S46" i="137" s="1"/>
  <c r="S47" i="137" a="1"/>
  <c r="S47" i="137" s="1"/>
  <c r="S48" i="137" a="1"/>
  <c r="S48" i="137" s="1"/>
  <c r="S49" i="137" a="1"/>
  <c r="S49" i="137" s="1"/>
  <c r="S50" i="137" a="1"/>
  <c r="S50" i="137" s="1"/>
  <c r="S51" i="137" a="1"/>
  <c r="S51" i="137" s="1"/>
  <c r="S52" i="137" a="1"/>
  <c r="S52" i="137" s="1"/>
  <c r="S53" i="137" a="1"/>
  <c r="S53" i="137" s="1"/>
  <c r="S54" i="137" a="1"/>
  <c r="S54" i="137" s="1"/>
  <c r="S55" i="137" a="1"/>
  <c r="S55" i="137" s="1"/>
  <c r="S56" i="137" a="1"/>
  <c r="S56" i="137" s="1"/>
  <c r="S57" i="137" a="1"/>
  <c r="S57" i="137" s="1"/>
  <c r="S58" i="137" a="1"/>
  <c r="S58" i="137" s="1"/>
  <c r="S59" i="137" a="1"/>
  <c r="S59" i="137" s="1"/>
  <c r="S60" i="137" a="1"/>
  <c r="S60" i="137" s="1"/>
  <c r="S61" i="137" a="1"/>
  <c r="S61" i="137" s="1"/>
  <c r="S62" i="137" a="1"/>
  <c r="S62" i="137" s="1"/>
  <c r="S63" i="137" a="1"/>
  <c r="S63" i="137" s="1"/>
  <c r="S64" i="137" a="1"/>
  <c r="S64" i="137" s="1"/>
  <c r="S65" i="137" a="1"/>
  <c r="S65" i="137" s="1"/>
  <c r="S66" i="137" a="1"/>
  <c r="S66" i="137" s="1"/>
  <c r="S67" i="137" a="1"/>
  <c r="S67" i="137" s="1"/>
  <c r="S68" i="137" a="1"/>
  <c r="S68" i="137" s="1"/>
  <c r="S69" i="137" a="1"/>
  <c r="S69" i="137" s="1"/>
  <c r="S70" i="137" a="1"/>
  <c r="S70" i="137" s="1"/>
  <c r="S71" i="137" a="1"/>
  <c r="S71" i="137" s="1"/>
  <c r="S72" i="137" a="1"/>
  <c r="S72" i="137" s="1"/>
  <c r="S73" i="137" a="1"/>
  <c r="S73" i="137" s="1"/>
  <c r="S74" i="137" a="1"/>
  <c r="S74" i="137" s="1"/>
  <c r="S75" i="137" a="1"/>
  <c r="S75" i="137" s="1"/>
  <c r="S76" i="137" a="1"/>
  <c r="S76" i="137" s="1"/>
  <c r="S77" i="137" a="1"/>
  <c r="S77" i="137" s="1"/>
  <c r="S78" i="137" a="1"/>
  <c r="S78" i="137" s="1"/>
  <c r="S79" i="137" a="1"/>
  <c r="S79" i="137" s="1"/>
  <c r="S80" i="137" a="1"/>
  <c r="S80" i="137" s="1"/>
  <c r="S81" i="137" a="1"/>
  <c r="S81" i="137" s="1"/>
  <c r="S82" i="137" a="1"/>
  <c r="S82" i="137" s="1"/>
  <c r="S83" i="137" a="1"/>
  <c r="S83" i="137" s="1"/>
  <c r="S84" i="137" a="1"/>
  <c r="S84" i="137" s="1"/>
  <c r="S85" i="137" a="1"/>
  <c r="S85" i="137" s="1"/>
  <c r="S86" i="137" a="1"/>
  <c r="S86" i="137" s="1"/>
  <c r="S87" i="137" a="1"/>
  <c r="S87" i="137" s="1"/>
  <c r="S88" i="137" a="1"/>
  <c r="S88" i="137" s="1"/>
  <c r="S89" i="137" a="1"/>
  <c r="S89" i="137" s="1"/>
  <c r="S90" i="137" a="1"/>
  <c r="S90" i="137" s="1"/>
  <c r="S91" i="137" a="1"/>
  <c r="S91" i="137" s="1"/>
  <c r="S92" i="137" a="1"/>
  <c r="S92" i="137" s="1"/>
  <c r="S93" i="137" a="1"/>
  <c r="S93" i="137" s="1"/>
  <c r="S94" i="137" a="1"/>
  <c r="S94" i="137" s="1"/>
  <c r="S95" i="137" a="1"/>
  <c r="S95" i="137" s="1"/>
  <c r="A2" i="136"/>
  <c r="A3" i="136"/>
  <c r="A4" i="136"/>
  <c r="A5" i="136"/>
  <c r="A6" i="136"/>
  <c r="A7" i="136"/>
  <c r="A8" i="136"/>
  <c r="A9" i="136"/>
  <c r="A10" i="136"/>
  <c r="A11" i="136"/>
  <c r="A12" i="136"/>
  <c r="A13" i="136"/>
  <c r="A14" i="136"/>
  <c r="A15" i="136"/>
  <c r="A16" i="136"/>
  <c r="A17" i="136"/>
  <c r="A18" i="136"/>
  <c r="A19" i="136"/>
  <c r="A20" i="136"/>
  <c r="A21" i="136"/>
  <c r="A22" i="136"/>
  <c r="A23" i="136"/>
  <c r="A24" i="136"/>
  <c r="A25" i="136"/>
  <c r="A26" i="136"/>
  <c r="A27" i="136"/>
  <c r="A28" i="136"/>
  <c r="A29" i="136"/>
  <c r="A30" i="136"/>
  <c r="A31" i="136"/>
  <c r="A32" i="136"/>
  <c r="A33" i="136"/>
  <c r="A34" i="136"/>
  <c r="A35" i="136"/>
  <c r="A36" i="136"/>
  <c r="A37" i="136"/>
  <c r="A38" i="136"/>
  <c r="A39" i="136"/>
  <c r="A40" i="136"/>
  <c r="A41" i="136"/>
  <c r="A42" i="136"/>
  <c r="A43" i="136"/>
  <c r="A44" i="136"/>
  <c r="A45" i="136"/>
  <c r="A46" i="136"/>
  <c r="A47" i="136"/>
  <c r="A48" i="136"/>
  <c r="A49" i="136"/>
  <c r="A50" i="136"/>
  <c r="A51" i="136"/>
  <c r="A52" i="136"/>
  <c r="A53" i="136"/>
  <c r="A54" i="136"/>
  <c r="A55" i="136"/>
  <c r="A56" i="136"/>
  <c r="A57" i="136"/>
  <c r="A58" i="136"/>
  <c r="A59" i="136"/>
  <c r="A60" i="136"/>
  <c r="A61" i="136"/>
  <c r="A62" i="136"/>
  <c r="A63" i="136"/>
  <c r="A64" i="136"/>
  <c r="A65" i="136"/>
  <c r="A66" i="136"/>
  <c r="A67" i="136"/>
  <c r="A68" i="136"/>
  <c r="A69" i="136"/>
  <c r="A70" i="136"/>
  <c r="A71" i="136"/>
  <c r="A72" i="136"/>
  <c r="A73" i="136"/>
  <c r="A74" i="136"/>
  <c r="A75" i="136"/>
  <c r="A76" i="136"/>
  <c r="B2" i="136"/>
  <c r="B3" i="136"/>
  <c r="B4" i="136"/>
  <c r="B5" i="136"/>
  <c r="B6" i="136"/>
  <c r="B7" i="136"/>
  <c r="B8" i="136"/>
  <c r="B9" i="136"/>
  <c r="B10" i="136"/>
  <c r="B11" i="136"/>
  <c r="B12" i="136"/>
  <c r="B13" i="136"/>
  <c r="B14" i="136"/>
  <c r="B15" i="136"/>
  <c r="B16" i="136"/>
  <c r="B17" i="136"/>
  <c r="B18" i="136"/>
  <c r="B19" i="136"/>
  <c r="B20" i="136"/>
  <c r="B21" i="136"/>
  <c r="B22" i="136"/>
  <c r="B23" i="136"/>
  <c r="B24" i="136"/>
  <c r="B25" i="136"/>
  <c r="B26" i="136"/>
  <c r="B27" i="136"/>
  <c r="B28" i="136"/>
  <c r="B29" i="136"/>
  <c r="B30" i="136"/>
  <c r="B31" i="136"/>
  <c r="B32" i="136"/>
  <c r="B33" i="136"/>
  <c r="B34" i="136"/>
  <c r="B35" i="136"/>
  <c r="B36" i="136"/>
  <c r="B37" i="136"/>
  <c r="B38" i="136"/>
  <c r="B39" i="136"/>
  <c r="B40" i="136"/>
  <c r="B41" i="136"/>
  <c r="B42" i="136"/>
  <c r="B43" i="136"/>
  <c r="B44" i="136"/>
  <c r="B45" i="136"/>
  <c r="B46" i="136"/>
  <c r="B47" i="136"/>
  <c r="B48" i="136"/>
  <c r="B49" i="136"/>
  <c r="B50" i="136"/>
  <c r="B51" i="136"/>
  <c r="B52" i="136"/>
  <c r="B53" i="136"/>
  <c r="B54" i="136"/>
  <c r="B55" i="136"/>
  <c r="B56" i="136"/>
  <c r="B57" i="136"/>
  <c r="B58" i="136"/>
  <c r="B59" i="136"/>
  <c r="B60" i="136"/>
  <c r="B61" i="136"/>
  <c r="B62" i="136"/>
  <c r="B63" i="136"/>
  <c r="B64" i="136"/>
  <c r="B65" i="136"/>
  <c r="B66" i="136"/>
  <c r="B67" i="136"/>
  <c r="B68" i="136"/>
  <c r="B69" i="136"/>
  <c r="B70" i="136"/>
  <c r="B71" i="136"/>
  <c r="B72" i="136"/>
  <c r="B73" i="136"/>
  <c r="B74" i="136"/>
  <c r="B75" i="136"/>
  <c r="B76" i="136"/>
  <c r="C2" i="136"/>
  <c r="C3" i="136"/>
  <c r="C4" i="136"/>
  <c r="C5" i="136"/>
  <c r="C6" i="136"/>
  <c r="C7" i="136"/>
  <c r="C8" i="136"/>
  <c r="C9" i="136"/>
  <c r="C10" i="136"/>
  <c r="C11" i="136"/>
  <c r="C12" i="136"/>
  <c r="C13" i="136"/>
  <c r="C14" i="136"/>
  <c r="C15" i="136"/>
  <c r="C16" i="136"/>
  <c r="C17" i="136"/>
  <c r="C18" i="136"/>
  <c r="C19" i="136"/>
  <c r="C20" i="136"/>
  <c r="C21" i="136"/>
  <c r="C22" i="136"/>
  <c r="C23" i="136"/>
  <c r="C24" i="136"/>
  <c r="C25" i="136"/>
  <c r="C26" i="136"/>
  <c r="C27" i="136"/>
  <c r="C28" i="136"/>
  <c r="C29" i="136"/>
  <c r="C30" i="136"/>
  <c r="C31" i="136"/>
  <c r="C32" i="136"/>
  <c r="C33" i="136"/>
  <c r="C34" i="136"/>
  <c r="C35" i="136"/>
  <c r="C36" i="136"/>
  <c r="C37" i="136"/>
  <c r="C38" i="136"/>
  <c r="C39" i="136"/>
  <c r="C40" i="136"/>
  <c r="C41" i="136"/>
  <c r="C42" i="136"/>
  <c r="C43" i="136"/>
  <c r="C44" i="136"/>
  <c r="C45" i="136"/>
  <c r="C46" i="136"/>
  <c r="C47" i="136"/>
  <c r="C48" i="136"/>
  <c r="C49" i="136"/>
  <c r="C50" i="136"/>
  <c r="C51" i="136"/>
  <c r="C52" i="136"/>
  <c r="C53" i="136"/>
  <c r="C54" i="136"/>
  <c r="C55" i="136"/>
  <c r="C56" i="136"/>
  <c r="C57" i="136"/>
  <c r="C58" i="136"/>
  <c r="C59" i="136"/>
  <c r="C60" i="136"/>
  <c r="C61" i="136"/>
  <c r="C62" i="136"/>
  <c r="C63" i="136"/>
  <c r="C64" i="136"/>
  <c r="C65" i="136"/>
  <c r="C66" i="136"/>
  <c r="C67" i="136"/>
  <c r="C68" i="136"/>
  <c r="C69" i="136"/>
  <c r="C70" i="136"/>
  <c r="C71" i="136"/>
  <c r="C72" i="136"/>
  <c r="C73" i="136"/>
  <c r="C74" i="136"/>
  <c r="C75" i="136"/>
  <c r="C76" i="136"/>
  <c r="D2" i="136" a="1"/>
  <c r="D2" i="136" s="1"/>
  <c r="D3" i="136" a="1"/>
  <c r="D3" i="136" s="1"/>
  <c r="D4" i="136" a="1"/>
  <c r="D4" i="136" s="1"/>
  <c r="D5" i="136" a="1"/>
  <c r="D5" i="136" s="1"/>
  <c r="D6" i="136" a="1"/>
  <c r="D6" i="136" s="1"/>
  <c r="D7" i="136" a="1"/>
  <c r="D7" i="136" s="1"/>
  <c r="D8" i="136" a="1"/>
  <c r="D8" i="136" s="1"/>
  <c r="D9" i="136" a="1"/>
  <c r="D9" i="136" s="1"/>
  <c r="D10" i="136" a="1"/>
  <c r="D10" i="136" s="1"/>
  <c r="D11" i="136" a="1"/>
  <c r="D11" i="136" s="1"/>
  <c r="D12" i="136" a="1"/>
  <c r="D12" i="136" s="1"/>
  <c r="D13" i="136" a="1"/>
  <c r="D13" i="136" s="1"/>
  <c r="D14" i="136" a="1"/>
  <c r="D14" i="136" s="1"/>
  <c r="D15" i="136" a="1"/>
  <c r="D15" i="136" s="1"/>
  <c r="D16" i="136" a="1"/>
  <c r="D16" i="136" s="1"/>
  <c r="D17" i="136" a="1"/>
  <c r="D17" i="136" s="1"/>
  <c r="D18" i="136" a="1"/>
  <c r="D18" i="136" s="1"/>
  <c r="D19" i="136" a="1"/>
  <c r="D19" i="136" s="1"/>
  <c r="D20" i="136" a="1"/>
  <c r="D20" i="136" s="1"/>
  <c r="D21" i="136" a="1"/>
  <c r="D21" i="136" s="1"/>
  <c r="D22" i="136" a="1"/>
  <c r="D22" i="136" s="1"/>
  <c r="D23" i="136" a="1"/>
  <c r="D23" i="136" s="1"/>
  <c r="D24" i="136" a="1"/>
  <c r="D24" i="136" s="1"/>
  <c r="D25" i="136" a="1"/>
  <c r="D25" i="136" s="1"/>
  <c r="D26" i="136" a="1"/>
  <c r="D26" i="136" s="1"/>
  <c r="D27" i="136" a="1"/>
  <c r="D27" i="136" s="1"/>
  <c r="D28" i="136" a="1"/>
  <c r="D28" i="136" s="1"/>
  <c r="D29" i="136" a="1"/>
  <c r="D29" i="136" s="1"/>
  <c r="D30" i="136" a="1"/>
  <c r="D30" i="136" s="1"/>
  <c r="D31" i="136" a="1"/>
  <c r="D31" i="136" s="1"/>
  <c r="D32" i="136" a="1"/>
  <c r="D32" i="136" s="1"/>
  <c r="D33" i="136" a="1"/>
  <c r="D33" i="136" s="1"/>
  <c r="D34" i="136" a="1"/>
  <c r="D34" i="136" s="1"/>
  <c r="D35" i="136" a="1"/>
  <c r="D35" i="136" s="1"/>
  <c r="D36" i="136" a="1"/>
  <c r="D36" i="136" s="1"/>
  <c r="D37" i="136" a="1"/>
  <c r="D37" i="136" s="1"/>
  <c r="D38" i="136" a="1"/>
  <c r="D38" i="136" s="1"/>
  <c r="D39" i="136" a="1"/>
  <c r="D39" i="136" s="1"/>
  <c r="D40" i="136" a="1"/>
  <c r="D40" i="136" s="1"/>
  <c r="D41" i="136" a="1"/>
  <c r="D41" i="136" s="1"/>
  <c r="D42" i="136" a="1"/>
  <c r="D42" i="136" s="1"/>
  <c r="D43" i="136" a="1"/>
  <c r="D43" i="136" s="1"/>
  <c r="D44" i="136" a="1"/>
  <c r="D44" i="136" s="1"/>
  <c r="D45" i="136" a="1"/>
  <c r="D45" i="136" s="1"/>
  <c r="D46" i="136" a="1"/>
  <c r="D46" i="136" s="1"/>
  <c r="D47" i="136" a="1"/>
  <c r="D47" i="136" s="1"/>
  <c r="D48" i="136" a="1"/>
  <c r="D48" i="136" s="1"/>
  <c r="D49" i="136" a="1"/>
  <c r="D49" i="136" s="1"/>
  <c r="D50" i="136" a="1"/>
  <c r="D50" i="136" s="1"/>
  <c r="D51" i="136" a="1"/>
  <c r="D51" i="136" s="1"/>
  <c r="D52" i="136" a="1"/>
  <c r="D52" i="136" s="1"/>
  <c r="D53" i="136" a="1"/>
  <c r="D53" i="136" s="1"/>
  <c r="D54" i="136" a="1"/>
  <c r="D54" i="136" s="1"/>
  <c r="D55" i="136" a="1"/>
  <c r="D55" i="136" s="1"/>
  <c r="D56" i="136" a="1"/>
  <c r="D56" i="136" s="1"/>
  <c r="D57" i="136" a="1"/>
  <c r="D57" i="136" s="1"/>
  <c r="D58" i="136" a="1"/>
  <c r="D58" i="136" s="1"/>
  <c r="D59" i="136" a="1"/>
  <c r="D59" i="136" s="1"/>
  <c r="D60" i="136" a="1"/>
  <c r="D60" i="136" s="1"/>
  <c r="D61" i="136" a="1"/>
  <c r="D61" i="136" s="1"/>
  <c r="D62" i="136" a="1"/>
  <c r="D62" i="136" s="1"/>
  <c r="D63" i="136" a="1"/>
  <c r="D63" i="136" s="1"/>
  <c r="D64" i="136" a="1"/>
  <c r="D64" i="136" s="1"/>
  <c r="D65" i="136" a="1"/>
  <c r="D65" i="136" s="1"/>
  <c r="D66" i="136" a="1"/>
  <c r="D66" i="136" s="1"/>
  <c r="D67" i="136" a="1"/>
  <c r="D67" i="136" s="1"/>
  <c r="D68" i="136" a="1"/>
  <c r="D68" i="136" s="1"/>
  <c r="D69" i="136" a="1"/>
  <c r="D69" i="136" s="1"/>
  <c r="D70" i="136" a="1"/>
  <c r="D70" i="136" s="1"/>
  <c r="D71" i="136" a="1"/>
  <c r="D71" i="136" s="1"/>
  <c r="D72" i="136" a="1"/>
  <c r="D72" i="136" s="1"/>
  <c r="D73" i="136" a="1"/>
  <c r="D73" i="136" s="1"/>
  <c r="D74" i="136" a="1"/>
  <c r="D74" i="136" s="1"/>
  <c r="D75" i="136" a="1"/>
  <c r="D75" i="136" s="1"/>
  <c r="D76" i="136" a="1"/>
  <c r="D76" i="136" s="1"/>
  <c r="E2" i="136"/>
  <c r="E3" i="136"/>
  <c r="E4" i="136"/>
  <c r="E5" i="136"/>
  <c r="E6" i="136"/>
  <c r="E7" i="136"/>
  <c r="E8" i="136"/>
  <c r="E9" i="136"/>
  <c r="E10" i="136"/>
  <c r="E11" i="136"/>
  <c r="E12" i="136"/>
  <c r="E13" i="136"/>
  <c r="E14" i="136"/>
  <c r="E15" i="136"/>
  <c r="E16" i="136"/>
  <c r="E17" i="136"/>
  <c r="E18" i="136"/>
  <c r="E19" i="136"/>
  <c r="E20" i="136"/>
  <c r="E21" i="136"/>
  <c r="E22" i="136"/>
  <c r="E23" i="136"/>
  <c r="E24" i="136"/>
  <c r="E25" i="136"/>
  <c r="E26" i="136"/>
  <c r="E27" i="136"/>
  <c r="E28" i="136"/>
  <c r="E29" i="136"/>
  <c r="E30" i="136"/>
  <c r="E31" i="136"/>
  <c r="E32" i="136"/>
  <c r="E33" i="136"/>
  <c r="E34" i="136"/>
  <c r="E35" i="136"/>
  <c r="E36" i="136"/>
  <c r="E37" i="136"/>
  <c r="E38" i="136"/>
  <c r="E39" i="136"/>
  <c r="E40" i="136"/>
  <c r="E41" i="136"/>
  <c r="E42" i="136"/>
  <c r="E43" i="136"/>
  <c r="E44" i="136"/>
  <c r="E45" i="136"/>
  <c r="E46" i="136"/>
  <c r="E47" i="136"/>
  <c r="E48" i="136"/>
  <c r="E49" i="136"/>
  <c r="E50" i="136"/>
  <c r="E51" i="136"/>
  <c r="E52" i="136"/>
  <c r="E53" i="136"/>
  <c r="E54" i="136"/>
  <c r="E55" i="136"/>
  <c r="E56" i="136"/>
  <c r="E57" i="136"/>
  <c r="E58" i="136"/>
  <c r="E59" i="136"/>
  <c r="E60" i="136"/>
  <c r="E61" i="136"/>
  <c r="E62" i="136"/>
  <c r="E63" i="136"/>
  <c r="E64" i="136"/>
  <c r="E65" i="136"/>
  <c r="E66" i="136"/>
  <c r="E67" i="136"/>
  <c r="E68" i="136"/>
  <c r="E69" i="136"/>
  <c r="E70" i="136"/>
  <c r="E71" i="136"/>
  <c r="E72" i="136"/>
  <c r="E73" i="136"/>
  <c r="E74" i="136"/>
  <c r="E75" i="136"/>
  <c r="E76" i="136"/>
  <c r="F2" i="136"/>
  <c r="F3" i="136"/>
  <c r="F4" i="136"/>
  <c r="F5" i="136"/>
  <c r="F6" i="136"/>
  <c r="F7" i="136"/>
  <c r="F8" i="136"/>
  <c r="F9" i="136"/>
  <c r="F10" i="136"/>
  <c r="F11" i="136"/>
  <c r="F12" i="136"/>
  <c r="F13" i="136"/>
  <c r="F14" i="136"/>
  <c r="F15" i="136"/>
  <c r="F16" i="136"/>
  <c r="F17" i="136"/>
  <c r="F18" i="136"/>
  <c r="F19" i="136"/>
  <c r="F20" i="136"/>
  <c r="F21" i="136"/>
  <c r="F22" i="136"/>
  <c r="F23" i="136"/>
  <c r="F24" i="136"/>
  <c r="F25" i="136"/>
  <c r="F26" i="136"/>
  <c r="F27" i="136"/>
  <c r="F28" i="136"/>
  <c r="F29" i="136"/>
  <c r="F30" i="136"/>
  <c r="F31" i="136"/>
  <c r="F32" i="136"/>
  <c r="F33" i="136"/>
  <c r="F34" i="136"/>
  <c r="F35" i="136"/>
  <c r="F36" i="136"/>
  <c r="F37" i="136"/>
  <c r="F38" i="136"/>
  <c r="F39" i="136"/>
  <c r="F40" i="136"/>
  <c r="F41" i="136"/>
  <c r="F42" i="136"/>
  <c r="F43" i="136"/>
  <c r="F44" i="136"/>
  <c r="F45" i="136"/>
  <c r="F46" i="136"/>
  <c r="F47" i="136"/>
  <c r="F48" i="136"/>
  <c r="F49" i="136"/>
  <c r="F50" i="136"/>
  <c r="F51" i="136"/>
  <c r="F52" i="136"/>
  <c r="F53" i="136"/>
  <c r="F54" i="136"/>
  <c r="F55" i="136"/>
  <c r="F56" i="136"/>
  <c r="F57" i="136"/>
  <c r="F58" i="136"/>
  <c r="F59" i="136"/>
  <c r="F60" i="136"/>
  <c r="F61" i="136"/>
  <c r="F62" i="136"/>
  <c r="F63" i="136"/>
  <c r="F64" i="136"/>
  <c r="F65" i="136"/>
  <c r="F66" i="136"/>
  <c r="F67" i="136"/>
  <c r="F68" i="136"/>
  <c r="F69" i="136"/>
  <c r="F70" i="136"/>
  <c r="F71" i="136"/>
  <c r="F72" i="136"/>
  <c r="F73" i="136"/>
  <c r="F74" i="136"/>
  <c r="F75" i="136"/>
  <c r="F76" i="136"/>
  <c r="G2" i="136"/>
  <c r="G3" i="136"/>
  <c r="G4" i="136"/>
  <c r="G5" i="136"/>
  <c r="G6" i="136"/>
  <c r="G7" i="136"/>
  <c r="G8" i="136"/>
  <c r="G9" i="136"/>
  <c r="G10" i="136"/>
  <c r="G11" i="136"/>
  <c r="G12" i="136"/>
  <c r="G13" i="136"/>
  <c r="G14" i="136"/>
  <c r="G15" i="136"/>
  <c r="G16" i="136"/>
  <c r="G17" i="136"/>
  <c r="G18" i="136"/>
  <c r="G19" i="136"/>
  <c r="G20" i="136"/>
  <c r="G21" i="136"/>
  <c r="G22" i="136"/>
  <c r="G23" i="136"/>
  <c r="G24" i="136"/>
  <c r="G25" i="136"/>
  <c r="G26" i="136"/>
  <c r="G27" i="136"/>
  <c r="G28" i="136"/>
  <c r="G29" i="136"/>
  <c r="G30" i="136"/>
  <c r="G31" i="136"/>
  <c r="G32" i="136"/>
  <c r="G33" i="136"/>
  <c r="G34" i="136"/>
  <c r="G35" i="136"/>
  <c r="G36" i="136"/>
  <c r="G37" i="136"/>
  <c r="G38" i="136"/>
  <c r="G39" i="136"/>
  <c r="G40" i="136"/>
  <c r="G41" i="136"/>
  <c r="G42" i="136"/>
  <c r="G43" i="136"/>
  <c r="G44" i="136"/>
  <c r="G45" i="136"/>
  <c r="G46" i="136"/>
  <c r="G47" i="136"/>
  <c r="G48" i="136"/>
  <c r="G49" i="136"/>
  <c r="G50" i="136"/>
  <c r="G51" i="136"/>
  <c r="G52" i="136"/>
  <c r="G53" i="136"/>
  <c r="G54" i="136"/>
  <c r="G55" i="136"/>
  <c r="G56" i="136"/>
  <c r="G57" i="136"/>
  <c r="G58" i="136"/>
  <c r="G59" i="136"/>
  <c r="G60" i="136"/>
  <c r="G61" i="136"/>
  <c r="G62" i="136"/>
  <c r="G63" i="136"/>
  <c r="G64" i="136"/>
  <c r="G65" i="136"/>
  <c r="G66" i="136"/>
  <c r="G67" i="136"/>
  <c r="G68" i="136"/>
  <c r="G69" i="136"/>
  <c r="G70" i="136"/>
  <c r="G71" i="136"/>
  <c r="G72" i="136"/>
  <c r="G73" i="136"/>
  <c r="G74" i="136"/>
  <c r="G75" i="136"/>
  <c r="G76" i="136"/>
  <c r="H2" i="136"/>
  <c r="H3" i="136"/>
  <c r="H4" i="136"/>
  <c r="H5" i="136"/>
  <c r="H6" i="136"/>
  <c r="H7" i="136"/>
  <c r="H8" i="136"/>
  <c r="H9" i="136"/>
  <c r="H10" i="136"/>
  <c r="H11" i="136"/>
  <c r="H12" i="136"/>
  <c r="H13" i="136"/>
  <c r="H14" i="136"/>
  <c r="H15" i="136"/>
  <c r="H16" i="136"/>
  <c r="H17" i="136"/>
  <c r="H18" i="136"/>
  <c r="H19" i="136"/>
  <c r="H20" i="136"/>
  <c r="H21" i="136"/>
  <c r="H22" i="136"/>
  <c r="H23" i="136"/>
  <c r="H24" i="136"/>
  <c r="H25" i="136"/>
  <c r="H26" i="136"/>
  <c r="H27" i="136"/>
  <c r="H28" i="136"/>
  <c r="H29" i="136"/>
  <c r="H30" i="136"/>
  <c r="H31" i="136"/>
  <c r="H32" i="136"/>
  <c r="H33" i="136"/>
  <c r="H34" i="136"/>
  <c r="H35" i="136"/>
  <c r="H36" i="136"/>
  <c r="H37" i="136"/>
  <c r="H38" i="136"/>
  <c r="H39" i="136"/>
  <c r="H40" i="136"/>
  <c r="H41" i="136"/>
  <c r="H42" i="136"/>
  <c r="H43" i="136"/>
  <c r="H44" i="136"/>
  <c r="H45" i="136"/>
  <c r="H46" i="136"/>
  <c r="H47" i="136"/>
  <c r="H48" i="136"/>
  <c r="H49" i="136"/>
  <c r="H50" i="136"/>
  <c r="H51" i="136"/>
  <c r="H52" i="136"/>
  <c r="H53" i="136"/>
  <c r="H54" i="136"/>
  <c r="H55" i="136"/>
  <c r="H56" i="136"/>
  <c r="H57" i="136"/>
  <c r="H58" i="136"/>
  <c r="H59" i="136"/>
  <c r="H60" i="136"/>
  <c r="H61" i="136"/>
  <c r="H62" i="136"/>
  <c r="H63" i="136"/>
  <c r="H64" i="136"/>
  <c r="H65" i="136"/>
  <c r="H66" i="136"/>
  <c r="H67" i="136"/>
  <c r="H68" i="136"/>
  <c r="H69" i="136"/>
  <c r="H70" i="136"/>
  <c r="H71" i="136"/>
  <c r="H72" i="136"/>
  <c r="H73" i="136"/>
  <c r="H74" i="136"/>
  <c r="H75" i="136"/>
  <c r="H76" i="136"/>
  <c r="I2" i="136"/>
  <c r="I3" i="136"/>
  <c r="I4" i="136"/>
  <c r="I5" i="136"/>
  <c r="I6" i="136"/>
  <c r="I7" i="136"/>
  <c r="I8" i="136"/>
  <c r="I9" i="136"/>
  <c r="I10" i="136"/>
  <c r="I11" i="136"/>
  <c r="I12" i="136"/>
  <c r="I13" i="136"/>
  <c r="I14" i="136"/>
  <c r="I15" i="136"/>
  <c r="I16" i="136"/>
  <c r="I17" i="136"/>
  <c r="I18" i="136"/>
  <c r="I19" i="136"/>
  <c r="I20" i="136"/>
  <c r="I21" i="136"/>
  <c r="I22" i="136"/>
  <c r="I23" i="136"/>
  <c r="I24" i="136"/>
  <c r="I25" i="136"/>
  <c r="I26" i="136"/>
  <c r="I27" i="136"/>
  <c r="I28" i="136"/>
  <c r="I29" i="136"/>
  <c r="I30" i="136"/>
  <c r="I31" i="136"/>
  <c r="I32" i="136"/>
  <c r="I33" i="136"/>
  <c r="I34" i="136"/>
  <c r="I35" i="136"/>
  <c r="I36" i="136"/>
  <c r="I37" i="136"/>
  <c r="I38" i="136"/>
  <c r="I39" i="136"/>
  <c r="I40" i="136"/>
  <c r="I41" i="136"/>
  <c r="I42" i="136"/>
  <c r="I43" i="136"/>
  <c r="I44" i="136"/>
  <c r="I45" i="136"/>
  <c r="I46" i="136"/>
  <c r="I47" i="136"/>
  <c r="I48" i="136"/>
  <c r="I49" i="136"/>
  <c r="I50" i="136"/>
  <c r="I51" i="136"/>
  <c r="I52" i="136"/>
  <c r="I53" i="136"/>
  <c r="I54" i="136"/>
  <c r="I55" i="136"/>
  <c r="I56" i="136"/>
  <c r="I57" i="136"/>
  <c r="I58" i="136"/>
  <c r="I59" i="136"/>
  <c r="I60" i="136"/>
  <c r="I61" i="136"/>
  <c r="I62" i="136"/>
  <c r="I63" i="136"/>
  <c r="I64" i="136"/>
  <c r="I65" i="136"/>
  <c r="I66" i="136"/>
  <c r="I67" i="136"/>
  <c r="I68" i="136"/>
  <c r="I69" i="136"/>
  <c r="I70" i="136"/>
  <c r="I71" i="136"/>
  <c r="I72" i="136"/>
  <c r="I73" i="136"/>
  <c r="I74" i="136"/>
  <c r="I75" i="136"/>
  <c r="I76" i="136"/>
  <c r="J2" i="136"/>
  <c r="J3" i="136"/>
  <c r="J4" i="136"/>
  <c r="J5" i="136"/>
  <c r="J6" i="136"/>
  <c r="J7" i="136"/>
  <c r="J8" i="136"/>
  <c r="J9" i="136"/>
  <c r="J10" i="136"/>
  <c r="J11" i="136"/>
  <c r="J12" i="136"/>
  <c r="J13" i="136"/>
  <c r="J14" i="136"/>
  <c r="J15" i="136"/>
  <c r="J16" i="136"/>
  <c r="J17" i="136"/>
  <c r="J18" i="136"/>
  <c r="J19" i="136"/>
  <c r="J20" i="136"/>
  <c r="J21" i="136"/>
  <c r="J22" i="136"/>
  <c r="J23" i="136"/>
  <c r="J24" i="136"/>
  <c r="J25" i="136"/>
  <c r="J26" i="136"/>
  <c r="J27" i="136"/>
  <c r="J28" i="136"/>
  <c r="J29" i="136"/>
  <c r="J30" i="136"/>
  <c r="J31" i="136"/>
  <c r="J32" i="136"/>
  <c r="J33" i="136"/>
  <c r="J34" i="136"/>
  <c r="J35" i="136"/>
  <c r="J36" i="136"/>
  <c r="J37" i="136"/>
  <c r="J38" i="136"/>
  <c r="J39" i="136"/>
  <c r="J40" i="136"/>
  <c r="J41" i="136"/>
  <c r="J42" i="136"/>
  <c r="J43" i="136"/>
  <c r="J44" i="136"/>
  <c r="J45" i="136"/>
  <c r="J46" i="136"/>
  <c r="J47" i="136"/>
  <c r="J48" i="136"/>
  <c r="J49" i="136"/>
  <c r="J50" i="136"/>
  <c r="J51" i="136"/>
  <c r="J52" i="136"/>
  <c r="J53" i="136"/>
  <c r="J54" i="136"/>
  <c r="J55" i="136"/>
  <c r="J56" i="136"/>
  <c r="J57" i="136"/>
  <c r="J58" i="136"/>
  <c r="J59" i="136"/>
  <c r="J60" i="136"/>
  <c r="J61" i="136"/>
  <c r="J62" i="136"/>
  <c r="J63" i="136"/>
  <c r="J64" i="136"/>
  <c r="J65" i="136"/>
  <c r="J66" i="136"/>
  <c r="J67" i="136"/>
  <c r="J68" i="136"/>
  <c r="J69" i="136"/>
  <c r="J70" i="136"/>
  <c r="J71" i="136"/>
  <c r="J72" i="136"/>
  <c r="J73" i="136"/>
  <c r="J74" i="136"/>
  <c r="J75" i="136"/>
  <c r="J76" i="136"/>
  <c r="K2" i="136"/>
  <c r="K3" i="136"/>
  <c r="K4" i="136"/>
  <c r="K5" i="136"/>
  <c r="K6" i="136"/>
  <c r="K7" i="136"/>
  <c r="K8" i="136"/>
  <c r="K9" i="136"/>
  <c r="K10" i="136"/>
  <c r="K11" i="136"/>
  <c r="K12" i="136"/>
  <c r="K13" i="136"/>
  <c r="K14" i="136"/>
  <c r="K15" i="136"/>
  <c r="K16" i="136"/>
  <c r="K17" i="136"/>
  <c r="K18" i="136"/>
  <c r="K19" i="136"/>
  <c r="K20" i="136"/>
  <c r="K21" i="136"/>
  <c r="K22" i="136"/>
  <c r="K23" i="136"/>
  <c r="K24" i="136"/>
  <c r="K25" i="136"/>
  <c r="K26" i="136"/>
  <c r="K27" i="136"/>
  <c r="K28" i="136"/>
  <c r="K29" i="136"/>
  <c r="K30" i="136"/>
  <c r="K31" i="136"/>
  <c r="K32" i="136"/>
  <c r="K33" i="136"/>
  <c r="K34" i="136"/>
  <c r="K35" i="136"/>
  <c r="K36" i="136"/>
  <c r="K37" i="136"/>
  <c r="K38" i="136"/>
  <c r="K39" i="136"/>
  <c r="K40" i="136"/>
  <c r="K41" i="136"/>
  <c r="K42" i="136"/>
  <c r="K43" i="136"/>
  <c r="K44" i="136"/>
  <c r="K45" i="136"/>
  <c r="K46" i="136"/>
  <c r="K47" i="136"/>
  <c r="K48" i="136"/>
  <c r="K49" i="136"/>
  <c r="K50" i="136"/>
  <c r="K51" i="136"/>
  <c r="K52" i="136"/>
  <c r="K53" i="136"/>
  <c r="K54" i="136"/>
  <c r="K55" i="136"/>
  <c r="K56" i="136"/>
  <c r="K57" i="136"/>
  <c r="K58" i="136"/>
  <c r="K59" i="136"/>
  <c r="K60" i="136"/>
  <c r="K61" i="136"/>
  <c r="K62" i="136"/>
  <c r="K63" i="136"/>
  <c r="K64" i="136"/>
  <c r="K65" i="136"/>
  <c r="K66" i="136"/>
  <c r="K67" i="136"/>
  <c r="K68" i="136"/>
  <c r="K69" i="136"/>
  <c r="K70" i="136"/>
  <c r="K71" i="136"/>
  <c r="K72" i="136"/>
  <c r="K73" i="136"/>
  <c r="K74" i="136"/>
  <c r="K75" i="136"/>
  <c r="K76" i="136"/>
  <c r="L2" i="136"/>
  <c r="L3" i="136"/>
  <c r="L4" i="136"/>
  <c r="L5" i="136"/>
  <c r="L6" i="136"/>
  <c r="L7" i="136"/>
  <c r="L8" i="136"/>
  <c r="L9" i="136"/>
  <c r="L10" i="136"/>
  <c r="L11" i="136"/>
  <c r="L12" i="136"/>
  <c r="L13" i="136"/>
  <c r="L14" i="136"/>
  <c r="L15" i="136"/>
  <c r="L16" i="136"/>
  <c r="L17" i="136"/>
  <c r="L18" i="136"/>
  <c r="L19" i="136"/>
  <c r="L20" i="136"/>
  <c r="L21" i="136"/>
  <c r="L22" i="136"/>
  <c r="L23" i="136"/>
  <c r="L24" i="136"/>
  <c r="L25" i="136"/>
  <c r="L26" i="136"/>
  <c r="L27" i="136"/>
  <c r="L28" i="136"/>
  <c r="L29" i="136"/>
  <c r="L30" i="136"/>
  <c r="L31" i="136"/>
  <c r="L32" i="136"/>
  <c r="L33" i="136"/>
  <c r="L34" i="136"/>
  <c r="L35" i="136"/>
  <c r="L36" i="136"/>
  <c r="L37" i="136"/>
  <c r="L38" i="136"/>
  <c r="L39" i="136"/>
  <c r="L40" i="136"/>
  <c r="L41" i="136"/>
  <c r="L42" i="136"/>
  <c r="L43" i="136"/>
  <c r="L44" i="136"/>
  <c r="L45" i="136"/>
  <c r="L46" i="136"/>
  <c r="L47" i="136"/>
  <c r="L48" i="136"/>
  <c r="L49" i="136"/>
  <c r="L50" i="136"/>
  <c r="L51" i="136"/>
  <c r="L52" i="136"/>
  <c r="L53" i="136"/>
  <c r="L54" i="136"/>
  <c r="L55" i="136"/>
  <c r="L56" i="136"/>
  <c r="L57" i="136"/>
  <c r="L58" i="136"/>
  <c r="L59" i="136"/>
  <c r="L60" i="136"/>
  <c r="L61" i="136"/>
  <c r="L62" i="136"/>
  <c r="L63" i="136"/>
  <c r="L64" i="136"/>
  <c r="L65" i="136"/>
  <c r="L66" i="136"/>
  <c r="L67" i="136"/>
  <c r="L68" i="136"/>
  <c r="L69" i="136"/>
  <c r="L70" i="136"/>
  <c r="L71" i="136"/>
  <c r="L72" i="136"/>
  <c r="L73" i="136"/>
  <c r="L74" i="136"/>
  <c r="L75" i="136"/>
  <c r="L76" i="136"/>
  <c r="M2" i="136"/>
  <c r="M3" i="136"/>
  <c r="M4" i="136"/>
  <c r="M5" i="136"/>
  <c r="M6" i="136"/>
  <c r="M7" i="136"/>
  <c r="M8" i="136"/>
  <c r="M9" i="136"/>
  <c r="M10" i="136"/>
  <c r="M11" i="136"/>
  <c r="M12" i="136"/>
  <c r="M13" i="136"/>
  <c r="M14" i="136"/>
  <c r="M15" i="136"/>
  <c r="M16" i="136"/>
  <c r="M17" i="136"/>
  <c r="M18" i="136"/>
  <c r="M19" i="136"/>
  <c r="M20" i="136"/>
  <c r="M21" i="136"/>
  <c r="M22" i="136"/>
  <c r="M23" i="136"/>
  <c r="M24" i="136"/>
  <c r="M25" i="136"/>
  <c r="M26" i="136"/>
  <c r="M27" i="136"/>
  <c r="M28" i="136"/>
  <c r="M29" i="136"/>
  <c r="M30" i="136"/>
  <c r="M31" i="136"/>
  <c r="M32" i="136"/>
  <c r="M33" i="136"/>
  <c r="M34" i="136"/>
  <c r="M35" i="136"/>
  <c r="M36" i="136"/>
  <c r="M37" i="136"/>
  <c r="M38" i="136"/>
  <c r="M39" i="136"/>
  <c r="M40" i="136"/>
  <c r="M41" i="136"/>
  <c r="M42" i="136"/>
  <c r="M43" i="136"/>
  <c r="M44" i="136"/>
  <c r="M45" i="136"/>
  <c r="M46" i="136"/>
  <c r="M47" i="136"/>
  <c r="M48" i="136"/>
  <c r="M49" i="136"/>
  <c r="M50" i="136"/>
  <c r="M51" i="136"/>
  <c r="M52" i="136"/>
  <c r="M53" i="136"/>
  <c r="M54" i="136"/>
  <c r="M55" i="136"/>
  <c r="M56" i="136"/>
  <c r="M57" i="136"/>
  <c r="M58" i="136"/>
  <c r="M59" i="136"/>
  <c r="M60" i="136"/>
  <c r="M61" i="136"/>
  <c r="M62" i="136"/>
  <c r="M63" i="136"/>
  <c r="M64" i="136"/>
  <c r="M65" i="136"/>
  <c r="M66" i="136"/>
  <c r="M67" i="136"/>
  <c r="M68" i="136"/>
  <c r="M69" i="136"/>
  <c r="M70" i="136"/>
  <c r="M71" i="136"/>
  <c r="M72" i="136"/>
  <c r="M73" i="136"/>
  <c r="M74" i="136"/>
  <c r="M75" i="136"/>
  <c r="M76" i="136"/>
  <c r="N2" i="136"/>
  <c r="N3" i="136"/>
  <c r="N4" i="136"/>
  <c r="N5" i="136"/>
  <c r="N6" i="136"/>
  <c r="N7" i="136"/>
  <c r="N8" i="136"/>
  <c r="N9" i="136"/>
  <c r="N10" i="136"/>
  <c r="N11" i="136"/>
  <c r="N12" i="136"/>
  <c r="N13" i="136"/>
  <c r="N14" i="136"/>
  <c r="N15" i="136"/>
  <c r="N16" i="136"/>
  <c r="N17" i="136"/>
  <c r="N18" i="136"/>
  <c r="N19" i="136"/>
  <c r="N20" i="136"/>
  <c r="N21" i="136"/>
  <c r="N22" i="136"/>
  <c r="N23" i="136"/>
  <c r="N24" i="136"/>
  <c r="N25" i="136"/>
  <c r="N26" i="136"/>
  <c r="N27" i="136"/>
  <c r="N28" i="136"/>
  <c r="N29" i="136"/>
  <c r="N30" i="136"/>
  <c r="N31" i="136"/>
  <c r="N32" i="136"/>
  <c r="N33" i="136"/>
  <c r="N34" i="136"/>
  <c r="N35" i="136"/>
  <c r="N36" i="136"/>
  <c r="N37" i="136"/>
  <c r="N38" i="136"/>
  <c r="N39" i="136"/>
  <c r="N40" i="136"/>
  <c r="N41" i="136"/>
  <c r="N42" i="136"/>
  <c r="N43" i="136"/>
  <c r="N44" i="136"/>
  <c r="N45" i="136"/>
  <c r="N46" i="136"/>
  <c r="N47" i="136"/>
  <c r="N48" i="136"/>
  <c r="N49" i="136"/>
  <c r="N50" i="136"/>
  <c r="N51" i="136"/>
  <c r="N52" i="136"/>
  <c r="N53" i="136"/>
  <c r="N54" i="136"/>
  <c r="N55" i="136"/>
  <c r="N56" i="136"/>
  <c r="N57" i="136"/>
  <c r="N58" i="136"/>
  <c r="N59" i="136"/>
  <c r="N60" i="136"/>
  <c r="N61" i="136"/>
  <c r="N62" i="136"/>
  <c r="N63" i="136"/>
  <c r="N64" i="136"/>
  <c r="N65" i="136"/>
  <c r="N66" i="136"/>
  <c r="N67" i="136"/>
  <c r="N68" i="136"/>
  <c r="N69" i="136"/>
  <c r="N70" i="136"/>
  <c r="N71" i="136"/>
  <c r="N72" i="136"/>
  <c r="N73" i="136"/>
  <c r="N74" i="136"/>
  <c r="N75" i="136"/>
  <c r="N76" i="136"/>
  <c r="A2" i="130"/>
  <c r="C2" i="130" a="1"/>
  <c r="C2" i="130" s="1"/>
  <c r="D2" i="130"/>
  <c r="E2" i="130"/>
  <c r="F2" i="130" a="1"/>
  <c r="F2" i="130" s="1"/>
  <c r="G2" i="130"/>
  <c r="H2" i="130" a="1"/>
  <c r="H2" i="130" s="1"/>
  <c r="I2" i="130"/>
  <c r="J2" i="130"/>
  <c r="K2" i="130"/>
  <c r="L2" i="130"/>
  <c r="M2" i="130"/>
  <c r="N2" i="130"/>
  <c r="O2" i="130"/>
  <c r="P2" i="130"/>
  <c r="Q2" i="130"/>
  <c r="R2" i="130"/>
  <c r="S2" i="130"/>
  <c r="T2" i="130"/>
  <c r="V2" i="130"/>
  <c r="L97" i="162" l="1"/>
  <c r="C94" i="138"/>
  <c r="C78" i="138"/>
  <c r="C62" i="138"/>
  <c r="C46" i="138"/>
  <c r="C30" i="138"/>
  <c r="C14" i="138"/>
  <c r="L93" i="162"/>
  <c r="C365" i="138"/>
  <c r="C317" i="138"/>
  <c r="C285" i="138"/>
  <c r="C253" i="138"/>
  <c r="C237" i="138"/>
  <c r="C205" i="138"/>
  <c r="C189" i="138"/>
  <c r="C157" i="138"/>
  <c r="C141" i="138"/>
  <c r="C125" i="138"/>
  <c r="C93" i="138"/>
  <c r="C61" i="138"/>
  <c r="C29" i="138"/>
  <c r="C13" i="138"/>
  <c r="C348" i="138"/>
  <c r="C332" i="138"/>
  <c r="C300" i="138"/>
  <c r="C284" i="138"/>
  <c r="C252" i="138"/>
  <c r="C236" i="138"/>
  <c r="C220" i="138"/>
  <c r="C204" i="138"/>
  <c r="C188" i="138"/>
  <c r="C172" i="138"/>
  <c r="C156" i="138"/>
  <c r="C140" i="138"/>
  <c r="C124" i="138"/>
  <c r="C108" i="138"/>
  <c r="C92" i="138"/>
  <c r="C76" i="138"/>
  <c r="C60" i="138"/>
  <c r="C44" i="138"/>
  <c r="C28" i="138"/>
  <c r="C12" i="138"/>
  <c r="C139" i="138"/>
  <c r="C123" i="138"/>
  <c r="C107" i="138"/>
  <c r="C91" i="138"/>
  <c r="C75" i="138"/>
  <c r="C59" i="138"/>
  <c r="C43" i="138"/>
  <c r="C27" i="138"/>
  <c r="C11" i="138"/>
  <c r="C362" i="138"/>
  <c r="C346" i="138"/>
  <c r="C330" i="138"/>
  <c r="C314" i="138"/>
  <c r="C298" i="138"/>
  <c r="C282" i="138"/>
  <c r="C266" i="138"/>
  <c r="C250" i="138"/>
  <c r="C234" i="138"/>
  <c r="C218" i="138"/>
  <c r="C202" i="138"/>
  <c r="C186" i="138"/>
  <c r="C170" i="138"/>
  <c r="C154" i="138"/>
  <c r="C138" i="138"/>
  <c r="C122" i="138"/>
  <c r="C106" i="138"/>
  <c r="C90" i="138"/>
  <c r="C74" i="138"/>
  <c r="C58" i="138"/>
  <c r="C42" i="138"/>
  <c r="C26" i="138"/>
  <c r="C10" i="138"/>
  <c r="D155" i="162"/>
  <c r="F155" i="162" s="1"/>
  <c r="H155" i="162" s="1"/>
  <c r="L77" i="162"/>
  <c r="L92" i="162"/>
  <c r="L71" i="162"/>
  <c r="L87" i="162"/>
  <c r="L103" i="162"/>
  <c r="L73" i="162"/>
  <c r="L84" i="162"/>
  <c r="L76" i="162"/>
  <c r="N49" i="162"/>
  <c r="L78" i="162"/>
  <c r="L83" i="162"/>
  <c r="C377" i="138"/>
  <c r="C361" i="138"/>
  <c r="C345" i="138"/>
  <c r="C329" i="138"/>
  <c r="C313" i="138"/>
  <c r="C297" i="138"/>
  <c r="C281" i="138"/>
  <c r="C265" i="138"/>
  <c r="C249" i="138"/>
  <c r="C233" i="138"/>
  <c r="C217" i="138"/>
  <c r="C201" i="138"/>
  <c r="C185" i="138"/>
  <c r="C169" i="138"/>
  <c r="C153" i="138"/>
  <c r="C137" i="138"/>
  <c r="C89" i="138"/>
  <c r="C73" i="138"/>
  <c r="C57" i="138"/>
  <c r="C41" i="138"/>
  <c r="C25" i="138"/>
  <c r="C9" i="138"/>
  <c r="C369" i="138"/>
  <c r="C353" i="138"/>
  <c r="C337" i="138"/>
  <c r="C321" i="138"/>
  <c r="C305" i="138"/>
  <c r="C289" i="138"/>
  <c r="C257" i="138"/>
  <c r="C241" i="138"/>
  <c r="C225" i="138"/>
  <c r="C209" i="138"/>
  <c r="C193" i="138"/>
  <c r="C177" i="138"/>
  <c r="C161" i="138"/>
  <c r="C145" i="138"/>
  <c r="C129" i="138"/>
  <c r="C113" i="138"/>
  <c r="C97" i="138"/>
  <c r="C81" i="138"/>
  <c r="C65" i="138"/>
  <c r="C49" i="138"/>
  <c r="C33" i="138"/>
  <c r="C17" i="138"/>
  <c r="N42" i="162"/>
  <c r="N46" i="162"/>
  <c r="L89" i="162"/>
  <c r="C376" i="138"/>
  <c r="C360" i="138"/>
  <c r="C344" i="138"/>
  <c r="C328" i="138"/>
  <c r="C312" i="138"/>
  <c r="C296" i="138"/>
  <c r="C280" i="138"/>
  <c r="C264" i="138"/>
  <c r="C248" i="138"/>
  <c r="C232" i="138"/>
  <c r="C216" i="138"/>
  <c r="C200" i="138"/>
  <c r="C184" i="138"/>
  <c r="C168" i="138"/>
  <c r="C152" i="138"/>
  <c r="C136" i="138"/>
  <c r="C120" i="138"/>
  <c r="C104" i="138"/>
  <c r="C88" i="138"/>
  <c r="C72" i="138"/>
  <c r="C56" i="138"/>
  <c r="C40" i="138"/>
  <c r="C24" i="138"/>
  <c r="C8" i="138"/>
  <c r="C368" i="138"/>
  <c r="C352" i="138"/>
  <c r="C336" i="138"/>
  <c r="C320" i="138"/>
  <c r="C304" i="138"/>
  <c r="C256" i="138"/>
  <c r="C240" i="138"/>
  <c r="C224" i="138"/>
  <c r="C208" i="138"/>
  <c r="C192" i="138"/>
  <c r="C176" i="138"/>
  <c r="C160" i="138"/>
  <c r="C144" i="138"/>
  <c r="C128" i="138"/>
  <c r="C112" i="138"/>
  <c r="C96" i="138"/>
  <c r="C80" i="138"/>
  <c r="C64" i="138"/>
  <c r="C48" i="138"/>
  <c r="C32" i="138"/>
  <c r="C16" i="138"/>
  <c r="N47" i="162"/>
  <c r="L82" i="162"/>
  <c r="L98" i="162"/>
  <c r="L94" i="162"/>
  <c r="N43" i="162"/>
  <c r="L74" i="162"/>
  <c r="L85" i="162"/>
  <c r="L90" i="162"/>
  <c r="L101" i="162"/>
  <c r="L80" i="162"/>
  <c r="L96" i="162"/>
  <c r="L75" i="162"/>
  <c r="L100" i="162"/>
  <c r="L86" i="162"/>
  <c r="L102" i="162"/>
  <c r="L95" i="162"/>
  <c r="L91" i="162"/>
  <c r="D151" i="162"/>
  <c r="F151" i="162" s="1"/>
  <c r="H151" i="162" s="1"/>
  <c r="D159" i="162"/>
  <c r="F159" i="162" s="1"/>
  <c r="H159" i="162" s="1"/>
  <c r="C333" i="138"/>
  <c r="C301" i="138"/>
  <c r="C269" i="138"/>
  <c r="C221" i="138"/>
  <c r="C77" i="138"/>
  <c r="C45" i="138"/>
  <c r="D158" i="162"/>
  <c r="F158" i="162" s="1"/>
  <c r="H158" i="162" s="1"/>
  <c r="D150" i="162"/>
  <c r="F150" i="162" s="1"/>
  <c r="H150" i="162" s="1"/>
  <c r="L99" i="162"/>
  <c r="N44" i="162"/>
  <c r="N48" i="162"/>
  <c r="L81" i="162"/>
  <c r="N45" i="162"/>
  <c r="L79" i="162"/>
  <c r="L88" i="162"/>
  <c r="L104" i="162"/>
  <c r="L67" i="162"/>
  <c r="N41" i="162"/>
  <c r="L72" i="162"/>
  <c r="C173" i="138"/>
  <c r="C279" i="138"/>
  <c r="C288" i="138"/>
  <c r="C367" i="138"/>
  <c r="C351" i="138"/>
  <c r="C335" i="138"/>
  <c r="C319" i="138"/>
  <c r="C303" i="138"/>
  <c r="C287" i="138"/>
  <c r="C271" i="138"/>
  <c r="C255" i="138"/>
  <c r="C239" i="138"/>
  <c r="C223" i="138"/>
  <c r="C207" i="138"/>
  <c r="C191" i="138"/>
  <c r="C175" i="138"/>
  <c r="C159" i="138"/>
  <c r="C143" i="138"/>
  <c r="C127" i="138"/>
  <c r="C111" i="138"/>
  <c r="C95" i="138"/>
  <c r="C79" i="138"/>
  <c r="C63" i="138"/>
  <c r="C47" i="138"/>
  <c r="C31" i="138"/>
  <c r="C15" i="138"/>
  <c r="C359" i="138"/>
  <c r="C327" i="138"/>
  <c r="C295" i="138"/>
  <c r="C263" i="138"/>
  <c r="C231" i="138"/>
  <c r="C199" i="138"/>
  <c r="C167" i="138"/>
  <c r="C349" i="138"/>
  <c r="C273" i="138"/>
  <c r="C272" i="138"/>
  <c r="C121" i="138"/>
  <c r="C105" i="138"/>
  <c r="C268" i="138"/>
  <c r="B41" i="129"/>
  <c r="V41" i="129" s="1"/>
  <c r="B24" i="129"/>
  <c r="V24" i="129" s="1"/>
  <c r="B28" i="129"/>
  <c r="B25" i="129"/>
  <c r="B49" i="129"/>
  <c r="V49" i="129" s="1"/>
  <c r="B33" i="129"/>
  <c r="V33" i="129" s="1"/>
  <c r="B17" i="129"/>
  <c r="V17" i="129" s="1"/>
  <c r="B48" i="129"/>
  <c r="V48" i="129" s="1"/>
  <c r="B32" i="129"/>
  <c r="V32" i="129" s="1"/>
  <c r="B16" i="129"/>
  <c r="V16" i="129" s="1"/>
  <c r="B43" i="129"/>
  <c r="V43" i="129" s="1"/>
  <c r="B27" i="129"/>
  <c r="V27" i="129" s="1"/>
  <c r="B7" i="129"/>
  <c r="V7" i="129" s="1"/>
  <c r="B42" i="129"/>
  <c r="V42" i="129" s="1"/>
  <c r="B26" i="129"/>
  <c r="V26" i="129" s="1"/>
  <c r="B6" i="129"/>
  <c r="V6" i="129" s="1"/>
  <c r="B3" i="129"/>
  <c r="V3" i="129" s="1"/>
  <c r="V28" i="129"/>
  <c r="B15" i="129"/>
  <c r="V15" i="129" s="1"/>
  <c r="V25" i="129"/>
  <c r="B4" i="129"/>
  <c r="V4" i="129" s="1"/>
  <c r="B50" i="129"/>
  <c r="V50" i="129" s="1"/>
  <c r="B34" i="129"/>
  <c r="V34" i="129" s="1"/>
  <c r="B18" i="129"/>
  <c r="B2" i="129"/>
  <c r="V18" i="129"/>
  <c r="V2" i="129"/>
  <c r="B14" i="129"/>
  <c r="V14" i="129" s="1"/>
  <c r="B45" i="129"/>
  <c r="V45" i="129" s="1"/>
  <c r="B29" i="129"/>
  <c r="V29" i="129" s="1"/>
  <c r="B13" i="129"/>
  <c r="V13" i="129" s="1"/>
  <c r="B44" i="129"/>
  <c r="V44" i="129" s="1"/>
  <c r="B12" i="129"/>
  <c r="V12" i="129" s="1"/>
  <c r="B30" i="129"/>
  <c r="V30" i="129" s="1"/>
  <c r="B11" i="129"/>
  <c r="V11" i="129" s="1"/>
  <c r="B46" i="129"/>
  <c r="V46" i="129" s="1"/>
  <c r="B10" i="129"/>
  <c r="V10" i="129" s="1"/>
  <c r="B8" i="129"/>
  <c r="V8" i="129" s="1"/>
  <c r="B37" i="129"/>
  <c r="V37" i="129" s="1"/>
  <c r="B21" i="129"/>
  <c r="V21" i="129" s="1"/>
  <c r="B5" i="129"/>
  <c r="V5" i="129" s="1"/>
  <c r="B40" i="129"/>
  <c r="V40" i="129" s="1"/>
  <c r="B39" i="129"/>
  <c r="V39" i="129" s="1"/>
  <c r="B23" i="129"/>
  <c r="V23" i="129" s="1"/>
  <c r="B38" i="129"/>
  <c r="V38" i="129" s="1"/>
  <c r="B22" i="129"/>
  <c r="V22" i="129" s="1"/>
  <c r="B52" i="129"/>
  <c r="V52" i="129" s="1"/>
  <c r="B36" i="129"/>
  <c r="V36" i="129" s="1"/>
  <c r="B20" i="129"/>
  <c r="V20" i="129" s="1"/>
  <c r="B51" i="129"/>
  <c r="V51" i="129" s="1"/>
  <c r="B35" i="129"/>
  <c r="V35" i="129" s="1"/>
  <c r="B19" i="129"/>
  <c r="V19" i="129" s="1"/>
  <c r="B9" i="129"/>
  <c r="V9" i="129" s="1"/>
  <c r="B47" i="129"/>
  <c r="V47" i="129" s="1"/>
  <c r="B31" i="129"/>
  <c r="V31" i="129" s="1"/>
  <c r="L65" i="162"/>
  <c r="N40" i="162"/>
  <c r="L66" i="162"/>
  <c r="L68" i="162"/>
  <c r="H9" i="162"/>
  <c r="I9" i="162" s="1"/>
  <c r="G9" i="162"/>
  <c r="L70" i="162"/>
  <c r="L69" i="162"/>
  <c r="B32" i="137"/>
  <c r="M32" i="137" s="1"/>
  <c r="F3" i="93"/>
  <c r="B65" i="132"/>
  <c r="B49" i="132"/>
  <c r="B33" i="132"/>
  <c r="B41" i="132"/>
  <c r="B64" i="132"/>
  <c r="B48" i="132"/>
  <c r="B32" i="132"/>
  <c r="B39" i="132"/>
  <c r="B47" i="132"/>
  <c r="B31" i="132"/>
  <c r="B3" i="132"/>
  <c r="B62" i="132"/>
  <c r="B46" i="132"/>
  <c r="B30" i="132"/>
  <c r="B14" i="132"/>
  <c r="B63" i="132"/>
  <c r="B61" i="132"/>
  <c r="B45" i="132"/>
  <c r="B29" i="132"/>
  <c r="B13" i="132"/>
  <c r="B60" i="132"/>
  <c r="B44" i="132"/>
  <c r="B28" i="132"/>
  <c r="B12" i="132"/>
  <c r="B40" i="132"/>
  <c r="B11" i="132"/>
  <c r="B10" i="132"/>
  <c r="B5" i="132"/>
  <c r="B4" i="132"/>
  <c r="B59" i="132"/>
  <c r="B43" i="132"/>
  <c r="B42" i="132"/>
  <c r="B27" i="132"/>
  <c r="B26" i="132"/>
  <c r="B25" i="132"/>
  <c r="B58" i="132"/>
  <c r="B9" i="132"/>
  <c r="B54" i="132"/>
  <c r="B22" i="132"/>
  <c r="B37" i="132"/>
  <c r="B8" i="132"/>
  <c r="B70" i="132"/>
  <c r="B38" i="132"/>
  <c r="B6" i="132"/>
  <c r="B69" i="132"/>
  <c r="B53" i="132"/>
  <c r="B21" i="132"/>
  <c r="B68" i="132"/>
  <c r="B52" i="132"/>
  <c r="B36" i="132"/>
  <c r="B20" i="132"/>
  <c r="B73" i="132"/>
  <c r="B57" i="132"/>
  <c r="B72" i="132"/>
  <c r="B56" i="132"/>
  <c r="B71" i="132"/>
  <c r="B55" i="132"/>
  <c r="B67" i="132"/>
  <c r="B51" i="132"/>
  <c r="B35" i="132"/>
  <c r="B19" i="132"/>
  <c r="B66" i="132"/>
  <c r="B50" i="132"/>
  <c r="B34" i="132"/>
  <c r="B18" i="132"/>
  <c r="B17" i="132"/>
  <c r="B16" i="132"/>
  <c r="B15" i="132"/>
  <c r="B7" i="132"/>
  <c r="B24" i="132"/>
  <c r="B23" i="132"/>
  <c r="B2" i="132"/>
  <c r="F5" i="93"/>
  <c r="F4" i="93"/>
  <c r="H6" i="42"/>
  <c r="H5" i="42"/>
  <c r="H7" i="42"/>
  <c r="H10" i="42"/>
  <c r="H8" i="42"/>
  <c r="H4" i="42"/>
  <c r="H11" i="42"/>
  <c r="F5" i="42"/>
  <c r="H9" i="42"/>
  <c r="F12" i="42"/>
  <c r="F3" i="42"/>
  <c r="F11" i="42"/>
  <c r="F7" i="42"/>
  <c r="F6" i="42"/>
  <c r="F10" i="42"/>
  <c r="F8" i="42"/>
  <c r="F9" i="42"/>
  <c r="F4" i="42"/>
  <c r="B33" i="137"/>
  <c r="M33" i="137" s="1"/>
  <c r="B50" i="137"/>
  <c r="M50" i="137" s="1"/>
  <c r="B62" i="137"/>
  <c r="M62" i="137" s="1"/>
  <c r="B53" i="137"/>
  <c r="B8" i="137"/>
  <c r="M8" i="137" s="1"/>
  <c r="B82" i="137"/>
  <c r="M82" i="137" s="1"/>
  <c r="B75" i="137"/>
  <c r="M75" i="137" s="1"/>
  <c r="B15" i="137"/>
  <c r="M15" i="137" s="1"/>
  <c r="B42" i="137"/>
  <c r="M42" i="137" s="1"/>
  <c r="B89" i="137"/>
  <c r="M89" i="137" s="1"/>
  <c r="B47" i="137"/>
  <c r="M47" i="137" s="1"/>
  <c r="B14" i="137"/>
  <c r="M14" i="137" s="1"/>
  <c r="B76" i="137"/>
  <c r="M76" i="137" s="1"/>
  <c r="B29" i="137"/>
  <c r="M29" i="137" s="1"/>
  <c r="B16" i="137"/>
  <c r="M16" i="137" s="1"/>
  <c r="B64" i="137"/>
  <c r="M64" i="137" s="1"/>
  <c r="B63" i="137"/>
  <c r="M63" i="137" s="1"/>
  <c r="B49" i="137"/>
  <c r="M49" i="137" s="1"/>
  <c r="B36" i="137"/>
  <c r="M36" i="137" s="1"/>
  <c r="B44" i="137"/>
  <c r="M44" i="137" s="1"/>
  <c r="B18" i="137"/>
  <c r="M18" i="137" s="1"/>
  <c r="B81" i="137"/>
  <c r="M81" i="137" s="1"/>
  <c r="B48" i="137"/>
  <c r="M48" i="137" s="1"/>
  <c r="B43" i="137"/>
  <c r="M43" i="137" s="1"/>
  <c r="M67" i="137"/>
  <c r="M40" i="137"/>
  <c r="M3" i="137"/>
  <c r="B90" i="137"/>
  <c r="M90" i="137" s="1"/>
  <c r="M56" i="137"/>
  <c r="M84" i="137"/>
  <c r="M4" i="137"/>
  <c r="B72" i="137"/>
  <c r="M72" i="137" s="1"/>
  <c r="B24" i="137"/>
  <c r="M24" i="137" s="1"/>
  <c r="B60" i="137"/>
  <c r="M60" i="137" s="1"/>
  <c r="B37" i="137"/>
  <c r="M37" i="137" s="1"/>
  <c r="B10" i="137"/>
  <c r="M10" i="137" s="1"/>
  <c r="B59" i="137"/>
  <c r="M59" i="137" s="1"/>
  <c r="B70" i="137"/>
  <c r="M70" i="137" s="1"/>
  <c r="B25" i="137"/>
  <c r="M25" i="137" s="1"/>
  <c r="B95" i="137"/>
  <c r="M95" i="137" s="1"/>
  <c r="B11" i="137"/>
  <c r="M11" i="137" s="1"/>
  <c r="B51" i="137"/>
  <c r="M51" i="137" s="1"/>
  <c r="B28" i="137"/>
  <c r="M28" i="137" s="1"/>
  <c r="B88" i="137"/>
  <c r="M88" i="137" s="1"/>
  <c r="B20" i="137"/>
  <c r="M20" i="137" s="1"/>
  <c r="B27" i="137"/>
  <c r="M27" i="137" s="1"/>
  <c r="B13" i="137"/>
  <c r="M13" i="137" s="1"/>
  <c r="B92" i="137"/>
  <c r="M92" i="137" s="1"/>
  <c r="B78" i="137"/>
  <c r="M78" i="137" s="1"/>
  <c r="B46" i="137"/>
  <c r="M46" i="137" s="1"/>
  <c r="B77" i="137"/>
  <c r="M77" i="137" s="1"/>
  <c r="B45" i="137"/>
  <c r="M45" i="137" s="1"/>
  <c r="B91" i="137"/>
  <c r="M91" i="137" s="1"/>
  <c r="B35" i="137"/>
  <c r="M35" i="137" s="1"/>
  <c r="B69" i="137"/>
  <c r="M69" i="137" s="1"/>
  <c r="B12" i="137"/>
  <c r="M12" i="137" s="1"/>
  <c r="B26" i="137"/>
  <c r="M26" i="137" s="1"/>
  <c r="B34" i="137"/>
  <c r="M34" i="137" s="1"/>
  <c r="B30" i="137"/>
  <c r="M30" i="137" s="1"/>
  <c r="B61" i="137"/>
  <c r="M61" i="137" s="1"/>
  <c r="B87" i="137"/>
  <c r="M87" i="137" s="1"/>
  <c r="B68" i="137"/>
  <c r="M68" i="137" s="1"/>
  <c r="B52" i="137"/>
  <c r="M52" i="137" s="1"/>
  <c r="M73" i="137"/>
  <c r="M57" i="137"/>
  <c r="M41" i="137"/>
  <c r="M9" i="137"/>
  <c r="B19" i="137"/>
  <c r="M19" i="137" s="1"/>
  <c r="M86" i="137"/>
  <c r="M54" i="137"/>
  <c r="M22" i="137"/>
  <c r="M6" i="137"/>
  <c r="M66" i="137"/>
  <c r="M2" i="137"/>
  <c r="M79" i="137"/>
  <c r="M31" i="137"/>
  <c r="M17" i="137"/>
  <c r="M38" i="137"/>
  <c r="M80" i="137"/>
  <c r="M93" i="137"/>
  <c r="M7" i="137"/>
  <c r="M55" i="137"/>
  <c r="M23" i="137"/>
  <c r="M85" i="137"/>
  <c r="M53" i="137"/>
  <c r="M21" i="137"/>
  <c r="M5" i="137"/>
  <c r="M71" i="137"/>
  <c r="M39" i="137"/>
  <c r="M83" i="137"/>
  <c r="M74" i="137"/>
  <c r="M58" i="137"/>
  <c r="M65" i="137"/>
  <c r="M94" i="137"/>
  <c r="O54" i="136"/>
  <c r="O22" i="136"/>
  <c r="O60" i="136"/>
  <c r="O44" i="136"/>
  <c r="O28" i="136"/>
  <c r="O12" i="136"/>
  <c r="O70" i="136"/>
  <c r="O38" i="136"/>
  <c r="O6" i="136"/>
  <c r="O76" i="136"/>
  <c r="O17" i="136"/>
  <c r="O21" i="136"/>
  <c r="O32" i="136"/>
  <c r="O20" i="136"/>
  <c r="O67" i="136"/>
  <c r="O35" i="136"/>
  <c r="O3" i="136"/>
  <c r="O62" i="136"/>
  <c r="O46" i="136"/>
  <c r="O14" i="136"/>
  <c r="O61" i="136"/>
  <c r="O45" i="136"/>
  <c r="O29" i="136"/>
  <c r="O13" i="136"/>
  <c r="O33" i="136"/>
  <c r="O5" i="136"/>
  <c r="O16" i="136"/>
  <c r="O73" i="136"/>
  <c r="O57" i="136"/>
  <c r="O41" i="136"/>
  <c r="O4" i="136"/>
  <c r="O63" i="136"/>
  <c r="O47" i="136"/>
  <c r="O31" i="136"/>
  <c r="O15" i="136"/>
  <c r="O72" i="136"/>
  <c r="O56" i="136"/>
  <c r="O40" i="136"/>
  <c r="O24" i="136"/>
  <c r="O8" i="136"/>
  <c r="O51" i="136"/>
  <c r="O19" i="136"/>
  <c r="O30" i="136"/>
  <c r="O66" i="136"/>
  <c r="O71" i="136"/>
  <c r="O55" i="136"/>
  <c r="O39" i="136"/>
  <c r="O23" i="136"/>
  <c r="O7" i="136"/>
  <c r="O42" i="136"/>
  <c r="O64" i="136"/>
  <c r="O65" i="136"/>
  <c r="O74" i="136"/>
  <c r="O26" i="136"/>
  <c r="O10" i="136"/>
  <c r="O48" i="136"/>
  <c r="O9" i="136"/>
  <c r="O69" i="136"/>
  <c r="O50" i="136"/>
  <c r="O34" i="136"/>
  <c r="O18" i="136"/>
  <c r="O2" i="136"/>
  <c r="O53" i="136"/>
  <c r="O68" i="136"/>
  <c r="O52" i="136"/>
  <c r="O27" i="136"/>
  <c r="O37" i="136"/>
  <c r="O25" i="136"/>
  <c r="O75" i="136"/>
  <c r="O59" i="136"/>
  <c r="O43" i="136"/>
  <c r="O11" i="136"/>
  <c r="O49" i="136"/>
  <c r="O58" i="136"/>
  <c r="O36" i="136"/>
  <c r="B2" i="130"/>
  <c r="U2" i="130" s="1"/>
  <c r="A3" i="40"/>
  <c r="A4" i="40"/>
  <c r="A5" i="40"/>
  <c r="B3" i="40"/>
  <c r="B4" i="40"/>
  <c r="B5" i="40"/>
  <c r="C3" i="40"/>
  <c r="C4" i="40"/>
  <c r="C5" i="40"/>
  <c r="D3" i="40"/>
  <c r="D4" i="40"/>
  <c r="D5" i="40"/>
  <c r="E3" i="40"/>
  <c r="E4" i="40"/>
  <c r="E5" i="40"/>
  <c r="A3" i="41"/>
  <c r="B3" i="41"/>
  <c r="C3" i="41"/>
  <c r="D3" i="41"/>
  <c r="E3" i="41"/>
  <c r="A3" i="46"/>
  <c r="B3" i="46"/>
  <c r="C3" i="46"/>
  <c r="D3" i="46"/>
  <c r="E3" i="46"/>
  <c r="A3" i="47"/>
  <c r="A4" i="47"/>
  <c r="B3" i="47"/>
  <c r="B4" i="47"/>
  <c r="C3" i="47"/>
  <c r="C4" i="47"/>
  <c r="D3" i="47"/>
  <c r="D4" i="47"/>
  <c r="E3" i="47"/>
  <c r="E4" i="47"/>
  <c r="A3" i="92"/>
  <c r="B3" i="92"/>
  <c r="C3" i="92"/>
  <c r="D3" i="92"/>
  <c r="E3" i="92"/>
  <c r="A3" i="45"/>
  <c r="B3" i="45"/>
  <c r="C3" i="45"/>
  <c r="D3" i="45"/>
  <c r="E3" i="45"/>
  <c r="H6" i="162" l="1"/>
  <c r="I6" i="162" s="1"/>
  <c r="H8" i="162"/>
  <c r="I8" i="162" s="1"/>
  <c r="G8" i="162"/>
  <c r="G6" i="162"/>
  <c r="G7" i="162"/>
  <c r="H7" i="162"/>
  <c r="I7" i="162" s="1"/>
  <c r="F3" i="40"/>
  <c r="F3" i="41"/>
  <c r="F4" i="40"/>
  <c r="F3" i="47"/>
  <c r="F3" i="45"/>
  <c r="F3" i="92"/>
  <c r="F5" i="40"/>
  <c r="F3" i="46"/>
  <c r="F4" i="47"/>
  <c r="I2" i="131" a="1"/>
  <c r="I2" i="131" s="1"/>
  <c r="I3" i="131" a="1"/>
  <c r="I3" i="131" s="1"/>
  <c r="I4" i="131" a="1"/>
  <c r="I4" i="131" s="1"/>
  <c r="I5" i="131" a="1"/>
  <c r="I5" i="131" s="1"/>
  <c r="I6" i="131" a="1"/>
  <c r="I6" i="131" s="1"/>
  <c r="I7" i="131" a="1"/>
  <c r="I7" i="131" s="1"/>
  <c r="I8" i="131" a="1"/>
  <c r="I8" i="131" s="1"/>
  <c r="I9" i="131" a="1"/>
  <c r="I9" i="131" s="1"/>
  <c r="I10" i="131" a="1"/>
  <c r="I10" i="131" s="1"/>
  <c r="I11" i="131" a="1"/>
  <c r="I11" i="131" s="1"/>
  <c r="I12" i="131" a="1"/>
  <c r="I12" i="131" s="1"/>
  <c r="I13" i="131" a="1"/>
  <c r="I13" i="131" s="1"/>
  <c r="I14" i="131" a="1"/>
  <c r="I14" i="131" s="1"/>
  <c r="I15" i="131" a="1"/>
  <c r="I15" i="131" s="1"/>
  <c r="I16" i="131" a="1"/>
  <c r="I16" i="131" s="1"/>
  <c r="I17" i="131" a="1"/>
  <c r="I17" i="131" s="1"/>
  <c r="I18" i="131" a="1"/>
  <c r="I18" i="131" s="1"/>
  <c r="I19" i="131" a="1"/>
  <c r="I19" i="131" s="1"/>
  <c r="I20" i="131" a="1"/>
  <c r="I20" i="131" s="1"/>
  <c r="I21" i="131" a="1"/>
  <c r="I21" i="131" s="1"/>
  <c r="I22" i="131" a="1"/>
  <c r="I22" i="131" s="1"/>
  <c r="I23" i="131" a="1"/>
  <c r="I23" i="131" s="1"/>
  <c r="I24" i="131" a="1"/>
  <c r="I24" i="131" s="1"/>
  <c r="I25" i="131" a="1"/>
  <c r="I25" i="131" s="1"/>
  <c r="I26" i="131" a="1"/>
  <c r="I26" i="131" s="1"/>
  <c r="I27" i="131" a="1"/>
  <c r="I27" i="131" s="1"/>
  <c r="I28" i="131" a="1"/>
  <c r="I28" i="131" s="1"/>
  <c r="I29" i="131" a="1"/>
  <c r="I29" i="131" s="1"/>
  <c r="I30" i="131" a="1"/>
  <c r="I30" i="131" s="1"/>
  <c r="I31" i="131" a="1"/>
  <c r="I31" i="131" s="1"/>
  <c r="I32" i="131" a="1"/>
  <c r="I32" i="131" s="1"/>
  <c r="I33" i="131" a="1"/>
  <c r="I33" i="131" s="1"/>
  <c r="I34" i="131" a="1"/>
  <c r="I34" i="131" s="1"/>
  <c r="G2" i="131" a="1"/>
  <c r="G2" i="131" s="1"/>
  <c r="G3" i="131" a="1"/>
  <c r="G3" i="131" s="1"/>
  <c r="G4" i="131" a="1"/>
  <c r="G4" i="131" s="1"/>
  <c r="G5" i="131" a="1"/>
  <c r="G5" i="131" s="1"/>
  <c r="G6" i="131" a="1"/>
  <c r="G6" i="131" s="1"/>
  <c r="G7" i="131" a="1"/>
  <c r="G7" i="131" s="1"/>
  <c r="G8" i="131" a="1"/>
  <c r="G8" i="131" s="1"/>
  <c r="G9" i="131" a="1"/>
  <c r="G9" i="131" s="1"/>
  <c r="G10" i="131" a="1"/>
  <c r="G10" i="131" s="1"/>
  <c r="G11" i="131" a="1"/>
  <c r="G11" i="131" s="1"/>
  <c r="G12" i="131" a="1"/>
  <c r="G12" i="131" s="1"/>
  <c r="G13" i="131" a="1"/>
  <c r="G13" i="131" s="1"/>
  <c r="G14" i="131" a="1"/>
  <c r="G14" i="131" s="1"/>
  <c r="G15" i="131" a="1"/>
  <c r="G15" i="131" s="1"/>
  <c r="G16" i="131" a="1"/>
  <c r="G16" i="131" s="1"/>
  <c r="G17" i="131" a="1"/>
  <c r="G17" i="131" s="1"/>
  <c r="G18" i="131" a="1"/>
  <c r="G18" i="131" s="1"/>
  <c r="G19" i="131" a="1"/>
  <c r="G19" i="131" s="1"/>
  <c r="G20" i="131" a="1"/>
  <c r="G20" i="131" s="1"/>
  <c r="G21" i="131" a="1"/>
  <c r="G21" i="131" s="1"/>
  <c r="G22" i="131" a="1"/>
  <c r="G22" i="131" s="1"/>
  <c r="G23" i="131" a="1"/>
  <c r="G23" i="131" s="1"/>
  <c r="G24" i="131" a="1"/>
  <c r="G24" i="131" s="1"/>
  <c r="G25" i="131" a="1"/>
  <c r="G25" i="131" s="1"/>
  <c r="G26" i="131" a="1"/>
  <c r="G26" i="131" s="1"/>
  <c r="G27" i="131" a="1"/>
  <c r="G27" i="131" s="1"/>
  <c r="G28" i="131" a="1"/>
  <c r="G28" i="131" s="1"/>
  <c r="G29" i="131" a="1"/>
  <c r="G29" i="131" s="1"/>
  <c r="G30" i="131" a="1"/>
  <c r="G30" i="131" s="1"/>
  <c r="G31" i="131" a="1"/>
  <c r="G31" i="131" s="1"/>
  <c r="G32" i="131" a="1"/>
  <c r="G32" i="131" s="1"/>
  <c r="G33" i="131" a="1"/>
  <c r="G33" i="131" s="1"/>
  <c r="G34" i="131" a="1"/>
  <c r="G34" i="131" s="1"/>
  <c r="U2" i="94"/>
  <c r="I2" i="94" a="1"/>
  <c r="I2" i="94" s="1"/>
  <c r="A2" i="94"/>
  <c r="C2" i="94" a="1"/>
  <c r="C2" i="94" s="1"/>
  <c r="D2" i="94"/>
  <c r="F2" i="94"/>
  <c r="H2" i="94"/>
  <c r="J2" i="94"/>
  <c r="K2" i="94"/>
  <c r="L2" i="94"/>
  <c r="M2" i="94"/>
  <c r="N2" i="94"/>
  <c r="O2" i="94"/>
  <c r="P2" i="94"/>
  <c r="Q2" i="94"/>
  <c r="S2" i="94"/>
  <c r="T2" i="94"/>
  <c r="V2" i="94"/>
  <c r="W2" i="94"/>
  <c r="Y2" i="94"/>
  <c r="C1719" i="50"/>
  <c r="C1718" i="50"/>
  <c r="C1717" i="50"/>
  <c r="C1716" i="50"/>
  <c r="C1715" i="50"/>
  <c r="C1714" i="50"/>
  <c r="A2" i="131"/>
  <c r="A3" i="131"/>
  <c r="B34" i="131" s="1"/>
  <c r="A4" i="131"/>
  <c r="A5" i="131"/>
  <c r="A6" i="131"/>
  <c r="A7" i="131"/>
  <c r="A8" i="131"/>
  <c r="A9" i="131"/>
  <c r="A10" i="131"/>
  <c r="A11" i="131"/>
  <c r="A12" i="131"/>
  <c r="A13" i="131"/>
  <c r="A14" i="131"/>
  <c r="A15" i="131"/>
  <c r="A16" i="131"/>
  <c r="A17" i="131"/>
  <c r="A18" i="131"/>
  <c r="B18" i="131" s="1"/>
  <c r="A19" i="131"/>
  <c r="A20" i="131"/>
  <c r="A21" i="131"/>
  <c r="A22" i="131"/>
  <c r="A23" i="131"/>
  <c r="A24" i="131"/>
  <c r="A25" i="131"/>
  <c r="A26" i="131"/>
  <c r="A27" i="131"/>
  <c r="A28" i="131"/>
  <c r="A29" i="131"/>
  <c r="A30" i="131"/>
  <c r="A31" i="131"/>
  <c r="A32" i="131"/>
  <c r="A33" i="131"/>
  <c r="A34" i="131"/>
  <c r="C2" i="131" a="1"/>
  <c r="C2" i="131" s="1"/>
  <c r="C3" i="131" a="1"/>
  <c r="C3" i="131" s="1"/>
  <c r="C4" i="131" a="1"/>
  <c r="C4" i="131" s="1"/>
  <c r="C5" i="131" a="1"/>
  <c r="C5" i="131" s="1"/>
  <c r="C6" i="131" a="1"/>
  <c r="C6" i="131" s="1"/>
  <c r="C7" i="131" a="1"/>
  <c r="C7" i="131" s="1"/>
  <c r="C8" i="131" a="1"/>
  <c r="C8" i="131" s="1"/>
  <c r="C9" i="131" a="1"/>
  <c r="C9" i="131" s="1"/>
  <c r="C10" i="131" a="1"/>
  <c r="C10" i="131" s="1"/>
  <c r="C11" i="131" a="1"/>
  <c r="C11" i="131" s="1"/>
  <c r="C12" i="131" a="1"/>
  <c r="C12" i="131" s="1"/>
  <c r="C13" i="131" a="1"/>
  <c r="C13" i="131" s="1"/>
  <c r="C14" i="131" a="1"/>
  <c r="C14" i="131" s="1"/>
  <c r="C15" i="131" a="1"/>
  <c r="C15" i="131" s="1"/>
  <c r="C16" i="131" a="1"/>
  <c r="C16" i="131" s="1"/>
  <c r="C17" i="131" a="1"/>
  <c r="C17" i="131" s="1"/>
  <c r="C18" i="131" a="1"/>
  <c r="C18" i="131" s="1"/>
  <c r="C19" i="131" a="1"/>
  <c r="C19" i="131" s="1"/>
  <c r="C20" i="131" a="1"/>
  <c r="C20" i="131" s="1"/>
  <c r="C21" i="131" a="1"/>
  <c r="C21" i="131" s="1"/>
  <c r="C22" i="131" a="1"/>
  <c r="C22" i="131" s="1"/>
  <c r="C23" i="131" a="1"/>
  <c r="C23" i="131" s="1"/>
  <c r="C24" i="131" a="1"/>
  <c r="C24" i="131" s="1"/>
  <c r="C25" i="131" a="1"/>
  <c r="C25" i="131" s="1"/>
  <c r="C26" i="131" a="1"/>
  <c r="C26" i="131" s="1"/>
  <c r="C27" i="131" a="1"/>
  <c r="C27" i="131" s="1"/>
  <c r="C28" i="131" a="1"/>
  <c r="C28" i="131" s="1"/>
  <c r="C29" i="131" a="1"/>
  <c r="C29" i="131" s="1"/>
  <c r="C30" i="131" a="1"/>
  <c r="C30" i="131" s="1"/>
  <c r="C31" i="131" a="1"/>
  <c r="C31" i="131" s="1"/>
  <c r="C32" i="131" a="1"/>
  <c r="C32" i="131" s="1"/>
  <c r="C33" i="131" a="1"/>
  <c r="C33" i="131" s="1"/>
  <c r="C34" i="131" a="1"/>
  <c r="C34" i="131" s="1"/>
  <c r="D2" i="131"/>
  <c r="D3" i="131"/>
  <c r="D4" i="131"/>
  <c r="D5" i="131"/>
  <c r="D6" i="131"/>
  <c r="D7" i="131"/>
  <c r="D8" i="131"/>
  <c r="D9" i="131"/>
  <c r="D10" i="131"/>
  <c r="D11" i="131"/>
  <c r="D12" i="131"/>
  <c r="D13" i="131"/>
  <c r="D14" i="131"/>
  <c r="D15" i="131"/>
  <c r="D16" i="131"/>
  <c r="D17" i="131"/>
  <c r="D18" i="131"/>
  <c r="D19" i="131"/>
  <c r="D20" i="131"/>
  <c r="D21" i="131"/>
  <c r="D22" i="131"/>
  <c r="D23" i="131"/>
  <c r="D24" i="131"/>
  <c r="D25" i="131"/>
  <c r="D26" i="131"/>
  <c r="D27" i="131"/>
  <c r="D28" i="131"/>
  <c r="D29" i="131"/>
  <c r="D30" i="131"/>
  <c r="D31" i="131"/>
  <c r="D32" i="131"/>
  <c r="D33" i="131"/>
  <c r="D34" i="131"/>
  <c r="F2" i="131"/>
  <c r="F3" i="131"/>
  <c r="F4" i="131"/>
  <c r="F5" i="131"/>
  <c r="F6" i="131"/>
  <c r="F7" i="131"/>
  <c r="F8" i="131"/>
  <c r="F9" i="131"/>
  <c r="F10" i="131"/>
  <c r="F11" i="131"/>
  <c r="F12" i="131"/>
  <c r="F13" i="131"/>
  <c r="F14" i="131"/>
  <c r="F15" i="131"/>
  <c r="F16" i="131"/>
  <c r="F17" i="131"/>
  <c r="F18" i="131"/>
  <c r="F19" i="131"/>
  <c r="F20" i="131"/>
  <c r="F21" i="131"/>
  <c r="F22" i="131"/>
  <c r="F23" i="131"/>
  <c r="F24" i="131"/>
  <c r="F25" i="131"/>
  <c r="F26" i="131"/>
  <c r="F27" i="131"/>
  <c r="F28" i="131"/>
  <c r="F29" i="131"/>
  <c r="F30" i="131"/>
  <c r="F31" i="131"/>
  <c r="F32" i="131"/>
  <c r="F33" i="131"/>
  <c r="F34" i="131"/>
  <c r="H2" i="131"/>
  <c r="H3" i="131"/>
  <c r="H4" i="131"/>
  <c r="H5" i="131"/>
  <c r="H6" i="131"/>
  <c r="H7" i="131"/>
  <c r="H8" i="131"/>
  <c r="H9" i="131"/>
  <c r="H10" i="131"/>
  <c r="H11" i="131"/>
  <c r="H12" i="131"/>
  <c r="H13" i="131"/>
  <c r="H14" i="131"/>
  <c r="H15" i="131"/>
  <c r="H16" i="131"/>
  <c r="H17" i="131"/>
  <c r="H18" i="131"/>
  <c r="H19" i="131"/>
  <c r="H20" i="131"/>
  <c r="H21" i="131"/>
  <c r="H22" i="131"/>
  <c r="H23" i="131"/>
  <c r="H24" i="131"/>
  <c r="H25" i="131"/>
  <c r="H26" i="131"/>
  <c r="H27" i="131"/>
  <c r="H28" i="131"/>
  <c r="H29" i="131"/>
  <c r="H30" i="131"/>
  <c r="H31" i="131"/>
  <c r="H32" i="131"/>
  <c r="H33" i="131"/>
  <c r="H34" i="131"/>
  <c r="J2" i="131"/>
  <c r="J3" i="131"/>
  <c r="J4" i="131"/>
  <c r="J5" i="131"/>
  <c r="J6" i="131"/>
  <c r="J7" i="131"/>
  <c r="J8" i="131"/>
  <c r="J9" i="131"/>
  <c r="J10" i="131"/>
  <c r="J11" i="131"/>
  <c r="J12" i="131"/>
  <c r="J13" i="131"/>
  <c r="J14" i="131"/>
  <c r="J15" i="131"/>
  <c r="J16" i="131"/>
  <c r="J17" i="131"/>
  <c r="J18" i="131"/>
  <c r="J19" i="131"/>
  <c r="J20" i="131"/>
  <c r="J21" i="131"/>
  <c r="J22" i="131"/>
  <c r="J23" i="131"/>
  <c r="J24" i="131"/>
  <c r="J25" i="131"/>
  <c r="J26" i="131"/>
  <c r="J27" i="131"/>
  <c r="J28" i="131"/>
  <c r="J29" i="131"/>
  <c r="J30" i="131"/>
  <c r="J31" i="131"/>
  <c r="J32" i="131"/>
  <c r="J33" i="131"/>
  <c r="J34" i="131"/>
  <c r="K2" i="131"/>
  <c r="K3" i="131"/>
  <c r="K4" i="131"/>
  <c r="K5" i="131"/>
  <c r="K6" i="131"/>
  <c r="K7" i="131"/>
  <c r="K8" i="131"/>
  <c r="K9" i="131"/>
  <c r="K10" i="131"/>
  <c r="K11" i="131"/>
  <c r="K12" i="131"/>
  <c r="K13" i="131"/>
  <c r="K14" i="131"/>
  <c r="K15" i="131"/>
  <c r="K16" i="131"/>
  <c r="K17" i="131"/>
  <c r="K18" i="131"/>
  <c r="K19" i="131"/>
  <c r="K20" i="131"/>
  <c r="K21" i="131"/>
  <c r="K22" i="131"/>
  <c r="K23" i="131"/>
  <c r="K24" i="131"/>
  <c r="K25" i="131"/>
  <c r="K26" i="131"/>
  <c r="K27" i="131"/>
  <c r="K28" i="131"/>
  <c r="K29" i="131"/>
  <c r="K30" i="131"/>
  <c r="K31" i="131"/>
  <c r="K32" i="131"/>
  <c r="K33" i="131"/>
  <c r="K34" i="131"/>
  <c r="L2" i="131"/>
  <c r="L3" i="131"/>
  <c r="L4" i="131"/>
  <c r="L5" i="131"/>
  <c r="L6" i="131"/>
  <c r="L7" i="131"/>
  <c r="L8" i="131"/>
  <c r="L9" i="131"/>
  <c r="L10" i="131"/>
  <c r="L11" i="131"/>
  <c r="L12" i="131"/>
  <c r="L13" i="131"/>
  <c r="L14" i="131"/>
  <c r="L15" i="131"/>
  <c r="L16" i="131"/>
  <c r="L17" i="131"/>
  <c r="L18" i="131"/>
  <c r="L19" i="131"/>
  <c r="L20" i="131"/>
  <c r="L21" i="131"/>
  <c r="L22" i="131"/>
  <c r="L23" i="131"/>
  <c r="L24" i="131"/>
  <c r="L25" i="131"/>
  <c r="L26" i="131"/>
  <c r="L27" i="131"/>
  <c r="L28" i="131"/>
  <c r="L29" i="131"/>
  <c r="L30" i="131"/>
  <c r="L31" i="131"/>
  <c r="L32" i="131"/>
  <c r="L33" i="131"/>
  <c r="L34" i="131"/>
  <c r="M2" i="131"/>
  <c r="M3" i="131"/>
  <c r="M4" i="131"/>
  <c r="M5" i="131"/>
  <c r="M6" i="131"/>
  <c r="M7" i="131"/>
  <c r="M8" i="131"/>
  <c r="M9" i="131"/>
  <c r="M10" i="131"/>
  <c r="M11" i="131"/>
  <c r="M12" i="131"/>
  <c r="M13" i="131"/>
  <c r="M14" i="131"/>
  <c r="M15" i="131"/>
  <c r="M16" i="131"/>
  <c r="M17" i="131"/>
  <c r="M18" i="131"/>
  <c r="M19" i="131"/>
  <c r="M20" i="131"/>
  <c r="M21" i="131"/>
  <c r="M22" i="131"/>
  <c r="M23" i="131"/>
  <c r="M24" i="131"/>
  <c r="M25" i="131"/>
  <c r="M26" i="131"/>
  <c r="M27" i="131"/>
  <c r="M28" i="131"/>
  <c r="M29" i="131"/>
  <c r="M30" i="131"/>
  <c r="M31" i="131"/>
  <c r="M32" i="131"/>
  <c r="M33" i="131"/>
  <c r="M34" i="131"/>
  <c r="N2" i="131"/>
  <c r="N3" i="131"/>
  <c r="N4" i="131"/>
  <c r="N5" i="131"/>
  <c r="N6" i="131"/>
  <c r="N7" i="131"/>
  <c r="N8" i="131"/>
  <c r="N9" i="131"/>
  <c r="N10" i="131"/>
  <c r="N11" i="131"/>
  <c r="N12" i="131"/>
  <c r="N13" i="131"/>
  <c r="N14" i="131"/>
  <c r="N15" i="131"/>
  <c r="N16" i="131"/>
  <c r="N17" i="131"/>
  <c r="N18" i="131"/>
  <c r="N19" i="131"/>
  <c r="N20" i="131"/>
  <c r="N21" i="131"/>
  <c r="N22" i="131"/>
  <c r="N23" i="131"/>
  <c r="N24" i="131"/>
  <c r="N25" i="131"/>
  <c r="N26" i="131"/>
  <c r="N27" i="131"/>
  <c r="N28" i="131"/>
  <c r="N29" i="131"/>
  <c r="N30" i="131"/>
  <c r="N31" i="131"/>
  <c r="N32" i="131"/>
  <c r="N33" i="131"/>
  <c r="N34" i="131"/>
  <c r="O2" i="131"/>
  <c r="O3" i="131"/>
  <c r="O4" i="131"/>
  <c r="O5" i="131"/>
  <c r="O6" i="131"/>
  <c r="O7" i="131"/>
  <c r="O8" i="131"/>
  <c r="O9" i="131"/>
  <c r="O10" i="131"/>
  <c r="O11" i="131"/>
  <c r="O12" i="131"/>
  <c r="O13" i="131"/>
  <c r="O14" i="131"/>
  <c r="O15" i="131"/>
  <c r="O16" i="131"/>
  <c r="O17" i="131"/>
  <c r="O18" i="131"/>
  <c r="O19" i="131"/>
  <c r="O20" i="131"/>
  <c r="O21" i="131"/>
  <c r="O22" i="131"/>
  <c r="O23" i="131"/>
  <c r="O24" i="131"/>
  <c r="O25" i="131"/>
  <c r="O26" i="131"/>
  <c r="O27" i="131"/>
  <c r="O28" i="131"/>
  <c r="O29" i="131"/>
  <c r="O30" i="131"/>
  <c r="O31" i="131"/>
  <c r="O32" i="131"/>
  <c r="O33" i="131"/>
  <c r="O34" i="131"/>
  <c r="P2" i="131"/>
  <c r="P3" i="131"/>
  <c r="P4" i="131"/>
  <c r="P5" i="131"/>
  <c r="P6" i="131"/>
  <c r="P7" i="131"/>
  <c r="P8" i="131"/>
  <c r="P9" i="131"/>
  <c r="P10" i="131"/>
  <c r="P11" i="131"/>
  <c r="P12" i="131"/>
  <c r="P13" i="131"/>
  <c r="P14" i="131"/>
  <c r="P15" i="131"/>
  <c r="P16" i="131"/>
  <c r="P17" i="131"/>
  <c r="P18" i="131"/>
  <c r="P19" i="131"/>
  <c r="P20" i="131"/>
  <c r="P21" i="131"/>
  <c r="P22" i="131"/>
  <c r="P23" i="131"/>
  <c r="P24" i="131"/>
  <c r="P25" i="131"/>
  <c r="P26" i="131"/>
  <c r="P27" i="131"/>
  <c r="P28" i="131"/>
  <c r="P29" i="131"/>
  <c r="P30" i="131"/>
  <c r="P31" i="131"/>
  <c r="P32" i="131"/>
  <c r="P33" i="131"/>
  <c r="P34" i="131"/>
  <c r="Q2" i="131"/>
  <c r="Q3" i="131"/>
  <c r="Q4" i="131"/>
  <c r="Q5" i="131"/>
  <c r="Q6" i="131"/>
  <c r="Q7" i="131"/>
  <c r="Q8" i="131"/>
  <c r="Q9" i="131"/>
  <c r="Q10" i="131"/>
  <c r="Q11" i="131"/>
  <c r="Q12" i="131"/>
  <c r="Q13" i="131"/>
  <c r="Q14" i="131"/>
  <c r="Q15" i="131"/>
  <c r="Q16" i="131"/>
  <c r="Q17" i="131"/>
  <c r="Q18" i="131"/>
  <c r="Q19" i="131"/>
  <c r="Q20" i="131"/>
  <c r="Q21" i="131"/>
  <c r="Q22" i="131"/>
  <c r="Q23" i="131"/>
  <c r="Q24" i="131"/>
  <c r="Q25" i="131"/>
  <c r="Q26" i="131"/>
  <c r="Q27" i="131"/>
  <c r="Q28" i="131"/>
  <c r="Q29" i="131"/>
  <c r="Q30" i="131"/>
  <c r="Q31" i="131"/>
  <c r="Q32" i="131"/>
  <c r="Q33" i="131"/>
  <c r="Q34" i="131"/>
  <c r="R2" i="131"/>
  <c r="R3" i="131"/>
  <c r="R4" i="131"/>
  <c r="R5" i="131"/>
  <c r="R6" i="131"/>
  <c r="R7" i="131"/>
  <c r="R8" i="131"/>
  <c r="R9" i="131"/>
  <c r="R10" i="131"/>
  <c r="R11" i="131"/>
  <c r="R12" i="131"/>
  <c r="R13" i="131"/>
  <c r="R14" i="131"/>
  <c r="R15" i="131"/>
  <c r="R16" i="131"/>
  <c r="R17" i="131"/>
  <c r="R18" i="131"/>
  <c r="R19" i="131"/>
  <c r="R20" i="131"/>
  <c r="R21" i="131"/>
  <c r="R22" i="131"/>
  <c r="R23" i="131"/>
  <c r="R24" i="131"/>
  <c r="R25" i="131"/>
  <c r="R26" i="131"/>
  <c r="R27" i="131"/>
  <c r="R28" i="131"/>
  <c r="R29" i="131"/>
  <c r="R30" i="131"/>
  <c r="R31" i="131"/>
  <c r="R32" i="131"/>
  <c r="R33" i="131"/>
  <c r="R34" i="131"/>
  <c r="S2" i="131"/>
  <c r="S3" i="131"/>
  <c r="S4" i="131"/>
  <c r="S5" i="131"/>
  <c r="S6" i="131"/>
  <c r="S7" i="131"/>
  <c r="S8" i="131"/>
  <c r="S9" i="131"/>
  <c r="S10" i="131"/>
  <c r="S11" i="131"/>
  <c r="S12" i="131"/>
  <c r="S13" i="131"/>
  <c r="S14" i="131"/>
  <c r="S15" i="131"/>
  <c r="S16" i="131"/>
  <c r="S17" i="131"/>
  <c r="S18" i="131"/>
  <c r="S19" i="131"/>
  <c r="S20" i="131"/>
  <c r="S21" i="131"/>
  <c r="S22" i="131"/>
  <c r="S23" i="131"/>
  <c r="S24" i="131"/>
  <c r="S25" i="131"/>
  <c r="S26" i="131"/>
  <c r="S27" i="131"/>
  <c r="S28" i="131"/>
  <c r="S29" i="131"/>
  <c r="S30" i="131"/>
  <c r="S31" i="131"/>
  <c r="S32" i="131"/>
  <c r="S33" i="131"/>
  <c r="S34" i="131"/>
  <c r="T2" i="131"/>
  <c r="T3" i="131"/>
  <c r="T4" i="131"/>
  <c r="T5" i="131"/>
  <c r="T6" i="131"/>
  <c r="T7" i="131"/>
  <c r="T8" i="131"/>
  <c r="T9" i="131"/>
  <c r="T10" i="131"/>
  <c r="T11" i="131"/>
  <c r="T12" i="131"/>
  <c r="T13" i="131"/>
  <c r="T14" i="131"/>
  <c r="T15" i="131"/>
  <c r="T16" i="131"/>
  <c r="T17" i="131"/>
  <c r="T18" i="131"/>
  <c r="T19" i="131"/>
  <c r="T20" i="131"/>
  <c r="T21" i="131"/>
  <c r="T22" i="131"/>
  <c r="T23" i="131"/>
  <c r="T24" i="131"/>
  <c r="T25" i="131"/>
  <c r="T26" i="131"/>
  <c r="T27" i="131"/>
  <c r="T28" i="131"/>
  <c r="T29" i="131"/>
  <c r="T30" i="131"/>
  <c r="T31" i="131"/>
  <c r="T32" i="131"/>
  <c r="T33" i="131"/>
  <c r="T34" i="131"/>
  <c r="U2" i="131"/>
  <c r="U3" i="131"/>
  <c r="U4" i="131"/>
  <c r="U5" i="131"/>
  <c r="U6" i="131"/>
  <c r="U7" i="131"/>
  <c r="U8" i="131"/>
  <c r="U9" i="131"/>
  <c r="U10" i="131"/>
  <c r="U11" i="131"/>
  <c r="U12" i="131"/>
  <c r="U13" i="131"/>
  <c r="U14" i="131"/>
  <c r="U15" i="131"/>
  <c r="U16" i="131"/>
  <c r="U17" i="131"/>
  <c r="U18" i="131"/>
  <c r="U19" i="131"/>
  <c r="U20" i="131"/>
  <c r="U21" i="131"/>
  <c r="U22" i="131"/>
  <c r="U23" i="131"/>
  <c r="U24" i="131"/>
  <c r="U25" i="131"/>
  <c r="U26" i="131"/>
  <c r="U27" i="131"/>
  <c r="U28" i="131"/>
  <c r="U29" i="131"/>
  <c r="U30" i="131"/>
  <c r="U31" i="131"/>
  <c r="U32" i="131"/>
  <c r="U33" i="131"/>
  <c r="U34" i="131"/>
  <c r="V2" i="131"/>
  <c r="V3" i="131"/>
  <c r="V4" i="131"/>
  <c r="V5" i="131"/>
  <c r="V6" i="131"/>
  <c r="V7" i="131"/>
  <c r="V8" i="131"/>
  <c r="V9" i="131"/>
  <c r="V10" i="131"/>
  <c r="V11" i="131"/>
  <c r="V12" i="131"/>
  <c r="V13" i="131"/>
  <c r="V14" i="131"/>
  <c r="V15" i="131"/>
  <c r="V16" i="131"/>
  <c r="V17" i="131"/>
  <c r="V18" i="131"/>
  <c r="V19" i="131"/>
  <c r="V20" i="131"/>
  <c r="V21" i="131"/>
  <c r="V22" i="131"/>
  <c r="V23" i="131"/>
  <c r="V24" i="131"/>
  <c r="V25" i="131"/>
  <c r="V26" i="131"/>
  <c r="V27" i="131"/>
  <c r="V28" i="131"/>
  <c r="V29" i="131"/>
  <c r="V30" i="131"/>
  <c r="V31" i="131"/>
  <c r="V32" i="131"/>
  <c r="V33" i="131"/>
  <c r="V34" i="131"/>
  <c r="X2" i="131"/>
  <c r="X3" i="131"/>
  <c r="X4" i="131"/>
  <c r="X5" i="131"/>
  <c r="X6" i="131"/>
  <c r="X7" i="131"/>
  <c r="X8" i="131"/>
  <c r="X9" i="131"/>
  <c r="X10" i="131"/>
  <c r="X11" i="131"/>
  <c r="X12" i="131"/>
  <c r="X13" i="131"/>
  <c r="X14" i="131"/>
  <c r="X15" i="131"/>
  <c r="X16" i="131"/>
  <c r="X17" i="131"/>
  <c r="X18" i="131"/>
  <c r="X19" i="131"/>
  <c r="X20" i="131"/>
  <c r="X21" i="131"/>
  <c r="X22" i="131"/>
  <c r="X23" i="131"/>
  <c r="X24" i="131"/>
  <c r="X25" i="131"/>
  <c r="X26" i="131"/>
  <c r="X27" i="131"/>
  <c r="X28" i="131"/>
  <c r="X29" i="131"/>
  <c r="X30" i="131"/>
  <c r="X31" i="131"/>
  <c r="X32" i="131"/>
  <c r="X33" i="131"/>
  <c r="X34" i="131"/>
  <c r="A4" i="134"/>
  <c r="A7" i="134"/>
  <c r="A2" i="134"/>
  <c r="A5" i="134"/>
  <c r="A3" i="134"/>
  <c r="A6" i="134"/>
  <c r="C4" i="134" a="1"/>
  <c r="C4" i="134" s="1"/>
  <c r="C7" i="134" a="1"/>
  <c r="C7" i="134" s="1"/>
  <c r="C2" i="134" a="1"/>
  <c r="C2" i="134" s="1"/>
  <c r="C5" i="134" a="1"/>
  <c r="C5" i="134" s="1"/>
  <c r="C3" i="134" a="1"/>
  <c r="C3" i="134" s="1"/>
  <c r="C6" i="134" a="1"/>
  <c r="C6" i="134" s="1"/>
  <c r="D4" i="134"/>
  <c r="D7" i="134"/>
  <c r="D2" i="134"/>
  <c r="D5" i="134"/>
  <c r="D3" i="134"/>
  <c r="D6" i="134"/>
  <c r="E4" i="134"/>
  <c r="E7" i="134"/>
  <c r="E2" i="134"/>
  <c r="E5" i="134"/>
  <c r="E3" i="134"/>
  <c r="E6" i="134"/>
  <c r="F4" i="134"/>
  <c r="F7" i="134"/>
  <c r="F2" i="134"/>
  <c r="F5" i="134"/>
  <c r="F3" i="134"/>
  <c r="F6" i="134"/>
  <c r="G4" i="134" a="1"/>
  <c r="G4" i="134" s="1"/>
  <c r="G7" i="134" a="1"/>
  <c r="G7" i="134" s="1"/>
  <c r="G2" i="134" a="1"/>
  <c r="G2" i="134" s="1"/>
  <c r="G5" i="134" a="1"/>
  <c r="G5" i="134" s="1"/>
  <c r="G3" i="134" a="1"/>
  <c r="G3" i="134" s="1"/>
  <c r="G6" i="134" a="1"/>
  <c r="G6" i="134" s="1"/>
  <c r="H4" i="134"/>
  <c r="H7" i="134"/>
  <c r="H2" i="134"/>
  <c r="H5" i="134"/>
  <c r="H3" i="134"/>
  <c r="H6" i="134"/>
  <c r="I4" i="134" a="1"/>
  <c r="I4" i="134" s="1"/>
  <c r="I7" i="134" a="1"/>
  <c r="I7" i="134" s="1"/>
  <c r="I2" i="134" a="1"/>
  <c r="I2" i="134" s="1"/>
  <c r="I5" i="134" a="1"/>
  <c r="I5" i="134" s="1"/>
  <c r="I3" i="134" a="1"/>
  <c r="I3" i="134" s="1"/>
  <c r="I6" i="134" a="1"/>
  <c r="I6" i="134" s="1"/>
  <c r="J4" i="134"/>
  <c r="J7" i="134"/>
  <c r="J2" i="134"/>
  <c r="J5" i="134"/>
  <c r="J3" i="134"/>
  <c r="J6" i="134"/>
  <c r="K4" i="134"/>
  <c r="K7" i="134"/>
  <c r="K2" i="134"/>
  <c r="K5" i="134"/>
  <c r="K3" i="134"/>
  <c r="K6" i="134"/>
  <c r="L4" i="134"/>
  <c r="L7" i="134"/>
  <c r="L2" i="134"/>
  <c r="L5" i="134"/>
  <c r="L3" i="134"/>
  <c r="L6" i="134"/>
  <c r="M4" i="134"/>
  <c r="M7" i="134"/>
  <c r="M2" i="134"/>
  <c r="M5" i="134"/>
  <c r="M3" i="134"/>
  <c r="M6" i="134"/>
  <c r="N4" i="134"/>
  <c r="N7" i="134"/>
  <c r="N2" i="134"/>
  <c r="N5" i="134"/>
  <c r="N3" i="134"/>
  <c r="N6" i="134"/>
  <c r="O4" i="134"/>
  <c r="O7" i="134"/>
  <c r="O2" i="134"/>
  <c r="O5" i="134"/>
  <c r="O3" i="134"/>
  <c r="O6" i="134"/>
  <c r="P4" i="134"/>
  <c r="P7" i="134"/>
  <c r="P2" i="134"/>
  <c r="P5" i="134"/>
  <c r="P3" i="134"/>
  <c r="P6" i="134"/>
  <c r="Q4" i="134"/>
  <c r="Q7" i="134"/>
  <c r="Q2" i="134"/>
  <c r="Q5" i="134"/>
  <c r="Q3" i="134"/>
  <c r="Q6" i="134"/>
  <c r="R4" i="134"/>
  <c r="R7" i="134"/>
  <c r="R2" i="134"/>
  <c r="R5" i="134"/>
  <c r="R3" i="134"/>
  <c r="R6" i="134"/>
  <c r="S4" i="134"/>
  <c r="S7" i="134"/>
  <c r="S2" i="134"/>
  <c r="S5" i="134"/>
  <c r="S3" i="134"/>
  <c r="S6" i="134"/>
  <c r="T4" i="134"/>
  <c r="T7" i="134"/>
  <c r="T2" i="134"/>
  <c r="T5" i="134"/>
  <c r="T3" i="134"/>
  <c r="T6" i="134"/>
  <c r="U4" i="134"/>
  <c r="U7" i="134"/>
  <c r="U2" i="134"/>
  <c r="U5" i="134"/>
  <c r="U3" i="134"/>
  <c r="U6" i="134"/>
  <c r="V4" i="134"/>
  <c r="V7" i="134"/>
  <c r="V2" i="134"/>
  <c r="V5" i="134"/>
  <c r="V3" i="134"/>
  <c r="V6" i="134"/>
  <c r="X4" i="134"/>
  <c r="X7" i="134"/>
  <c r="X2" i="134"/>
  <c r="X5" i="134"/>
  <c r="X3" i="134"/>
  <c r="X6" i="134"/>
  <c r="F25" i="121" a="1"/>
  <c r="F25" i="121" s="1"/>
  <c r="E25" i="121" a="1"/>
  <c r="E25" i="121" s="1"/>
  <c r="F24" i="121" a="1"/>
  <c r="F24" i="121" s="1"/>
  <c r="E24" i="121" a="1"/>
  <c r="E24" i="121" s="1"/>
  <c r="A2" i="144"/>
  <c r="A3" i="144"/>
  <c r="A4" i="144"/>
  <c r="A5" i="144"/>
  <c r="A6" i="144"/>
  <c r="A7" i="144"/>
  <c r="A8" i="144"/>
  <c r="A9" i="144"/>
  <c r="A10" i="144"/>
  <c r="A11" i="144"/>
  <c r="A12" i="144"/>
  <c r="A13" i="144"/>
  <c r="A14" i="144"/>
  <c r="A15" i="144"/>
  <c r="A16" i="144"/>
  <c r="A17" i="144"/>
  <c r="A18" i="144"/>
  <c r="A19" i="144"/>
  <c r="A20" i="144"/>
  <c r="A21" i="144"/>
  <c r="A22" i="144"/>
  <c r="A23" i="144"/>
  <c r="A24" i="144"/>
  <c r="A25" i="144"/>
  <c r="A26" i="144"/>
  <c r="A27" i="144"/>
  <c r="A28" i="144"/>
  <c r="A29" i="144"/>
  <c r="A30" i="144"/>
  <c r="E224" i="63" a="1"/>
  <c r="E224" i="63" s="1"/>
  <c r="E223" i="63" a="1"/>
  <c r="E223" i="63" s="1"/>
  <c r="E222" i="63" a="1"/>
  <c r="E222" i="63" s="1"/>
  <c r="E221" i="63" a="1"/>
  <c r="E221" i="63" s="1"/>
  <c r="E220" i="63" a="1"/>
  <c r="E220" i="63" s="1"/>
  <c r="E219" i="63" a="1"/>
  <c r="E219" i="63" s="1"/>
  <c r="E218" i="63" a="1"/>
  <c r="E218" i="63" s="1"/>
  <c r="E217" i="63" a="1"/>
  <c r="E217" i="63" s="1"/>
  <c r="E216" i="63" a="1"/>
  <c r="E216" i="63" s="1"/>
  <c r="E215" i="63" a="1"/>
  <c r="E215" i="63" s="1"/>
  <c r="E214" i="63" a="1"/>
  <c r="E214" i="63" s="1"/>
  <c r="E213" i="63" a="1"/>
  <c r="E213" i="63" s="1"/>
  <c r="E212" i="63" a="1"/>
  <c r="E212" i="63" s="1"/>
  <c r="F23" i="121" a="1"/>
  <c r="F23" i="121" s="1"/>
  <c r="E23" i="121" a="1"/>
  <c r="E23" i="121" s="1"/>
  <c r="F22" i="121" a="1"/>
  <c r="F22" i="121" s="1"/>
  <c r="E22" i="121" a="1"/>
  <c r="E22" i="121" s="1"/>
  <c r="E208" i="63" a="1"/>
  <c r="E208" i="63" s="1"/>
  <c r="E207" i="63" a="1"/>
  <c r="E207" i="63" s="1"/>
  <c r="E206" i="63" a="1"/>
  <c r="E206" i="63" s="1"/>
  <c r="E205" i="63" a="1"/>
  <c r="E205" i="63" s="1"/>
  <c r="E204" i="63" a="1"/>
  <c r="E204" i="63" s="1"/>
  <c r="E203" i="63" a="1"/>
  <c r="E203" i="63" s="1"/>
  <c r="E202" i="63" a="1"/>
  <c r="E202" i="63" s="1"/>
  <c r="E201" i="63" a="1"/>
  <c r="E201" i="63" s="1"/>
  <c r="E200" i="63" a="1"/>
  <c r="E200" i="63" s="1"/>
  <c r="E199" i="63" a="1"/>
  <c r="E199" i="63" s="1"/>
  <c r="E198" i="63" a="1"/>
  <c r="E198" i="63" s="1"/>
  <c r="E197" i="63" a="1"/>
  <c r="E197" i="63" s="1"/>
  <c r="E196" i="63" a="1"/>
  <c r="E196" i="63" s="1"/>
  <c r="E195" i="63" a="1"/>
  <c r="E195" i="63" s="1"/>
  <c r="E194" i="63" a="1"/>
  <c r="E194" i="63" s="1"/>
  <c r="E193" i="63" a="1"/>
  <c r="E193" i="63" s="1"/>
  <c r="E192" i="63" a="1"/>
  <c r="E192" i="63" s="1"/>
  <c r="E191" i="63" a="1"/>
  <c r="E191" i="63" s="1"/>
  <c r="E190" i="63" a="1"/>
  <c r="E190" i="63" s="1"/>
  <c r="A4" i="145"/>
  <c r="K4" i="145"/>
  <c r="L4" i="145"/>
  <c r="M4" i="145"/>
  <c r="N4" i="145"/>
  <c r="AN4" i="145"/>
  <c r="AN5" i="145"/>
  <c r="AN6" i="145"/>
  <c r="AN7" i="145"/>
  <c r="AN8" i="145"/>
  <c r="AN9" i="145"/>
  <c r="AN10" i="145"/>
  <c r="AN11" i="145"/>
  <c r="AN12" i="145"/>
  <c r="AO4" i="145"/>
  <c r="AO5" i="145"/>
  <c r="AO6" i="145"/>
  <c r="AO7" i="145"/>
  <c r="AO8" i="145"/>
  <c r="AO9" i="145"/>
  <c r="AO10" i="145"/>
  <c r="AO11" i="145"/>
  <c r="AO12" i="145"/>
  <c r="AP4" i="145"/>
  <c r="AP5" i="145"/>
  <c r="AP6" i="145"/>
  <c r="AP7" i="145"/>
  <c r="AP8" i="145"/>
  <c r="AP9" i="145"/>
  <c r="AP10" i="145"/>
  <c r="AP11" i="145"/>
  <c r="AP12" i="145"/>
  <c r="AQ4" i="145"/>
  <c r="AQ5" i="145"/>
  <c r="AQ6" i="145"/>
  <c r="AQ7" i="145"/>
  <c r="AQ8" i="145"/>
  <c r="AQ9" i="145"/>
  <c r="AQ10" i="145"/>
  <c r="AQ11" i="145"/>
  <c r="AQ12" i="145"/>
  <c r="AR4" i="145"/>
  <c r="AR5" i="145"/>
  <c r="AR6" i="145"/>
  <c r="AR7" i="145"/>
  <c r="AR8" i="145"/>
  <c r="AR9" i="145"/>
  <c r="AR10" i="145"/>
  <c r="AR11" i="145"/>
  <c r="AR12" i="145"/>
  <c r="AS4" i="145"/>
  <c r="AS5" i="145"/>
  <c r="AS6" i="145"/>
  <c r="AS7" i="145"/>
  <c r="AS8" i="145"/>
  <c r="AS9" i="145"/>
  <c r="AS10" i="145"/>
  <c r="AS11" i="145"/>
  <c r="AS12" i="145"/>
  <c r="L2" i="146"/>
  <c r="L3" i="146"/>
  <c r="L4" i="146"/>
  <c r="L5" i="146"/>
  <c r="L6" i="146"/>
  <c r="L7" i="146"/>
  <c r="L8" i="146"/>
  <c r="L9" i="146"/>
  <c r="L10" i="146"/>
  <c r="C22" i="100"/>
  <c r="C382" i="105"/>
  <c r="C166" i="50"/>
  <c r="C167" i="50"/>
  <c r="C168" i="50"/>
  <c r="F166" i="50"/>
  <c r="F14" i="50"/>
  <c r="C165" i="50"/>
  <c r="C164" i="50"/>
  <c r="C163" i="50"/>
  <c r="C162" i="50"/>
  <c r="C161" i="50"/>
  <c r="C160" i="50"/>
  <c r="C159" i="50"/>
  <c r="C158" i="50"/>
  <c r="C157" i="50"/>
  <c r="C156" i="50"/>
  <c r="C155" i="50"/>
  <c r="C154" i="50"/>
  <c r="C153" i="50"/>
  <c r="C152" i="50"/>
  <c r="C151" i="50"/>
  <c r="C150" i="50"/>
  <c r="C149" i="50"/>
  <c r="C148" i="50"/>
  <c r="F21" i="121" a="1"/>
  <c r="F21" i="121" s="1"/>
  <c r="E21" i="121" a="1"/>
  <c r="E21" i="121" s="1"/>
  <c r="F20" i="121" a="1"/>
  <c r="F20" i="121" s="1"/>
  <c r="E20" i="121" a="1"/>
  <c r="E20" i="121" s="1"/>
  <c r="F19" i="121" a="1"/>
  <c r="F19" i="121" s="1"/>
  <c r="E19" i="121" a="1"/>
  <c r="E19" i="121" s="1"/>
  <c r="F18" i="121" a="1"/>
  <c r="F18" i="121" s="1"/>
  <c r="E18" i="121" a="1"/>
  <c r="E18" i="121" s="1"/>
  <c r="F17" i="121" a="1"/>
  <c r="F17" i="121" s="1"/>
  <c r="E17" i="121" a="1"/>
  <c r="E17" i="121" s="1"/>
  <c r="F16" i="121" a="1"/>
  <c r="F16" i="121" s="1"/>
  <c r="E16" i="121" a="1"/>
  <c r="E16" i="121" s="1"/>
  <c r="F15" i="121" a="1"/>
  <c r="F15" i="121" s="1"/>
  <c r="E15" i="121" a="1"/>
  <c r="E15" i="121" s="1"/>
  <c r="F14" i="121" a="1"/>
  <c r="F14" i="121" s="1"/>
  <c r="E14" i="121" a="1"/>
  <c r="E14" i="121" s="1"/>
  <c r="F13" i="121" a="1"/>
  <c r="F13" i="121" s="1"/>
  <c r="E13" i="121" a="1"/>
  <c r="E13" i="121" s="1"/>
  <c r="F12" i="121" a="1"/>
  <c r="F12" i="121" s="1"/>
  <c r="E12" i="121" a="1"/>
  <c r="E12" i="121" s="1"/>
  <c r="C102" i="105"/>
  <c r="C101" i="105"/>
  <c r="C112" i="105"/>
  <c r="C111" i="105"/>
  <c r="C110" i="105"/>
  <c r="C105" i="105"/>
  <c r="C104" i="105"/>
  <c r="C440" i="50"/>
  <c r="C439" i="50"/>
  <c r="C113" i="105"/>
  <c r="C114" i="105"/>
  <c r="C146" i="50"/>
  <c r="C147" i="50"/>
  <c r="C108" i="50"/>
  <c r="C107" i="50"/>
  <c r="C112" i="50"/>
  <c r="C111" i="50"/>
  <c r="C114" i="50"/>
  <c r="C113" i="50"/>
  <c r="C416" i="50"/>
  <c r="C417" i="50"/>
  <c r="G2" i="90"/>
  <c r="G3" i="90"/>
  <c r="G4" i="90"/>
  <c r="G5" i="90"/>
  <c r="G6" i="90"/>
  <c r="G7" i="90"/>
  <c r="G8" i="90"/>
  <c r="G9" i="90"/>
  <c r="G10" i="90"/>
  <c r="G11" i="90"/>
  <c r="G12" i="90"/>
  <c r="G13" i="90"/>
  <c r="G14" i="90"/>
  <c r="G15" i="90"/>
  <c r="G16" i="90"/>
  <c r="G17" i="90"/>
  <c r="G18" i="90"/>
  <c r="G19" i="90"/>
  <c r="G20" i="90"/>
  <c r="G21" i="90"/>
  <c r="G22" i="90"/>
  <c r="G23" i="90"/>
  <c r="G24" i="90"/>
  <c r="E2" i="90"/>
  <c r="D2" i="90"/>
  <c r="C75" i="105"/>
  <c r="C74" i="105"/>
  <c r="C73" i="105"/>
  <c r="C72" i="105"/>
  <c r="C71" i="105"/>
  <c r="C70" i="105"/>
  <c r="C69" i="105"/>
  <c r="C68" i="105"/>
  <c r="C191" i="105"/>
  <c r="C192" i="105"/>
  <c r="C193" i="105"/>
  <c r="C194" i="105"/>
  <c r="C195" i="105"/>
  <c r="C196" i="105"/>
  <c r="C197" i="105"/>
  <c r="C198" i="105"/>
  <c r="C2" i="90"/>
  <c r="C3" i="90"/>
  <c r="C4" i="90"/>
  <c r="C5" i="90"/>
  <c r="C6" i="90"/>
  <c r="C7" i="90"/>
  <c r="C8" i="90"/>
  <c r="C9" i="90"/>
  <c r="C10" i="90"/>
  <c r="C11" i="90"/>
  <c r="C12" i="90"/>
  <c r="C13" i="90"/>
  <c r="C14" i="90"/>
  <c r="C15" i="90"/>
  <c r="C16" i="90"/>
  <c r="C17" i="90"/>
  <c r="C18" i="90"/>
  <c r="C19" i="90"/>
  <c r="C20" i="90"/>
  <c r="C21" i="90"/>
  <c r="C22" i="90"/>
  <c r="C23" i="90"/>
  <c r="C24" i="90"/>
  <c r="B4" i="101"/>
  <c r="D4" i="101" s="1"/>
  <c r="F2" i="90"/>
  <c r="F3" i="90"/>
  <c r="F4" i="90"/>
  <c r="F5" i="90"/>
  <c r="F6" i="90"/>
  <c r="F7" i="90"/>
  <c r="F8" i="90"/>
  <c r="F9" i="90"/>
  <c r="F10" i="90"/>
  <c r="F11" i="90"/>
  <c r="F12" i="90"/>
  <c r="F13" i="90"/>
  <c r="F14" i="90"/>
  <c r="F15" i="90"/>
  <c r="F16" i="90"/>
  <c r="F17" i="90"/>
  <c r="F18" i="90"/>
  <c r="F19" i="90"/>
  <c r="F20" i="90"/>
  <c r="F21" i="90"/>
  <c r="F22" i="90"/>
  <c r="F23" i="90"/>
  <c r="F24" i="90"/>
  <c r="A24" i="90"/>
  <c r="B24" i="90"/>
  <c r="D24" i="90"/>
  <c r="E24" i="90"/>
  <c r="C15" i="100"/>
  <c r="C14" i="100"/>
  <c r="C13" i="100"/>
  <c r="C98" i="105"/>
  <c r="N6" i="115"/>
  <c r="N7" i="115"/>
  <c r="N8" i="115"/>
  <c r="N5" i="115"/>
  <c r="A23" i="90"/>
  <c r="B23" i="90"/>
  <c r="D23" i="90"/>
  <c r="E23" i="90"/>
  <c r="C97" i="105"/>
  <c r="B8" i="101"/>
  <c r="D8" i="101" s="1"/>
  <c r="B7" i="101"/>
  <c r="D7" i="101" s="1"/>
  <c r="C208" i="105"/>
  <c r="B5" i="101"/>
  <c r="D5" i="101" s="1"/>
  <c r="E3" i="90"/>
  <c r="E4" i="90"/>
  <c r="E5" i="90"/>
  <c r="E6" i="90"/>
  <c r="E7" i="90"/>
  <c r="E8" i="90"/>
  <c r="E9" i="90"/>
  <c r="E10" i="90"/>
  <c r="E11" i="90"/>
  <c r="E12" i="90"/>
  <c r="E13" i="90"/>
  <c r="E14" i="90"/>
  <c r="E15" i="90"/>
  <c r="E16" i="90"/>
  <c r="E17" i="90"/>
  <c r="E18" i="90"/>
  <c r="E19" i="90"/>
  <c r="E20" i="90"/>
  <c r="E21" i="90"/>
  <c r="E22" i="90"/>
  <c r="D3" i="90"/>
  <c r="D4" i="90"/>
  <c r="D5" i="90"/>
  <c r="D6" i="90"/>
  <c r="D7" i="90"/>
  <c r="D8" i="90"/>
  <c r="D9" i="90"/>
  <c r="D10" i="90"/>
  <c r="D11" i="90"/>
  <c r="D12" i="90"/>
  <c r="D13" i="90"/>
  <c r="D14" i="90"/>
  <c r="D15" i="90"/>
  <c r="D16" i="90"/>
  <c r="D17" i="90"/>
  <c r="D18" i="90"/>
  <c r="D19" i="90"/>
  <c r="D20" i="90"/>
  <c r="D21" i="90"/>
  <c r="D22" i="90"/>
  <c r="A22" i="90"/>
  <c r="B22" i="90"/>
  <c r="C15" i="105"/>
  <c r="C16" i="105"/>
  <c r="C17" i="105"/>
  <c r="C18" i="105"/>
  <c r="C19" i="105"/>
  <c r="C26" i="105"/>
  <c r="C27" i="105"/>
  <c r="C28" i="105"/>
  <c r="C29" i="105"/>
  <c r="C30" i="105"/>
  <c r="C31" i="105"/>
  <c r="C2" i="105"/>
  <c r="C3" i="105"/>
  <c r="C4" i="105"/>
  <c r="C5" i="105"/>
  <c r="C6" i="105"/>
  <c r="C7" i="105"/>
  <c r="C39" i="105"/>
  <c r="C67" i="105"/>
  <c r="C90" i="105"/>
  <c r="C141" i="105"/>
  <c r="C42" i="105"/>
  <c r="C43" i="105"/>
  <c r="C44" i="105"/>
  <c r="C45" i="105"/>
  <c r="C46" i="105"/>
  <c r="C47" i="105"/>
  <c r="C48" i="105"/>
  <c r="C49" i="105"/>
  <c r="C50" i="105"/>
  <c r="C51" i="105"/>
  <c r="C52" i="105"/>
  <c r="C53" i="105"/>
  <c r="C253" i="105"/>
  <c r="C306" i="105"/>
  <c r="C80" i="105"/>
  <c r="C81" i="105"/>
  <c r="C82" i="105"/>
  <c r="C83" i="105"/>
  <c r="C84" i="105"/>
  <c r="C85" i="105"/>
  <c r="C86" i="105"/>
  <c r="C87" i="105"/>
  <c r="C38" i="105"/>
  <c r="C209" i="105"/>
  <c r="C210" i="105"/>
  <c r="C211" i="105"/>
  <c r="C225" i="105"/>
  <c r="C100" i="105"/>
  <c r="C103" i="105"/>
  <c r="C106" i="105"/>
  <c r="C107" i="105"/>
  <c r="C108" i="105"/>
  <c r="C109" i="105"/>
  <c r="C115" i="105"/>
  <c r="C116" i="105"/>
  <c r="C117" i="105"/>
  <c r="C118" i="105"/>
  <c r="C119" i="105"/>
  <c r="C120" i="105"/>
  <c r="C40" i="105"/>
  <c r="C91" i="105"/>
  <c r="C129" i="105"/>
  <c r="C130" i="105"/>
  <c r="C131" i="105"/>
  <c r="C132" i="105"/>
  <c r="C133" i="105"/>
  <c r="C134" i="105"/>
  <c r="C254" i="105"/>
  <c r="C338" i="105"/>
  <c r="C149" i="105"/>
  <c r="C150" i="105"/>
  <c r="C151" i="105"/>
  <c r="C152" i="105"/>
  <c r="C153" i="105"/>
  <c r="C154" i="105"/>
  <c r="C155" i="105"/>
  <c r="C156" i="105"/>
  <c r="C157" i="105"/>
  <c r="C158" i="105"/>
  <c r="C159" i="105"/>
  <c r="C166" i="105"/>
  <c r="C167" i="105"/>
  <c r="C168" i="105"/>
  <c r="C169" i="105"/>
  <c r="C170" i="105"/>
  <c r="C171" i="105"/>
  <c r="C88" i="105"/>
  <c r="C142" i="105"/>
  <c r="C179" i="105"/>
  <c r="C180" i="105"/>
  <c r="C181" i="105"/>
  <c r="C182" i="105"/>
  <c r="C183" i="105"/>
  <c r="C184" i="105"/>
  <c r="C201" i="105"/>
  <c r="C202" i="105"/>
  <c r="C203" i="105"/>
  <c r="C204" i="105"/>
  <c r="C205" i="105"/>
  <c r="C206" i="105"/>
  <c r="C207" i="105"/>
  <c r="C267" i="105"/>
  <c r="C339" i="105"/>
  <c r="C220" i="105"/>
  <c r="C221" i="105"/>
  <c r="C222" i="105"/>
  <c r="C223" i="105"/>
  <c r="C224" i="105"/>
  <c r="C14" i="105"/>
  <c r="E154" i="63" a="1"/>
  <c r="E154" i="63" s="1"/>
  <c r="E152" i="63" a="1"/>
  <c r="E152" i="63" s="1"/>
  <c r="E127" i="63" a="1"/>
  <c r="E127" i="63" s="1"/>
  <c r="E39" i="63" a="1"/>
  <c r="E39" i="63" s="1"/>
  <c r="E37" i="63" a="1"/>
  <c r="E37" i="63" s="1"/>
  <c r="F11" i="121" a="1"/>
  <c r="F11" i="121" s="1"/>
  <c r="E11" i="121" a="1"/>
  <c r="E11" i="121" s="1"/>
  <c r="F10" i="121" a="1"/>
  <c r="F10" i="121" s="1"/>
  <c r="E10" i="121" a="1"/>
  <c r="E10" i="121" s="1"/>
  <c r="F9" i="121" a="1"/>
  <c r="F9" i="121" s="1"/>
  <c r="F8" i="121" a="1"/>
  <c r="F8" i="121" s="1"/>
  <c r="F7" i="121" a="1"/>
  <c r="F7" i="121" s="1"/>
  <c r="F6" i="121" a="1"/>
  <c r="F6" i="121" s="1"/>
  <c r="F5" i="121" a="1"/>
  <c r="F5" i="121" s="1"/>
  <c r="F4" i="121" a="1"/>
  <c r="F4" i="121" s="1"/>
  <c r="F3" i="121" a="1"/>
  <c r="F3" i="121" s="1"/>
  <c r="F2" i="121" a="1"/>
  <c r="F2" i="121" s="1"/>
  <c r="E9" i="121" a="1"/>
  <c r="E9" i="121" s="1"/>
  <c r="E8" i="121" a="1"/>
  <c r="E8" i="121" s="1"/>
  <c r="E141" i="63" a="1"/>
  <c r="E141" i="63" s="1"/>
  <c r="E174" i="63" a="1"/>
  <c r="E174" i="63" s="1"/>
  <c r="E17" i="63" a="1"/>
  <c r="E17" i="63" s="1"/>
  <c r="E27" i="63" a="1"/>
  <c r="E27" i="63" s="1"/>
  <c r="E28" i="63" a="1"/>
  <c r="E28" i="63" s="1"/>
  <c r="E29" i="63" a="1"/>
  <c r="E29" i="63" s="1"/>
  <c r="E38" i="63" a="1"/>
  <c r="E38" i="63" s="1"/>
  <c r="E40" i="63" a="1"/>
  <c r="E40" i="63" s="1"/>
  <c r="E41" i="63" a="1"/>
  <c r="E41" i="63" s="1"/>
  <c r="E2" i="63" a="1"/>
  <c r="E2" i="63" s="1"/>
  <c r="E3" i="63" a="1"/>
  <c r="E3" i="63" s="1"/>
  <c r="E4" i="63" a="1"/>
  <c r="E4" i="63" s="1"/>
  <c r="E5" i="63" a="1"/>
  <c r="E5" i="63" s="1"/>
  <c r="E6" i="63" a="1"/>
  <c r="E6" i="63" s="1"/>
  <c r="E7" i="63" a="1"/>
  <c r="E7" i="63" s="1"/>
  <c r="E8" i="63" a="1"/>
  <c r="E8" i="63" s="1"/>
  <c r="E9" i="63" a="1"/>
  <c r="E9" i="63" s="1"/>
  <c r="E18" i="63" a="1"/>
  <c r="E18" i="63" s="1"/>
  <c r="E19" i="63" a="1"/>
  <c r="E19" i="63" s="1"/>
  <c r="E20" i="63" a="1"/>
  <c r="E20" i="63" s="1"/>
  <c r="E24" i="63" a="1"/>
  <c r="E24" i="63" s="1"/>
  <c r="E25" i="63" a="1"/>
  <c r="E25" i="63" s="1"/>
  <c r="E26" i="63" a="1"/>
  <c r="E26" i="63" s="1"/>
  <c r="E30" i="63" a="1"/>
  <c r="E30" i="63" s="1"/>
  <c r="E31" i="63" a="1"/>
  <c r="E31" i="63" s="1"/>
  <c r="E32" i="63" a="1"/>
  <c r="E32" i="63" s="1"/>
  <c r="E33" i="63" a="1"/>
  <c r="E33" i="63" s="1"/>
  <c r="E34" i="63" a="1"/>
  <c r="E34" i="63" s="1"/>
  <c r="E35" i="63" a="1"/>
  <c r="E35" i="63" s="1"/>
  <c r="E36" i="63" a="1"/>
  <c r="E36" i="63" s="1"/>
  <c r="E10" i="63" a="1"/>
  <c r="E10" i="63" s="1"/>
  <c r="E11" i="63" a="1"/>
  <c r="E11" i="63" s="1"/>
  <c r="E12" i="63" a="1"/>
  <c r="E12" i="63" s="1"/>
  <c r="E13" i="63" a="1"/>
  <c r="E13" i="63" s="1"/>
  <c r="E14" i="63" a="1"/>
  <c r="E14" i="63" s="1"/>
  <c r="E15" i="63" a="1"/>
  <c r="E15" i="63" s="1"/>
  <c r="E16" i="63" a="1"/>
  <c r="E16" i="63" s="1"/>
  <c r="E21" i="63" a="1"/>
  <c r="E21" i="63" s="1"/>
  <c r="E22" i="63" a="1"/>
  <c r="E22" i="63" s="1"/>
  <c r="E23" i="63" a="1"/>
  <c r="E23" i="63" s="1"/>
  <c r="E128" i="63" a="1"/>
  <c r="E128" i="63" s="1"/>
  <c r="E182" i="63" a="1"/>
  <c r="E182" i="63" s="1"/>
  <c r="E183" i="63" a="1"/>
  <c r="E183" i="63" s="1"/>
  <c r="E122" i="63" a="1"/>
  <c r="E122" i="63" s="1"/>
  <c r="E121" i="63" a="1"/>
  <c r="E121" i="63" s="1"/>
  <c r="E5" i="121" a="1"/>
  <c r="E5" i="121" s="1"/>
  <c r="E3" i="121" a="1"/>
  <c r="E3" i="121" s="1"/>
  <c r="E6" i="121" a="1"/>
  <c r="E6" i="121" s="1"/>
  <c r="E4" i="121" a="1"/>
  <c r="E4" i="121" s="1"/>
  <c r="E180" i="63" a="1"/>
  <c r="E180" i="63" s="1"/>
  <c r="E179" i="63" a="1"/>
  <c r="E179" i="63" s="1"/>
  <c r="E178" i="63" a="1"/>
  <c r="E178" i="63" s="1"/>
  <c r="E177" i="63" a="1"/>
  <c r="E177" i="63" s="1"/>
  <c r="E176" i="63" a="1"/>
  <c r="E176" i="63" s="1"/>
  <c r="E175" i="63" a="1"/>
  <c r="E175" i="63" s="1"/>
  <c r="E181" i="63" a="1"/>
  <c r="E181" i="63" s="1"/>
  <c r="E140" i="63" a="1"/>
  <c r="E140" i="63" s="1"/>
  <c r="E139" i="63" a="1"/>
  <c r="E139" i="63" s="1"/>
  <c r="E138" i="63" a="1"/>
  <c r="E138" i="63" s="1"/>
  <c r="E137" i="63" a="1"/>
  <c r="E137" i="63" s="1"/>
  <c r="E136" i="63" a="1"/>
  <c r="E136" i="63" s="1"/>
  <c r="E135" i="63" a="1"/>
  <c r="E135" i="63" s="1"/>
  <c r="E134" i="63" a="1"/>
  <c r="E134" i="63" s="1"/>
  <c r="E116" i="63" a="1"/>
  <c r="E116" i="63" s="1"/>
  <c r="E115" i="63" a="1"/>
  <c r="E115" i="63" s="1"/>
  <c r="E114" i="63" a="1"/>
  <c r="E114" i="63"/>
  <c r="E113" i="63" a="1"/>
  <c r="E113" i="63" s="1"/>
  <c r="E112" i="63" a="1"/>
  <c r="E112" i="63" s="1"/>
  <c r="E111" i="63" a="1"/>
  <c r="E111" i="63" s="1"/>
  <c r="E110" i="63" a="1"/>
  <c r="E110" i="63" s="1"/>
  <c r="E109" i="63" a="1"/>
  <c r="E109" i="63" s="1"/>
  <c r="E126" i="63" a="1"/>
  <c r="E126" i="63" s="1"/>
  <c r="E153" i="63" a="1"/>
  <c r="E153" i="63" s="1"/>
  <c r="E151" i="63" a="1"/>
  <c r="E151" i="63" s="1"/>
  <c r="E120" i="63" a="1"/>
  <c r="E120" i="63" s="1"/>
  <c r="E117" i="63" a="1"/>
  <c r="E117" i="63" s="1"/>
  <c r="E118" i="63" a="1"/>
  <c r="E118" i="63" s="1"/>
  <c r="E119" i="63" a="1"/>
  <c r="E119" i="63" s="1"/>
  <c r="E142" i="63" a="1"/>
  <c r="E142" i="63" s="1"/>
  <c r="E143" i="63" a="1"/>
  <c r="E143" i="63" s="1"/>
  <c r="E144" i="63" a="1"/>
  <c r="E144" i="63" s="1"/>
  <c r="E150" i="63" a="1"/>
  <c r="E150" i="63" s="1"/>
  <c r="E148" i="63" a="1"/>
  <c r="E148" i="63" s="1"/>
  <c r="E146" i="63" a="1"/>
  <c r="E146" i="63" s="1"/>
  <c r="E129" i="63" a="1"/>
  <c r="E129" i="63" s="1"/>
  <c r="E7" i="121" a="1"/>
  <c r="E7" i="121" s="1"/>
  <c r="E2" i="121" a="1"/>
  <c r="E2" i="121" s="1"/>
  <c r="B6" i="101"/>
  <c r="D6" i="101" s="1"/>
  <c r="E123" i="63" a="1"/>
  <c r="E123" i="63" s="1"/>
  <c r="E124" i="63" a="1"/>
  <c r="E124" i="63" s="1"/>
  <c r="E125" i="63" a="1"/>
  <c r="E125" i="63" s="1"/>
  <c r="E145" i="63" a="1"/>
  <c r="E145" i="63" s="1"/>
  <c r="E147" i="63" a="1"/>
  <c r="E147" i="63" s="1"/>
  <c r="E149" i="63" a="1"/>
  <c r="E149" i="63" s="1"/>
  <c r="E184" i="63" a="1"/>
  <c r="E184" i="63" s="1"/>
  <c r="E185" i="63" a="1"/>
  <c r="E185" i="63" s="1"/>
  <c r="E159" i="63" a="1"/>
  <c r="E159" i="63" s="1"/>
  <c r="E160" i="63" a="1"/>
  <c r="E160" i="63" s="1"/>
  <c r="E161" i="63" a="1"/>
  <c r="E161" i="63" s="1"/>
  <c r="E162" i="63" a="1"/>
  <c r="E162" i="63" s="1"/>
  <c r="E163" i="63" a="1"/>
  <c r="E163" i="63" s="1"/>
  <c r="E164" i="63" a="1"/>
  <c r="E164" i="63" s="1"/>
  <c r="E165" i="63" a="1"/>
  <c r="E165" i="63" s="1"/>
  <c r="E166" i="63" a="1"/>
  <c r="E166" i="63" s="1"/>
  <c r="E167" i="63" a="1"/>
  <c r="E167" i="63" s="1"/>
  <c r="E168" i="63" a="1"/>
  <c r="E168" i="63" s="1"/>
  <c r="E169" i="63" a="1"/>
  <c r="E169" i="63" s="1"/>
  <c r="E170" i="63" a="1"/>
  <c r="E170" i="63" s="1"/>
  <c r="E171" i="63" a="1"/>
  <c r="E171" i="63" s="1"/>
  <c r="E172" i="63" a="1"/>
  <c r="E172" i="63" s="1"/>
  <c r="E173" i="63" a="1"/>
  <c r="E173" i="63" s="1"/>
  <c r="D9" i="101"/>
  <c r="A2" i="90"/>
  <c r="A3" i="90"/>
  <c r="B3" i="90"/>
  <c r="B4" i="90"/>
  <c r="B5" i="90"/>
  <c r="B6" i="90"/>
  <c r="B7" i="90"/>
  <c r="B8" i="90"/>
  <c r="B9" i="90"/>
  <c r="B10" i="90"/>
  <c r="B11" i="90"/>
  <c r="B12" i="90"/>
  <c r="B13" i="90"/>
  <c r="B14" i="90"/>
  <c r="B15" i="90"/>
  <c r="B16" i="90"/>
  <c r="B17" i="90"/>
  <c r="B18" i="90"/>
  <c r="B19" i="90"/>
  <c r="B20" i="90"/>
  <c r="B21" i="90"/>
  <c r="B2" i="90"/>
  <c r="A4" i="90"/>
  <c r="A5" i="90"/>
  <c r="A6" i="90"/>
  <c r="A7" i="90"/>
  <c r="A8" i="90"/>
  <c r="A9" i="90"/>
  <c r="A10" i="90"/>
  <c r="A11" i="90"/>
  <c r="A12" i="90"/>
  <c r="A13" i="90"/>
  <c r="A14" i="90"/>
  <c r="A15" i="90"/>
  <c r="A16" i="90"/>
  <c r="A17" i="90"/>
  <c r="A18" i="90"/>
  <c r="A19" i="90"/>
  <c r="A20" i="90"/>
  <c r="A21" i="90"/>
  <c r="B9" i="131" l="1"/>
  <c r="H3" i="90"/>
  <c r="H22" i="90"/>
  <c r="E71" i="132"/>
  <c r="W71" i="132" s="1"/>
  <c r="B17" i="131"/>
  <c r="H20" i="90"/>
  <c r="H4" i="90"/>
  <c r="H15" i="90"/>
  <c r="H13" i="90"/>
  <c r="H7" i="90"/>
  <c r="B29" i="131"/>
  <c r="H6" i="90"/>
  <c r="B7" i="131"/>
  <c r="H17" i="90"/>
  <c r="B25" i="131"/>
  <c r="E69" i="132"/>
  <c r="W69" i="132" s="1"/>
  <c r="B31" i="131"/>
  <c r="B22" i="131"/>
  <c r="B12" i="131"/>
  <c r="B23" i="131"/>
  <c r="H24" i="90"/>
  <c r="B6" i="131"/>
  <c r="B28" i="131"/>
  <c r="B4" i="131"/>
  <c r="B13" i="131"/>
  <c r="H12" i="90"/>
  <c r="B20" i="131"/>
  <c r="B3" i="131"/>
  <c r="B8" i="131"/>
  <c r="H8" i="90"/>
  <c r="H23" i="90"/>
  <c r="B4" i="134"/>
  <c r="B3" i="134"/>
  <c r="E60" i="132"/>
  <c r="W60" i="132" s="1"/>
  <c r="E44" i="132"/>
  <c r="W44" i="132" s="1"/>
  <c r="E28" i="132"/>
  <c r="W28" i="132" s="1"/>
  <c r="H21" i="90"/>
  <c r="H5" i="90"/>
  <c r="B2" i="134"/>
  <c r="W2" i="134" s="1"/>
  <c r="B27" i="131"/>
  <c r="E27" i="132"/>
  <c r="W27" i="132" s="1"/>
  <c r="E9" i="132"/>
  <c r="W9" i="132" s="1"/>
  <c r="H19" i="90"/>
  <c r="H2" i="90"/>
  <c r="B15" i="131"/>
  <c r="E72" i="132"/>
  <c r="W72" i="132" s="1"/>
  <c r="B7" i="134"/>
  <c r="W7" i="134" s="1"/>
  <c r="B5" i="131"/>
  <c r="E56" i="132"/>
  <c r="W56" i="132" s="1"/>
  <c r="B16" i="131"/>
  <c r="H18" i="90"/>
  <c r="H16" i="90"/>
  <c r="B32" i="131"/>
  <c r="B2" i="131"/>
  <c r="B30" i="131"/>
  <c r="E66" i="132"/>
  <c r="W66" i="132" s="1"/>
  <c r="E53" i="132"/>
  <c r="W53" i="132" s="1"/>
  <c r="H14" i="90"/>
  <c r="B19" i="131"/>
  <c r="E37" i="132"/>
  <c r="W37" i="132" s="1"/>
  <c r="E52" i="132"/>
  <c r="W52" i="132" s="1"/>
  <c r="E64" i="132"/>
  <c r="W64" i="132" s="1"/>
  <c r="E50" i="132"/>
  <c r="W50" i="132" s="1"/>
  <c r="H11" i="90"/>
  <c r="B26" i="131"/>
  <c r="B10" i="131"/>
  <c r="E48" i="132"/>
  <c r="W48" i="132" s="1"/>
  <c r="E34" i="132"/>
  <c r="W34" i="132" s="1"/>
  <c r="E32" i="132"/>
  <c r="W32" i="132" s="1"/>
  <c r="E18" i="132"/>
  <c r="W18" i="132" s="1"/>
  <c r="H10" i="90"/>
  <c r="H9" i="90"/>
  <c r="E31" i="132"/>
  <c r="W31" i="132" s="1"/>
  <c r="B24" i="131"/>
  <c r="B11" i="131"/>
  <c r="E16" i="132"/>
  <c r="W16" i="132" s="1"/>
  <c r="E12" i="132"/>
  <c r="W12" i="132" s="1"/>
  <c r="E40" i="132"/>
  <c r="W40" i="132" s="1"/>
  <c r="E21" i="132"/>
  <c r="W21" i="132" s="1"/>
  <c r="E2" i="132"/>
  <c r="W2" i="132" s="1"/>
  <c r="B14" i="131"/>
  <c r="E63" i="132"/>
  <c r="W63" i="132" s="1"/>
  <c r="E59" i="132"/>
  <c r="W59" i="132" s="1"/>
  <c r="E24" i="132"/>
  <c r="W24" i="132" s="1"/>
  <c r="E5" i="132"/>
  <c r="W5" i="132" s="1"/>
  <c r="E47" i="132"/>
  <c r="W47" i="132" s="1"/>
  <c r="E43" i="132"/>
  <c r="W43" i="132" s="1"/>
  <c r="E8" i="132"/>
  <c r="W8" i="132" s="1"/>
  <c r="E68" i="132"/>
  <c r="W68" i="132" s="1"/>
  <c r="E15" i="132"/>
  <c r="W15" i="132" s="1"/>
  <c r="E11" i="132"/>
  <c r="W11" i="132" s="1"/>
  <c r="E55" i="132"/>
  <c r="W55" i="132" s="1"/>
  <c r="E36" i="132"/>
  <c r="W36" i="132" s="1"/>
  <c r="E62" i="132"/>
  <c r="W62" i="132" s="1"/>
  <c r="E58" i="132"/>
  <c r="W58" i="132" s="1"/>
  <c r="E39" i="132"/>
  <c r="W39" i="132" s="1"/>
  <c r="E20" i="132"/>
  <c r="W20" i="132" s="1"/>
  <c r="B6" i="134"/>
  <c r="W6" i="134" s="1"/>
  <c r="E46" i="132"/>
  <c r="W46" i="132" s="1"/>
  <c r="E42" i="132"/>
  <c r="W42" i="132" s="1"/>
  <c r="E23" i="132"/>
  <c r="W23" i="132" s="1"/>
  <c r="E4" i="132"/>
  <c r="W4" i="132" s="1"/>
  <c r="B33" i="131"/>
  <c r="E30" i="132"/>
  <c r="W30" i="132" s="1"/>
  <c r="E26" i="132"/>
  <c r="W26" i="132" s="1"/>
  <c r="E7" i="132"/>
  <c r="W7" i="132" s="1"/>
  <c r="E67" i="132"/>
  <c r="W67" i="132" s="1"/>
  <c r="B5" i="134"/>
  <c r="W5" i="134" s="1"/>
  <c r="E14" i="132"/>
  <c r="W14" i="132" s="1"/>
  <c r="E10" i="132"/>
  <c r="W10" i="132" s="1"/>
  <c r="E70" i="132"/>
  <c r="W70" i="132" s="1"/>
  <c r="E51" i="132"/>
  <c r="W51" i="132" s="1"/>
  <c r="E65" i="132"/>
  <c r="W65" i="132" s="1"/>
  <c r="E61" i="132"/>
  <c r="W61" i="132" s="1"/>
  <c r="E73" i="132"/>
  <c r="W73" i="132" s="1"/>
  <c r="E54" i="132"/>
  <c r="W54" i="132" s="1"/>
  <c r="E35" i="132"/>
  <c r="W35" i="132" s="1"/>
  <c r="E49" i="132"/>
  <c r="W49" i="132" s="1"/>
  <c r="E45" i="132"/>
  <c r="W45" i="132" s="1"/>
  <c r="E57" i="132"/>
  <c r="W57" i="132" s="1"/>
  <c r="E38" i="132"/>
  <c r="W38" i="132" s="1"/>
  <c r="E19" i="132"/>
  <c r="W19" i="132" s="1"/>
  <c r="E33" i="132"/>
  <c r="W33" i="132" s="1"/>
  <c r="E29" i="132"/>
  <c r="W29" i="132" s="1"/>
  <c r="E41" i="132"/>
  <c r="W41" i="132" s="1"/>
  <c r="E22" i="132"/>
  <c r="W22" i="132" s="1"/>
  <c r="E3" i="132"/>
  <c r="W3" i="132" s="1"/>
  <c r="B21" i="131"/>
  <c r="E17" i="132"/>
  <c r="W17" i="132" s="1"/>
  <c r="E13" i="132"/>
  <c r="W13" i="132" s="1"/>
  <c r="E25" i="132"/>
  <c r="W25" i="132" s="1"/>
  <c r="E6" i="132"/>
  <c r="W6" i="132" s="1"/>
  <c r="G2" i="94" a="1"/>
  <c r="G2" i="94" s="1"/>
  <c r="R2" i="94"/>
  <c r="E2" i="94"/>
  <c r="B2" i="94"/>
  <c r="E10" i="131"/>
  <c r="W10" i="131" s="1"/>
  <c r="E34" i="131"/>
  <c r="W34" i="131" s="1"/>
  <c r="E15" i="131"/>
  <c r="W3" i="134"/>
  <c r="W4" i="134"/>
  <c r="W15" i="131" l="1"/>
  <c r="C3" i="100"/>
  <c r="E27" i="131"/>
  <c r="W27" i="131" s="1"/>
  <c r="E31" i="131"/>
  <c r="W31" i="131" s="1"/>
  <c r="X2" i="94"/>
  <c r="E26" i="131"/>
  <c r="W26" i="131" s="1"/>
  <c r="E33" i="131"/>
  <c r="W33" i="131" s="1"/>
  <c r="E18" i="131"/>
  <c r="W18" i="131" s="1"/>
  <c r="E13" i="131"/>
  <c r="W13" i="131" s="1"/>
  <c r="E24" i="131"/>
  <c r="W24" i="131" s="1"/>
  <c r="E16" i="131"/>
  <c r="W16" i="131" s="1"/>
  <c r="E21" i="131"/>
  <c r="W21" i="131" s="1"/>
  <c r="E12" i="131"/>
  <c r="W12" i="131" s="1"/>
  <c r="E4" i="131"/>
  <c r="W4" i="131" s="1"/>
  <c r="E22" i="131"/>
  <c r="W22" i="131" s="1"/>
  <c r="E2" i="131"/>
  <c r="W2" i="131" s="1"/>
  <c r="E25" i="131"/>
  <c r="W25" i="131" s="1"/>
  <c r="E32" i="131"/>
  <c r="W32" i="131" s="1"/>
  <c r="E5" i="131"/>
  <c r="W5" i="131" s="1"/>
  <c r="E28" i="131"/>
  <c r="W28" i="131" s="1"/>
  <c r="E20" i="131"/>
  <c r="W20" i="131" s="1"/>
  <c r="E23" i="131"/>
  <c r="W23" i="131" s="1"/>
  <c r="E8" i="131"/>
  <c r="W8" i="131" s="1"/>
  <c r="E6" i="131"/>
  <c r="W6" i="131" s="1"/>
  <c r="E7" i="131"/>
  <c r="W7" i="131" s="1"/>
  <c r="E9" i="131"/>
  <c r="W9" i="131" s="1"/>
  <c r="E11" i="131"/>
  <c r="W11" i="131" s="1"/>
  <c r="E30" i="131"/>
  <c r="W30" i="131" s="1"/>
  <c r="E14" i="131"/>
  <c r="W14" i="131" s="1"/>
  <c r="E19" i="131"/>
  <c r="W19" i="131" s="1"/>
  <c r="E3" i="131"/>
  <c r="W3" i="131" s="1"/>
  <c r="E17" i="131"/>
  <c r="W17" i="131" s="1"/>
  <c r="E29" i="131"/>
  <c r="W29" i="131" s="1"/>
  <c r="C12" i="100"/>
  <c r="C7" i="100"/>
  <c r="C10" i="100"/>
  <c r="C5" i="100"/>
  <c r="C6" i="100"/>
  <c r="C4" i="100"/>
  <c r="C9" i="100" l="1"/>
  <c r="C8" i="100"/>
  <c r="C11" i="100"/>
  <c r="C16" i="100"/>
  <c r="B3" i="10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tc={23621D13-A009-40F2-BB7B-12CB985AAEB5}</author>
    <author>tc={3A928311-8892-4195-AE97-CB7E64846AEB}</author>
    <author>tc={512E250C-2E04-4B3F-9477-E35B5E4F7B12}</author>
    <author>tc={75DD3F9E-BD7B-4591-BAC2-AA4CFF920569}</author>
    <author>tc={C1BC1A1C-B747-4F7C-9AE1-E63953E328EF}</author>
    <author>tc={4E5C1E51-B85F-425B-A1D6-2E55DE1B347E}</author>
    <author>tc={E03B8D4B-70B0-4EB1-8569-A624E024BE66}</author>
    <author>tc={43259558-546E-49D5-9363-32F4EE584551}</author>
    <author>tc={640501E3-0FDA-4FD7-95EC-F76572BB69BD}</author>
    <author>tc={E0C9B567-CC6C-454A-A8CC-34EEBD63730C}</author>
    <author>tc={1B9FFE91-2884-47CD-B6EB-7A4F2E72A335}</author>
    <author>tc={CB31579B-419B-40BC-8398-B8BBB14214D3}</author>
    <author>tc={E02A9101-6B63-4973-B02E-88CDF00DAAB4}</author>
    <author>tc={2EFD554E-957B-45F3-9849-398214A62DF0}</author>
  </authors>
  <commentList>
    <comment ref="E5" authorId="0" shapeId="0" xr:uid="{23621D13-A009-40F2-BB7B-12CB985AAEB5}">
      <text>
        <t>[Threaded comment]
Your version of Excel allows you to read this threaded comment; however, any edits to it will get removed if the file is opened in a newer version of Excel. Learn more: https://go.microsoft.com/fwlink/?linkid=870924
Comment:
    Used for funding statement breakdown if all coded to 1000 GAG, if any differentials, please create new finance code with prefix FUNDING_ABBREV
Reply:
    To be renamed based on how the funding is grouped at nominal level (e.g. FUNDING_GAG, FUNDING_POST16, FUNDING_BURSARY)</t>
      </text>
    </comment>
    <comment ref="F5" authorId="1" shapeId="0" xr:uid="{3A928311-8892-4195-AE97-CB7E64846AEB}">
      <text>
        <t>[Threaded comment]
Your version of Excel allows you to read this threaded comment; however, any edits to it will get removed if the file is opened in a newer version of Excel. Learn more: https://go.microsoft.com/fwlink/?linkid=870924
Comment:
    Used for funding statement breakdown if all coded to 1000 GAG, if any differentials, please create new finance code with prefix FUNDING_ABBREV
Reply:
    To be renamed based on how the funding is grouped at nominal level (e.g. FUNDING_GAG, FUNDING_POST16, FUNDING_BURSARY)</t>
      </text>
    </comment>
    <comment ref="E38" authorId="2" shapeId="0" xr:uid="{512E250C-2E04-4B3F-9477-E35B5E4F7B12}">
      <text>
        <t>[Threaded comment]
Your version of Excel allows you to read this threaded comment; however, any edits to it will get removed if the file is opened in a newer version of Excel. Learn more: https://go.microsoft.com/fwlink/?linkid=870924
Comment:
    Used for funding statement breakdown if all coded to 1000 GAG, if any differentials, please create new finance code with prefix FUNDING_ABBREV
Reply:
    To be renamed based on how the funding is grouped at nominal level (e.g. FUNDING_GAG, FUNDING_POST16, FUNDING_BURSARY)</t>
      </text>
    </comment>
    <comment ref="F38" authorId="3" shapeId="0" xr:uid="{75DD3F9E-BD7B-4591-BAC2-AA4CFF920569}">
      <text>
        <t>[Threaded comment]
Your version of Excel allows you to read this threaded comment; however, any edits to it will get removed if the file is opened in a newer version of Excel. Learn more: https://go.microsoft.com/fwlink/?linkid=870924
Comment:
    Used for funding statement breakdown if all coded to 1000 GAG, if any differentials, please create new finance code with prefix FUNDING_ABBREV
Reply:
    To be renamed based on how the funding is grouped at nominal level (e.g. FUNDING_GAG, FUNDING_POST16, FUNDING_BURSARY)</t>
      </text>
    </comment>
    <comment ref="E41" authorId="4" shapeId="0" xr:uid="{C1BC1A1C-B747-4F7C-9AE1-E63953E328EF}">
      <text>
        <t>[Threaded comment]
Your version of Excel allows you to read this threaded comment; however, any edits to it will get removed if the file is opened in a newer version of Excel. Learn more: https://go.microsoft.com/fwlink/?linkid=870924
Comment:
    Used for funding statement breakdown if all coded to 1000 GAG, if any differentials, please create new finance code with prefix FUNDING_ABBREV
Reply:
    To be renamed based on how the funding is grouped at nominal level (e.g. FUNDING_GAG, FUNDING_POST16, FUNDING_BURSARY)</t>
      </text>
    </comment>
    <comment ref="F41" authorId="5" shapeId="0" xr:uid="{4E5C1E51-B85F-425B-A1D6-2E55DE1B347E}">
      <text>
        <t>[Threaded comment]
Your version of Excel allows you to read this threaded comment; however, any edits to it will get removed if the file is opened in a newer version of Excel. Learn more: https://go.microsoft.com/fwlink/?linkid=870924
Comment:
    Used for funding statement breakdown if all coded to 1000 GAG, if any differentials, please create new finance code with prefix FUNDING_ABBREV
Reply:
    To be renamed based on how the funding is grouped at nominal level (e.g. FUNDING_GAG, FUNDING_POST16, FUNDING_BURSARY)</t>
      </text>
    </comment>
    <comment ref="E174" authorId="6" shapeId="0" xr:uid="{E03B8D4B-70B0-4EB1-8569-A624E024BE66}">
      <text>
        <t>[Threaded comment]
Your version of Excel allows you to read this threaded comment; however, any edits to it will get removed if the file is opened in a newer version of Excel. Learn more: https://go.microsoft.com/fwlink/?linkid=870924
Comment:
    Used for funding statement breakdown if all coded to 1000 GAG, if any differentials, please create new finance code with prefix FUNDING_ABBREV
Reply:
    To be renamed based on how the funding is grouped at nominal level (e.g. FUNDING_GAG, FUNDING_POST16, FUNDING_BURSARY)</t>
      </text>
    </comment>
    <comment ref="F174" authorId="7" shapeId="0" xr:uid="{43259558-546E-49D5-9363-32F4EE584551}">
      <text>
        <t>[Threaded comment]
Your version of Excel allows you to read this threaded comment; however, any edits to it will get removed if the file is opened in a newer version of Excel. Learn more: https://go.microsoft.com/fwlink/?linkid=870924
Comment:
    Used for funding statement breakdown if all coded to 1000 GAG, if any differentials, please create new finance code with prefix FUNDING_ABBREV
Reply:
    To be renamed based on how the funding is grouped at nominal level (e.g. FUNDING_GAG, FUNDING_POST16, FUNDING_BURSARY)</t>
      </text>
    </comment>
    <comment ref="E175" authorId="8" shapeId="0" xr:uid="{640501E3-0FDA-4FD7-95EC-F76572BB69BD}">
      <text>
        <t>[Threaded comment]
Your version of Excel allows you to read this threaded comment; however, any edits to it will get removed if the file is opened in a newer version of Excel. Learn more: https://go.microsoft.com/fwlink/?linkid=870924
Comment:
    Used for funding statement breakdown if all coded to 1000 GAG, if any differentials, please create new finance code with prefix FUNDING_ABBREV
Reply:
    To be renamed based on how the funding is grouped at nominal level (e.g. FUNDING_GAG, FUNDING_POST16, FUNDING_BURSARY)</t>
      </text>
    </comment>
    <comment ref="F175" authorId="9" shapeId="0" xr:uid="{E0C9B567-CC6C-454A-A8CC-34EEBD63730C}">
      <text>
        <t>[Threaded comment]
Your version of Excel allows you to read this threaded comment; however, any edits to it will get removed if the file is opened in a newer version of Excel. Learn more: https://go.microsoft.com/fwlink/?linkid=870924
Comment:
    Used for funding statement breakdown if all coded to 1000 GAG, if any differentials, please create new finance code with prefix FUNDING_ABBREV
Reply:
    To be renamed based on how the funding is grouped at nominal level (e.g. FUNDING_GAG, FUNDING_POST16, FUNDING_BURSARY)</t>
      </text>
    </comment>
    <comment ref="E491" authorId="10" shapeId="0" xr:uid="{1B9FFE91-2884-47CD-B6EB-7A4F2E72A335}">
      <text>
        <t>[Threaded comment]
Your version of Excel allows you to read this threaded comment; however, any edits to it will get removed if the file is opened in a newer version of Excel. Learn more: https://go.microsoft.com/fwlink/?linkid=870924
Comment:
    Used for funding statement breakdown if all coded to 1000 GAG, if any differentials, please create new finance code with prefix FUNDING_ABBREV
Reply:
    To be renamed based on how the funding is grouped at nominal level (e.g. FUNDING_GAG, FUNDING_POST16, FUNDING_BURSARY)</t>
      </text>
    </comment>
    <comment ref="F491" authorId="11" shapeId="0" xr:uid="{CB31579B-419B-40BC-8398-B8BBB14214D3}">
      <text>
        <t>[Threaded comment]
Your version of Excel allows you to read this threaded comment; however, any edits to it will get removed if the file is opened in a newer version of Excel. Learn more: https://go.microsoft.com/fwlink/?linkid=870924
Comment:
    Used for funding statement breakdown if all coded to 1000 GAG, if any differentials, please create new finance code with prefix FUNDING_ABBREV
Reply:
    To be renamed based on how the funding is grouped at nominal level (e.g. FUNDING_GAG, FUNDING_POST16, FUNDING_BURSARY)</t>
      </text>
    </comment>
    <comment ref="E493" authorId="12" shapeId="0" xr:uid="{E02A9101-6B63-4973-B02E-88CDF00DAAB4}">
      <text>
        <t>[Threaded comment]
Your version of Excel allows you to read this threaded comment; however, any edits to it will get removed if the file is opened in a newer version of Excel. Learn more: https://go.microsoft.com/fwlink/?linkid=870924
Comment:
    Used for funding statement breakdown if all coded to 1000 GAG, if any differentials, please create new finance code with prefix FUNDING_ABBREV
Reply:
    To be renamed based on how the funding is grouped at nominal level (e.g. FUNDING_GAG, FUNDING_POST16, FUNDING_BURSARY)</t>
      </text>
    </comment>
    <comment ref="F493" authorId="13" shapeId="0" xr:uid="{2EFD554E-957B-45F3-9849-398214A62DF0}">
      <text>
        <t>[Threaded comment]
Your version of Excel allows you to read this threaded comment; however, any edits to it will get removed if the file is opened in a newer version of Excel. Learn more: https://go.microsoft.com/fwlink/?linkid=870924
Comment:
    Used for funding statement breakdown if all coded to 1000 GAG, if any differentials, please create new finance code with prefix FUNDING_ABBREV
Reply:
    To be renamed based on how the funding is grouped at nominal level (e.g. FUNDING_GAG, FUNDING_POST16, FUNDING_BURSARY)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tc={15B5C951-A15A-43B0-A4E8-24890FE7521B}</author>
    <author>tc={AAF517E9-9A03-4F03-971E-9E3C4002440D}</author>
    <author>tc={523167A2-5C17-443F-BA97-89FE97C9A128}</author>
    <author>tc={B472E7EE-597D-49FE-BA39-D13A4768DB1F}</author>
    <author>tc={9F7C103A-8D47-44EC-B948-63A5F19CBAB0}</author>
    <author>tc={EEF21461-B646-42C4-B8C9-C7A84668E40C}</author>
    <author>tc={44D628C6-3E4B-4D46-A6AC-EA06A3AE69BA}</author>
    <author>tc={6E8CF921-7FF7-4431-BAC0-E8BC56D3962F}</author>
    <author>tc={7CCD06B3-DE36-45F8-BA8C-4CE80FE5D7B7}</author>
    <author>tc={1A5DEA99-711A-462A-9C4B-5943821FFF11}</author>
    <author>tc={A1CDDE96-5B37-4742-A3C7-846E333774A3}</author>
    <author>tc={BDD685A4-E2F8-4ACC-9309-6C3EE8CE77A2}</author>
    <author>tc={1B0F18DD-0000-40E4-A205-F75D967219DD}</author>
    <author>tc={9602FA26-5E61-413D-8128-A2DAB75F44CE}</author>
    <author>tc={BC407C11-6CFD-4FCA-9F7E-598DCB0F295C}</author>
    <author>tc={D1860742-262D-43F5-8DE7-D9465EBED02E}</author>
    <author>tc={E63B033F-894C-4E77-927E-E90AAE510B0B}</author>
    <author>tc={38933806-5F95-41BD-A5C5-87A79E90FFD1}</author>
    <author>tc={8E9C7BE1-3452-4D19-BA06-4219FD6846D0}</author>
    <author>tc={87DA65CE-483D-46C3-9A0A-80B959E101C4}</author>
    <author>tc={7FE72681-3A44-4840-8FF2-5D627C659873}</author>
    <author>tc={ED4C9F5F-9AB2-483E-BE5C-0B4CCB973538}</author>
    <author>tc={BA717C25-1CA1-4BC7-BB50-1E71D3EAB047}</author>
    <author>tc={F08A81EE-4B00-4463-85A4-6E214B17CBC4}</author>
    <author>tc={9AE2ED15-05F9-43AF-A7B6-1265BDD14D2F}</author>
    <author>tc={069AAD26-3271-4F71-B496-5EF3517CD274}</author>
    <author>tc={212E1B8A-3C98-4963-B286-1C530F5CD0B7}</author>
    <author>tc={AC80F32E-3841-4253-9710-30BC19F263FA}</author>
    <author>tc={5241D529-0DBE-4871-9F73-B0463FE92317}</author>
    <author>tc={AB2A0045-391C-401A-9107-F5C523E69634}</author>
    <author>tc={3A6482F8-6FF7-40D8-9B20-74140AF14805}</author>
    <author>tc={0461D0E1-D673-4BCB-A77F-CE862B1B366B}</author>
    <author>tc={F39C92E5-9DBE-400C-AD28-8890F9F442BC}</author>
    <author>tc={7578A76F-238C-444F-A9C8-D72ADE4DE9F9}</author>
    <author>tc={F3D4496A-FD19-4B83-AA09-C71437E91EB0}</author>
    <author>tc={ADCA5E10-C381-46C1-BB33-E9814495173B}</author>
    <author>tc={6E38DE4A-C1C6-4AA2-8876-855D4E0A7377}</author>
    <author>tc={F3F0C670-46D1-4A24-9896-2A29E4F9A13B}</author>
    <author>tc={4E5F8BA0-803E-4CC7-BDD9-936CF0B3031B}</author>
    <author>tc={8493BF9D-3D86-4CFD-9BFE-B5F7878499F5}</author>
    <author>tc={6E847666-2990-4AB1-9054-D59912ADD689}</author>
    <author>tc={540D8023-6173-47B9-A4A2-8A8770132FD1}</author>
    <author>tc={4A3B9F2B-EEDA-44A4-B101-FD0D7C6A09E8}</author>
    <author>tc={E0A00055-8699-412C-8922-F293CB8C70CB}</author>
    <author>tc={E4494929-8817-47DC-A66B-9DC0C6EEBA05}</author>
    <author>tc={7F6DF41A-5C5B-44D3-9989-9ED22C951CCA}</author>
  </authors>
  <commentList>
    <comment ref="I2" authorId="0" shapeId="0" xr:uid="{15B5C951-A15A-43B0-A4E8-24890FE7521B}">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3" authorId="1" shapeId="0" xr:uid="{AAF517E9-9A03-4F03-971E-9E3C4002440D}">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4" authorId="2" shapeId="0" xr:uid="{523167A2-5C17-443F-BA97-89FE97C9A128}">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30" authorId="3" shapeId="0" xr:uid="{B472E7EE-597D-49FE-BA39-D13A4768DB1F}">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43" authorId="4" shapeId="0" xr:uid="{9F7C103A-8D47-44EC-B948-63A5F19CBAB0}">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44" authorId="5" shapeId="0" xr:uid="{EEF21461-B646-42C4-B8C9-C7A84668E40C}">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45" authorId="6" shapeId="0" xr:uid="{44D628C6-3E4B-4D46-A6AC-EA06A3AE69BA}">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79" authorId="7" shapeId="0" xr:uid="{6E8CF921-7FF7-4431-BAC0-E8BC56D3962F}">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80" authorId="8" shapeId="0" xr:uid="{7CCD06B3-DE36-45F8-BA8C-4CE80FE5D7B7}">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92" authorId="9" shapeId="0" xr:uid="{1A5DEA99-711A-462A-9C4B-5943821FFF11}">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103" authorId="10" shapeId="0" xr:uid="{A1CDDE96-5B37-4742-A3C7-846E333774A3}">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116" authorId="11" shapeId="0" xr:uid="{BDD685A4-E2F8-4ACC-9309-6C3EE8CE77A2}">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131" authorId="12" shapeId="0" xr:uid="{1B0F18DD-0000-40E4-A205-F75D967219DD}">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132" authorId="13" shapeId="0" xr:uid="{9602FA26-5E61-413D-8128-A2DAB75F44CE}">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133" authorId="14" shapeId="0" xr:uid="{BC407C11-6CFD-4FCA-9F7E-598DCB0F295C}">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134" authorId="15" shapeId="0" xr:uid="{D1860742-262D-43F5-8DE7-D9465EBED02E}">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135" authorId="16" shapeId="0" xr:uid="{E63B033F-894C-4E77-927E-E90AAE510B0B}">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136" authorId="17" shapeId="0" xr:uid="{38933806-5F95-41BD-A5C5-87A79E90FFD1}">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137" authorId="18" shapeId="0" xr:uid="{8E9C7BE1-3452-4D19-BA06-4219FD6846D0}">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138" authorId="19" shapeId="0" xr:uid="{87DA65CE-483D-46C3-9A0A-80B959E101C4}">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139" authorId="20" shapeId="0" xr:uid="{7FE72681-3A44-4840-8FF2-5D627C659873}">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140" authorId="21" shapeId="0" xr:uid="{ED4C9F5F-9AB2-483E-BE5C-0B4CCB973538}">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141" authorId="22" shapeId="0" xr:uid="{BA717C25-1CA1-4BC7-BB50-1E71D3EAB047}">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142" authorId="23" shapeId="0" xr:uid="{F08A81EE-4B00-4463-85A4-6E214B17CBC4}">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143" authorId="24" shapeId="0" xr:uid="{9AE2ED15-05F9-43AF-A7B6-1265BDD14D2F}">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144" authorId="25" shapeId="0" xr:uid="{069AAD26-3271-4F71-B496-5EF3517CD274}">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145" authorId="26" shapeId="0" xr:uid="{212E1B8A-3C98-4963-B286-1C530F5CD0B7}">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146" authorId="27" shapeId="0" xr:uid="{AC80F32E-3841-4253-9710-30BC19F263FA}">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147" authorId="28" shapeId="0" xr:uid="{5241D529-0DBE-4871-9F73-B0463FE92317}">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148" authorId="29" shapeId="0" xr:uid="{AB2A0045-391C-401A-9107-F5C523E69634}">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149" authorId="30" shapeId="0" xr:uid="{3A6482F8-6FF7-40D8-9B20-74140AF14805}">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150" authorId="31" shapeId="0" xr:uid="{0461D0E1-D673-4BCB-A77F-CE862B1B366B}">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151" authorId="32" shapeId="0" xr:uid="{F39C92E5-9DBE-400C-AD28-8890F9F442BC}">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152" authorId="33" shapeId="0" xr:uid="{7578A76F-238C-444F-A9C8-D72ADE4DE9F9}">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153" authorId="34" shapeId="0" xr:uid="{F3D4496A-FD19-4B83-AA09-C71437E91EB0}">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154" authorId="35" shapeId="0" xr:uid="{ADCA5E10-C381-46C1-BB33-E9814495173B}">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155" authorId="36" shapeId="0" xr:uid="{6E38DE4A-C1C6-4AA2-8876-855D4E0A7377}">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168" authorId="37" shapeId="0" xr:uid="{F3F0C670-46D1-4A24-9896-2A29E4F9A13B}">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169" authorId="38" shapeId="0" xr:uid="{4E5F8BA0-803E-4CC7-BDD9-936CF0B3031B}">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170" authorId="39" shapeId="0" xr:uid="{8493BF9D-3D86-4CFD-9BFE-B5F7878499F5}">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171" authorId="40" shapeId="0" xr:uid="{6E847666-2990-4AB1-9054-D59912ADD689}">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172" authorId="41" shapeId="0" xr:uid="{540D8023-6173-47B9-A4A2-8A8770132FD1}">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182" authorId="42" shapeId="0" xr:uid="{4A3B9F2B-EEDA-44A4-B101-FD0D7C6A09E8}">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183" authorId="43" shapeId="0" xr:uid="{E0A00055-8699-412C-8922-F293CB8C70CB}">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184" authorId="44" shapeId="0" xr:uid="{E4494929-8817-47DC-A66B-9DC0C6EEBA05}">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 ref="I185" authorId="45" shapeId="0" xr:uid="{7F6DF41A-5C5B-44D3-9989-9ED22C951CCA}">
      <text>
        <t>[Threaded comment]
Your version of Excel allows you to read this threaded comment; however, any edits to it will get removed if the file is opened in a newer version of Excel. Learn more: https://go.microsoft.com/fwlink/?linkid=870924
Comment:
    To be renamed based on how the funding is grouped at nominal level (e.g. FUNDING_GAG, FUNDING_POST16, FUNDING_BURSARY)</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582E54-F845-4469-8AF5-DEF9B716689B}" keepAlive="1" name="Query - Activities" description="Connection to the 'Activities' query in the workbook." type="5" refreshedVersion="8" saveData="1">
    <dbPr connection="Provider=Microsoft.Mashup.OleDb.1;Data Source=$Workbook$;Location=Activities;Extended Properties=&quot;&quot;" command="SELECT * FROM [Activities]"/>
    <extLst>
      <ext xmlns:x15="http://schemas.microsoft.com/office/spreadsheetml/2010/11/main" uri="{DE250136-89BD-433C-8126-D09CA5730AF9}">
        <x15:connection id="" excludeFromRefreshAll="1"/>
      </ext>
    </extLst>
  </connection>
  <connection id="2" xr16:uid="{4FDF6A81-D95A-4133-A832-C1841F716528}" keepAlive="1" name="Query - BF Balances" description="Connection to the 'BF Balances' query in the workbook." type="5" refreshedVersion="8" background="1" saveData="1">
    <dbPr connection="Provider=Microsoft.Mashup.OleDb.1;Data Source=$Workbook$;Location=&quot;BF Balances&quot;;Extended Properties=&quot;&quot;" command="SELECT * FROM [BF Balances]"/>
    <extLst>
      <ext xmlns:x15="http://schemas.microsoft.com/office/spreadsheetml/2010/11/main" uri="{DE250136-89BD-433C-8126-D09CA5730AF9}">
        <x15:connection id="" excludeFromRefreshAll="1"/>
      </ext>
    </extLst>
  </connection>
  <connection id="3" xr16:uid="{B91DB2AB-5100-47A3-A61D-759AB3589D1B}" keepAlive="1" name="Query - CalculatorFC" description="Connection to the 'CalculatorFC' query in the workbook." type="5" refreshedVersion="8" background="1" saveData="1">
    <dbPr connection="Provider=Microsoft.Mashup.OleDb.1;Data Source=$Workbook$;Location=CalculatorFC;Extended Properties=&quot;&quot;" command="SELECT * FROM [CalculatorFC]"/>
    <extLst>
      <ext xmlns:x15="http://schemas.microsoft.com/office/spreadsheetml/2010/11/main" uri="{DE250136-89BD-433C-8126-D09CA5730AF9}">
        <x15:connection id="" excludeFromRefreshAll="1"/>
      </ext>
    </extLst>
  </connection>
  <connection id="4" xr16:uid="{10D63E06-AC83-42C7-8EFD-61194744EBB5}" keepAlive="1" name="Query - Calculators" description="Connection to the 'Calculators' query in the workbook." type="5" refreshedVersion="8" background="1" saveData="1">
    <dbPr connection="Provider=Microsoft.Mashup.OleDb.1;Data Source=$Workbook$;Location=Calculators;Extended Properties=&quot;&quot;" command="SELECT * FROM [Calculators]"/>
    <extLst>
      <ext xmlns:x15="http://schemas.microsoft.com/office/spreadsheetml/2010/11/main" uri="{DE250136-89BD-433C-8126-D09CA5730AF9}">
        <x15:connection id="" excludeFromRefreshAll="1"/>
      </ext>
    </extLst>
  </connection>
  <connection id="5" xr16:uid="{1B6C49DB-A469-4E0B-8FFE-2D171E17BF79}" keepAlive="1" name="Query - CustGrouping" description="Connection to the 'CustGrouping' query in the workbook." type="5" refreshedVersion="8" saveData="1">
    <dbPr connection="Provider=Microsoft.Mashup.OleDb.1;Data Source=$Workbook$;Location=CustGrouping;Extended Properties=&quot;&quot;" command="SELECT * FROM [CustGrouping]"/>
    <extLst>
      <ext xmlns:x15="http://schemas.microsoft.com/office/spreadsheetml/2010/11/main" uri="{DE250136-89BD-433C-8126-D09CA5730AF9}">
        <x15:connection id="" excludeFromRefreshAll="1"/>
      </ext>
    </extLst>
  </connection>
  <connection id="6" xr16:uid="{1D8E59F6-9A2E-4D70-8C29-59023D16DF2A}" keepAlive="1" name="Query - Departments" description="Connection to the 'Departments' query in the workbook." type="5" refreshedVersion="8" saveData="1">
    <dbPr connection="Provider=Microsoft.Mashup.OleDb.1;Data Source=$Workbook$;Location=Departments;Extended Properties=&quot;&quot;" command="SELECT * FROM [Departments]"/>
    <extLst>
      <ext xmlns:x15="http://schemas.microsoft.com/office/spreadsheetml/2010/11/main" uri="{DE250136-89BD-433C-8126-D09CA5730AF9}">
        <x15:connection id="" excludeFromRefreshAll="1"/>
      </ext>
    </extLst>
  </connection>
  <connection id="7" xr16:uid="{9BB42EE4-DBF0-4E5B-9A66-99CC16815CEC}" keepAlive="1" name="Query - Expenditure" description="Connection to the 'Expenditure' query in the workbook." type="5" refreshedVersion="8" background="1" saveData="1">
    <dbPr connection="Provider=Microsoft.Mashup.OleDb.1;Data Source=$Workbook$;Location=Expenditure;Extended Properties=&quot;&quot;" command="SELECT * FROM [Expenditure]"/>
    <extLst>
      <ext xmlns:x15="http://schemas.microsoft.com/office/spreadsheetml/2010/11/main" uri="{DE250136-89BD-433C-8126-D09CA5730AF9}">
        <x15:connection id="" excludeFromRefreshAll="1"/>
      </ext>
    </extLst>
  </connection>
  <connection id="8" xr16:uid="{5CCC8E74-257E-4BDA-B21E-EB7536CFF79B}" keepAlive="1" name="Query - Finance Codes" description="Connection to the 'Finance Codes' query in the workbook." type="5" refreshedVersion="8" background="1" saveData="1">
    <dbPr connection="Provider=Microsoft.Mashup.OleDb.1;Data Source=$Workbook$;Location=&quot;Finance Codes&quot;;Extended Properties=&quot;&quot;" command="SELECT * FROM [Finance Codes]"/>
    <extLst>
      <ext xmlns:x15="http://schemas.microsoft.com/office/spreadsheetml/2010/11/main" uri="{DE250136-89BD-433C-8126-D09CA5730AF9}">
        <x15:connection id="" excludeFromRefreshAll="1"/>
      </ext>
    </extLst>
  </connection>
  <connection id="9" xr16:uid="{DCA43FBC-74F0-4DEF-BCBD-24F97D5299ED}" keepAlive="1" name="Query - FinanceCodesBudget" description="Connection to the 'FinanceCodesBudget' query in the workbook." type="5" refreshedVersion="8" saveData="1">
    <dbPr connection="Provider=Microsoft.Mashup.OleDb.1;Data Source=$Workbook$;Location=FinanceCodesBudget;Extended Properties=&quot;&quot;" command="SELECT * FROM [FinanceCodesBudget]"/>
    <extLst>
      <ext xmlns:x15="http://schemas.microsoft.com/office/spreadsheetml/2010/11/main" uri="{DE250136-89BD-433C-8126-D09CA5730AF9}">
        <x15:connection id="" excludeFromRefreshAll="1"/>
      </ext>
    </extLst>
  </connection>
  <connection id="10" xr16:uid="{793DE8E4-5318-4FFD-A4DF-E53813DF653D}" keepAlive="1" name="Query - fnGetParameter" description="Connection to the 'fnGetParameter' query in the workbook." type="5" refreshedVersion="0" background="1">
    <dbPr connection="Provider=Microsoft.Mashup.OleDb.1;Data Source=$Workbook$;Location=fnGetParameter;Extended Properties=&quot;&quot;" command="SELECT * FROM [fnGetParameter]"/>
  </connection>
  <connection id="11" xr16:uid="{F27B2460-2325-4EE0-B555-AB81BDF87BC7}" keepAlive="1" name="Query - FS Mapping" description="Connection to the 'FS Mapping' query in the workbook." type="5" refreshedVersion="0" background="1">
    <dbPr connection="Provider=Microsoft.Mashup.OleDb.1;Data Source=$Workbook$;Location=&quot;FS Mapping&quot;;Extended Properties=&quot;&quot;" command="SELECT * FROM [FS Mapping]"/>
  </connection>
  <connection id="12" xr16:uid="{951FB5DE-47E1-425F-9882-8F7B9CFA2E09}" keepAlive="1" name="Query - FS Post 16" description="Connection to the 'FS Post 16' query in the workbook." type="5" refreshedVersion="8" background="1" saveData="1">
    <dbPr connection="Provider=Microsoft.Mashup.OleDb.1;Data Source=$Workbook$;Location=&quot;FS Post 16&quot;;Extended Properties=&quot;&quot;" command="SELECT * FROM [FS Post 16]"/>
  </connection>
  <connection id="13" xr16:uid="{2DC03469-6BA9-4087-98E8-65B10E2676BA}" keepAlive="1" name="Query - FS Pre 16" description="Connection to the 'FS Pre 16' query in the workbook." type="5" refreshedVersion="8" background="1" saveData="1">
    <dbPr connection="Provider=Microsoft.Mashup.OleDb.1;Data Source=$Workbook$;Location=&quot;FS Pre 16&quot;;Extended Properties=&quot;&quot;" command="SELECT * FROM [FS Pre 16]"/>
  </connection>
  <connection id="14" xr16:uid="{C1BCABCD-B368-465B-8FEA-6D48040293F6}" keepAlive="1" name="Query - FS_CHECK" description="Connection to the 'FS_CHECK' query in the workbook." type="5" refreshedVersion="8" background="1" saveData="1">
    <dbPr connection="Provider=Microsoft.Mashup.OleDb.1;Data Source=$Workbook$;Location=FS_CHECK;Extended Properties=&quot;&quot;" command="SELECT * FROM [FS_CHECK]"/>
  </connection>
  <connection id="15" xr16:uid="{9DBEF3B6-A5D7-42F0-AB90-633C6CF18058}" keepAlive="1" name="Query - FS_Post_16_Updated" description="Connection to the 'FS_Post_16_Updated' query in the workbook." type="5" refreshedVersion="0" background="1" saveData="1">
    <dbPr connection="Provider=Microsoft.Mashup.OleDb.1;Data Source=$Workbook$;Location=FS_Post_16_Updated;Extended Properties=&quot;&quot;" command="SELECT * FROM [FS_Post_16_Updated]"/>
  </connection>
  <connection id="16" xr16:uid="{FD2F37A4-9625-4682-9559-73E5B7772EA7}" keepAlive="1" name="Query - FS_Pre_16_Updated" description="Connection to the 'FS_Pre_16_Updated' query in the workbook." type="5" refreshedVersion="0" background="1">
    <dbPr connection="Provider=Microsoft.Mashup.OleDb.1;Data Source=$Workbook$;Location=FS_Pre_16_Updated;Extended Properties=&quot;&quot;" command="SELECT * FROM [FS_Pre_16_Updated]"/>
  </connection>
  <connection id="17" xr16:uid="{544638F8-1FDD-4986-9FE9-E0243CC75E8C}" keepAlive="1" name="Query - Funding" description="Connection to the 'Funding' query in the workbook." type="5" refreshedVersion="8" background="1" saveData="1">
    <dbPr connection="Provider=Microsoft.Mashup.OleDb.1;Data Source=$Workbook$;Location=Funding;Extended Properties=&quot;&quot;" command="SELECT * FROM [Funding]"/>
    <extLst>
      <ext xmlns:x15="http://schemas.microsoft.com/office/spreadsheetml/2010/11/main" uri="{DE250136-89BD-433C-8126-D09CA5730AF9}">
        <x15:connection id="" excludeFromRefreshAll="1"/>
      </ext>
    </extLst>
  </connection>
  <connection id="18" xr16:uid="{CD5A8438-13FF-4A8D-A365-667487D5D99F}" keepAlive="1" name="Query - Funding Statement Check 25/26" description="Connection to the 'Funding Statement Check 25/26' query in the workbook." type="5" refreshedVersion="8" saveData="1">
    <dbPr connection="Provider=Microsoft.Mashup.OleDb.1;Data Source=$Workbook$;Location=&quot;Funding Statement Check 25/26&quot;;Extended Properties=&quot;&quot;" command="SELECT * FROM [Funding Statement Check 25/26]"/>
    <extLst>
      <ext xmlns:x15="http://schemas.microsoft.com/office/spreadsheetml/2010/11/main" uri="{DE250136-89BD-433C-8126-D09CA5730AF9}">
        <x15:connection id="" excludeFromRefreshAll="1"/>
      </ext>
    </extLst>
  </connection>
  <connection id="19" xr16:uid="{14DF6DC4-96BD-4A71-B761-05E7D6C09C67}" keepAlive="1" name="Query - FUNDING_CODES" description="Connection to the 'FUNDING_CODES' query in the workbook." type="5" refreshedVersion="0" background="1">
    <dbPr connection="Provider=Microsoft.Mashup.OleDb.1;Data Source=$Workbook$;Location=FUNDING_CODES;Extended Properties=&quot;&quot;" command="SELECT * FROM [FUNDING_CODES]"/>
  </connection>
  <connection id="20" xr16:uid="{BDD25812-D369-47EF-B43B-F6C49B09643B}" keepAlive="1" name="Query - FUNDING_SCH" description="Connection to the 'FUNDING_SCH' query in the workbook." type="5" refreshedVersion="8" saveData="1">
    <dbPr connection="Provider=Microsoft.Mashup.OleDb.1;Data Source=$Workbook$;Location=FUNDING_SCH;Extended Properties=&quot;&quot;" command="SELECT * FROM [FUNDING_SCH]"/>
    <extLst>
      <ext xmlns:x15="http://schemas.microsoft.com/office/spreadsheetml/2010/11/main" uri="{DE250136-89BD-433C-8126-D09CA5730AF9}">
        <x15:connection id="" excludeFromRefreshAll="1"/>
      </ext>
    </extLst>
  </connection>
  <connection id="21" xr16:uid="{70394AAA-5E9F-42D6-8EF0-33C9BE5C2FDB}" keepAlive="1" name="Query - Funds" description="Connection to the 'Funds' query in the workbook." type="5" refreshedVersion="8" saveData="1">
    <dbPr connection="Provider=Microsoft.Mashup.OleDb.1;Data Source=$Workbook$;Location=Funds;Extended Properties=&quot;&quot;" command="SELECT * FROM [Funds]"/>
    <extLst>
      <ext xmlns:x15="http://schemas.microsoft.com/office/spreadsheetml/2010/11/main" uri="{DE250136-89BD-433C-8126-D09CA5730AF9}">
        <x15:connection id="" excludeFromRefreshAll="1"/>
      </ext>
    </extLst>
  </connection>
  <connection id="22" xr16:uid="{CED52AA3-0600-4747-9CDD-D3C38DE55308}" keepAlive="1" name="Query - Income" description="Connection to the 'Income' query in the workbook." type="5" refreshedVersion="8" background="1" saveData="1">
    <dbPr connection="Provider=Microsoft.Mashup.OleDb.1;Data Source=$Workbook$;Location=Income;Extended Properties=&quot;&quot;" command="SELECT * FROM [Income]"/>
    <extLst>
      <ext xmlns:x15="http://schemas.microsoft.com/office/spreadsheetml/2010/11/main" uri="{DE250136-89BD-433C-8126-D09CA5730AF9}">
        <x15:connection id="" excludeFromRefreshAll="1"/>
      </ext>
    </extLst>
  </connection>
  <connection id="23" xr16:uid="{DED549A5-2405-4EDB-A297-7E5EF516D29D}" keepAlive="1" name="Query - LA" description="Connection to the 'LA' query in the workbook." type="5" refreshedVersion="0" background="1" saveData="1">
    <dbPr connection="Provider=Microsoft.Mashup.OleDb.1;Data Source=$Workbook$;Location=LA;Extended Properties=&quot;&quot;" command="SELECT * FROM [LA]"/>
    <extLst>
      <ext xmlns:x15="http://schemas.microsoft.com/office/spreadsheetml/2010/11/main" uri="{DE250136-89BD-433C-8126-D09CA5730AF9}">
        <x15:connection id="" excludeFromRefreshAll="1"/>
      </ext>
    </extLst>
  </connection>
  <connection id="24" xr16:uid="{B19A3596-9CB4-4FFF-BB7A-71659D674C8A}" keepAlive="1" name="Query - Ledger" description="Connection to the 'Ledger' query in the workbook." type="5" refreshedVersion="8" saveData="1">
    <dbPr connection="Provider=Microsoft.Mashup.OleDb.1;Data Source=$Workbook$;Location=Ledger;Extended Properties=&quot;&quot;" command="SELECT * FROM [Ledger]"/>
    <extLst>
      <ext xmlns:x15="http://schemas.microsoft.com/office/spreadsheetml/2010/11/main" uri="{DE250136-89BD-433C-8126-D09CA5730AF9}">
        <x15:connection id="" excludeFromRefreshAll="1"/>
      </ext>
    </extLst>
  </connection>
  <connection id="25" xr16:uid="{1AFF411D-3CDC-46AE-B328-4E8EAA523335}" keepAlive="1" name="Query - LocalAuth" description="Connection to the 'LocalAuth' query in the workbook." type="5" refreshedVersion="8" background="1" saveData="1">
    <dbPr connection="Provider=Microsoft.Mashup.OleDb.1;Data Source=$Workbook$;Location=LocalAuth;Extended Properties=&quot;&quot;" command="SELECT * FROM [LocalAuth]"/>
    <extLst>
      <ext xmlns:x15="http://schemas.microsoft.com/office/spreadsheetml/2010/11/main" uri="{DE250136-89BD-433C-8126-D09CA5730AF9}">
        <x15:connection id="" excludeFromRefreshAll="1"/>
      </ext>
    </extLst>
  </connection>
  <connection id="26" xr16:uid="{BCA3D1FA-B294-4659-BC6C-4D59886BBAC2}" keepAlive="1" name="Query - MonthlyValues" description="Connection to the 'MonthlyValues' query in the workbook." type="5" refreshedVersion="8" background="1" saveData="1">
    <dbPr connection="Provider=Microsoft.Mashup.OleDb.1;Data Source=$Workbook$;Location=MonthlyValues;Extended Properties=&quot;&quot;" command="SELECT * FROM [MonthlyValues]"/>
  </connection>
  <connection id="27" xr16:uid="{EF4B83EE-3192-45CF-AEBC-E84F5BC2505B}" keepAlive="1" name="Query - Parameters" description="Connection to the 'Parameters' query in the workbook." type="5" refreshedVersion="0" background="1">
    <dbPr connection="Provider=Microsoft.Mashup.OleDb.1;Data Source=$Workbook$;Location=Parameters;Extended Properties=&quot;&quot;" command="SELECT * FROM [Parameters]"/>
  </connection>
  <connection id="28" xr16:uid="{46DB3A5D-6420-4655-8BB8-D61608E49255}" keepAlive="1" name="Query - PreviousYears" description="Connection to the 'PreviousYears' query in the workbook." type="5" refreshedVersion="8" background="1" saveData="1">
    <dbPr connection="Provider=Microsoft.Mashup.OleDb.1;Data Source=$Workbook$;Location=PreviousYears;Extended Properties=&quot;&quot;" command="SELECT * FROM [PreviousYears]"/>
  </connection>
  <connection id="29" xr16:uid="{18BE7013-E25A-4292-A523-7AE5BA8EAFC3}" keepAlive="1" name="Query - PROJ_PUPIL" description="Connection to the 'PROJ_PUPIL' query in the workbook." type="5" refreshedVersion="8" background="1" saveData="1">
    <dbPr connection="Provider=Microsoft.Mashup.OleDb.1;Data Source=$Workbook$;Location=PROJ_PUPIL;Extended Properties=&quot;&quot;" command="SELECT * FROM [PROJ_PUPIL]"/>
    <extLst>
      <ext xmlns:x15="http://schemas.microsoft.com/office/spreadsheetml/2010/11/main" uri="{DE250136-89BD-433C-8126-D09CA5730AF9}">
        <x15:connection id="" excludeFromRefreshAll="1"/>
      </ext>
    </extLst>
  </connection>
  <connection id="30" xr16:uid="{ECD850A9-7638-41A4-9F45-40CA6B7BD3A8}" keepAlive="1" name="Query - PROJ_PUPIL_UPDATED" description="Connection to the 'PROJ_PUPIL_UPDATED' query in the workbook." type="5" refreshedVersion="0" background="1">
    <dbPr connection="Provider=Microsoft.Mashup.OleDb.1;Data Source=$Workbook$;Location=PROJ_PUPIL_UPDATED;Extended Properties=&quot;&quot;" command="SELECT * FROM [PROJ_PUPIL_UPDATED]"/>
  </connection>
  <connection id="31" xr16:uid="{4460983B-102F-47F5-BDB6-8088B7B3CF38}" keepAlive="1" name="Query - Pupil Number Check" description="Connection to the 'Pupil Number Check' query in the workbook." type="5" refreshedVersion="8" background="1" saveData="1">
    <dbPr connection="Provider=Microsoft.Mashup.OleDb.1;Data Source=$Workbook$;Location=&quot;Pupil Number Check&quot;;Extended Properties=&quot;&quot;" command="SELECT * FROM [Pupil Number Check]"/>
  </connection>
  <connection id="32" xr16:uid="{1AFE37C8-7E02-47DA-B363-44CDB9FDD43A}" keepAlive="1" name="Query - Pupils" description="Connection to the 'Pupils' query in the workbook." type="5" refreshedVersion="8" background="1" saveData="1">
    <dbPr connection="Provider=Microsoft.Mashup.OleDb.1;Data Source=$Workbook$;Location=Pupils;Extended Properties=&quot;&quot;" command="SELECT * FROM [Pupils]"/>
    <extLst>
      <ext xmlns:x15="http://schemas.microsoft.com/office/spreadsheetml/2010/11/main" uri="{DE250136-89BD-433C-8126-D09CA5730AF9}">
        <x15:connection id="" excludeFromRefreshAll="1"/>
      </ext>
    </extLst>
  </connection>
  <connection id="33" xr16:uid="{8A163741-43A2-4891-92BE-5AA757E6947E}" keepAlive="1" name="Query - Scenario" description="Connection to the 'Scenario' query in the workbook." type="5" refreshedVersion="0" background="1">
    <dbPr connection="Provider=Microsoft.Mashup.OleDb.1;Data Source=$Workbook$;Location=Scenario;Extended Properties=&quot;&quot;" command="SELECT * FROM [Scenario]"/>
  </connection>
  <connection id="34" xr16:uid="{6023D4F3-2632-489B-9FB3-7ABA8D4EB8C8}" keepAlive="1" name="Query - ScenarioApBud" description="Connection to the 'ScenarioApBud' query in the workbook." type="5" refreshedVersion="0" background="1">
    <dbPr connection="Provider=Microsoft.Mashup.OleDb.1;Data Source=$Workbook$;Location=ScenarioApBud;Extended Properties=&quot;&quot;" command="SELECT * FROM [ScenarioApBud]"/>
  </connection>
  <connection id="35" xr16:uid="{03131027-A2A6-46FA-A58E-CCB91F00FB29}" keepAlive="1" name="Query - ScenarioAppend" description="Connection to the 'ScenarioAppend' query in the workbook." type="5" refreshedVersion="8" background="1" saveData="1">
    <dbPr connection="Provider=Microsoft.Mashup.OleDb.1;Data Source=$Workbook$;Location=ScenarioAppend;Extended Properties=&quot;&quot;" command="SELECT * FROM [ScenarioAppend]"/>
  </connection>
  <connection id="36" xr16:uid="{8403F953-9698-44D9-9E2D-0B9A5E4C8DFA}" keepAlive="1" name="Query - ScenarioBFBalances" description="Connection to the 'ScenarioBFBalances' query in the workbook." type="5" refreshedVersion="0" background="1">
    <dbPr connection="Provider=Microsoft.Mashup.OleDb.1;Data Source=$Workbook$;Location=ScenarioBFBalances;Extended Properties=&quot;&quot;" command="SELECT * FROM [ScenarioBFBalances]"/>
  </connection>
  <connection id="37" xr16:uid="{58EAF0EC-1B35-45BF-90B0-CA665BDF98E9}" keepAlive="1" name="Query - ScenarioExpenditure" description="Connection to the 'ScenarioExpenditure' query in the workbook." type="5" refreshedVersion="0" background="1">
    <dbPr connection="Provider=Microsoft.Mashup.OleDb.1;Data Source=$Workbook$;Location=ScenarioExpenditure;Extended Properties=&quot;&quot;" command="SELECT * FROM [ScenarioExpenditure]"/>
  </connection>
  <connection id="38" xr16:uid="{414C307E-9001-4D59-93D6-43128A197ACD}" keepAlive="1" name="Query - ScenarioFunding" description="Connection to the 'ScenarioFunding' query in the workbook." type="5" refreshedVersion="0" background="1" saveData="1">
    <dbPr connection="Provider=Microsoft.Mashup.OleDb.1;Data Source=$Workbook$;Location=ScenarioFunding;Extended Properties=&quot;&quot;" command="SELECT * FROM [ScenarioFunding]"/>
  </connection>
  <connection id="39" xr16:uid="{CDF8AA2A-0636-48A9-82A6-41F365F94E12}" keepAlive="1" name="Query - ScenarioIncome" description="Connection to the 'ScenarioIncome' query in the workbook." type="5" refreshedVersion="0" background="1">
    <dbPr connection="Provider=Microsoft.Mashup.OleDb.1;Data Source=$Workbook$;Location=ScenarioIncome;Extended Properties=&quot;&quot;" command="SELECT * FROM [ScenarioIncome]"/>
  </connection>
  <connection id="40" xr16:uid="{3B6ED450-AFFF-432A-9532-A391D48DD85C}" keepAlive="1" name="Query - ScenarioPupils" description="Connection to the 'ScenarioPupils' query in the workbook." type="5" refreshedVersion="0" background="1">
    <dbPr connection="Provider=Microsoft.Mashup.OleDb.1;Data Source=$Workbook$;Location=ScenarioPupils;Extended Properties=&quot;&quot;" command="SELECT * FROM [ScenarioPupils]"/>
  </connection>
  <connection id="41" xr16:uid="{3814093C-4BE6-4DA5-8F24-AA2180822379}" keepAlive="1" name="Query - ScenarioRows" description="Connection to the 'ScenarioRows' query in the workbook." type="5" refreshedVersion="8" background="1" saveData="1">
    <dbPr connection="Provider=Microsoft.Mashup.OleDb.1;Data Source=$Workbook$;Location=ScenarioRows;Extended Properties=&quot;&quot;" command="SELECT * FROM [ScenarioRows]"/>
  </connection>
  <connection id="42" xr16:uid="{C91EAAB3-07A4-482B-83DC-6E628AEC63BD}" keepAlive="1" name="Query - ScenarioStatistics" description="Connection to the 'ScenarioStatistics' query in the workbook." type="5" refreshedVersion="0" background="1">
    <dbPr connection="Provider=Microsoft.Mashup.OleDb.1;Data Source=$Workbook$;Location=ScenarioStatistics;Extended Properties=&quot;&quot;" command="SELECT * FROM [ScenarioStatistics]"/>
  </connection>
  <connection id="43" xr16:uid="{340BE13E-0D6D-40BA-B96F-8A82512DB13D}" keepAlive="1" name="Query - ScenarioYearValues" description="Connection to the 'ScenarioYearValues' query in the workbook." type="5" refreshedVersion="8" background="1" saveData="1">
    <dbPr connection="Provider=Microsoft.Mashup.OleDb.1;Data Source=$Workbook$;Location=ScenarioYearValues;Extended Properties=&quot;&quot;" command="SELECT * FROM [ScenarioYearValues]"/>
  </connection>
  <connection id="44" xr16:uid="{4F9AAD7B-DC60-4681-B5A3-5D366F7AD439}" keepAlive="1" name="Query - SchHub" description="Connection to the 'SchHub' query in the workbook." type="5" refreshedVersion="8" saveData="1">
    <dbPr connection="Provider=Microsoft.Mashup.OleDb.1;Data Source=$Workbook$;Location=SchHub;Extended Properties=&quot;&quot;" command="SELECT * FROM [SchHub]"/>
    <extLst>
      <ext xmlns:x15="http://schemas.microsoft.com/office/spreadsheetml/2010/11/main" uri="{DE250136-89BD-433C-8126-D09CA5730AF9}">
        <x15:connection id="" excludeFromRefreshAll="1"/>
      </ext>
    </extLst>
  </connection>
  <connection id="45" xr16:uid="{71EF823E-81DF-4068-A5C6-20560AB0B450}" keepAlive="1" name="Query - SchoolList" description="Connection to the 'SchoolList' query in the workbook." type="5" refreshedVersion="8" background="1" saveData="1">
    <dbPr connection="Provider=Microsoft.Mashup.OleDb.1;Data Source=$Workbook$;Location=SchoolList;Extended Properties=&quot;&quot;" command="SELECT * FROM [SchoolList]"/>
    <extLst>
      <ext xmlns:x15="http://schemas.microsoft.com/office/spreadsheetml/2010/11/main" uri="{DE250136-89BD-433C-8126-D09CA5730AF9}">
        <x15:connection id="" excludeFromRefreshAll="1"/>
      </ext>
    </extLst>
  </connection>
  <connection id="46" xr16:uid="{0F117A54-DE79-4462-A9D2-6F87FD03556B}" keepAlive="1" name="Query - Schools" description="Connection to the 'Schools' query in the workbook." type="5" refreshedVersion="0" background="1" saveData="1">
    <dbPr connection="Provider=Microsoft.Mashup.OleDb.1;Data Source=$Workbook$;Location=Schools;Extended Properties=&quot;&quot;" command="SELECT * FROM [Schools]"/>
    <extLst>
      <ext xmlns:x15="http://schemas.microsoft.com/office/spreadsheetml/2010/11/main" uri="{DE250136-89BD-433C-8126-D09CA5730AF9}">
        <x15:connection id="" excludeFromRefreshAll="1"/>
      </ext>
    </extLst>
  </connection>
  <connection id="47" xr16:uid="{8C1498D9-8DFC-48DC-A5FC-3BC1A9E6EED1}" keepAlive="1" name="Query - SchType" description="Connection to the 'SchType' query in the workbook." type="5" refreshedVersion="8" saveData="1">
    <dbPr connection="Provider=Microsoft.Mashup.OleDb.1;Data Source=$Workbook$;Location=SchType;Extended Properties=&quot;&quot;" command="SELECT * FROM [SchType]"/>
    <extLst>
      <ext xmlns:x15="http://schemas.microsoft.com/office/spreadsheetml/2010/11/main" uri="{DE250136-89BD-433C-8126-D09CA5730AF9}">
        <x15:connection id="" excludeFromRefreshAll="1"/>
      </ext>
    </extLst>
  </connection>
  <connection id="48" xr16:uid="{418DFD38-5030-4E77-AE49-E96AE2B0E1BC}" keepAlive="1" name="Query - SRG" description="Connection to the 'SRG' query in the workbook." type="5" refreshedVersion="8" background="1" saveData="1">
    <dbPr connection="Provider=Microsoft.Mashup.OleDb.1;Data Source=$Workbook$;Location=SRG;Extended Properties=&quot;&quot;" command="SELECT * FROM [SRG]"/>
  </connection>
  <connection id="49" xr16:uid="{7782B7D0-61FA-4328-8D84-F505912916E7}" keepAlive="1" name="Query - Statistics" description="Connection to the 'Statistics' query in the workbook." type="5" refreshedVersion="8" background="1" saveData="1">
    <dbPr connection="Provider=Microsoft.Mashup.OleDb.1;Data Source=$Workbook$;Location=Statistics;Extended Properties=&quot;&quot;" command="SELECT * FROM [Statistics]"/>
    <extLst>
      <ext xmlns:x15="http://schemas.microsoft.com/office/spreadsheetml/2010/11/main" uri="{DE250136-89BD-433C-8126-D09CA5730AF9}">
        <x15:connection id="" excludeFromRefreshAll="1"/>
      </ext>
    </extLst>
  </connection>
  <connection id="50" xr16:uid="{4667A429-0D7D-4CBA-9F38-05B52E0B4538}" keepAlive="1" name="Query - System Grouping Codes" description="Connection to the 'System Grouping Codes' query in the workbook." type="5" refreshedVersion="8" saveData="1">
    <dbPr connection="Provider=Microsoft.Mashup.OleDb.1;Data Source=$Workbook$;Location=&quot;System Grouping Codes&quot;;Extended Properties=&quot;&quot;" command="SELECT * FROM [System Grouping Codes]"/>
    <extLst>
      <ext xmlns:x15="http://schemas.microsoft.com/office/spreadsheetml/2010/11/main" uri="{DE250136-89BD-433C-8126-D09CA5730AF9}">
        <x15:connection id="" excludeFromRefreshAl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<sst xmlns="http://schemas.openxmlformats.org/spreadsheetml/2006/main" count="43218" uniqueCount="2677">
  <si>
    <t>Parameter</t>
  </si>
  <si>
    <t>Value</t>
  </si>
  <si>
    <t>Link updated?</t>
  </si>
  <si>
    <t>No</t>
  </si>
  <si>
    <t>Token</t>
  </si>
  <si>
    <t>Year From</t>
  </si>
  <si>
    <t>2021/22</t>
  </si>
  <si>
    <t>Api Url Root</t>
  </si>
  <si>
    <t>https://api.impplanner.co.uk</t>
  </si>
  <si>
    <t>Date Last Amended</t>
  </si>
  <si>
    <t>Checklist</t>
  </si>
  <si>
    <t>Task</t>
  </si>
  <si>
    <t>Note</t>
  </si>
  <si>
    <t>Check</t>
  </si>
  <si>
    <t>Reviewed by Builder</t>
  </si>
  <si>
    <t>Y/N</t>
  </si>
  <si>
    <t>Reviewed by Lead Consultant</t>
  </si>
  <si>
    <t>Total Tab Check</t>
  </si>
  <si>
    <t>Check for Month Profile Issue</t>
  </si>
  <si>
    <t>Check for Calculator Issue</t>
  </si>
  <si>
    <t>Check for Statistics Issue</t>
  </si>
  <si>
    <t>Check for Pupil Numbers Issue</t>
  </si>
  <si>
    <t>Check for Funding Issue</t>
  </si>
  <si>
    <t>Check for Income Issue</t>
  </si>
  <si>
    <t>Check for Expenditure Issue</t>
  </si>
  <si>
    <t>Check for Brought Forward Balances Issue</t>
  </si>
  <si>
    <t>Check for Approved budget Issue</t>
  </si>
  <si>
    <t>Check Income built for all locations</t>
  </si>
  <si>
    <t>Check Expenditure built for all locations</t>
  </si>
  <si>
    <t>Set up Scenario for Approved Budget</t>
  </si>
  <si>
    <t>Number of Rows to Import</t>
  </si>
  <si>
    <t>Number of Rows Imported</t>
  </si>
  <si>
    <t>Import Checked</t>
  </si>
  <si>
    <t>If this is not zero - return to builder</t>
  </si>
  <si>
    <t>Fund</t>
  </si>
  <si>
    <t>Calculators</t>
  </si>
  <si>
    <t>Month Profiles</t>
  </si>
  <si>
    <t>ScenarioRows</t>
  </si>
  <si>
    <t>ScenarioYearValue</t>
  </si>
  <si>
    <t>MAT</t>
  </si>
  <si>
    <t>title</t>
  </si>
  <si>
    <t>Finance Code</t>
  </si>
  <si>
    <t>Type</t>
  </si>
  <si>
    <t>Column1</t>
  </si>
  <si>
    <t>Notes</t>
  </si>
  <si>
    <t>Code is Blank</t>
  </si>
  <si>
    <t>Title is Blank</t>
  </si>
  <si>
    <t>Enabled is blank</t>
  </si>
  <si>
    <t>Will import if zero</t>
  </si>
  <si>
    <t>FundCode</t>
  </si>
  <si>
    <t>Title</t>
  </si>
  <si>
    <t>DEFAULT</t>
  </si>
  <si>
    <t>ZZZ</t>
  </si>
  <si>
    <t>Code</t>
  </si>
  <si>
    <t>510100</t>
  </si>
  <si>
    <t>IN: DfE Revenue Grants: GAG (not stud supp and trust grants)</t>
  </si>
  <si>
    <t>510110</t>
  </si>
  <si>
    <t>IN: DfE Revenue Grants: GAG (student support)</t>
  </si>
  <si>
    <t>510120</t>
  </si>
  <si>
    <t>IN: DfE Revenue Grants: GAG (start up grants)</t>
  </si>
  <si>
    <t>510130</t>
  </si>
  <si>
    <t>IN: DfE Revenue Grants: Trust level grants</t>
  </si>
  <si>
    <t>510140</t>
  </si>
  <si>
    <t>IN: DfE Revenue Grants: Pupil number adjustment</t>
  </si>
  <si>
    <t>510150</t>
  </si>
  <si>
    <t>IN: DfE Revenue Grants: Rates reclaim</t>
  </si>
  <si>
    <t>510200</t>
  </si>
  <si>
    <t>IN: DfE Revenue Grants: Pupil Premium</t>
  </si>
  <si>
    <t>510250</t>
  </si>
  <si>
    <t>IN: DfE Revenue Grants: Universal Inf Free School Meals</t>
  </si>
  <si>
    <t>510300</t>
  </si>
  <si>
    <t>IN: DfE Revenue Grants: Insurance top up</t>
  </si>
  <si>
    <t>510350</t>
  </si>
  <si>
    <t>IN: DfE Revenue Grants: Sponsor capacity grant</t>
  </si>
  <si>
    <t>510400</t>
  </si>
  <si>
    <t>IN: DfE Revenue Grants: PE &amp; Sports grant</t>
  </si>
  <si>
    <t>510450</t>
  </si>
  <si>
    <t>IN: DfE Revenue Grants: Year 7 catch up</t>
  </si>
  <si>
    <t>510500</t>
  </si>
  <si>
    <t>IN: DfE Revenue Grants: Teachers Pay Grant</t>
  </si>
  <si>
    <t>510510</t>
  </si>
  <si>
    <t>IN: DfE Revenue Grants: Teachers Pension Employer Contribution Grant</t>
  </si>
  <si>
    <t>510550</t>
  </si>
  <si>
    <t>IN: DfE Revenue Grants: Teaching Schools grant</t>
  </si>
  <si>
    <t>510600</t>
  </si>
  <si>
    <t>IN: DfE Revenue Grants: ITT Bursaries Grant</t>
  </si>
  <si>
    <t>510700</t>
  </si>
  <si>
    <t>IN: DfE Revenue Grants: 16 to 19</t>
  </si>
  <si>
    <t>510950</t>
  </si>
  <si>
    <t>IN: DfE Revenue Grants: Other DfE revenue grants</t>
  </si>
  <si>
    <t>515100</t>
  </si>
  <si>
    <t>IN: DfE Group Grants: Standards &amp; Testing Agency</t>
  </si>
  <si>
    <t>515200</t>
  </si>
  <si>
    <t>515250</t>
  </si>
  <si>
    <t>IN: DfE Group Grants: Student Loans Company</t>
  </si>
  <si>
    <t>515300</t>
  </si>
  <si>
    <t>IN: DfE Group Grants: Office for Students</t>
  </si>
  <si>
    <t>515350</t>
  </si>
  <si>
    <t>515400</t>
  </si>
  <si>
    <t>IN: DfE Group Grants: Construction ITB</t>
  </si>
  <si>
    <t>520100</t>
  </si>
  <si>
    <t>IN: Other Grants: LA - SEN</t>
  </si>
  <si>
    <t>520150</t>
  </si>
  <si>
    <t>IN: Other Grants: LA - Early Years</t>
  </si>
  <si>
    <t>520200</t>
  </si>
  <si>
    <t>IN: Other Grants: LA - Other grants</t>
  </si>
  <si>
    <t>520300</t>
  </si>
  <si>
    <t>IN: Other Grants: Government grant - not DfE</t>
  </si>
  <si>
    <t>520350</t>
  </si>
  <si>
    <t>IN: Other Grants: Other revenue grants</t>
  </si>
  <si>
    <t>525100</t>
  </si>
  <si>
    <t>IN: Other Income: Academy trusts</t>
  </si>
  <si>
    <t>525150</t>
  </si>
  <si>
    <t>IN: Other Income: Govt sources - not grant</t>
  </si>
  <si>
    <t>525200</t>
  </si>
  <si>
    <t>IN: Other Income: Non-govt revenue</t>
  </si>
  <si>
    <t>525300</t>
  </si>
  <si>
    <t>IN: Other Income: Catering income from pupils</t>
  </si>
  <si>
    <t>525400</t>
  </si>
  <si>
    <t>IN: Other Income: Educational trips &amp; visits</t>
  </si>
  <si>
    <t>525500</t>
  </si>
  <si>
    <t>IN: Other Income: Apprenticeship levy drawdown</t>
  </si>
  <si>
    <t>525600</t>
  </si>
  <si>
    <t>525750</t>
  </si>
  <si>
    <t>IN: Other Income: Investment income</t>
  </si>
  <si>
    <t>530100</t>
  </si>
  <si>
    <t>IN: Trading Income: Hire of facilities</t>
  </si>
  <si>
    <t>530200</t>
  </si>
  <si>
    <t>IN: Trading Income: Catering inc (visitors &amp; staff)</t>
  </si>
  <si>
    <t>530250</t>
  </si>
  <si>
    <t>IN: Trading Income: Rental Income</t>
  </si>
  <si>
    <t>530300</t>
  </si>
  <si>
    <t>IN: Trading Income: Supply teacher insurance claim</t>
  </si>
  <si>
    <t>530350</t>
  </si>
  <si>
    <t>IN: Trading Income: RPA claims</t>
  </si>
  <si>
    <t>530400</t>
  </si>
  <si>
    <t>IN: Trading Income: Sale of uniforms</t>
  </si>
  <si>
    <t>530500</t>
  </si>
  <si>
    <t>IN: Trading Income: Income from clubs</t>
  </si>
  <si>
    <t>530550</t>
  </si>
  <si>
    <t>IN: Trading Income: Parental income from nursery provision</t>
  </si>
  <si>
    <t>530580</t>
  </si>
  <si>
    <t>IN: Trading Income: Parental income from wraparound provision</t>
  </si>
  <si>
    <t>530600</t>
  </si>
  <si>
    <t>IN: Trading Income: Income from music</t>
  </si>
  <si>
    <t>530650</t>
  </si>
  <si>
    <t>IN: Trading Income: Sale of goods or services</t>
  </si>
  <si>
    <t>530700</t>
  </si>
  <si>
    <t>IN: Trading Income: Other trading income</t>
  </si>
  <si>
    <t>530990</t>
  </si>
  <si>
    <t>IN: Trading Income: Trust contribution from academy</t>
  </si>
  <si>
    <t>550100</t>
  </si>
  <si>
    <t>IN: DfE Capital Grants: Condition Improvement Fund</t>
  </si>
  <si>
    <t>550150</t>
  </si>
  <si>
    <t>IN: DfE Capital Grants: MAT Condition Allowance</t>
  </si>
  <si>
    <t>550200</t>
  </si>
  <si>
    <t>IN: DfE Capital Grants: Priority School Building Prog</t>
  </si>
  <si>
    <t>550250</t>
  </si>
  <si>
    <t>IN: DfE Capital Grants: Devolved Formula Capital</t>
  </si>
  <si>
    <t>550300</t>
  </si>
  <si>
    <t>IN: DfE Capital Grants: DfE Managed Free Schools</t>
  </si>
  <si>
    <t>550350</t>
  </si>
  <si>
    <t>IN: DfE Capital Grants: Building Schools for the Future</t>
  </si>
  <si>
    <t>550400</t>
  </si>
  <si>
    <t>IN: DfE Capital Grants: School Sponsorship Development</t>
  </si>
  <si>
    <t>550450</t>
  </si>
  <si>
    <t>IN: DfE Capital Grants: Other DfE capital grants</t>
  </si>
  <si>
    <t>550500</t>
  </si>
  <si>
    <t>555100</t>
  </si>
  <si>
    <t>IN: DfE Group capital grants: Standards &amp; Testing Agency</t>
  </si>
  <si>
    <t>555200</t>
  </si>
  <si>
    <t>555250</t>
  </si>
  <si>
    <t>IN: DfE Group capital grants: Student Loans Company</t>
  </si>
  <si>
    <t>555300</t>
  </si>
  <si>
    <t>IN: DfE Group capital grants: Office for Students</t>
  </si>
  <si>
    <t>555350</t>
  </si>
  <si>
    <t>555400</t>
  </si>
  <si>
    <t>IN: DfE Group capital grants: Construction ITB</t>
  </si>
  <si>
    <t>560100</t>
  </si>
  <si>
    <t>IN: Other capital income: Local authority capital grants</t>
  </si>
  <si>
    <t>560200</t>
  </si>
  <si>
    <t>IN: Other capital income: Government grant - not DfE</t>
  </si>
  <si>
    <t>560300</t>
  </si>
  <si>
    <t>IN: Other capital income: Non-govt capital grants</t>
  </si>
  <si>
    <t>560400</t>
  </si>
  <si>
    <t>IN: Other capital income: Contributions from revenue</t>
  </si>
  <si>
    <t>570100</t>
  </si>
  <si>
    <t>IN: Boarding Income: Fee Income</t>
  </si>
  <si>
    <t>570200</t>
  </si>
  <si>
    <t>IN: Boarding Income: DfE grants</t>
  </si>
  <si>
    <t>570220</t>
  </si>
  <si>
    <t>IN: Boarding Income: Standards &amp; Testing Agency</t>
  </si>
  <si>
    <t>570240</t>
  </si>
  <si>
    <t>570250</t>
  </si>
  <si>
    <t>IN: Boarding Income: Other government grants</t>
  </si>
  <si>
    <t>570300</t>
  </si>
  <si>
    <t>IN: Boarding Income: Other boarding income</t>
  </si>
  <si>
    <t>580100</t>
  </si>
  <si>
    <t>IN: Donations: Donated FA - DfE</t>
  </si>
  <si>
    <t>580120</t>
  </si>
  <si>
    <t>IN: Donations: Donated FA - LA</t>
  </si>
  <si>
    <t>580150</t>
  </si>
  <si>
    <t>580200</t>
  </si>
  <si>
    <t>580250</t>
  </si>
  <si>
    <t>580300</t>
  </si>
  <si>
    <t>580350</t>
  </si>
  <si>
    <t>580400</t>
  </si>
  <si>
    <t>590100</t>
  </si>
  <si>
    <t>IN: Academy conversions: Local authority capital</t>
  </si>
  <si>
    <t>590200</t>
  </si>
  <si>
    <t>IN: Academy conversions: Local authority revenue -surplus</t>
  </si>
  <si>
    <t>590210</t>
  </si>
  <si>
    <t>IN: Academy conversions: Local authority revenue -deficit</t>
  </si>
  <si>
    <t>590300</t>
  </si>
  <si>
    <t>IN: Academy conversions: Other body capital</t>
  </si>
  <si>
    <t>590350</t>
  </si>
  <si>
    <t>IN: Academy conversions: Other body revenue</t>
  </si>
  <si>
    <t>595100</t>
  </si>
  <si>
    <t>IN: Academy transfer in: Capital transferred in</t>
  </si>
  <si>
    <t>595200</t>
  </si>
  <si>
    <t>IN: Academy transfer in: Revenue transferred in</t>
  </si>
  <si>
    <t>599100</t>
  </si>
  <si>
    <t>IN: Academy transfer out: Capital transferred out</t>
  </si>
  <si>
    <t>599200</t>
  </si>
  <si>
    <t>IN: Academy transfer out: Revenue transferred out</t>
  </si>
  <si>
    <t>610100</t>
  </si>
  <si>
    <t>610200</t>
  </si>
  <si>
    <t>610300</t>
  </si>
  <si>
    <t>612100</t>
  </si>
  <si>
    <t>SF: Teachers: Wages and salaries</t>
  </si>
  <si>
    <t>612150</t>
  </si>
  <si>
    <t>SF: Teachers: Overtime</t>
  </si>
  <si>
    <t>612200</t>
  </si>
  <si>
    <t>SF: Teachers: Employers national insurance</t>
  </si>
  <si>
    <t>612300</t>
  </si>
  <si>
    <t>SF: Teachers: Employers pension contribution</t>
  </si>
  <si>
    <t>615100</t>
  </si>
  <si>
    <t>SF: Teaching Assistants: Wages and salaries</t>
  </si>
  <si>
    <t>615150</t>
  </si>
  <si>
    <t>SF: Teaching Assistants: Overtime</t>
  </si>
  <si>
    <t>615200</t>
  </si>
  <si>
    <t>SF: Teaching Assistants: Employers national insurance</t>
  </si>
  <si>
    <t>615300</t>
  </si>
  <si>
    <t>SF: Teaching Assistants: Employers pension contribution</t>
  </si>
  <si>
    <t>620100</t>
  </si>
  <si>
    <t>SF: Librarians: Wages and salaries</t>
  </si>
  <si>
    <t>620150</t>
  </si>
  <si>
    <t>SF: Librarians: Overtime</t>
  </si>
  <si>
    <t>620200</t>
  </si>
  <si>
    <t>SF: Librarians: Employers national insurance</t>
  </si>
  <si>
    <t>620300</t>
  </si>
  <si>
    <t>SF: Librarians: Employers pension contribution</t>
  </si>
  <si>
    <t>622100</t>
  </si>
  <si>
    <t>SF: Technicians: Wages and salaries</t>
  </si>
  <si>
    <t>622150</t>
  </si>
  <si>
    <t>SF: Technicians: Overtime</t>
  </si>
  <si>
    <t>622200</t>
  </si>
  <si>
    <t>SF: Technicians: Employers national insurance</t>
  </si>
  <si>
    <t>622300</t>
  </si>
  <si>
    <t>SF: Technicians: Employers pension contribution</t>
  </si>
  <si>
    <t>623100</t>
  </si>
  <si>
    <t>SF: Cover supervisors: Wages and salaries</t>
  </si>
  <si>
    <t>623150</t>
  </si>
  <si>
    <t>SF: Cover supervisors: Overtime</t>
  </si>
  <si>
    <t>623200</t>
  </si>
  <si>
    <t>SF: Cover supervisors: Employers national insurance</t>
  </si>
  <si>
    <t>623300</t>
  </si>
  <si>
    <t>SF: Cover supervisors: Employers pension contribution</t>
  </si>
  <si>
    <t>625100</t>
  </si>
  <si>
    <t>SF: Finance and Admin: Wages and salaries</t>
  </si>
  <si>
    <t>625150</t>
  </si>
  <si>
    <t>SF: Finance and Admin: Overtime</t>
  </si>
  <si>
    <t>625200</t>
  </si>
  <si>
    <t>SF: Finance and Admin: Employers national insurance</t>
  </si>
  <si>
    <t>625300</t>
  </si>
  <si>
    <t>SF: Finance and Admin: Employers pension contribution</t>
  </si>
  <si>
    <t>627100</t>
  </si>
  <si>
    <t>SF: Site Staff: Wages and salaries</t>
  </si>
  <si>
    <t>627150</t>
  </si>
  <si>
    <t>SF: Site Staff: Overtime</t>
  </si>
  <si>
    <t>627200</t>
  </si>
  <si>
    <t>SF: Site Staff: Employers national insurance</t>
  </si>
  <si>
    <t>627300</t>
  </si>
  <si>
    <t>SF: Site Staff: Employers pension contribution</t>
  </si>
  <si>
    <t>630100</t>
  </si>
  <si>
    <t>SF: Cleaning Staff: Wages and salaries</t>
  </si>
  <si>
    <t>630150</t>
  </si>
  <si>
    <t>SF: Cleaning Staff: Overtime</t>
  </si>
  <si>
    <t>630200</t>
  </si>
  <si>
    <t>SF: Cleaning Staff: Employers national insurance</t>
  </si>
  <si>
    <t>630300</t>
  </si>
  <si>
    <t>SF: Cleaning Staff: Employers pension contribution</t>
  </si>
  <si>
    <t>632100</t>
  </si>
  <si>
    <t>SF: Catering Staff: Wages and salaries</t>
  </si>
  <si>
    <t>632150</t>
  </si>
  <si>
    <t>SF: Catering Staff: Overtime</t>
  </si>
  <si>
    <t>632200</t>
  </si>
  <si>
    <t>SF: Catering Staff: Employers national insurance</t>
  </si>
  <si>
    <t>632300</t>
  </si>
  <si>
    <t>SF: Catering Staff: Employers pension contribution</t>
  </si>
  <si>
    <t>635100</t>
  </si>
  <si>
    <t>SF: Midday Supervisors: Wages and salaries</t>
  </si>
  <si>
    <t>635150</t>
  </si>
  <si>
    <t>SF: Midday Supervisors: Overtime</t>
  </si>
  <si>
    <t>635200</t>
  </si>
  <si>
    <t>SF: Midday Supervisors: Employers national insurance</t>
  </si>
  <si>
    <t>635300</t>
  </si>
  <si>
    <t>SF: Midday Supervisors: Employers pension contribution</t>
  </si>
  <si>
    <t>637100</t>
  </si>
  <si>
    <t>SF: Nursery Staff: Wages and salaries</t>
  </si>
  <si>
    <t>637150</t>
  </si>
  <si>
    <t>SF: Nursery Staff: Overtime</t>
  </si>
  <si>
    <t>637200</t>
  </si>
  <si>
    <t>SF: Nursery Staff: Employers national insurance</t>
  </si>
  <si>
    <t>637300</t>
  </si>
  <si>
    <t>SF: Nursery Staff: Employers pension contribution</t>
  </si>
  <si>
    <t>640100</t>
  </si>
  <si>
    <t>SF: Family Support Workers: Wages and salaries</t>
  </si>
  <si>
    <t>640150</t>
  </si>
  <si>
    <t>SF: Family Support Workers: Overtime</t>
  </si>
  <si>
    <t>640200</t>
  </si>
  <si>
    <t>SF: Family Support Workers: Employers national insurance</t>
  </si>
  <si>
    <t>640300</t>
  </si>
  <si>
    <t>SF: Family Support Workers: Employers pension contribution</t>
  </si>
  <si>
    <t>642100</t>
  </si>
  <si>
    <t>SF: Exam Invigilators: Wages and salaries</t>
  </si>
  <si>
    <t>642150</t>
  </si>
  <si>
    <t>SF: Exam Invigilators: Overtime</t>
  </si>
  <si>
    <t>642200</t>
  </si>
  <si>
    <t>SF: Exam Invigilators: Employers national insurance</t>
  </si>
  <si>
    <t>642300</t>
  </si>
  <si>
    <t>SF: Exam Invigilators: Employers pension contribution</t>
  </si>
  <si>
    <t>645100</t>
  </si>
  <si>
    <t>SF: Community Facilities Staff: Wages and salaries</t>
  </si>
  <si>
    <t>645150</t>
  </si>
  <si>
    <t>SF: Community Facilities Staff: Overtime</t>
  </si>
  <si>
    <t>645200</t>
  </si>
  <si>
    <t>SF: Community Facilities Staff: Employers national insurance</t>
  </si>
  <si>
    <t>645300</t>
  </si>
  <si>
    <t>SF: Community Facilities Staff: Employers pension contribution</t>
  </si>
  <si>
    <t>647100</t>
  </si>
  <si>
    <t>647150</t>
  </si>
  <si>
    <t>647200</t>
  </si>
  <si>
    <t>647300</t>
  </si>
  <si>
    <t>648100</t>
  </si>
  <si>
    <t>SF: Cost of raising funds: Wages and salaries</t>
  </si>
  <si>
    <t>648150</t>
  </si>
  <si>
    <t>SF: Cost of raising funds: Overtime</t>
  </si>
  <si>
    <t>648200</t>
  </si>
  <si>
    <t>SF: Cost of raising funds: Employers national insurance</t>
  </si>
  <si>
    <t>648300</t>
  </si>
  <si>
    <t>SF: Cost of raising funds: Employers pension contribution</t>
  </si>
  <si>
    <t>649300</t>
  </si>
  <si>
    <t>SF: Pensions: Surplus/deficit on LGPS</t>
  </si>
  <si>
    <t>650400</t>
  </si>
  <si>
    <t>650410</t>
  </si>
  <si>
    <t>650420</t>
  </si>
  <si>
    <t>650450</t>
  </si>
  <si>
    <t>650460</t>
  </si>
  <si>
    <t>650470</t>
  </si>
  <si>
    <t>650500</t>
  </si>
  <si>
    <t>650510</t>
  </si>
  <si>
    <t>650520</t>
  </si>
  <si>
    <t>650550</t>
  </si>
  <si>
    <t>650560</t>
  </si>
  <si>
    <t>650570</t>
  </si>
  <si>
    <t>655100</t>
  </si>
  <si>
    <t>SF: Boarding Staff - direct: Wages and salaries</t>
  </si>
  <si>
    <t>655150</t>
  </si>
  <si>
    <t>SF: Boarding Staff - direct: Overtime</t>
  </si>
  <si>
    <t>655200</t>
  </si>
  <si>
    <t>SF: Boarding Staff - direct: Employers national insurance</t>
  </si>
  <si>
    <t>655300</t>
  </si>
  <si>
    <t>SF: Boarding Staff - direct: Employers pension contribution</t>
  </si>
  <si>
    <t>655500</t>
  </si>
  <si>
    <t>SF: Boarding Staff - direct: Agency staff - direct staff</t>
  </si>
  <si>
    <t>655550</t>
  </si>
  <si>
    <t>SF: Boarding Staff - direct: Compensation - direct staff</t>
  </si>
  <si>
    <t>656100</t>
  </si>
  <si>
    <t>SF: Boarding Staff - indirect: Wages and salaries</t>
  </si>
  <si>
    <t>656150</t>
  </si>
  <si>
    <t>SF: Boarding Staff - indirect: Overtime</t>
  </si>
  <si>
    <t>656200</t>
  </si>
  <si>
    <t>SF: Boarding Staff - indirect: Employers national insurance</t>
  </si>
  <si>
    <t>656300</t>
  </si>
  <si>
    <t>SF: Boarding Staff - indirect: Employers pension contribution</t>
  </si>
  <si>
    <t>656520</t>
  </si>
  <si>
    <t>SF: Boarding Staff - indirect: Agency staff - support</t>
  </si>
  <si>
    <t>656570</t>
  </si>
  <si>
    <t>SF: Boarding Staff - indirect: Compensation - support</t>
  </si>
  <si>
    <t>656600</t>
  </si>
  <si>
    <t>SF: Boarding Staff - indirect: Staff Welfare</t>
  </si>
  <si>
    <t>656620</t>
  </si>
  <si>
    <t>SF: Boarding Staff - indirect: Staff Development</t>
  </si>
  <si>
    <t>656650</t>
  </si>
  <si>
    <t>SF: Boarding Staff - indirect: Staff training</t>
  </si>
  <si>
    <t>656700</t>
  </si>
  <si>
    <t>SF: Boarding Staff - indirect: Staff insurance</t>
  </si>
  <si>
    <t>675100</t>
  </si>
  <si>
    <t>675150</t>
  </si>
  <si>
    <t>675170</t>
  </si>
  <si>
    <t>675200</t>
  </si>
  <si>
    <t>675220</t>
  </si>
  <si>
    <t>SF: Ind Emp Exp: Redundancy - support staff</t>
  </si>
  <si>
    <t>675250</t>
  </si>
  <si>
    <t>675270</t>
  </si>
  <si>
    <t>675300</t>
  </si>
  <si>
    <t>675320</t>
  </si>
  <si>
    <t>675400</t>
  </si>
  <si>
    <t>SF: Ind Emp Exp: Staff travel</t>
  </si>
  <si>
    <t>675410</t>
  </si>
  <si>
    <t>SF: Ind Emp Exp: Staff subsistence</t>
  </si>
  <si>
    <t>675420</t>
  </si>
  <si>
    <t>SF: Ind Emp Exp: Interview expenses</t>
  </si>
  <si>
    <t>675430</t>
  </si>
  <si>
    <t>SF: Ind Emp Exp: Staff uniforms</t>
  </si>
  <si>
    <t>675440</t>
  </si>
  <si>
    <t>675450</t>
  </si>
  <si>
    <t>SF: Ind Emp Exp: Staff medical fees</t>
  </si>
  <si>
    <t>675460</t>
  </si>
  <si>
    <t>SF: Ind Emp Exp: Duty meals</t>
  </si>
  <si>
    <t>675500</t>
  </si>
  <si>
    <t>675510</t>
  </si>
  <si>
    <t>SF: Ind Emp Exp: Recruitment - support staff</t>
  </si>
  <si>
    <t>675520</t>
  </si>
  <si>
    <t>SF: Ind Emp Exp: Recruitment - leadership</t>
  </si>
  <si>
    <t>675550</t>
  </si>
  <si>
    <t>675560</t>
  </si>
  <si>
    <t>675570</t>
  </si>
  <si>
    <t>675600</t>
  </si>
  <si>
    <t>675620</t>
  </si>
  <si>
    <t>SF: Ind Emp Exp: DBS checks - support staff</t>
  </si>
  <si>
    <t>675650</t>
  </si>
  <si>
    <t>675670</t>
  </si>
  <si>
    <t>SF: Ind Emp Exp: Staff training - support staff</t>
  </si>
  <si>
    <t>675690</t>
  </si>
  <si>
    <t>SF: Ind Emp Exp: Notional Apprenticeship levy exp</t>
  </si>
  <si>
    <t>675700</t>
  </si>
  <si>
    <t>675720</t>
  </si>
  <si>
    <t>675750</t>
  </si>
  <si>
    <t>675770</t>
  </si>
  <si>
    <t>675780</t>
  </si>
  <si>
    <t>SF: Ind Emp Exp: Employers liability insurance</t>
  </si>
  <si>
    <t>675800</t>
  </si>
  <si>
    <t>710100</t>
  </si>
  <si>
    <t>PR: R&amp;M: Building Repair and Maintenance</t>
  </si>
  <si>
    <t>710200</t>
  </si>
  <si>
    <t>PR: R&amp;M: Building Improvements</t>
  </si>
  <si>
    <t>715100</t>
  </si>
  <si>
    <t>PR: Rates: Rates</t>
  </si>
  <si>
    <t>720100</t>
  </si>
  <si>
    <t>PR: Energy: Gas</t>
  </si>
  <si>
    <t>720200</t>
  </si>
  <si>
    <t>PR: Energy: Oil</t>
  </si>
  <si>
    <t>720300</t>
  </si>
  <si>
    <t>PR: Energy: Electricity</t>
  </si>
  <si>
    <t>725100</t>
  </si>
  <si>
    <t>PR: Insurance: Risk Protection Arrangement</t>
  </si>
  <si>
    <t>725200</t>
  </si>
  <si>
    <t>PR: Insurance: Premises Insurance (not RPA)</t>
  </si>
  <si>
    <t>725300</t>
  </si>
  <si>
    <t>PR: Insurance: Boarding Insurance</t>
  </si>
  <si>
    <t>725400</t>
  </si>
  <si>
    <t>PR: Insurance: Vehicle Insurance</t>
  </si>
  <si>
    <t>730100</t>
  </si>
  <si>
    <t>PR: Cleaning &amp; Caretaking: Cleaning contracts</t>
  </si>
  <si>
    <t>730200</t>
  </si>
  <si>
    <t>PR: Cleaning &amp; Caretaking: Cleaning equipment and materials</t>
  </si>
  <si>
    <t>730300</t>
  </si>
  <si>
    <t>PR: Cleaning &amp; Caretaking: Window Cleaning</t>
  </si>
  <si>
    <t>730400</t>
  </si>
  <si>
    <t>PR: Cleaning &amp; Caretaking: Caretaking Supplies and Equip</t>
  </si>
  <si>
    <t>735100</t>
  </si>
  <si>
    <t>735200</t>
  </si>
  <si>
    <t>PR: Operating leases: Photocopiers</t>
  </si>
  <si>
    <t>735300</t>
  </si>
  <si>
    <t>735400</t>
  </si>
  <si>
    <t>PR: Operating leases: Other equipment</t>
  </si>
  <si>
    <t>740100</t>
  </si>
  <si>
    <t>PR: Security: Security Alarms / CCTV Services</t>
  </si>
  <si>
    <t>740200</t>
  </si>
  <si>
    <t>PR: Security: Security Patrols</t>
  </si>
  <si>
    <t>750100</t>
  </si>
  <si>
    <t>PR: Special Facilities: Swimming pool equipment/material</t>
  </si>
  <si>
    <t>750150</t>
  </si>
  <si>
    <t>PR: Special Facilities: Sports centre equipment/materials</t>
  </si>
  <si>
    <t>750200</t>
  </si>
  <si>
    <t>PR: Special Facilities: Before and After School clubs</t>
  </si>
  <si>
    <t>750250</t>
  </si>
  <si>
    <t>PR: Special Facilities: Farm and Rural Studies</t>
  </si>
  <si>
    <t>750300</t>
  </si>
  <si>
    <t>PR: Special Facilities: External cluster funding contrib</t>
  </si>
  <si>
    <t>750350</t>
  </si>
  <si>
    <t>PR: Special Facilities: Pupil travel across the trust</t>
  </si>
  <si>
    <t>750400</t>
  </si>
  <si>
    <t>PR: Special Facilities: Home to school transport</t>
  </si>
  <si>
    <t>760100</t>
  </si>
  <si>
    <t>PR: Other Premises: Grounds Maintenance</t>
  </si>
  <si>
    <t>760150</t>
  </si>
  <si>
    <t>PR: Other Premises: Water and Sewerage</t>
  </si>
  <si>
    <t>760200</t>
  </si>
  <si>
    <t>PR: Other Premises: Septic Tanks</t>
  </si>
  <si>
    <t>760250</t>
  </si>
  <si>
    <t>PR: Other Premises: Refuse Removal</t>
  </si>
  <si>
    <t>760300</t>
  </si>
  <si>
    <t>PR: Other Premises: Hygiene Supplies &amp; Services</t>
  </si>
  <si>
    <t>760350</t>
  </si>
  <si>
    <t>PR: Other Premises: Health &amp; Safety</t>
  </si>
  <si>
    <t>760400</t>
  </si>
  <si>
    <t>PR: Other Premises: Electrical Service Contract</t>
  </si>
  <si>
    <t>760450</t>
  </si>
  <si>
    <t>PR: Other Premises: Mechanical Service Contract</t>
  </si>
  <si>
    <t>760500</t>
  </si>
  <si>
    <t>PR: Other Premises: Appliance Testing</t>
  </si>
  <si>
    <t>760550</t>
  </si>
  <si>
    <t>PR: Other Premises: Fire Alarm and Extinguisher Serv</t>
  </si>
  <si>
    <t>760600</t>
  </si>
  <si>
    <t>PR: Other Premises: Heating and Air Conditioning</t>
  </si>
  <si>
    <t>760650</t>
  </si>
  <si>
    <t>PR: Other Premises: Pest Control</t>
  </si>
  <si>
    <t>760700</t>
  </si>
  <si>
    <t>PR: Other Premises: Other Occupancy</t>
  </si>
  <si>
    <t>760710</t>
  </si>
  <si>
    <t>780100</t>
  </si>
  <si>
    <t>PR: Boarding - premises: Rates</t>
  </si>
  <si>
    <t>780150</t>
  </si>
  <si>
    <t>PR: Boarding - premises: Water rates</t>
  </si>
  <si>
    <t>780200</t>
  </si>
  <si>
    <t>PR: Boarding - premises: Electricity</t>
  </si>
  <si>
    <t>780250</t>
  </si>
  <si>
    <t>PR: Boarding - premises: Gas</t>
  </si>
  <si>
    <t>780300</t>
  </si>
  <si>
    <t>PR: Boarding - premises: Heating oil</t>
  </si>
  <si>
    <t>780350</t>
  </si>
  <si>
    <t>PR: Boarding - premises: Operating lease - Land and build</t>
  </si>
  <si>
    <t>780400</t>
  </si>
  <si>
    <t>PR: Boarding - premises: Operating lease - Photocopiers</t>
  </si>
  <si>
    <t>780450</t>
  </si>
  <si>
    <t>PR: Boarding - premises: Operating lease - Telephones</t>
  </si>
  <si>
    <t>780500</t>
  </si>
  <si>
    <t>PR: Boarding - premises: Operating lease - Other equip</t>
  </si>
  <si>
    <t>780600</t>
  </si>
  <si>
    <t>PR: Boarding - premises: Insurance - Commercial provider</t>
  </si>
  <si>
    <t>780700</t>
  </si>
  <si>
    <t>PR: Boarding - premises: Reps &amp; renewals - Property</t>
  </si>
  <si>
    <t>780720</t>
  </si>
  <si>
    <t>PR: Boarding - premises: Reps &amp; renewals - Grounds</t>
  </si>
  <si>
    <t>780750</t>
  </si>
  <si>
    <t>PR: Boarding - premises: Reps &amp; renewals - Motor vehicles</t>
  </si>
  <si>
    <t>780770</t>
  </si>
  <si>
    <t>PR: Boarding - premises: Reps &amp; renewals - Equipment</t>
  </si>
  <si>
    <t>780800</t>
  </si>
  <si>
    <t>PR: Boarding - premises: Boarding - Security</t>
  </si>
  <si>
    <t>780850</t>
  </si>
  <si>
    <t>PR: Boarding - premises: Boarding - Other premises costs</t>
  </si>
  <si>
    <t>810100</t>
  </si>
  <si>
    <t>SP: Educ Supplies: Books</t>
  </si>
  <si>
    <t>810150</t>
  </si>
  <si>
    <t>SP: Educ Supplies: Library Services</t>
  </si>
  <si>
    <t>810200</t>
  </si>
  <si>
    <t>SP: Educ Supplies: Curriculum Materials</t>
  </si>
  <si>
    <t>810250</t>
  </si>
  <si>
    <t>SP: Educ Supplies: Education Equipment (not IT)</t>
  </si>
  <si>
    <t>810300</t>
  </si>
  <si>
    <t>SP: Educ Supplies: Education Eqpmt repairs (not IT)</t>
  </si>
  <si>
    <t>810350</t>
  </si>
  <si>
    <t>SP: Educ Supplies: Educ Furniture</t>
  </si>
  <si>
    <t>810400</t>
  </si>
  <si>
    <t>SP: Educ Supplies: Audio Visual</t>
  </si>
  <si>
    <t>810450</t>
  </si>
  <si>
    <t>SP: Educ Supplies: Repair of PE/Musical Equipment</t>
  </si>
  <si>
    <t>810500</t>
  </si>
  <si>
    <t>SP: Educ Supplies: External education providers</t>
  </si>
  <si>
    <t>810550</t>
  </si>
  <si>
    <t>SP: Educ Supplies: Primary school PIP exam fees</t>
  </si>
  <si>
    <t>815100</t>
  </si>
  <si>
    <t>SP: Examination Fees: Examination Fees</t>
  </si>
  <si>
    <t>815200</t>
  </si>
  <si>
    <t>SP: Examination Fees: Examination Resources</t>
  </si>
  <si>
    <t>820100</t>
  </si>
  <si>
    <t>820150</t>
  </si>
  <si>
    <t>SP: Technology Costs: Educational software &amp; licences</t>
  </si>
  <si>
    <t>820300</t>
  </si>
  <si>
    <t>SP: Technology Costs: ICT Support contract</t>
  </si>
  <si>
    <t>820320</t>
  </si>
  <si>
    <t>820350</t>
  </si>
  <si>
    <t>820370</t>
  </si>
  <si>
    <t>820400</t>
  </si>
  <si>
    <t>820420</t>
  </si>
  <si>
    <t>820450</t>
  </si>
  <si>
    <t>820470</t>
  </si>
  <si>
    <t>SP: Technology Costs: Printer Consumables</t>
  </si>
  <si>
    <t>820500</t>
  </si>
  <si>
    <t>SP: Technology Costs: ICT Annual Maintenance</t>
  </si>
  <si>
    <t>820520</t>
  </si>
  <si>
    <t>SP: Technology Costs: ICT Consultancy</t>
  </si>
  <si>
    <t>820550</t>
  </si>
  <si>
    <t>SP: Technology Costs: ICT Hosting Fees</t>
  </si>
  <si>
    <t>820570</t>
  </si>
  <si>
    <t>SP: Technology Costs: ICT Other</t>
  </si>
  <si>
    <t>825100</t>
  </si>
  <si>
    <t>SP: Educ Consultancy: External sports coaches</t>
  </si>
  <si>
    <t>825150</t>
  </si>
  <si>
    <t>SP: Educ Consultancy: Peripatetic music teachers</t>
  </si>
  <si>
    <t>825200</t>
  </si>
  <si>
    <t>SP: Educ Consultancy: Exam Invigilation costs</t>
  </si>
  <si>
    <t>825250</t>
  </si>
  <si>
    <t>SP: Educ Consultancy: Courses - external providers</t>
  </si>
  <si>
    <t>825300</t>
  </si>
  <si>
    <t>SP: Educ Consultancy: Behaviour support services</t>
  </si>
  <si>
    <t>825350</t>
  </si>
  <si>
    <t>SP: Educ Consultancy: Library &amp; museum services</t>
  </si>
  <si>
    <t>825400</t>
  </si>
  <si>
    <t>SP: Educ Consultancy: Other Educ consultancy</t>
  </si>
  <si>
    <t>830100</t>
  </si>
  <si>
    <t>SP: School Trips: School Trips - Travel costs</t>
  </si>
  <si>
    <t>830150</t>
  </si>
  <si>
    <t>SP: School Trips: School Trips - Accom/Entrance</t>
  </si>
  <si>
    <t>830200</t>
  </si>
  <si>
    <t>830250</t>
  </si>
  <si>
    <t>SP: School Trips: School Trips - Sundry</t>
  </si>
  <si>
    <t>830300</t>
  </si>
  <si>
    <t>SP: School Trips: School Trips - Insurance</t>
  </si>
  <si>
    <t>835100</t>
  </si>
  <si>
    <t>835120</t>
  </si>
  <si>
    <t>SP: Administration: TV licences</t>
  </si>
  <si>
    <t>835150</t>
  </si>
  <si>
    <t>SP: Administration: Non-ICT licences</t>
  </si>
  <si>
    <t>835170</t>
  </si>
  <si>
    <t>SP: Administration: Contribs from academies to trust</t>
  </si>
  <si>
    <t>835200</t>
  </si>
  <si>
    <t>SP: Administration: Admin Supplies &amp; Stationery</t>
  </si>
  <si>
    <t>835220</t>
  </si>
  <si>
    <t>SP: Administration: Admin Photocopying</t>
  </si>
  <si>
    <t>835250</t>
  </si>
  <si>
    <t>SP: Administration: Printing</t>
  </si>
  <si>
    <t>835270</t>
  </si>
  <si>
    <t>835300</t>
  </si>
  <si>
    <t>SP: Administration: Advertising</t>
  </si>
  <si>
    <t>835320</t>
  </si>
  <si>
    <t>SP: Administration: Postage and Carriage</t>
  </si>
  <si>
    <t>835350</t>
  </si>
  <si>
    <t>SP: Administration: Telephone Costs</t>
  </si>
  <si>
    <t>835370</t>
  </si>
  <si>
    <t>SP: Administration: Mobile Phones</t>
  </si>
  <si>
    <t>835400</t>
  </si>
  <si>
    <t>SP: Administration: Admin Furniture</t>
  </si>
  <si>
    <t>835420</t>
  </si>
  <si>
    <t>SP: Administration: Admin Equipment</t>
  </si>
  <si>
    <t>835470</t>
  </si>
  <si>
    <t>SP: Administration: Admin Equipment repairs</t>
  </si>
  <si>
    <t>835500</t>
  </si>
  <si>
    <t>SP: Administration: Medical</t>
  </si>
  <si>
    <t>835520</t>
  </si>
  <si>
    <t>SP: Administration: Laundry</t>
  </si>
  <si>
    <t>835550</t>
  </si>
  <si>
    <t>835570</t>
  </si>
  <si>
    <t>SP: Administration: Bank charges</t>
  </si>
  <si>
    <t>840100</t>
  </si>
  <si>
    <t>840200</t>
  </si>
  <si>
    <t>SP: Transport: Vehicle Hire</t>
  </si>
  <si>
    <t>845100</t>
  </si>
  <si>
    <t>845150</t>
  </si>
  <si>
    <t>845200</t>
  </si>
  <si>
    <t>SP: Bought in supply cover: Agency teaching assistants</t>
  </si>
  <si>
    <t>850100</t>
  </si>
  <si>
    <t>SP: Catering: Catering contract</t>
  </si>
  <si>
    <t>850150</t>
  </si>
  <si>
    <t>SP: Catering: Catering - Food &amp; Drink</t>
  </si>
  <si>
    <t>850200</t>
  </si>
  <si>
    <t>SP: Catering: Catering - Consumables</t>
  </si>
  <si>
    <t>850250</t>
  </si>
  <si>
    <t>SP: Catering: Catering - Equipment</t>
  </si>
  <si>
    <t>850300</t>
  </si>
  <si>
    <t>SP: Catering: Catering - Maint. and Repairs</t>
  </si>
  <si>
    <t>850350</t>
  </si>
  <si>
    <t>SP: Catering: Vending Machines</t>
  </si>
  <si>
    <t>855100</t>
  </si>
  <si>
    <t>SP: Non-educ contracts: Consultancy Fees</t>
  </si>
  <si>
    <t>855120</t>
  </si>
  <si>
    <t>SP: Non-educ contracts: Counsellors</t>
  </si>
  <si>
    <t>855150</t>
  </si>
  <si>
    <t>SP: Non-educ contracts: Financial</t>
  </si>
  <si>
    <t>855170</t>
  </si>
  <si>
    <t>855180</t>
  </si>
  <si>
    <t>SP: Non-educ contracts: Legal - Conversion</t>
  </si>
  <si>
    <t>855200</t>
  </si>
  <si>
    <t>SP: Non-educ contracts: Personnel/HR</t>
  </si>
  <si>
    <t>855220</t>
  </si>
  <si>
    <t>SP: Non-educ contracts: Payroll</t>
  </si>
  <si>
    <t>855250</t>
  </si>
  <si>
    <t>SP: Non-educ contracts: Clerking board/governor meetings</t>
  </si>
  <si>
    <t>855300</t>
  </si>
  <si>
    <t>SP: Non-educ contracts: Property Management Services</t>
  </si>
  <si>
    <t>855320</t>
  </si>
  <si>
    <t>SP: Non-educ contracts: Energy Management Services</t>
  </si>
  <si>
    <t>855350</t>
  </si>
  <si>
    <t>SP: Non-educ contracts: Free School Meals - pupil checks</t>
  </si>
  <si>
    <t>855370</t>
  </si>
  <si>
    <t>SP: Non-educ contracts: Admissions service</t>
  </si>
  <si>
    <t>855400</t>
  </si>
  <si>
    <t>855420</t>
  </si>
  <si>
    <t>855450</t>
  </si>
  <si>
    <t>855470</t>
  </si>
  <si>
    <t>SP: Non-educ contracts: Cash Collection services</t>
  </si>
  <si>
    <t>855500</t>
  </si>
  <si>
    <t>SP: Non-educ contracts: PFI contract management services</t>
  </si>
  <si>
    <t>860100</t>
  </si>
  <si>
    <t>SP: Audit: Statutory audit fees</t>
  </si>
  <si>
    <t>860200</t>
  </si>
  <si>
    <t>SP: Audit: Internal audit &amp; other fees</t>
  </si>
  <si>
    <t>860300</t>
  </si>
  <si>
    <t>SP: Audit: Accounts return</t>
  </si>
  <si>
    <t>865100</t>
  </si>
  <si>
    <t>SP: Governance: Academy governor - travel</t>
  </si>
  <si>
    <t>865150</t>
  </si>
  <si>
    <t>SP: Governance: Academy governor - subsistence</t>
  </si>
  <si>
    <t>865200</t>
  </si>
  <si>
    <t>SP: Governance: Academy governor - other reimb.</t>
  </si>
  <si>
    <t>865300</t>
  </si>
  <si>
    <t>865350</t>
  </si>
  <si>
    <t>865400</t>
  </si>
  <si>
    <t>865410</t>
  </si>
  <si>
    <t>870200</t>
  </si>
  <si>
    <t>SP: Cost of raising funds: Cost of raising funds - premises</t>
  </si>
  <si>
    <t>870220</t>
  </si>
  <si>
    <t>SP: Cost of raising funds: Cost of raising funds - Depr'n</t>
  </si>
  <si>
    <t>870240</t>
  </si>
  <si>
    <t>SP: Cost of raising funds: Cost of raising funds - amortisation</t>
  </si>
  <si>
    <t>870260</t>
  </si>
  <si>
    <t>SP: Cost of raising funds: Cost of raising funds - Impair't</t>
  </si>
  <si>
    <t>870300</t>
  </si>
  <si>
    <t>SP: Cost of raising funds: Cost of raising funds - teaching/learning</t>
  </si>
  <si>
    <t>870350</t>
  </si>
  <si>
    <t>SP: Cost of raising funds: Cost of raising funds - technology</t>
  </si>
  <si>
    <t>870400</t>
  </si>
  <si>
    <t>SP: Cost of raising funds: Cost of raising funds - governance</t>
  </si>
  <si>
    <t>870500</t>
  </si>
  <si>
    <t>SP: Cost of raising funds: Cost of raising funds - other</t>
  </si>
  <si>
    <t>880100</t>
  </si>
  <si>
    <t>SP: Other supplies &amp; services: Pupil gifts and prizes</t>
  </si>
  <si>
    <t>880150</t>
  </si>
  <si>
    <t>SP: Other supplies &amp; services: Student bursary expenditure</t>
  </si>
  <si>
    <t>880200</t>
  </si>
  <si>
    <t>SP: Other supplies &amp; services: Increase in provisions</t>
  </si>
  <si>
    <t>880220</t>
  </si>
  <si>
    <t>SP: Other supplies &amp; services: Release of provisions</t>
  </si>
  <si>
    <t>880250</t>
  </si>
  <si>
    <t>SP: Other supplies &amp; services: Bad Debt written off</t>
  </si>
  <si>
    <t>880300</t>
  </si>
  <si>
    <t>SP: Other supplies &amp; services: Excluded pupils</t>
  </si>
  <si>
    <t>880350</t>
  </si>
  <si>
    <t>SP: Other supplies &amp; services: Academy performances</t>
  </si>
  <si>
    <t>880400</t>
  </si>
  <si>
    <t>SP: Other supplies &amp; services: Parent evenings/meetings</t>
  </si>
  <si>
    <t>880450</t>
  </si>
  <si>
    <t>SP: Other supplies &amp; services: Room Hire</t>
  </si>
  <si>
    <t>880500</t>
  </si>
  <si>
    <t>880550</t>
  </si>
  <si>
    <t>SP: Other supplies &amp; services: School uniforms (cost)</t>
  </si>
  <si>
    <t>890100</t>
  </si>
  <si>
    <t xml:space="preserve">SP: Financing costs: PFI Specialist concession acct </t>
  </si>
  <si>
    <t>890150</t>
  </si>
  <si>
    <t>SP: Financing costs: PFI payment to LA</t>
  </si>
  <si>
    <t>890200</t>
  </si>
  <si>
    <t>SP: Financing costs: Loan Interest paid - DfE Group</t>
  </si>
  <si>
    <t>890300</t>
  </si>
  <si>
    <t>SP: Financing costs: Loan Interest paid - other</t>
  </si>
  <si>
    <t>890400</t>
  </si>
  <si>
    <t>SP: Financing costs: Finance lease interest</t>
  </si>
  <si>
    <t>892100</t>
  </si>
  <si>
    <t>SP: Asset financing: Depr'n - direct costs - buildings</t>
  </si>
  <si>
    <t>892110</t>
  </si>
  <si>
    <t>SP: Asset financing: Depr'n - direct costs - other assets</t>
  </si>
  <si>
    <t>892150</t>
  </si>
  <si>
    <t>SP: Asset financing: Depr'n - indirect costs - buildings</t>
  </si>
  <si>
    <t>892160</t>
  </si>
  <si>
    <t>SP: Asset financing: Depr'n - indirect costs - other assets</t>
  </si>
  <si>
    <t>892200</t>
  </si>
  <si>
    <t>SP: Asset financing: Amortisation - direct costs</t>
  </si>
  <si>
    <t>892250</t>
  </si>
  <si>
    <t>SP: Asset financing: Amortisation - indirect costs</t>
  </si>
  <si>
    <t>892300</t>
  </si>
  <si>
    <t>SP: Asset financing: Impair't - direct costs</t>
  </si>
  <si>
    <t>892350</t>
  </si>
  <si>
    <t>SP: Asset financing: Impair't - indirect costs</t>
  </si>
  <si>
    <t>892500</t>
  </si>
  <si>
    <t>SP: Asset financing: (Gain)/loss on disp of tang FA</t>
  </si>
  <si>
    <t>892600</t>
  </si>
  <si>
    <t>SP: Asset financing: (Gain)/loss on disp of Intang FA</t>
  </si>
  <si>
    <t>892700</t>
  </si>
  <si>
    <t>SP: Asset financing: (Gain)/loss on disp of invest's</t>
  </si>
  <si>
    <t>892800</t>
  </si>
  <si>
    <t>SP: Asset financing: Revenue contributions to capital</t>
  </si>
  <si>
    <t>893100</t>
  </si>
  <si>
    <t>SP: Other recognised gains/losses: Actuarial gain/loss pension fund</t>
  </si>
  <si>
    <t>893200</t>
  </si>
  <si>
    <t>SP: Other recognised gains/losses: Valuation of FA</t>
  </si>
  <si>
    <t>893300</t>
  </si>
  <si>
    <t>SP: Other recognised gains/losses: Valuation of investments</t>
  </si>
  <si>
    <t>895100</t>
  </si>
  <si>
    <t>SP: Boarding - supplies: Direct Goods &amp; services</t>
  </si>
  <si>
    <t>895150</t>
  </si>
  <si>
    <t>SP: Boarding - supplies: Direct Travel</t>
  </si>
  <si>
    <t>895200</t>
  </si>
  <si>
    <t>SP: Boarding - supplies: Direct subsistence</t>
  </si>
  <si>
    <t>895250</t>
  </si>
  <si>
    <t>SP: Boarding - supplies: Catering</t>
  </si>
  <si>
    <t>895300</t>
  </si>
  <si>
    <t>895350</t>
  </si>
  <si>
    <t>SP: Boarding - supplies: Bad debt expense</t>
  </si>
  <si>
    <t>895400</t>
  </si>
  <si>
    <t>SP: Boarding - supplies: Travel</t>
  </si>
  <si>
    <t>895450</t>
  </si>
  <si>
    <t>SP: Boarding - supplies: Subsistence</t>
  </si>
  <si>
    <t>895500</t>
  </si>
  <si>
    <t>SP: Boarding - supplies: Other support cost</t>
  </si>
  <si>
    <t>895550</t>
  </si>
  <si>
    <t>SP: Boarding - supplies: Other support cost Academy Trusts</t>
  </si>
  <si>
    <t>895600</t>
  </si>
  <si>
    <t>SP: Boarding - supplies: (Gain)/loss on disp of tang FA</t>
  </si>
  <si>
    <t>895650</t>
  </si>
  <si>
    <t>SP: Boarding - supplies: (Gain)/loss on disp of Intang FA</t>
  </si>
  <si>
    <t>895700</t>
  </si>
  <si>
    <t>SP: Boarding - supplies: (Gain)/loss on disp of invest's</t>
  </si>
  <si>
    <t>895750</t>
  </si>
  <si>
    <t>SP: Boarding - supplies: Depr'n - boarding - buildings</t>
  </si>
  <si>
    <t>895760</t>
  </si>
  <si>
    <t>SP: Boarding - supplies: Depr'n - boarding - other assets</t>
  </si>
  <si>
    <t>895800</t>
  </si>
  <si>
    <t>SP: Boarding - supplies: Amortisation - boarding</t>
  </si>
  <si>
    <t>895850</t>
  </si>
  <si>
    <t>SP: Boarding - supplies: Impair't - boarding</t>
  </si>
  <si>
    <t>UNMAPPED</t>
  </si>
  <si>
    <t>Unmapped</t>
  </si>
  <si>
    <t>W0</t>
  </si>
  <si>
    <t>Capital Income</t>
  </si>
  <si>
    <t>W1</t>
  </si>
  <si>
    <t>Capital Expenditure</t>
  </si>
  <si>
    <t>Z01</t>
  </si>
  <si>
    <t>No Longer In Use - Fund Opening Balances</t>
  </si>
  <si>
    <t>Z02</t>
  </si>
  <si>
    <t>Teaching Weekly FTE</t>
  </si>
  <si>
    <t>Z03</t>
  </si>
  <si>
    <t>Other Weekly FTE</t>
  </si>
  <si>
    <t>Z04</t>
  </si>
  <si>
    <t>Teaching Annual FTE</t>
  </si>
  <si>
    <t>Z05</t>
  </si>
  <si>
    <t>Other Annual FTE</t>
  </si>
  <si>
    <t>Z06</t>
  </si>
  <si>
    <t>Fixed Brought Forward Balances</t>
  </si>
  <si>
    <t>Z10</t>
  </si>
  <si>
    <t>Z11</t>
  </si>
  <si>
    <t>Free School Meals Pupil Numbers</t>
  </si>
  <si>
    <t>Z12</t>
  </si>
  <si>
    <t>Pupil Premium Pupil Numbers</t>
  </si>
  <si>
    <t>Not Applicable</t>
  </si>
  <si>
    <t>LedgerCode</t>
  </si>
  <si>
    <t>Primary</t>
  </si>
  <si>
    <t>Secondary</t>
  </si>
  <si>
    <t>Special</t>
  </si>
  <si>
    <t>LA</t>
  </si>
  <si>
    <t>SchoolLocalAuthorityCode</t>
  </si>
  <si>
    <t>SchoolLocalAuthorityEnabled</t>
  </si>
  <si>
    <t>HubIssues</t>
  </si>
  <si>
    <t>SchTypeIssue</t>
  </si>
  <si>
    <t>Blank Data</t>
  </si>
  <si>
    <t>Will Import if 0</t>
  </si>
  <si>
    <t>London Weighting Type</t>
  </si>
  <si>
    <t>School Type</t>
  </si>
  <si>
    <t>SchoolLocalAuthority</t>
  </si>
  <si>
    <t>SchoolCode</t>
  </si>
  <si>
    <t>SchoolHub</t>
  </si>
  <si>
    <t>SchoolType</t>
  </si>
  <si>
    <t>LondonWeighting</t>
  </si>
  <si>
    <t>UniqueReferenceNumber</t>
  </si>
  <si>
    <t>TeachingHours</t>
  </si>
  <si>
    <t>SchoolEnabled</t>
  </si>
  <si>
    <t>England &amp; Wales</t>
  </si>
  <si>
    <t>All</t>
  </si>
  <si>
    <t>Central</t>
  </si>
  <si>
    <t>FundIssue</t>
  </si>
  <si>
    <t>ActivityIssue</t>
  </si>
  <si>
    <t>LedgerIssue</t>
  </si>
  <si>
    <t>DepartmentCode</t>
  </si>
  <si>
    <t>AvailableToAllSchools</t>
  </si>
  <si>
    <t>SchoolCodes</t>
  </si>
  <si>
    <t>CustGrIssue</t>
  </si>
  <si>
    <t>SchCodeIssue</t>
  </si>
  <si>
    <t>DupCode</t>
  </si>
  <si>
    <t>DupDesc</t>
  </si>
  <si>
    <t>FCTypeIss</t>
  </si>
  <si>
    <t>London Weighting</t>
  </si>
  <si>
    <t>FinanceCode</t>
  </si>
  <si>
    <t>FinanceCodeTypeCode</t>
  </si>
  <si>
    <t>GroupingCode2</t>
  </si>
  <si>
    <t>CustomGrouping</t>
  </si>
  <si>
    <t>FinanceCodeEnabled</t>
  </si>
  <si>
    <t>DFC</t>
  </si>
  <si>
    <t>DFC Funding</t>
  </si>
  <si>
    <t>FUNDING</t>
  </si>
  <si>
    <t>FUNDING_01</t>
  </si>
  <si>
    <t>FUNDING_02</t>
  </si>
  <si>
    <t>FUNDING_03</t>
  </si>
  <si>
    <t>FUNDING_HNPOST16</t>
  </si>
  <si>
    <t>Funding Statement Unoccupied Post 16 Special Provision</t>
  </si>
  <si>
    <t>FUNDING_HNPRE16</t>
  </si>
  <si>
    <t>Funding Statement Unoccupied Pre 16 Special Provision</t>
  </si>
  <si>
    <t>FUNDING_HNPOST16O</t>
  </si>
  <si>
    <t>Funding Statement Occupied Post 16 Special Provision</t>
  </si>
  <si>
    <t>FUNDING_HNPRE16O</t>
  </si>
  <si>
    <t>Funding Statement Occupied Pre 16 Special Provision</t>
  </si>
  <si>
    <t>PE_GRANT</t>
  </si>
  <si>
    <t>PE Grant Allocation</t>
  </si>
  <si>
    <t>FUNDING_PUPPREM_PRI</t>
  </si>
  <si>
    <t>Pupil Premium Income Primary</t>
  </si>
  <si>
    <t>FUNDING_PUPPREM_SEC</t>
  </si>
  <si>
    <t>Pupil Premium Income Secondary</t>
  </si>
  <si>
    <t>FUNDING_PUPPREM_SER</t>
  </si>
  <si>
    <t>Pupil Premium Service Children Income</t>
  </si>
  <si>
    <t>FUNDED_FS</t>
  </si>
  <si>
    <t>Funded Pupil Numbers Foundation</t>
  </si>
  <si>
    <t>PUPILNUMBERS</t>
  </si>
  <si>
    <t>FUNDED_KS1</t>
  </si>
  <si>
    <t>Funded Pupil Numbers KS1</t>
  </si>
  <si>
    <t>FUNDED_KS2</t>
  </si>
  <si>
    <t>Funded Pupil Numbers KS2</t>
  </si>
  <si>
    <t>FUNDED_KS3</t>
  </si>
  <si>
    <t>Funded Pupil Numbers KS3</t>
  </si>
  <si>
    <t>FUNDED_KS4</t>
  </si>
  <si>
    <t>Funded Pupil Numbers KS4</t>
  </si>
  <si>
    <t>FUNDED_KS5</t>
  </si>
  <si>
    <t>Funded Pupil Numbers KS5</t>
  </si>
  <si>
    <t>FUNDED_PPPOST16O</t>
  </si>
  <si>
    <t>Occupied Post 16 Pupil Paces Special Provision</t>
  </si>
  <si>
    <t>FUNDED_PPPRE16O</t>
  </si>
  <si>
    <t>Occupied Pre 16 Pupil Places Special Provision</t>
  </si>
  <si>
    <t>FUNDED_PPPOST16</t>
  </si>
  <si>
    <t>Unoccupied Post 16 Pupil Paces Special Provision</t>
  </si>
  <si>
    <t>FUNDED_PPPRE16</t>
  </si>
  <si>
    <t>Unoccupied Pre 16 Pupil Places Special Provision</t>
  </si>
  <si>
    <t>PUPIL_CEN</t>
  </si>
  <si>
    <t>Nursery Census Pupil Numbers</t>
  </si>
  <si>
    <t>PUPIL_CEN_00</t>
  </si>
  <si>
    <t>Reception Census Pupil Numbers</t>
  </si>
  <si>
    <t>PUPIL_CEN_01</t>
  </si>
  <si>
    <t>Year 1 Census Pupil Numbers</t>
  </si>
  <si>
    <t>PUPIL_CEN_02</t>
  </si>
  <si>
    <t>Year 2 Census Pupil Numbers</t>
  </si>
  <si>
    <t>PUPIL_CEN_03</t>
  </si>
  <si>
    <t>Year 3 Census Pupil Numbers</t>
  </si>
  <si>
    <t>PUPIL_CEN_04</t>
  </si>
  <si>
    <t>Year 4 Census Pupil Numbers</t>
  </si>
  <si>
    <t>PUPIL_CEN_05</t>
  </si>
  <si>
    <t>Year 5 Census Pupil Numbers</t>
  </si>
  <si>
    <t>PUPIL_CEN_06</t>
  </si>
  <si>
    <t>Year 6 Census Pupil Numbers</t>
  </si>
  <si>
    <t>PUPIL_CEN_07</t>
  </si>
  <si>
    <t>Year 7 Census Pupil Numbers</t>
  </si>
  <si>
    <t>PUPIL_CEN_08</t>
  </si>
  <si>
    <t>Year 8 Census Pupil Numbers</t>
  </si>
  <si>
    <t>PUPIL_CEN_09</t>
  </si>
  <si>
    <t>Year 9 Census Pupil Numbers</t>
  </si>
  <si>
    <t>PUPIL_CEN_10</t>
  </si>
  <si>
    <t>Year 10 Census Pupil Numbers</t>
  </si>
  <si>
    <t>PUPIL_CEN_11</t>
  </si>
  <si>
    <t>Year 11 Census Pupil Numbers</t>
  </si>
  <si>
    <t>PUPIL_CEN_12</t>
  </si>
  <si>
    <t>Year 12 Census Pupil Numbers</t>
  </si>
  <si>
    <t>PUPIL_CEN_13</t>
  </si>
  <si>
    <t>Year 13 Census Pupil Numbers</t>
  </si>
  <si>
    <t>PUPILPREMIUM_PRI</t>
  </si>
  <si>
    <t>Pupil Premium Numbers Primary</t>
  </si>
  <si>
    <t>PUPILPREMIUM_SEC</t>
  </si>
  <si>
    <t>Pupil Premium Numbers Secondary</t>
  </si>
  <si>
    <t>PUPILPREMIUMSER</t>
  </si>
  <si>
    <t>Pupil Premium Service Children Numbers</t>
  </si>
  <si>
    <t>A_FTE_ADM</t>
  </si>
  <si>
    <t>STATISTICS</t>
  </si>
  <si>
    <t>A_FTE_CAT</t>
  </si>
  <si>
    <t>A_FTE_CLE</t>
  </si>
  <si>
    <t>A_FTE_COV</t>
  </si>
  <si>
    <t>A_FTE_EXT</t>
  </si>
  <si>
    <t>A_FTE_FSW</t>
  </si>
  <si>
    <t>A_FTE_INV</t>
  </si>
  <si>
    <t>A_FTE_LIB</t>
  </si>
  <si>
    <t>A_FTE_LST</t>
  </si>
  <si>
    <t>A_FTE_LSN</t>
  </si>
  <si>
    <t>A_FTE_MDS</t>
  </si>
  <si>
    <t>A_FTE_NUR</t>
  </si>
  <si>
    <t>A_FTE_OTH</t>
  </si>
  <si>
    <t>A_FTE_PRE</t>
  </si>
  <si>
    <t>A_FTE_TA</t>
  </si>
  <si>
    <t>A_FTE_TEA</t>
  </si>
  <si>
    <t>A_FTE_TEC</t>
  </si>
  <si>
    <t>BFWD_RES</t>
  </si>
  <si>
    <t>Brought Forward Reserves</t>
  </si>
  <si>
    <t>CENCHG</t>
  </si>
  <si>
    <t>Central Charge</t>
  </si>
  <si>
    <t>DFC_CORE</t>
  </si>
  <si>
    <t>DFC Core Amount</t>
  </si>
  <si>
    <t>DFC_PUPIL_POST16</t>
  </si>
  <si>
    <t xml:space="preserve">DFC Post16 Pupil </t>
  </si>
  <si>
    <t>DFC_PUPIL_PRI</t>
  </si>
  <si>
    <t xml:space="preserve">DFC Primary Pupil </t>
  </si>
  <si>
    <t>DFC_PUPIL_SEC</t>
  </si>
  <si>
    <t xml:space="preserve">DFC Secondary Pupil </t>
  </si>
  <si>
    <t>DFC_PUPIL_SPS</t>
  </si>
  <si>
    <t xml:space="preserve">DFC Special Pupil </t>
  </si>
  <si>
    <t>HNPFO_RATE</t>
  </si>
  <si>
    <t>Occupied High Needs Place Funding Per Pupil Rate</t>
  </si>
  <si>
    <t>HNPF_RATE</t>
  </si>
  <si>
    <t>LIVWAGE</t>
  </si>
  <si>
    <t>MINWAGE</t>
  </si>
  <si>
    <t>Fringe</t>
  </si>
  <si>
    <t>Inner</t>
  </si>
  <si>
    <t>Outer</t>
  </si>
  <si>
    <t>PEG_CORE</t>
  </si>
  <si>
    <t>PE Grant Core Amount</t>
  </si>
  <si>
    <t>PEG_PUPIL</t>
  </si>
  <si>
    <t xml:space="preserve">PE Grant Per Pupil </t>
  </si>
  <si>
    <t>PENS</t>
  </si>
  <si>
    <t>PUPLAC_RATE</t>
  </si>
  <si>
    <t>PUPPRI_RATE</t>
  </si>
  <si>
    <t>Pupil Premium Rate Primary</t>
  </si>
  <si>
    <t>PUPSEC_RATE</t>
  </si>
  <si>
    <t>Pupil Premium Rate Secondary</t>
  </si>
  <si>
    <t>PUPSER_RATE</t>
  </si>
  <si>
    <t>RPA_RATE</t>
  </si>
  <si>
    <t>Risk Protection Arrangement Insurance</t>
  </si>
  <si>
    <t>UPLIFT_ASCL</t>
  </si>
  <si>
    <t>ASCL Guidance on Non Staffing Uplifts</t>
  </si>
  <si>
    <t>UPLIFT_EXP</t>
  </si>
  <si>
    <t>Expenditure Uplifts</t>
  </si>
  <si>
    <t>UPLIFT_POST16</t>
  </si>
  <si>
    <t>Post 16 GAG Uplifts</t>
  </si>
  <si>
    <t>UPLIFT_GAG</t>
  </si>
  <si>
    <t>GAG Uplifts</t>
  </si>
  <si>
    <t>UPLIFT_INC</t>
  </si>
  <si>
    <t>Income Uplifts</t>
  </si>
  <si>
    <t>UPLIFT_PUPILPOST16%</t>
  </si>
  <si>
    <t>Pupil plus Post 16 GAG % Uplift</t>
  </si>
  <si>
    <t>UPLIFT_PUPILGAG%</t>
  </si>
  <si>
    <t>Pupil plus GAG % Uplift</t>
  </si>
  <si>
    <t>UPLIFT_PUPILINC%</t>
  </si>
  <si>
    <t>Pupil plus Income % Uplift</t>
  </si>
  <si>
    <t>UPLIFT_PUPILRPI%</t>
  </si>
  <si>
    <t>Pupil plus RPI % Uplift</t>
  </si>
  <si>
    <t>UPLIFT_PUPILEXP%</t>
  </si>
  <si>
    <t>Pupil plus Expenditure % Uplift</t>
  </si>
  <si>
    <t>UPLIFT_PUPILASCL%</t>
  </si>
  <si>
    <t>Pupil plus ASCL % Uplift</t>
  </si>
  <si>
    <t>UPLIFT_CPI</t>
  </si>
  <si>
    <t>CPI</t>
  </si>
  <si>
    <t>UPLIFT_RPI</t>
  </si>
  <si>
    <t>RPI</t>
  </si>
  <si>
    <t>WK_FTE_ADM</t>
  </si>
  <si>
    <t>WK_FTE_CAT</t>
  </si>
  <si>
    <t>WK_FTE_CLE</t>
  </si>
  <si>
    <t>WK_FTE_COV</t>
  </si>
  <si>
    <t>WK_FTE_EXT</t>
  </si>
  <si>
    <t>WK_FTE_FSW</t>
  </si>
  <si>
    <t>WK_FTE_INV</t>
  </si>
  <si>
    <t>WK_FTE_LIB</t>
  </si>
  <si>
    <t>WK_FTE_LST</t>
  </si>
  <si>
    <t>WK_FTE_LSN</t>
  </si>
  <si>
    <t>WK_FTE_MDS</t>
  </si>
  <si>
    <t>WK_FTE_NUR</t>
  </si>
  <si>
    <t>WK_FTE_OTH</t>
  </si>
  <si>
    <t>WK_FTE_PRE</t>
  </si>
  <si>
    <t>WK_FTE_TA</t>
  </si>
  <si>
    <t>WK_FTE_TEA</t>
  </si>
  <si>
    <t>WK_FTE_TEC</t>
  </si>
  <si>
    <t>CAP_BFWD_RES</t>
  </si>
  <si>
    <t>Fixed Capital Fund B/F Balances</t>
  </si>
  <si>
    <t>CAPITALFUND</t>
  </si>
  <si>
    <t>REV_BFWD_RES</t>
  </si>
  <si>
    <t>Fixed Revenue Fund B/F Balances</t>
  </si>
  <si>
    <t>REVENUEFUND</t>
  </si>
  <si>
    <t>Totals 100</t>
  </si>
  <si>
    <t>No Blanks</t>
  </si>
  <si>
    <t>Period01Percentage</t>
  </si>
  <si>
    <t>Period02Percentage</t>
  </si>
  <si>
    <t>Period03Percentage</t>
  </si>
  <si>
    <t>Period04Percentage</t>
  </si>
  <si>
    <t>Period05Percentage</t>
  </si>
  <si>
    <t>Period06Percentage</t>
  </si>
  <si>
    <t>Period07Percentage</t>
  </si>
  <si>
    <t>Period08Percentage</t>
  </si>
  <si>
    <t>Period09Percentage</t>
  </si>
  <si>
    <t>Period10Percentage</t>
  </si>
  <si>
    <t>Period11Percentage</t>
  </si>
  <si>
    <t>Period12Percentage</t>
  </si>
  <si>
    <t>Enabled</t>
  </si>
  <si>
    <t>01.SEPT</t>
  </si>
  <si>
    <t>September</t>
  </si>
  <si>
    <t>02.OCT</t>
  </si>
  <si>
    <t>October</t>
  </si>
  <si>
    <t>03.NOV</t>
  </si>
  <si>
    <t>November</t>
  </si>
  <si>
    <t>04.DEC</t>
  </si>
  <si>
    <t>December</t>
  </si>
  <si>
    <t>05.JAN</t>
  </si>
  <si>
    <t>January</t>
  </si>
  <si>
    <t>06.FEB</t>
  </si>
  <si>
    <t>February</t>
  </si>
  <si>
    <t>07.MAR</t>
  </si>
  <si>
    <t>March</t>
  </si>
  <si>
    <t>08.APR</t>
  </si>
  <si>
    <t>April</t>
  </si>
  <si>
    <t>09.MAY</t>
  </si>
  <si>
    <t>May</t>
  </si>
  <si>
    <t>10.JUN</t>
  </si>
  <si>
    <t>June</t>
  </si>
  <si>
    <t>11.JUL</t>
  </si>
  <si>
    <t>July</t>
  </si>
  <si>
    <t>12.AUG</t>
  </si>
  <si>
    <t>August</t>
  </si>
  <si>
    <t>M05_APR-AUG</t>
  </si>
  <si>
    <t>April to August</t>
  </si>
  <si>
    <t>M07_SEP-MAR</t>
  </si>
  <si>
    <t>September to March</t>
  </si>
  <si>
    <t>M11_SEP-JUL</t>
  </si>
  <si>
    <t>September to July</t>
  </si>
  <si>
    <t>MONTHLY</t>
  </si>
  <si>
    <t>Monthly</t>
  </si>
  <si>
    <t>QTRLY.01-SEPT</t>
  </si>
  <si>
    <t>Quarterly From September</t>
  </si>
  <si>
    <t>QTRLY.02-OCT</t>
  </si>
  <si>
    <t>Quarterly From October</t>
  </si>
  <si>
    <t>QTRLY.03-NOV</t>
  </si>
  <si>
    <t>Quarterly From November</t>
  </si>
  <si>
    <t>TERMLY</t>
  </si>
  <si>
    <t>Termly</t>
  </si>
  <si>
    <t>Finance Code Issue</t>
  </si>
  <si>
    <t>Will import if 0</t>
  </si>
  <si>
    <t>CalculatorCode</t>
  </si>
  <si>
    <t>SourceSelectAllSchools</t>
  </si>
  <si>
    <t>SourceSelectAllFunds</t>
  </si>
  <si>
    <t>SourceSelectAllDepartments</t>
  </si>
  <si>
    <t>SourceDepartmentsAcrossLedgers</t>
  </si>
  <si>
    <t>SourceIncludeScenarioRow</t>
  </si>
  <si>
    <t>SourceUseLastYear</t>
  </si>
  <si>
    <t>SourceSchoolLocalAuthority</t>
  </si>
  <si>
    <t>SourceConstant</t>
  </si>
  <si>
    <t>SourceSchoolHubSelectedScenarioRow</t>
  </si>
  <si>
    <t>SourceSchoolTypeSelectedScenarioRow</t>
  </si>
  <si>
    <t>SourceFinanceCodes</t>
  </si>
  <si>
    <t>DivisorSelectAllSchools</t>
  </si>
  <si>
    <t>DivisorSelectAllFunds</t>
  </si>
  <si>
    <t>DivisorSelectAllDepartments</t>
  </si>
  <si>
    <t>DivisorDepartmentsAcrossLedgers</t>
  </si>
  <si>
    <t>DivisorIncludeScenarioRow</t>
  </si>
  <si>
    <t>DivisorUseLastYear</t>
  </si>
  <si>
    <t>DivisorSchoolLocalAuthority</t>
  </si>
  <si>
    <t>DivisorConstant</t>
  </si>
  <si>
    <t>DivisorSchoolHubSelectedScenarioRow</t>
  </si>
  <si>
    <t>DivisorSchoolTypeSelectedScenarioRow</t>
  </si>
  <si>
    <t>DivisorFinanceCodes</t>
  </si>
  <si>
    <t>MultiplierSelectAllSchools</t>
  </si>
  <si>
    <t>MultiplierSelectAllFunds</t>
  </si>
  <si>
    <t>MultiplierSelectAllDepartments</t>
  </si>
  <si>
    <t>MultiplierDepartmentsAcrossLedgers</t>
  </si>
  <si>
    <t>MultiplierIncludeScenarioRow</t>
  </si>
  <si>
    <t>MultiplierUseLastYear</t>
  </si>
  <si>
    <t>MultiplierSchoolLocalAuthority</t>
  </si>
  <si>
    <t>MultiplierConstant</t>
  </si>
  <si>
    <t>MultiplierSchoolHubSelectedScenarioRow</t>
  </si>
  <si>
    <t>MultiplierSchoolTypeSelectedScenarioRow</t>
  </si>
  <si>
    <t>MultiplierFinanceCodes</t>
  </si>
  <si>
    <t>CalculatorEnabled</t>
  </si>
  <si>
    <t>CalculatorLockRows</t>
  </si>
  <si>
    <t>0%_CALC</t>
  </si>
  <si>
    <t>No Uplift</t>
  </si>
  <si>
    <t>1%_CALC</t>
  </si>
  <si>
    <t>1% Uplift</t>
  </si>
  <si>
    <t>2%_CALC</t>
  </si>
  <si>
    <t>2% Uplift</t>
  </si>
  <si>
    <t>3%_CALC</t>
  </si>
  <si>
    <t>3% Uplift</t>
  </si>
  <si>
    <t>4%_CALC</t>
  </si>
  <si>
    <t>4% Uplift</t>
  </si>
  <si>
    <t>5%_CALC</t>
  </si>
  <si>
    <t>5% Uplift</t>
  </si>
  <si>
    <t>CENTRALCHG_MAT</t>
  </si>
  <si>
    <t>Central Charge MAT</t>
  </si>
  <si>
    <t>CENTRALCHG_SCH</t>
  </si>
  <si>
    <t>Central Charge SCH</t>
  </si>
  <si>
    <t>DFC Core funding</t>
  </si>
  <si>
    <t>DFC Post 16 Per pupil</t>
  </si>
  <si>
    <t>DFC Primary Per pupil</t>
  </si>
  <si>
    <t>DFC Secondary Per pupil</t>
  </si>
  <si>
    <t>DFC Special Per pupil</t>
  </si>
  <si>
    <t>Funded Pupils Foundation</t>
  </si>
  <si>
    <t>Funded Pupils KS1</t>
  </si>
  <si>
    <t>Funded Pupils KS2</t>
  </si>
  <si>
    <t>Funded Pupils KS3</t>
  </si>
  <si>
    <t>Funded Pupils KS4</t>
  </si>
  <si>
    <t>Funded Pupils KS5</t>
  </si>
  <si>
    <t xml:space="preserve">Total High Needs Post 16 Occupied </t>
  </si>
  <si>
    <t>Total High Needs Pre 16 Occupied</t>
  </si>
  <si>
    <t xml:space="preserve">Total High Needs Post 16 Unoccupied </t>
  </si>
  <si>
    <t>Total High Needs Pre 16 Unoccupied</t>
  </si>
  <si>
    <t>HNPF_POST16O</t>
  </si>
  <si>
    <t xml:space="preserve">Total HN Place Post 16 Occupied </t>
  </si>
  <si>
    <t>HNPF_PRE16O</t>
  </si>
  <si>
    <t>Total HN Place Pre 16 Occupied</t>
  </si>
  <si>
    <t>HNPF_POST16</t>
  </si>
  <si>
    <t>Total HN Place Post 16 Unoccupied</t>
  </si>
  <si>
    <t>HNPF_PRE16</t>
  </si>
  <si>
    <t>Total HN Place Pre 16 Unoccupied</t>
  </si>
  <si>
    <t>UPLIFT_KS1INYR</t>
  </si>
  <si>
    <t>Uplift by KS1 In Year Pupils</t>
  </si>
  <si>
    <t>UPLIFT_KS2INYR</t>
  </si>
  <si>
    <t>Uplift by KS2 In Year Pupils</t>
  </si>
  <si>
    <t>UPLIFT_KS3INYR</t>
  </si>
  <si>
    <t>Uplift by KS3 In Year Pupils</t>
  </si>
  <si>
    <t>UPLIFT_KS4INYR</t>
  </si>
  <si>
    <t>Uplift by KS4 In Year Pupils</t>
  </si>
  <si>
    <t>UPLIFT_KS5INYR</t>
  </si>
  <si>
    <t>Uplift by KS5 In Year Pupils</t>
  </si>
  <si>
    <t>UPLIFT_KS1FUNDED</t>
  </si>
  <si>
    <t>Uplift by KS1 Funded</t>
  </si>
  <si>
    <t>UPLIFT_KS2FUNDED</t>
  </si>
  <si>
    <t>Uplift by KS2 Funded</t>
  </si>
  <si>
    <t>UPLIFT_KS3FUNDED</t>
  </si>
  <si>
    <t>Uplift by KS3 Funded</t>
  </si>
  <si>
    <t>UPLIFT_KS4FUNDED</t>
  </si>
  <si>
    <t>Uplift by KS4 Funded</t>
  </si>
  <si>
    <t>UPLIFT_KS5FUNDED</t>
  </si>
  <si>
    <t>Uplift by KS5 Funded</t>
  </si>
  <si>
    <t>LEVY_CALC</t>
  </si>
  <si>
    <t>PAYGRANT_TOTAL</t>
  </si>
  <si>
    <t>PE Grant Core</t>
  </si>
  <si>
    <t>PE Grant Per pupil</t>
  </si>
  <si>
    <t>PENSGRANT_TOTAL</t>
  </si>
  <si>
    <t>PUPPREMIUM_FACTOR</t>
  </si>
  <si>
    <t>Pupil Premium Uplift Factor</t>
  </si>
  <si>
    <t>UPLIFT_PUPILINYR</t>
  </si>
  <si>
    <t>Pupil Uplift In Year</t>
  </si>
  <si>
    <t>UPLIFT_PUPILFUNDED</t>
  </si>
  <si>
    <t>Pupil Uplift Funded</t>
  </si>
  <si>
    <t>PUPILASCL_FACTOR</t>
  </si>
  <si>
    <t>Pupil and ASCL Factor</t>
  </si>
  <si>
    <t>PUPILEXP_FACTOR</t>
  </si>
  <si>
    <t>Pupil and Expenditure Factor</t>
  </si>
  <si>
    <t>PUPILPOST16_FACTOR</t>
  </si>
  <si>
    <t>Pupil and GAG Post 16Factor</t>
  </si>
  <si>
    <t>PUPILGAG_FACTOR</t>
  </si>
  <si>
    <t>Pupil and GAG Factor</t>
  </si>
  <si>
    <t>PUPILINC_FACTOR</t>
  </si>
  <si>
    <t>Pupil and Income Factor</t>
  </si>
  <si>
    <t>PUPILRPI_FACTOR</t>
  </si>
  <si>
    <t>Pupil and RPI Factor</t>
  </si>
  <si>
    <t>PUPILY00_LY</t>
  </si>
  <si>
    <t>Reception Pupils LY</t>
  </si>
  <si>
    <t>PUPILY01_LY</t>
  </si>
  <si>
    <t>Y1 Pupil LY</t>
  </si>
  <si>
    <t>PUPILY02_LY</t>
  </si>
  <si>
    <t>Y2 Pupil LY</t>
  </si>
  <si>
    <t>PUPILY03_LY</t>
  </si>
  <si>
    <t>Y3 Pupil LY</t>
  </si>
  <si>
    <t>PUPILY04_LY</t>
  </si>
  <si>
    <t>Y4 Pupil LY</t>
  </si>
  <si>
    <t>PUPILY05_LY</t>
  </si>
  <si>
    <t>Y5 Pupil LY</t>
  </si>
  <si>
    <t>PUPILY06_LY</t>
  </si>
  <si>
    <t>Y6 Pupil LY</t>
  </si>
  <si>
    <t>PUPILY07_LY</t>
  </si>
  <si>
    <t>Y7 Pupil LY</t>
  </si>
  <si>
    <t>PUPILY08_LY</t>
  </si>
  <si>
    <t>Y8 Pupil LY</t>
  </si>
  <si>
    <t>PUPILY09_LY</t>
  </si>
  <si>
    <t>Y9 Pupil LY</t>
  </si>
  <si>
    <t>PUPILY10_LY</t>
  </si>
  <si>
    <t>Y10 Pupil LY</t>
  </si>
  <si>
    <t>PUPILY11_LY</t>
  </si>
  <si>
    <t>Y11 Pupil LY</t>
  </si>
  <si>
    <t>PUPILY12_LY</t>
  </si>
  <si>
    <t>Y12 Pupil LY</t>
  </si>
  <si>
    <t>PUPILY13_LY</t>
  </si>
  <si>
    <t>Y13 Pupil LY</t>
  </si>
  <si>
    <t>PUPILYNN_LY</t>
  </si>
  <si>
    <t>Nursery Pupils LY</t>
  </si>
  <si>
    <t>PUPINCOME_PRI</t>
  </si>
  <si>
    <t>PP Income Primary</t>
  </si>
  <si>
    <t>PUPINCOME_SEC</t>
  </si>
  <si>
    <t>PP Income Secondary</t>
  </si>
  <si>
    <t>PUPSERINCOME</t>
  </si>
  <si>
    <t>PP SER Income</t>
  </si>
  <si>
    <t>RPA_CALC</t>
  </si>
  <si>
    <t>RPA</t>
  </si>
  <si>
    <t>RPI_PUPIL_UPLIFT</t>
  </si>
  <si>
    <t>RPI Uplift % and Pupils</t>
  </si>
  <si>
    <t>TOTAL_PEG</t>
  </si>
  <si>
    <t xml:space="preserve">Total PE Grant </t>
  </si>
  <si>
    <t>UIFSM_CALC</t>
  </si>
  <si>
    <t>ASCL Guidance non staffing</t>
  </si>
  <si>
    <t>UPLIFT_ASCL_PUPIL</t>
  </si>
  <si>
    <t>ASCL Uplift % and Pupils</t>
  </si>
  <si>
    <t>UPLIFT_EXP_PUPIL</t>
  </si>
  <si>
    <t>Expenditure Uplift % and Pupils</t>
  </si>
  <si>
    <t>GAG Uplift %</t>
  </si>
  <si>
    <t>UPLIFT_GAG_PUPIL</t>
  </si>
  <si>
    <t>GAG Uplift % and Pupils</t>
  </si>
  <si>
    <t>UPLIFT_INC_PUPIL</t>
  </si>
  <si>
    <t>Income Uplift % and Pupils</t>
  </si>
  <si>
    <t>Uplift by CPI</t>
  </si>
  <si>
    <t>Uplift by RPI</t>
  </si>
  <si>
    <t>UIFSM_FACTOR</t>
  </si>
  <si>
    <t>UIFSM Uplift Factor</t>
  </si>
  <si>
    <t>Post 16 GAG Uplift %</t>
  </si>
  <si>
    <t>UPLIFT_POST16_PUPIL</t>
  </si>
  <si>
    <t>Post 16 GAG Uplift % and Pupils</t>
  </si>
  <si>
    <t>PUP_PREM_PRI_5/12</t>
  </si>
  <si>
    <t>Pupil Premium Primary 5/12ths Apr-Aug</t>
  </si>
  <si>
    <t>PUP_PREM_PRI_7/12</t>
  </si>
  <si>
    <t>Pupil Premium Primary 7/12ths Sep-Mar</t>
  </si>
  <si>
    <t>PUP_PREM_SEC_5/12</t>
  </si>
  <si>
    <t>Pupil Premium Secondary 5/12ths Apr-Aug</t>
  </si>
  <si>
    <t>PUP_PREM_SEC_7/12</t>
  </si>
  <si>
    <t>Pupil Premium Secondary 7/12ths Sep-Mar</t>
  </si>
  <si>
    <t>PUP_PREM_LAC_5/12</t>
  </si>
  <si>
    <t>PUP_PREM_LAC_7/12</t>
  </si>
  <si>
    <t>PUP_PREM_SER_5/12</t>
  </si>
  <si>
    <t>Pupil Premium Service 5/12ths Apr-Aug</t>
  </si>
  <si>
    <t>PUP_PREM_SER_7/12</t>
  </si>
  <si>
    <t>Pupil Premium Service 7/12ths Sep-Mar</t>
  </si>
  <si>
    <t>FinCodeIssue</t>
  </si>
  <si>
    <t>CalcCodeIssue</t>
  </si>
  <si>
    <t>CalculatorCode2</t>
  </si>
  <si>
    <t>ScenarioCode</t>
  </si>
  <si>
    <t>2022/23</t>
  </si>
  <si>
    <t>StaffRoleGroupCode</t>
  </si>
  <si>
    <t>GrossSalaryFinanceCode</t>
  </si>
  <si>
    <t>LeaveRebateFinanceCode</t>
  </si>
  <si>
    <t>AllowanceTypesFinanceCode</t>
  </si>
  <si>
    <t>AdjustmentsFinanceCode</t>
  </si>
  <si>
    <t>MinimumWageTopupFinanceCode</t>
  </si>
  <si>
    <t>LivingWageTopupFinanceCode</t>
  </si>
  <si>
    <t>EmployersNiFinanceCode</t>
  </si>
  <si>
    <t>PensionFinanceCode</t>
  </si>
  <si>
    <t>OptOutPensionFinanceCode</t>
  </si>
  <si>
    <t>OtherSalaryCostsFinanceCode</t>
  </si>
  <si>
    <t>WeeklyFteFinanceCode</t>
  </si>
  <si>
    <t>AnnualFteFinanceCode</t>
  </si>
  <si>
    <t>TeachingRoleGroup</t>
  </si>
  <si>
    <t>StaffRoleGroupEnabled</t>
  </si>
  <si>
    <t>IncrementCount</t>
  </si>
  <si>
    <t>LST</t>
  </si>
  <si>
    <t>Staff Costs - Leadership Teaching-Wages and salaries</t>
  </si>
  <si>
    <t>LSN</t>
  </si>
  <si>
    <t>Staff Costs - Leadership Non-Teaching-Wages and salaries</t>
  </si>
  <si>
    <t>TEA</t>
  </si>
  <si>
    <t>Staff Costs - Teachers-Wages and salaries</t>
  </si>
  <si>
    <t>TA</t>
  </si>
  <si>
    <t>Staff Costs - Teaching Assistants-Wages and salaries</t>
  </si>
  <si>
    <t>LIB</t>
  </si>
  <si>
    <t>Staff Costs - Librarians-Wages and salaries</t>
  </si>
  <si>
    <t>TEC</t>
  </si>
  <si>
    <t>Staff Costs - Technicians-Wages and salaries</t>
  </si>
  <si>
    <t>ADM</t>
  </si>
  <si>
    <t>Staff Costs - Finance and Admin-Wages and salaries</t>
  </si>
  <si>
    <t>PRE</t>
  </si>
  <si>
    <t>Staff Costs - Site Staff-Wages and salaries</t>
  </si>
  <si>
    <t>CLE</t>
  </si>
  <si>
    <t>Staff Costs - Cleaning Staff-Wages and salaries</t>
  </si>
  <si>
    <t>CAT</t>
  </si>
  <si>
    <t>Staff Costs - Catering Staff-Wages and salaries</t>
  </si>
  <si>
    <t>MDS</t>
  </si>
  <si>
    <t>Staff Costs - Midday Supervisors-Wages and salaries</t>
  </si>
  <si>
    <t>StaffMemberCode</t>
  </si>
  <si>
    <t>DepartmentIssue</t>
  </si>
  <si>
    <t>StaffRoleCode</t>
  </si>
  <si>
    <t>MatEditOnly</t>
  </si>
  <si>
    <t>DuplicateLine</t>
  </si>
  <si>
    <t>FinanceCodeIssue</t>
  </si>
  <si>
    <t>LocationIssue</t>
  </si>
  <si>
    <t>MonthProfileIssue</t>
  </si>
  <si>
    <t>FC/DEP Ledger Issue</t>
  </si>
  <si>
    <t>True/False Cal Issue</t>
  </si>
  <si>
    <t>Calc Issue</t>
  </si>
  <si>
    <t>MonthProfileCode</t>
  </si>
  <si>
    <t>Description</t>
  </si>
  <si>
    <t>YearNotes</t>
  </si>
  <si>
    <t>FinancialYearCode</t>
  </si>
  <si>
    <t>Calculated</t>
  </si>
  <si>
    <t>YearValue</t>
  </si>
  <si>
    <t>Central Charge % Rate</t>
  </si>
  <si>
    <t>High Needs Place Funding Per Pupil Rate</t>
  </si>
  <si>
    <t>2019/20</t>
  </si>
  <si>
    <t>PE Grant Core Rate</t>
  </si>
  <si>
    <t>PE Grant Per Pupil Rate</t>
  </si>
  <si>
    <t>Pupil Premium SER Rate</t>
  </si>
  <si>
    <t>2023/24</t>
  </si>
  <si>
    <t>DFC Core</t>
  </si>
  <si>
    <t>Pupil Post 16 GAG Uplift %</t>
  </si>
  <si>
    <t>Pupil GAG Uplift %</t>
  </si>
  <si>
    <t>Pupil RPI Uplift %</t>
  </si>
  <si>
    <t>Pupil Expenditure Uplift %</t>
  </si>
  <si>
    <t>Pupil ASCL Uplift %</t>
  </si>
  <si>
    <t>Income Uplift %</t>
  </si>
  <si>
    <t>Expenditure Uplift %</t>
  </si>
  <si>
    <t>Pupil Income Uplift %</t>
  </si>
  <si>
    <t>ContractReference</t>
  </si>
  <si>
    <t>ContractDateFrom</t>
  </si>
  <si>
    <t>ContractDateTo</t>
  </si>
  <si>
    <t>FundingType</t>
  </si>
  <si>
    <t>School</t>
  </si>
  <si>
    <t>Department</t>
  </si>
  <si>
    <t>2024/25</t>
  </si>
  <si>
    <t>NON-GAG</t>
  </si>
  <si>
    <t>Nursery Pupil Numbers</t>
  </si>
  <si>
    <t>GAG</t>
  </si>
  <si>
    <t>Reception Pupil Numbers</t>
  </si>
  <si>
    <t>Year 1 Pupil Numbers</t>
  </si>
  <si>
    <t>Year 2 Pupil Numbers</t>
  </si>
  <si>
    <t>Year 3 Pupil Numbers</t>
  </si>
  <si>
    <t>Year 4 Pupil Numbers</t>
  </si>
  <si>
    <t>Year 5 Pupil Numbers</t>
  </si>
  <si>
    <t>Year 6 Pupil Numbers</t>
  </si>
  <si>
    <t>Year 7 Pupil Numbers</t>
  </si>
  <si>
    <t>Year 8 Pupil Numbers</t>
  </si>
  <si>
    <t>Year 9 Pupil Numbers</t>
  </si>
  <si>
    <t>Year 10 Pupil Numbers</t>
  </si>
  <si>
    <t>Year 11 Pupil Numbers</t>
  </si>
  <si>
    <t>Year 12 Pupil Numbers</t>
  </si>
  <si>
    <t>Year 13 Pupil Numbers</t>
  </si>
  <si>
    <t>Post 16 Pupil Places Special Provision</t>
  </si>
  <si>
    <t>Pre 16 Pupil Places Special Provision</t>
  </si>
  <si>
    <t>Funded Pupil Premium Numbers Primary</t>
  </si>
  <si>
    <t>Funded Pupil Premium Numbers Secondary</t>
  </si>
  <si>
    <t>Funded Pupil Premium Service Numbers</t>
  </si>
  <si>
    <t>LUMP_SEC</t>
  </si>
  <si>
    <t>Post 16 High Needs</t>
  </si>
  <si>
    <t>LUMP_PRI</t>
  </si>
  <si>
    <t>PE Grant Per Pupil</t>
  </si>
  <si>
    <t>Pre 16 High Needs</t>
  </si>
  <si>
    <t>DFC Per Pupil Primary</t>
  </si>
  <si>
    <t>DFC Per Pupil Secondary</t>
  </si>
  <si>
    <t>DFC Per Pupil Post 16</t>
  </si>
  <si>
    <t>DFC Special</t>
  </si>
  <si>
    <t>FundCodeCheck</t>
  </si>
  <si>
    <t>Central Contribution from Schools</t>
  </si>
  <si>
    <t>PE Grant</t>
  </si>
  <si>
    <t>SCA Grant</t>
  </si>
  <si>
    <t>Central Charge School</t>
  </si>
  <si>
    <t>RPA Insurance</t>
  </si>
  <si>
    <t>Brought Forward Balance Capital</t>
  </si>
  <si>
    <t>Brought Forward Balance Revenue</t>
  </si>
  <si>
    <t>Import Errors</t>
  </si>
  <si>
    <t>Rows</t>
  </si>
  <si>
    <t>YearValues</t>
  </si>
  <si>
    <t>Tab</t>
  </si>
  <si>
    <t>Sum of Will Import if 0</t>
  </si>
  <si>
    <t>Count of FinanceCode</t>
  </si>
  <si>
    <t>ApBud</t>
  </si>
  <si>
    <t>Expenditure</t>
  </si>
  <si>
    <t>Statistics</t>
  </si>
  <si>
    <t>Funding</t>
  </si>
  <si>
    <t>PupilNum</t>
  </si>
  <si>
    <t>Income</t>
  </si>
  <si>
    <t>Grand Total</t>
  </si>
  <si>
    <t>BFBalances</t>
  </si>
  <si>
    <t>LA1</t>
  </si>
  <si>
    <t/>
  </si>
  <si>
    <t>LA2</t>
  </si>
  <si>
    <t>LA3</t>
  </si>
  <si>
    <t>LA4</t>
  </si>
  <si>
    <t>LA5</t>
  </si>
  <si>
    <t>LA6</t>
  </si>
  <si>
    <t>Tab Name</t>
  </si>
  <si>
    <t>Export</t>
  </si>
  <si>
    <t>Ready for Import</t>
  </si>
  <si>
    <t>1 = Yes 0 = No</t>
  </si>
  <si>
    <t>0 = Yes 1 = No</t>
  </si>
  <si>
    <t>BUDGET</t>
  </si>
  <si>
    <t>SP: Non-educ contracts: Legal - Other</t>
  </si>
  <si>
    <t>DFC Post16 Pupil</t>
  </si>
  <si>
    <t>DFC Primary Pupil</t>
  </si>
  <si>
    <t>DFC Secondary Pupil</t>
  </si>
  <si>
    <t>KS3</t>
  </si>
  <si>
    <t>Finance Code Types</t>
  </si>
  <si>
    <t>Checklist:</t>
  </si>
  <si>
    <t>Yes/no:</t>
  </si>
  <si>
    <t>Years</t>
  </si>
  <si>
    <t>Not Started</t>
  </si>
  <si>
    <t>Yes</t>
  </si>
  <si>
    <t>RED</t>
  </si>
  <si>
    <t>Now</t>
  </si>
  <si>
    <t>In Progress</t>
  </si>
  <si>
    <t>AMBER</t>
  </si>
  <si>
    <t>Later</t>
  </si>
  <si>
    <t>Import Ready</t>
  </si>
  <si>
    <t>GREEN</t>
  </si>
  <si>
    <t>Completed</t>
  </si>
  <si>
    <t>Awaiting Customer</t>
  </si>
  <si>
    <t>2025/26</t>
  </si>
  <si>
    <t>Awaiting Sales</t>
  </si>
  <si>
    <t>2026/27</t>
  </si>
  <si>
    <t>N/A</t>
  </si>
  <si>
    <t>PUPIL_CEN_14</t>
  </si>
  <si>
    <t>LEVY_ALL</t>
  </si>
  <si>
    <t>FUNDED_PRI_ADJ</t>
  </si>
  <si>
    <t>FUNDED_KS3_ADJ</t>
  </si>
  <si>
    <t>FUNDED_KS4_ADJ</t>
  </si>
  <si>
    <t>FUNDED_KS5_ADJ</t>
  </si>
  <si>
    <t>Funding Statement Adjustment Primary</t>
  </si>
  <si>
    <t>Funding Statement Adjustment KS3</t>
  </si>
  <si>
    <t>Funding Statement Adjustment KS5</t>
  </si>
  <si>
    <t>Funding Statement Adjustment KS4</t>
  </si>
  <si>
    <t>UPLIFT_FSINYR</t>
  </si>
  <si>
    <t>Uplift by Foundation In Year Pupils</t>
  </si>
  <si>
    <t>UPLIFT_FSFUNDED</t>
  </si>
  <si>
    <t>Uplift by Foundation Funded</t>
  </si>
  <si>
    <t>REV/CAP_REVERSAL</t>
  </si>
  <si>
    <t>REV/CAP_reversal</t>
  </si>
  <si>
    <t>DFC_PUPIL_NUR</t>
  </si>
  <si>
    <t xml:space="preserve">DFC Primary Nursery </t>
  </si>
  <si>
    <t>DFC Nursery Per pupil</t>
  </si>
  <si>
    <t xml:space="preserve">DFC Nursery Pupil </t>
  </si>
  <si>
    <t>DFC Per Pupil Nursery</t>
  </si>
  <si>
    <t>PUPIL_SPRING_NUR</t>
  </si>
  <si>
    <t>PUPIL_SPRING_KS1</t>
  </si>
  <si>
    <t>PUPIL_SPRING_KS2</t>
  </si>
  <si>
    <t>PUPIL_SPRING_KS3</t>
  </si>
  <si>
    <t>PUPIL_SPRING_KS4</t>
  </si>
  <si>
    <t>PUPIL_SPRING_KS5</t>
  </si>
  <si>
    <t>PUPIL_SPRING_FS</t>
  </si>
  <si>
    <t>Nursery Spring Census Pupil Numbers</t>
  </si>
  <si>
    <t>Foundation Spring Census Pupil Numbers</t>
  </si>
  <si>
    <t>KS1 Spring Census Pupil Numbers</t>
  </si>
  <si>
    <t>KS2 Spring Census Pupil Numbers</t>
  </si>
  <si>
    <t>KS3 Spring Census Pupil Numbers</t>
  </si>
  <si>
    <t>KS4 Spring Census Pupil Numbers</t>
  </si>
  <si>
    <t>KS5 Spring Census Pupil Numbers</t>
  </si>
  <si>
    <t>TOTAL_DFC_5/12</t>
  </si>
  <si>
    <t>TOTAL_DFC_7/12</t>
  </si>
  <si>
    <t>Total DFC 5/12ths Apr-Aug</t>
  </si>
  <si>
    <t>Total DFC 7/12ths Sep-Mar</t>
  </si>
  <si>
    <t>DFC Grant - 5/12ths Apr - Aug</t>
  </si>
  <si>
    <t>DFC Grant - 7/12ths Sep - Mar</t>
  </si>
  <si>
    <t>Apprentice Allowance</t>
  </si>
  <si>
    <t xml:space="preserve">AWPU Rate KS3 </t>
  </si>
  <si>
    <t xml:space="preserve">AWPU Rate KS4 </t>
  </si>
  <si>
    <t xml:space="preserve">AWPU Rate Primary </t>
  </si>
  <si>
    <t xml:space="preserve">Lump Sum Rate Primary </t>
  </si>
  <si>
    <t xml:space="preserve">Lump Sum Rate Secondary </t>
  </si>
  <si>
    <t>AllThrough</t>
  </si>
  <si>
    <t xml:space="preserve">Lump Sum Primary </t>
  </si>
  <si>
    <t xml:space="preserve">Lump Sum Secondary </t>
  </si>
  <si>
    <t>AWPU-KS3-</t>
  </si>
  <si>
    <t>AWPU-KS4 -</t>
  </si>
  <si>
    <t>AWPU-PRI-</t>
  </si>
  <si>
    <t>PUPIL_UIFSM_JAN</t>
  </si>
  <si>
    <t>Pupils taking UIFSM in January Census</t>
  </si>
  <si>
    <t>PUPIL_UIFSM_OCT</t>
  </si>
  <si>
    <t>Pupils taking UIFSM in October Census</t>
  </si>
  <si>
    <t>UIFSM_FIN</t>
  </si>
  <si>
    <t>UIFSM - Final Payment</t>
  </si>
  <si>
    <t>UIFSM_PRO</t>
  </si>
  <si>
    <t>UIFSM Provisional Allocation</t>
  </si>
  <si>
    <t>UIFSM Final Allocation</t>
  </si>
  <si>
    <t>FUNDED_PRI</t>
  </si>
  <si>
    <t>Funded Pupil Numbers Primary Total</t>
  </si>
  <si>
    <t>Funded Pupils Primary Total</t>
  </si>
  <si>
    <t>Foundation Spring Census from Oct numbers</t>
  </si>
  <si>
    <t>KS1 Spring Census from Oct numbers</t>
  </si>
  <si>
    <t>KS2 Spring Census from Oct numbers</t>
  </si>
  <si>
    <t>KS3 Spring Census from Oct numbers</t>
  </si>
  <si>
    <t>KS4 Spring Census from Oct numbers</t>
  </si>
  <si>
    <t>KS5 Spring Census from Oct numbers</t>
  </si>
  <si>
    <t>Nursery Spring Census from Oct numbers</t>
  </si>
  <si>
    <t>UIFSM_RATE_PRO</t>
  </si>
  <si>
    <t>UIFSM Per Pupil Per Annum (Provisional)</t>
  </si>
  <si>
    <t>UIFSM_RATE_FIN</t>
  </si>
  <si>
    <t>UIFSM Per Pupil Per Annum (Final)</t>
  </si>
  <si>
    <t>UIFSM Per Pupil Per Annum(Provisional)</t>
  </si>
  <si>
    <t>UIFSM_PRO_CALC</t>
  </si>
  <si>
    <t>UIFSM - Provisional calc</t>
  </si>
  <si>
    <t>UIFSM_TOTAL</t>
  </si>
  <si>
    <t>UIFSM Total</t>
  </si>
  <si>
    <t xml:space="preserve">Total AWPU KS3 </t>
  </si>
  <si>
    <t xml:space="preserve">Total AWPU KS4 </t>
  </si>
  <si>
    <t xml:space="preserve">Total AWPU PRI </t>
  </si>
  <si>
    <t>FUNDING_GAG</t>
  </si>
  <si>
    <t>FUNDING_16_19</t>
  </si>
  <si>
    <t>RPA_SPE_CALC</t>
  </si>
  <si>
    <t>RPA Special Schools</t>
  </si>
  <si>
    <t>Year 14 Census Pupil Numbers</t>
  </si>
  <si>
    <t>Year 14 Pupil Numbers</t>
  </si>
  <si>
    <t>CENSUS</t>
  </si>
  <si>
    <t>FUNDING STATEMENT</t>
  </si>
  <si>
    <t>VARIANCE</t>
  </si>
  <si>
    <t>KS4</t>
  </si>
  <si>
    <t>KS5</t>
  </si>
  <si>
    <t>PRIMARY FS</t>
  </si>
  <si>
    <t>KS3 FS</t>
  </si>
  <si>
    <t>KS4 FS</t>
  </si>
  <si>
    <t>KS5 FS</t>
  </si>
  <si>
    <t>PRIMARY VAR</t>
  </si>
  <si>
    <t>KS3 VAR</t>
  </si>
  <si>
    <t>KS4 VAR</t>
  </si>
  <si>
    <t>KS5 VAR</t>
  </si>
  <si>
    <t>GroupingCodeIssue</t>
  </si>
  <si>
    <t>SRG Check</t>
  </si>
  <si>
    <t>School Title</t>
  </si>
  <si>
    <t>Occupied Post 16 Pupil Places Special Provision</t>
  </si>
  <si>
    <t>Occupied Post 16 High Needs</t>
  </si>
  <si>
    <t>Occupied Pre 16 High Needs</t>
  </si>
  <si>
    <t>Row Labels</t>
  </si>
  <si>
    <t>Sum of YearValue</t>
  </si>
  <si>
    <t>Budget Values</t>
  </si>
  <si>
    <t>Budget Total</t>
  </si>
  <si>
    <t>Variance</t>
  </si>
  <si>
    <t>SCENARIO CODE</t>
  </si>
  <si>
    <t>Funding Element</t>
  </si>
  <si>
    <t>Pre 16</t>
  </si>
  <si>
    <t>Post 16</t>
  </si>
  <si>
    <t>Funding Statement Total</t>
  </si>
  <si>
    <t>FUNDING_SCA</t>
  </si>
  <si>
    <t>PUPIL_UIFSM</t>
  </si>
  <si>
    <t>Pupils taking UIFSM</t>
  </si>
  <si>
    <t>UIFSM_ANNUAL</t>
  </si>
  <si>
    <t>UIFSM - Annual calc</t>
  </si>
  <si>
    <t>UIFSM Annual Allocation</t>
  </si>
  <si>
    <t>If requested, have we used month profiles?</t>
  </si>
  <si>
    <t>Have we completed any/all additional calcs requested by customer?</t>
  </si>
  <si>
    <t>Has Scenario Summary been reviewed for reasonableness?</t>
  </si>
  <si>
    <t>If Funds are used at Scenario Row Level then has the setting been changed on Planner?</t>
  </si>
  <si>
    <t>PRI</t>
  </si>
  <si>
    <t>SEC</t>
  </si>
  <si>
    <t>Pre 16 Special/Alternative Provision Places From Table D of Funding Statement</t>
  </si>
  <si>
    <t>Previous Year Reception Numbers (PUPIL_CEN_00)</t>
  </si>
  <si>
    <t>Previous Year KS1 Numbers (PUPIL_CEN_01,PUPIL_CEN_02)</t>
  </si>
  <si>
    <t>Previous Year KS2 Numbers (PUPIL_CEN_03,PUPIL_CEN_04,PUPIL_CEN_05,PUPIL_CEN_06)</t>
  </si>
  <si>
    <t>Previous Year KS3 Numbers (PUPIL_CEN_07,PUPIL_CEN_08,PUPIL_CEN_09)</t>
  </si>
  <si>
    <t>KS3 Adjustment to match Key stage 3 value in Factor 1 of the Funding statement.</t>
  </si>
  <si>
    <t>Previous Year KS4 Numbers (PUPIL_CEN_10,PUPIL_CEN_11)</t>
  </si>
  <si>
    <t>KS4 Adjustment to match Key stage 4 value in Factor 1 of the Funding statement.</t>
  </si>
  <si>
    <t>Previous Year KS5 Numbers (PUPIL_CEN_12,PUPIL_CEN_13,PUPIL_CEN_14)</t>
  </si>
  <si>
    <t>KS5 Adjustment to match funding statement student numbers (Page 1)</t>
  </si>
  <si>
    <t>Post 16 Special/Alternative Provision Places from Funding Statement High needs funding</t>
  </si>
  <si>
    <t>Total Primary Pupil Numbers from previous year (PUPIL_CEN_00, PUPIL_CEN_01, PUPIL_CEN_02, PUPIL_CEN_03, PUPIL_CEN_04, PUPIL_CEN_05, PUPIL_CEN_06)</t>
  </si>
  <si>
    <t>Primary Adjustment to match Primary value in Factor 1 of the Funding statement.</t>
  </si>
  <si>
    <t>N1 &amp; N2 from Table 3 of School census collection: Autumn</t>
  </si>
  <si>
    <t>From Table 3 of School census collection: Autumn</t>
  </si>
  <si>
    <t>Reception Students From Table 3 of School census collection: Spring</t>
  </si>
  <si>
    <t>Year 1 &amp; 2 Students From Table 3 of School census collection: Spring</t>
  </si>
  <si>
    <t>Year 3, 4, 5, and 6 Students From Table 3 of School census collection: Spring</t>
  </si>
  <si>
    <t>Year 7, 8, and 9 Students From Table 3 of School census collection: Spring</t>
  </si>
  <si>
    <t>Year 10 &amp; 11 Students From Table 3 of School census collection: Spring</t>
  </si>
  <si>
    <t>Year 12, 13, and 14 Students From Table 3 of School census collection: Spring</t>
  </si>
  <si>
    <t>N1 &amp; N2 Students From Table 3 of School census collection: Spring</t>
  </si>
  <si>
    <t>Post Looked After Children number From Table 5 of School census collection: Autumn</t>
  </si>
  <si>
    <t>Service Children number From Table 5 of School census collection: Autumn</t>
  </si>
  <si>
    <t>Basic Entitlement KS3 rate from Factor 1 of Funding statement</t>
  </si>
  <si>
    <t>Basic Entitlement KS4 rate from Factor 1 of Funding statement</t>
  </si>
  <si>
    <t>Basic Entitlement Primary rate from Factor 1 of Funding statement</t>
  </si>
  <si>
    <t>Percentage used in Topslice calculation</t>
  </si>
  <si>
    <t>Lump Sum value which makes up part of the DFC funding</t>
  </si>
  <si>
    <t>Nursery Per pupil rate for DFC funding</t>
  </si>
  <si>
    <t>Post 16 Per pupil rate for DFC funding</t>
  </si>
  <si>
    <t>Primary Per pupil rate for DFC funding</t>
  </si>
  <si>
    <t>Secondary Per pupil rate for DFC funding</t>
  </si>
  <si>
    <t>Special School Per pupil rate for DFC funding</t>
  </si>
  <si>
    <t>Per place value for special unoccupied.</t>
  </si>
  <si>
    <t>Per place value for special occupied.</t>
  </si>
  <si>
    <t>Percentage used in Apprentice levy calculation</t>
  </si>
  <si>
    <t>Total Apprentice Allowance value used in calculation.</t>
  </si>
  <si>
    <t>Primary Lump Sum value from funding statement factor 8</t>
  </si>
  <si>
    <t>Secondary Lump Sum value from funding statement factor 8</t>
  </si>
  <si>
    <t>Lump Sum value which makes up part of the PE funding</t>
  </si>
  <si>
    <t>Primary Pupil premium Per pupil rate</t>
  </si>
  <si>
    <t>Secondary Pupil premium Per pupil rate</t>
  </si>
  <si>
    <t>Service Children Per pupil rate</t>
  </si>
  <si>
    <t>RPA Per Pupil Rate</t>
  </si>
  <si>
    <t>Reduced rate to adjust provisional value to 7/12 of total UIFSM funding</t>
  </si>
  <si>
    <t>Consumer price index</t>
  </si>
  <si>
    <t>Percentage change of pupil numbers from previous year to current year combined with ASCL Uplift %</t>
  </si>
  <si>
    <t>Percentage change of pupil numbers from previous year to current year combined with Expenditure Uplift %</t>
  </si>
  <si>
    <t>Percentage change of pupil numbers from previous year to current year combined with GAG Uplift %</t>
  </si>
  <si>
    <t>Percentage change of pupil numbers from previous year to current year combined with Income Uplift %</t>
  </si>
  <si>
    <t>Percentage change of pupil numbers from previous year to current year combined with Post 16 GAG Uplift %</t>
  </si>
  <si>
    <t>Percentage change of pupil numbers from previous year to current year combined with RPI Uplift %</t>
  </si>
  <si>
    <t>Retail Price Index</t>
  </si>
  <si>
    <t>Lump Sum value from statistics</t>
  </si>
  <si>
    <t>Current Year Spring Nursery Numbers multiplied by Rate</t>
  </si>
  <si>
    <t>Current Year Spring KS5 Numbers multiplied by Rate</t>
  </si>
  <si>
    <t>Current Year Spring FS, KS1, KS2 Numbers multiplied by Rate</t>
  </si>
  <si>
    <t>Current Year Spring KS3 and KS4 Numbers multiplied by Rate</t>
  </si>
  <si>
    <t>High needs places multiplied by Rate</t>
  </si>
  <si>
    <t>Sum of Funding lines. Should match funding statement total.</t>
  </si>
  <si>
    <t>Spring KS1 and KS2 pupil numbers multiplied by rate</t>
  </si>
  <si>
    <t>Primary Pupil premium pupil numbers multiplied by rate</t>
  </si>
  <si>
    <t>Secondary Pupil premium pupil numbers multiplied by rate</t>
  </si>
  <si>
    <t>Service children pupil numbers multiplied by rate</t>
  </si>
  <si>
    <t>Current Year UIFSM Jan and Oct numbers/2*final rate</t>
  </si>
  <si>
    <t>Previous Year UIFSM Jan and Oct numbers/2*provisional rate</t>
  </si>
  <si>
    <t>Found in Build Information</t>
  </si>
  <si>
    <t>Any remaining errors or unusual row/value variances</t>
  </si>
  <si>
    <t>Create scenario in planner "Scenario control"</t>
  </si>
  <si>
    <t>Month breakdown in budget or customer guidance on profiles</t>
  </si>
  <si>
    <t>E.g. FUNDED_KS5 but no 6th form in trust</t>
  </si>
  <si>
    <t>E.g. High needs calculator but no special provision</t>
  </si>
  <si>
    <t>E.g. Paygrant Inner London but no schools in that area</t>
  </si>
  <si>
    <t>E.g. Paygrant lines but no nursery/6th form/special schools</t>
  </si>
  <si>
    <t>E.g. PUPIL_CEN_12 but no 6th form at school.</t>
  </si>
  <si>
    <t>Finance codes</t>
  </si>
  <si>
    <t>Statistic's</t>
  </si>
  <si>
    <t>Pupils</t>
  </si>
  <si>
    <t>E.g. Funding 01 changed to Funding Pre 16 GAG</t>
  </si>
  <si>
    <t>Winter Weighting</t>
  </si>
  <si>
    <t>WINTER</t>
  </si>
  <si>
    <t>Code length Check</t>
  </si>
  <si>
    <t>Title length check</t>
  </si>
  <si>
    <t>Use Funding Check Tab to check funding statement total against budget values</t>
  </si>
  <si>
    <t>Check Funding built for all Schools</t>
  </si>
  <si>
    <t>Has Build Information Questions been reviewed?</t>
  </si>
  <si>
    <t>Refresh All Queries (twice) to update ScenarioSummary, ScenarioRows and ScenarioYearValues</t>
  </si>
  <si>
    <t>Notes:</t>
  </si>
  <si>
    <t>Have you set up all Scenario's used in ScenarioApBud?</t>
  </si>
  <si>
    <t>Planner - Setup - Options - SCENARIOROWFUNDS</t>
  </si>
  <si>
    <t>In ScenarioSummary Tab, Enter Customer Budget Values and check they match the scenario totals in ScenarioApBud</t>
  </si>
  <si>
    <t>Scenario Summary budget values. If they do not match provide reasonable explanation.</t>
  </si>
  <si>
    <t>Have we removed unnecessary rows in the below sections?</t>
  </si>
  <si>
    <t>Have notes been added to Import Checklist Tab for any build specific potential import issues?</t>
  </si>
  <si>
    <t>Will not always be aware before import.</t>
  </si>
  <si>
    <t>Have we updated generic titles/codes/descriptions in finance codes and calculators?</t>
  </si>
  <si>
    <t>Builder Import Notes</t>
  </si>
  <si>
    <t>Importer Notes/Issues</t>
  </si>
  <si>
    <t>LC Import Notes</t>
  </si>
  <si>
    <t>Funds column on Income, Expenditure, BF Balances and ScenarioApBud</t>
  </si>
  <si>
    <t>If Funds are used at Scenario Row Level have they been added to the budget and BFwd Balances rows?</t>
  </si>
  <si>
    <t>Have we Updated Finance code string for Levy_CALC and Levy_ALL?</t>
  </si>
  <si>
    <t>Create a string of finance codes used in StfRoleGroup Gross Finance code column for Levy_CALC and AnnualFTE Finance code column for LEVY_ALL.</t>
  </si>
  <si>
    <t>Enter Budget total from customer's orginal document for each location and budget type (Approved/Master)</t>
  </si>
  <si>
    <t>Should all equal 0</t>
  </si>
  <si>
    <t>APBUD - Rows and Values should be the same.</t>
  </si>
  <si>
    <t>BFBalances - Rows and Values should be the same.</t>
  </si>
  <si>
    <t>Expenditure - Usually there are more rows then values due to calculated rows.</t>
  </si>
  <si>
    <t>Funding - Usually there are more rows then values due to calculated rows.</t>
  </si>
  <si>
    <t>Income - Usually there are more rows then values due to calculated rows.</t>
  </si>
  <si>
    <t>PupilNum - Usually the values are higher then rows due to multiple years of pupil numbers</t>
  </si>
  <si>
    <t>Statistics - Usually there are more rows then values due to calculated rows.</t>
  </si>
  <si>
    <t>Pupil Premium Service Child Rate</t>
  </si>
  <si>
    <t>GroupingCode</t>
  </si>
  <si>
    <t>Blank Description</t>
  </si>
  <si>
    <t>Blank Mat edit only</t>
  </si>
  <si>
    <t>Blank Year Code</t>
  </si>
  <si>
    <t>Blank Calculated</t>
  </si>
  <si>
    <t>Blank ScenarioCode</t>
  </si>
  <si>
    <t>DFC Nursery Pupil</t>
  </si>
  <si>
    <t>Pupil Premium Service Numbers</t>
  </si>
  <si>
    <t>Make sure the description used in Income for GAG funding has "GAG" at the start.</t>
  </si>
  <si>
    <t>E.g. GAG Pre 16 Funding</t>
  </si>
  <si>
    <t>VERSION</t>
  </si>
  <si>
    <t>Key stage</t>
  </si>
  <si>
    <t>AWPU01</t>
  </si>
  <si>
    <t>AWPU02</t>
  </si>
  <si>
    <t>AWPU03</t>
  </si>
  <si>
    <t>LUMP</t>
  </si>
  <si>
    <t>Key Stage</t>
  </si>
  <si>
    <t>KeyStage</t>
  </si>
  <si>
    <t>GAG Total Post 16 High Needs Funding Statement</t>
  </si>
  <si>
    <t>GAG Total Pre 16 High Needs Funding Statement</t>
  </si>
  <si>
    <t>APBUD2324</t>
  </si>
  <si>
    <t>Count of SchoolCode</t>
  </si>
  <si>
    <t>groupingCodeCode</t>
  </si>
  <si>
    <t>groupingCodeTypeCode</t>
  </si>
  <si>
    <t>A</t>
  </si>
  <si>
    <t>510970</t>
  </si>
  <si>
    <t>510980</t>
  </si>
  <si>
    <t>510990</t>
  </si>
  <si>
    <t>520400</t>
  </si>
  <si>
    <t>IN: Other Grants: Temporary other Government revenue grants - not DfE (for DfE use)</t>
  </si>
  <si>
    <t>550600</t>
  </si>
  <si>
    <t>SF: Leadership - Teaching: Wages and salaries</t>
  </si>
  <si>
    <t>B</t>
  </si>
  <si>
    <t>610150</t>
  </si>
  <si>
    <t>SF: Leadership - Teaching: Overtime</t>
  </si>
  <si>
    <t>SF: Leadership - Teaching: Employers national insurance</t>
  </si>
  <si>
    <t>SF: Leadership - Teaching: Employers pension contribution</t>
  </si>
  <si>
    <t>611100</t>
  </si>
  <si>
    <t>SF: Leadership - Non-teaching: Wages and salaries</t>
  </si>
  <si>
    <t>611150</t>
  </si>
  <si>
    <t>SF: Leadership - Non-teaching: Overtime</t>
  </si>
  <si>
    <t>611200</t>
  </si>
  <si>
    <t>SF: Leadership - Non-teaching: Employers national insurance</t>
  </si>
  <si>
    <t>611300</t>
  </si>
  <si>
    <t>SF: Leadership - Non-teaching: Employers pension contribution</t>
  </si>
  <si>
    <t>649350</t>
  </si>
  <si>
    <t>SF: Ind Emp Exp: Staff Advertising - leadership</t>
  </si>
  <si>
    <t>C</t>
  </si>
  <si>
    <t>825330</t>
  </si>
  <si>
    <t>SP: Educ Consultancy: Education welfare and attendance services</t>
  </si>
  <si>
    <t>845260</t>
  </si>
  <si>
    <t>SP: Bought in supply cover: Agency support staff - cleaning and caretaking</t>
  </si>
  <si>
    <t>845270</t>
  </si>
  <si>
    <t>SP: Bought in supply cover: Agency support staff - grounds maintenance</t>
  </si>
  <si>
    <t>845280</t>
  </si>
  <si>
    <t>SP: Bought in supply cover: Agency support staff - other occupational costs</t>
  </si>
  <si>
    <t>845290</t>
  </si>
  <si>
    <t>SP: Bought in supply cover: Agency support staff - special facilities</t>
  </si>
  <si>
    <t>845300</t>
  </si>
  <si>
    <t>SP: Bought in supply cover: Agency support staff - catering</t>
  </si>
  <si>
    <t>845310</t>
  </si>
  <si>
    <t>855600</t>
  </si>
  <si>
    <t>SP: Non-educ contracts: Other non-educational contracts</t>
  </si>
  <si>
    <t>880170</t>
  </si>
  <si>
    <t>SP: Other supplies &amp; services: Welfare payments to pupils/students</t>
  </si>
  <si>
    <t>880530</t>
  </si>
  <si>
    <t>SP: Other supplies &amp; services: Donations to charities</t>
  </si>
  <si>
    <t>SP: Boarding - supplies: Other direct cost</t>
  </si>
  <si>
    <t>Pupil Numbers - Lagged Funding</t>
  </si>
  <si>
    <t>Z13</t>
  </si>
  <si>
    <t>Pupil Numbers - In Year Funding</t>
  </si>
  <si>
    <t>FUNDING_MPPFL</t>
  </si>
  <si>
    <t>MPPFL_ADJ_CALC</t>
  </si>
  <si>
    <t>MPPFL Adjustment Calculation</t>
  </si>
  <si>
    <t>Update Finance codes used in ESFA_TOTAL, MPPFL_ADJ_CALC and ESFA_POST16_TOTAL</t>
  </si>
  <si>
    <t>ESFA_TOTAL should be all funding codes used for pre 16 GAG funding and ESFA_POST16_TOTAL should only be funding codes used for post 16 GAG funding.                                                                                                            MPPFL_ADJ_CALC should be all finance codes used in pre 16 GAG funding</t>
  </si>
  <si>
    <t>MPPFL_RATE_PRI</t>
  </si>
  <si>
    <t>MPPFL_RATE_KS3</t>
  </si>
  <si>
    <t>MPPFL_RATE_KS4</t>
  </si>
  <si>
    <t>MPPFL_PRI_TOTAL</t>
  </si>
  <si>
    <t>MPPFL_KS3_TOTAL</t>
  </si>
  <si>
    <t>MPPFL_KS4_TOTAL</t>
  </si>
  <si>
    <t>MPPFL Total Primary</t>
  </si>
  <si>
    <t>MPPFL Total KS3</t>
  </si>
  <si>
    <t>MPPFL Total KS4</t>
  </si>
  <si>
    <t>RECOVERY_PREM_PRI_1_4_CURRYR</t>
  </si>
  <si>
    <t>RECOVERY_PREM_PRI_3_4_PRIORYR</t>
  </si>
  <si>
    <t>TOTAL_PP_PUPILS_PRI</t>
  </si>
  <si>
    <t>Total Pupil Premium Numbers - Primary</t>
  </si>
  <si>
    <t>RECOVERY_PREM_SEC_1_4_CURRYR</t>
  </si>
  <si>
    <t>RECOVERY_PREM_SEC_3_4_PRIORYR</t>
  </si>
  <si>
    <t>TOTAL_PP_PUPILS_SEC</t>
  </si>
  <si>
    <t>Total Pupil Premium Numbers - Secondary</t>
  </si>
  <si>
    <t>SEPT_DEC_MAR</t>
  </si>
  <si>
    <t>September/December/March</t>
  </si>
  <si>
    <t>CalculatorTypeCode</t>
  </si>
  <si>
    <t>CalculatorTypeCode Issue</t>
  </si>
  <si>
    <t>Have we checked customers budget notes for relevant information?</t>
  </si>
  <si>
    <t>E.g. Pupil premium budget row has a note that it includes a recovery premium value of £5000. So we will need to make sure we have the recovery premium calculator attached to this finance code.</t>
  </si>
  <si>
    <t>Have we checked what has been changed since this templates version?</t>
  </si>
  <si>
    <t>E.g. In a later version of the template we added a calculator for MPPFL, which will need to be added to this template</t>
  </si>
  <si>
    <t>Have we added the funding check tables to the system build notes?</t>
  </si>
  <si>
    <t>Copy table from tab "Funding Statement Check" and table from tab "Funding Check" to the system build notes</t>
  </si>
  <si>
    <t>BalanceToScenario</t>
  </si>
  <si>
    <t>Balance to Scenario Blank</t>
  </si>
  <si>
    <t>A_FTE_LEAVE_ADJ_ADM</t>
  </si>
  <si>
    <t>Z17</t>
  </si>
  <si>
    <t>A_FTE_LEAVE_ADJ_CAT</t>
  </si>
  <si>
    <t>A_FTE_LEAVE_ADJ_CLE</t>
  </si>
  <si>
    <t>A_FTE_LEAVE_ADJ_COV</t>
  </si>
  <si>
    <t>A_FTE_LEAVE_ADJ_LIB</t>
  </si>
  <si>
    <t>A_FTE_LEAVE_ADJ_LSN</t>
  </si>
  <si>
    <t>A_FTE_LEAVE_ADJ_LST</t>
  </si>
  <si>
    <t>Z16</t>
  </si>
  <si>
    <t>A_FTE_LEAVE_ADJ_MDS</t>
  </si>
  <si>
    <t>A_FTE_LEAVE_ADJ_PRE</t>
  </si>
  <si>
    <t>A_FTE_LEAVE_ADJ_TA</t>
  </si>
  <si>
    <t>A_FTE_LEAVE_ADJ_TEA</t>
  </si>
  <si>
    <t>Teaching Annual FTE Leave Adjustment</t>
  </si>
  <si>
    <t>A_FTE_LEAVE_ADJ_TEC</t>
  </si>
  <si>
    <t>WK_FTE_LEAVE_ADJ_ADM</t>
  </si>
  <si>
    <t>Z15</t>
  </si>
  <si>
    <t>WK_FTE_LEAVE_ADJ_CAT</t>
  </si>
  <si>
    <t>WK_FTE_LEAVE_ADJ_CLE</t>
  </si>
  <si>
    <t>WK_FTE_LEAVE_ADJ_COV</t>
  </si>
  <si>
    <t>WK_FTE_LEAVE_ADJ_LIB</t>
  </si>
  <si>
    <t>WK_FTE_LEAVE_ADJ_LSN</t>
  </si>
  <si>
    <t>WK_FTE_LEAVE_ADJ_LST</t>
  </si>
  <si>
    <t>Z14</t>
  </si>
  <si>
    <t>WK_FTE_LEAVE_ADJ_MDS</t>
  </si>
  <si>
    <t>WK_FTE_LEAVE_ADJ_PRE</t>
  </si>
  <si>
    <t>WK_FTE_LEAVE_ADJ_TA</t>
  </si>
  <si>
    <t>WK_FTE_LEAVE_ADJ_TEA</t>
  </si>
  <si>
    <t>Teaching Weekly FTE Leave Adjustment</t>
  </si>
  <si>
    <t>WK_FTE_LEAVE_ADJ_TEC</t>
  </si>
  <si>
    <t>WeeklyFteLeaveAdjustmentFinanceCode</t>
  </si>
  <si>
    <t>AnnualFteLeaveAdjustmentFinanceCode</t>
  </si>
  <si>
    <t>Other Weekly FTE Leave Adjustment</t>
  </si>
  <si>
    <t>Other Annual FTE Leave Adjustment</t>
  </si>
  <si>
    <t>FundCode Issue</t>
  </si>
  <si>
    <t>A_FTE_LEAVE_ADJ_EXT</t>
  </si>
  <si>
    <t>A_FTE_LEAVE_ADJ_FSW</t>
  </si>
  <si>
    <t>A_FTE_LEAVE_ADJ_INV</t>
  </si>
  <si>
    <t>A_FTE_LEAVE_ADJ_NUR</t>
  </si>
  <si>
    <t>A_FTE_LEAVE_ADJ_OTH</t>
  </si>
  <si>
    <t>WK_FTE_LEAVE_ADJ_EXT</t>
  </si>
  <si>
    <t>WK_FTE_LEAVE_ADJ_FSW</t>
  </si>
  <si>
    <t>WK_FTE_LEAVE_ADJ_INV</t>
  </si>
  <si>
    <t>WK_FTE_LEAVE_ADJ_NUR</t>
  </si>
  <si>
    <t>WK_FTE_LEAVE_ADJ_OTH</t>
  </si>
  <si>
    <t>Process Notes</t>
  </si>
  <si>
    <t>Updating API</t>
  </si>
  <si>
    <t>Step</t>
  </si>
  <si>
    <t>Add API code to parameter tab</t>
  </si>
  <si>
    <t>Navigate to the queries and connections in Data tab</t>
  </si>
  <si>
    <t>This will bring up a side menu</t>
  </si>
  <si>
    <t>Right click on the API folder and click "Refresh"</t>
  </si>
  <si>
    <t>Check for Finance codes S3 Issue</t>
  </si>
  <si>
    <t>Finance codes S3</t>
  </si>
  <si>
    <t>COV</t>
  </si>
  <si>
    <t>Staff Costs - Cover Supervisors-Wages and salaries</t>
  </si>
  <si>
    <t>NUR</t>
  </si>
  <si>
    <t>Staff Costs - Nursery Staff-Wages and salaries</t>
  </si>
  <si>
    <t>FSW</t>
  </si>
  <si>
    <t>Staff Costs - Family Support Workers-Wages and salaries</t>
  </si>
  <si>
    <t>INV</t>
  </si>
  <si>
    <t>Staff Costs - Exam Invigilators-Wages and salaries</t>
  </si>
  <si>
    <t>EXT</t>
  </si>
  <si>
    <t>Staff Costs - Extended Schools Staff-Wages and salaries</t>
  </si>
  <si>
    <t>OTH</t>
  </si>
  <si>
    <t>Staff Costs - Other Staff-Wages and salaries</t>
  </si>
  <si>
    <t>MASTER_OG</t>
  </si>
  <si>
    <t>DFC Special Pupil</t>
  </si>
  <si>
    <t>API - Do not edit</t>
  </si>
  <si>
    <t>A_FTE_LST,A_FTE_LSN,A_FTE_TEA,A_FTE_TA,A_FTE_LIB,A_FTE_TEC,A_FTE_COV,A_FTE_ADM,A_FTE_PRE,A_FTE_CLE,A_FTE_CAT,A_FTE_MDS,A_FTE_NUR,A_FTE_FSW,A_FTE_INV,A_FTE_EXT,A_FTE_OTH</t>
  </si>
  <si>
    <t>IN: Other Income: Teaching School hub other income</t>
  </si>
  <si>
    <t>IN: DfE Capital Grants: Teaching School Hub capital grants</t>
  </si>
  <si>
    <t>SP: Other supplies &amp; services: Other not attributable expend.</t>
  </si>
  <si>
    <t>M10_SEP-JUN</t>
  </si>
  <si>
    <t>Curriculum Spend</t>
  </si>
  <si>
    <t>Code is Uppercase</t>
  </si>
  <si>
    <t>Codes are Uppercase</t>
  </si>
  <si>
    <t>If the below pop-up appears please tick the "Ignore Privacy Levels" box and then click the "Save" button.</t>
  </si>
  <si>
    <t>Have we added any additional Departments or Budget Finance codes to Planner?</t>
  </si>
  <si>
    <t>For non-interface customers where we need to add additional codes, that are used in the budgets, but were not added in strand 1.</t>
  </si>
  <si>
    <t>2027/28</t>
  </si>
  <si>
    <t>FinancialYearCode Check</t>
  </si>
  <si>
    <t>2020/21</t>
  </si>
  <si>
    <t>LA7</t>
  </si>
  <si>
    <t>LA8</t>
  </si>
  <si>
    <t>LA9</t>
  </si>
  <si>
    <t>LA10</t>
  </si>
  <si>
    <t>LA11</t>
  </si>
  <si>
    <t>LA12</t>
  </si>
  <si>
    <t>FUNDING_PUPPREM_PLAC</t>
  </si>
  <si>
    <t>PUPILPREMIUMPLAC</t>
  </si>
  <si>
    <t>Pupil Premium Post Looked After Children Income</t>
  </si>
  <si>
    <t>Pupil Premium Post Looked After Children Numbers</t>
  </si>
  <si>
    <t>Pupil Premium Post Looked After Child Rate</t>
  </si>
  <si>
    <t>PUP_PREM_PLAC_5/12</t>
  </si>
  <si>
    <t>Pupil Premium PLAC 5/12ths Apr-Aug</t>
  </si>
  <si>
    <t>PUP_PREM_PLAC_7/12</t>
  </si>
  <si>
    <t>Pupil Premium PLAC 7/12ths Sep-Mar</t>
  </si>
  <si>
    <t>PUPPLACINCOME</t>
  </si>
  <si>
    <t>PP PLAC Income</t>
  </si>
  <si>
    <t>Funded Pupil Premium PLAC Numbers</t>
  </si>
  <si>
    <t>Pupil Premium PLAC Numbers</t>
  </si>
  <si>
    <t>Pupil Premium PLAC Rate</t>
  </si>
  <si>
    <t>Post Looked After Children Per pupil rate</t>
  </si>
  <si>
    <t>Post Looked after children pupil numbers multiplied by rate</t>
  </si>
  <si>
    <t>If the below pop-up appears please click the "Don't Update" button.</t>
  </si>
  <si>
    <t>This grey section can be edited</t>
  </si>
  <si>
    <t>FundEnabled</t>
  </si>
  <si>
    <t>ActivityCode</t>
  </si>
  <si>
    <t>ActivityEnabled</t>
  </si>
  <si>
    <t>LedgerEnabled</t>
  </si>
  <si>
    <t>CustomGroupingCode</t>
  </si>
  <si>
    <t>CustomGroupingEnabled</t>
  </si>
  <si>
    <t>SchoolHubCode</t>
  </si>
  <si>
    <t>SchoolHubEnabled</t>
  </si>
  <si>
    <t>SchoolTypeCode</t>
  </si>
  <si>
    <t>SchoolTypeEnabled</t>
  </si>
  <si>
    <t>DefaultFinanceCode</t>
  </si>
  <si>
    <t>DepartmentEnabled</t>
  </si>
  <si>
    <t>Local Authorities and Schools</t>
  </si>
  <si>
    <t>"LA" Column, of local authorities, needs to be updated with the code LAX with X being a count of each LA. E.g. LA0, LA1, LA2, LA3 etc.</t>
  </si>
  <si>
    <t>School Type needs to be updated with the correct type from the drop down. The type in the purple API section can be used but it is worth double checking them against the Funding statement as the trust may label a school as "Secondary" but it is actually a special school.</t>
  </si>
  <si>
    <t>Below is an extract of a funding statement which can help identify the school type by whether they have funding for Primary, KS3 and KS4</t>
  </si>
  <si>
    <t>Staff Role Groups</t>
  </si>
  <si>
    <t>The StfRoleGroup tab will need to be linked to the Strand 2 workbook. This is achieved by double clicking on the SRG query in "Queries &amp; Connections".</t>
  </si>
  <si>
    <t>Then double click on source and click browse.</t>
  </si>
  <si>
    <t>Then click the save and load button</t>
  </si>
  <si>
    <t>Strand 3</t>
  </si>
  <si>
    <t>To update the strand 3 tabs, navigate to the queries &amp; connections in data</t>
  </si>
  <si>
    <t>Navigate to the Template Prep Refresh folder</t>
  </si>
  <si>
    <t>Right click on the folder and click refresh</t>
  </si>
  <si>
    <t>London Weighting Type needs to be updated with the correct type from the drop down. This is based on the Local authority, whose weighting can be found in column "Teachers IL/OL/FRI" of the "Local Authorities - standard codes" document.</t>
  </si>
  <si>
    <t>Once Local authorities and Schools have been updated, you will then need to update Finance codes S3. This can be done by right clicking on the table, in tab "Finance codes S3", and clicking refresh.</t>
  </si>
  <si>
    <t>This will bring up the file browser. Navigate to the strand 2 workbook in the relevant customer folder and click import.</t>
  </si>
  <si>
    <t>This should load the codes, used by the Strand 2 builder in staff role groups. This will need to be updated once the stand 2 builder has completed Staff role groups. You can do this by right clicking on the table and clicking refresh.</t>
  </si>
  <si>
    <t>SourceGroupingCodes</t>
  </si>
  <si>
    <t>DivisorGroupingCodes</t>
  </si>
  <si>
    <t>MultiplierGroupingCodes</t>
  </si>
  <si>
    <t>Notes Length Check</t>
  </si>
  <si>
    <t>Year Notes length Check</t>
  </si>
  <si>
    <t>Index</t>
  </si>
  <si>
    <t>Have we exported the Calculators tab as CSV and then changed the "CalculatorLockRows" to 0 for all rows?</t>
  </si>
  <si>
    <t xml:space="preserve">We need a copy of the calculators, with the lock status, that we can import after we have completed the system review. </t>
  </si>
  <si>
    <t>DFC_EXP</t>
  </si>
  <si>
    <t>DFC Expenditure</t>
  </si>
  <si>
    <t>TRUE/FALSE Check</t>
  </si>
  <si>
    <t>Source TRUE/FALSE Check</t>
  </si>
  <si>
    <t>Divisor TRUE/FALSE Check</t>
  </si>
  <si>
    <t>Other TRUE/FALSE Check</t>
  </si>
  <si>
    <t>Multiplier TRUE/FALSE Check</t>
  </si>
  <si>
    <t>FTE_KS5</t>
  </si>
  <si>
    <t>FTE for Post 16 Pupils</t>
  </si>
  <si>
    <t>Teachers Pensions Grant Post 16 Rate April - August (EW)</t>
  </si>
  <si>
    <t>PENS_KS5_APR_FRI</t>
  </si>
  <si>
    <t>Teachers Pensions Grant Post 16 Rate April - August (Fringe)</t>
  </si>
  <si>
    <t>PENS_KS5_APR_INN</t>
  </si>
  <si>
    <t>Teachers Pensions Grant Post 16 Rate April - August (Inner)</t>
  </si>
  <si>
    <t>PENS_KS5_APR_OUT</t>
  </si>
  <si>
    <t>Teachers Pensions Grant Post 16 Rate April - August (Outer)</t>
  </si>
  <si>
    <t>Teachers Pensions Grant Post 16 Rate September - March (EW)</t>
  </si>
  <si>
    <t>PENS_KS5_SEP_FRI</t>
  </si>
  <si>
    <t>Teachers Pensions Grant Post 16 Rate September - March (Fringe)</t>
  </si>
  <si>
    <t>PENS_KS5_SEP_INN</t>
  </si>
  <si>
    <t>Teachers Pensions Grant Post 16 Rate September - March (Inner)</t>
  </si>
  <si>
    <t>PENS_KS5_SEP_OUT</t>
  </si>
  <si>
    <t>Teachers Pensions Grant Post 16 Rate September - March (Outer)</t>
  </si>
  <si>
    <t>PENS_KS5_APR_EW</t>
  </si>
  <si>
    <t>PENS_KS5_SEP_EW</t>
  </si>
  <si>
    <t>PENS_EW_5/12</t>
  </si>
  <si>
    <t>Teachers Pensions Grant Post 16 April - August (EW)</t>
  </si>
  <si>
    <t>PENS_EW_7/12</t>
  </si>
  <si>
    <t>Teachers Pensions Grant Post 16 September - March (EW)</t>
  </si>
  <si>
    <t>PENS_FRI_5/12</t>
  </si>
  <si>
    <t>Teachers Pensions Grant Post 16 April - August (Fringe)</t>
  </si>
  <si>
    <t>PENS_FRI_7/12</t>
  </si>
  <si>
    <t>Teachers Pensions Grant Post 16 September - March (Fringe)</t>
  </si>
  <si>
    <t>PENS_INN_5/12</t>
  </si>
  <si>
    <t>Teachers Pensions Grant Post 16 April - August (Inner)</t>
  </si>
  <si>
    <t>PENS_INN_7/12</t>
  </si>
  <si>
    <t>Teachers Pensions Grant Post 16 September - March (Inner)</t>
  </si>
  <si>
    <t>PENS_OUT_5/12</t>
  </si>
  <si>
    <t>Teachers Pensions Grant Post 16 April - August (Outer)</t>
  </si>
  <si>
    <t>PENS_OUT_7/12</t>
  </si>
  <si>
    <t>Teachers Pensions Grant Post 16 September - March (Outer)</t>
  </si>
  <si>
    <t>Total Post 16 FTE</t>
  </si>
  <si>
    <t>UIFSM_PRO_RATE</t>
  </si>
  <si>
    <t>UIFSM Provisional Rate</t>
  </si>
  <si>
    <t>Description Length Check</t>
  </si>
  <si>
    <t>Space in Code</t>
  </si>
  <si>
    <t>Space in ScenarioCode</t>
  </si>
  <si>
    <t>FinancialMonthIndexNumber</t>
  </si>
  <si>
    <t>MonthValue</t>
  </si>
  <si>
    <t>Start Date</t>
  </si>
  <si>
    <t>Strand 2 Start Date</t>
  </si>
  <si>
    <t>Finance code for Apprentice levy budget rows</t>
  </si>
  <si>
    <t>Funding GAG - Post 16</t>
  </si>
  <si>
    <t>FUNDING_SFS</t>
  </si>
  <si>
    <t>Funding Student Financial Support</t>
  </si>
  <si>
    <t>Funding GAG</t>
  </si>
  <si>
    <t>UIFSM_FIN_INC</t>
  </si>
  <si>
    <t>UIFSM Final</t>
  </si>
  <si>
    <t>UIFSM_PRO_INC</t>
  </si>
  <si>
    <t>UIFSM Provisional</t>
  </si>
  <si>
    <t>Annual Allocation minus Provisional Allocation</t>
  </si>
  <si>
    <t>GAG Post 16 Funding</t>
  </si>
  <si>
    <t>GAG Student Financial Support</t>
  </si>
  <si>
    <t>GAG Funding</t>
  </si>
  <si>
    <t>UPLIFT_TEACH</t>
  </si>
  <si>
    <t>UPLIFT_SUPSTF</t>
  </si>
  <si>
    <t>Teacher Uplifts</t>
  </si>
  <si>
    <t>Support Staff Uplifts</t>
  </si>
  <si>
    <t>Teacher Uplift %</t>
  </si>
  <si>
    <t>Support Staff Uplift %</t>
  </si>
  <si>
    <t>RPI Uplift</t>
  </si>
  <si>
    <t>ASCL Guidance on non Staffing Uplift (%)</t>
  </si>
  <si>
    <t>CPI Uplift</t>
  </si>
  <si>
    <t>Nursery Pupil Numbers - Autumn Census</t>
  </si>
  <si>
    <t>Reception Pupil Numbers - Autumn Census</t>
  </si>
  <si>
    <t>Year 1 Pupil Numbers - Autumn Census</t>
  </si>
  <si>
    <t>Year 10 Pupil Numbers - Autumn Census</t>
  </si>
  <si>
    <t>Year 11 Pupil Numbers - Autumn Census</t>
  </si>
  <si>
    <t>Year 12 Pupil Numbers - Autumn Census</t>
  </si>
  <si>
    <t>Year 13 Pupil Numbers - Autumn Census</t>
  </si>
  <si>
    <t>Year 14 Pupil Numbers - Autumn Census</t>
  </si>
  <si>
    <t>Year 2 Pupil Numbers - Autumn Census</t>
  </si>
  <si>
    <t>Year 3 Pupil Numbers - Autumn Census</t>
  </si>
  <si>
    <t>Year 4 Pupil Numbers - Autumn Census</t>
  </si>
  <si>
    <t>Year 5 Pupil Numbers - Autumn Census</t>
  </si>
  <si>
    <t>Year 6 Pupil Numbers - Autumn Census</t>
  </si>
  <si>
    <t>Year 7 Pupil Numbers - Autumn Census</t>
  </si>
  <si>
    <t>Year 8 Pupil Numbers - Autumn Census</t>
  </si>
  <si>
    <t>Year 9 Pupil Numbers - Autumn Census</t>
  </si>
  <si>
    <t>RPA_NUR</t>
  </si>
  <si>
    <t>FTE_NUR</t>
  </si>
  <si>
    <t>FTE for Nursery Pupils</t>
  </si>
  <si>
    <t>Funded Pupils Nursery</t>
  </si>
  <si>
    <t>RPA - Nursery</t>
  </si>
  <si>
    <t>Total Nursery FTE</t>
  </si>
  <si>
    <t>RPA Insurance - Nursery</t>
  </si>
  <si>
    <t>MAT edit only required</t>
  </si>
  <si>
    <t>LockCheck</t>
  </si>
  <si>
    <t>Reception, Year 1 and Year 2 Pupil Meals minus the Pupils eligible for FSM. Can be found in Table 25 of the Census Document (Number of pupils on roll minus Currently FSM eligible on Census Day).</t>
  </si>
  <si>
    <t>DFE_POST16_TOTAL</t>
  </si>
  <si>
    <t>DFE_TOTAL</t>
  </si>
  <si>
    <t>Total DFE Post 16 Funding Statement</t>
  </si>
  <si>
    <t>Total DFE Pre 16 Funding Statement</t>
  </si>
  <si>
    <t>Total DFE - Post 16</t>
  </si>
  <si>
    <t>Total DFE - Pre 16</t>
  </si>
  <si>
    <t>Taken from DFE Pupil Premium spreadsheet, column "Number of Primary pupils eligible for the Deprivation Pupil Premium"</t>
  </si>
  <si>
    <t>Taken from DFE Pupil Premium spreadsheet, column "Number of Secondary pupils eligible for the Deprivation Pupil Premium"</t>
  </si>
  <si>
    <t>DFE Post 16 Funding Statement Total Calculated Line</t>
  </si>
  <si>
    <t>DFE Pre 16 Funding Statement Total Calculated Line</t>
  </si>
  <si>
    <t>02 - GAG AWPU/Basic Entitlement KS3</t>
  </si>
  <si>
    <t>03 - GAG AWPU/Basic Entitlement KS4</t>
  </si>
  <si>
    <t>01 - GAG AWPU/Basic Entitlement Primary</t>
  </si>
  <si>
    <t>04 - GAG Deprivation Primary IDACI Band A</t>
  </si>
  <si>
    <t>05 - GAG Deprivation Primary IDACI Band B</t>
  </si>
  <si>
    <t>06 - GAG Deprivation Primary IDACI Band C</t>
  </si>
  <si>
    <t>08 - GAG Deprivation Primary IDACI Band E</t>
  </si>
  <si>
    <t>09 - GAG Deprivation Primary IDACI Band F</t>
  </si>
  <si>
    <t>10 - GAG Deprivation Primary FSM</t>
  </si>
  <si>
    <t>11 - GAG Deprivation Primary FSM6</t>
  </si>
  <si>
    <t>12 - GAG Deprivation Secondary IDACI Band A</t>
  </si>
  <si>
    <t>13 - GAG Deprivation Secondary IDACI Band B</t>
  </si>
  <si>
    <t>14 - GAG Deprivation Secondary IDACI Band C</t>
  </si>
  <si>
    <t>15 - GAG Deprivation Secondary IDACI Band D</t>
  </si>
  <si>
    <t>16 - GAG Deprivation Secondary IDACI Band E</t>
  </si>
  <si>
    <t>17 - GAG Deprivation Secondary IDACI Band F</t>
  </si>
  <si>
    <t>18 - GAG Deprivation Secondary FSM</t>
  </si>
  <si>
    <t>19 - GAG Deprivation Secondary FSM6</t>
  </si>
  <si>
    <t>20 - GAG Prior Attainment Primary</t>
  </si>
  <si>
    <t>21 - GAG Prior Attainment Secondary</t>
  </si>
  <si>
    <t>22 - GAG EAL Primary</t>
  </si>
  <si>
    <t>23 - GAG EAL Secondary</t>
  </si>
  <si>
    <t>07 - GAG Deprivation Primary IDACI Band D</t>
  </si>
  <si>
    <t>24 - GAG Mobility Primary</t>
  </si>
  <si>
    <t>25 - GAG Mobility Secondary</t>
  </si>
  <si>
    <t>26 - GAG London Fringe</t>
  </si>
  <si>
    <t>30 - GAG Split Sites</t>
  </si>
  <si>
    <t>31 - GAG Sparsity</t>
  </si>
  <si>
    <t>32 - GAG Minimum per pupil Funding Level</t>
  </si>
  <si>
    <t>33 - GAG Minimum Funding Guarantee</t>
  </si>
  <si>
    <t>34 - GAG Funding statement adjustment</t>
  </si>
  <si>
    <t>02 - GAG Deprivation Primary IDACI Band A</t>
  </si>
  <si>
    <t>03 - GAG Deprivation Primary IDACI Band B</t>
  </si>
  <si>
    <t>04 - GAG Deprivation Primary IDACI Band C</t>
  </si>
  <si>
    <t>05 - GAG Deprivation Primary IDACI Band D</t>
  </si>
  <si>
    <t>06 - GAG Deprivation Primary IDACI Band E</t>
  </si>
  <si>
    <t>07 - GAG Deprivation Primary IDACI Band F</t>
  </si>
  <si>
    <t>08 - GAG Deprivation Primary FSM</t>
  </si>
  <si>
    <t>09 - GAG Deprivation Primary FSM6</t>
  </si>
  <si>
    <t>10 - GAG Prior Attainment Primary</t>
  </si>
  <si>
    <t>11 - GAG EAL Primary</t>
  </si>
  <si>
    <t>12 - GAG Mobility Primary</t>
  </si>
  <si>
    <t>13 - GAG London Fringe</t>
  </si>
  <si>
    <t>16 - GAG Split Sites</t>
  </si>
  <si>
    <t>17 - GAG Sparsity</t>
  </si>
  <si>
    <t>18 - GAG Minimum per pupil Funding Level</t>
  </si>
  <si>
    <t>19 - GAG Minimum Funding Guarantee</t>
  </si>
  <si>
    <t>20 - GAG Funding statement adjustment</t>
  </si>
  <si>
    <t>01 - GAG AWPU/Basic Entitlement KS3</t>
  </si>
  <si>
    <t>02 - GAG AWPU/Basic Entitlement KS4</t>
  </si>
  <si>
    <t>03 - GAG Deprivation Secondary IDACI Band A</t>
  </si>
  <si>
    <t>04 - GAG Deprivation Secondary IDACI Band B</t>
  </si>
  <si>
    <t>05 - GAG Deprivation Secondary IDACI Band C</t>
  </si>
  <si>
    <t>06 - GAG Deprivation Secondary IDACI Band D</t>
  </si>
  <si>
    <t>07 - GAG Deprivation Secondary IDACI Band E</t>
  </si>
  <si>
    <t>08 - GAG Deprivation Secondary IDACI Band F</t>
  </si>
  <si>
    <t>09 - GAG Deprivation Secondary FSM</t>
  </si>
  <si>
    <t>10 - GAG Deprivation Secondary FSM6</t>
  </si>
  <si>
    <t>11 - GAG Prior Attainment Secondary</t>
  </si>
  <si>
    <t>12 - GAG EAL Secondary</t>
  </si>
  <si>
    <t>13 - GAG Mobility Secondary</t>
  </si>
  <si>
    <t>14 - GAG London Fringe</t>
  </si>
  <si>
    <t>15 - GAG PFI</t>
  </si>
  <si>
    <t>17 - GAG Split Sites</t>
  </si>
  <si>
    <t>18 - GAG Sparsity</t>
  </si>
  <si>
    <t>19 - GAG Minimum per pupil Funding Level</t>
  </si>
  <si>
    <t>20 - GAG Minimum Funding Guarantee</t>
  </si>
  <si>
    <t>21 - GAG Funding statement adjustment</t>
  </si>
  <si>
    <t>29 - GAG PFI</t>
  </si>
  <si>
    <t>27 - GAG Lump Sum Primary</t>
  </si>
  <si>
    <t>28 - GAG Lump Sum Secondary</t>
  </si>
  <si>
    <t>14 - GAG Lump Sum Primary</t>
  </si>
  <si>
    <t>16 - GAG PFI</t>
  </si>
  <si>
    <t>15 - GAG Lump Sum Secondary</t>
  </si>
  <si>
    <t>Junior</t>
  </si>
  <si>
    <t>Infant</t>
  </si>
  <si>
    <t>College</t>
  </si>
  <si>
    <t>Middle</t>
  </si>
  <si>
    <t>Nursery</t>
  </si>
  <si>
    <t>IN: DfE Revenue Grants: Core schools budget grant</t>
  </si>
  <si>
    <t>IN: DfE Group Grants: Office of Children's Commissioner</t>
  </si>
  <si>
    <t>IN: DfE Group Grants: Engineering Construction ITB</t>
  </si>
  <si>
    <t>525210</t>
  </si>
  <si>
    <t>IN: Other Income: Feed in Tariff and RHI income</t>
  </si>
  <si>
    <t>525450</t>
  </si>
  <si>
    <t>IN: Other Income: Other reimbursement income from parents and staff</t>
  </si>
  <si>
    <t>530660</t>
  </si>
  <si>
    <t>IN: Trading Income: Electric vehicle charge point income</t>
  </si>
  <si>
    <t>IN: DfE Group capital grants: Office of Children's Commissioner</t>
  </si>
  <si>
    <t>IN: DfE Group capital grants: Engineering Construction ITB</t>
  </si>
  <si>
    <t>IN: Boarding Income: Office of Children's Commissioner</t>
  </si>
  <si>
    <t>624100</t>
  </si>
  <si>
    <t>SF: Other direct staff costs: Wages and salaries</t>
  </si>
  <si>
    <t>624150</t>
  </si>
  <si>
    <t>SF: Other direct staff costs: Overtime</t>
  </si>
  <si>
    <t>624200</t>
  </si>
  <si>
    <t>SF: Other direct staff costs: Employers national insurance</t>
  </si>
  <si>
    <t>624300</t>
  </si>
  <si>
    <t>SF: Other direct staff costs: Employers pension contribution</t>
  </si>
  <si>
    <t>SF: Other Staff - Support costs: Wages and salaries</t>
  </si>
  <si>
    <t>SF: Other Staff - Support costs: Overtime</t>
  </si>
  <si>
    <t>SF: Other Staff - Support costs: Employers national insurance</t>
  </si>
  <si>
    <t>SF: Other Staff - Support costs: Employers pension contribution</t>
  </si>
  <si>
    <t>SF: Pensions: LGPS cash contribution to pension deficit</t>
  </si>
  <si>
    <t>SF: Supply Staff: Teachers - long term cover: Wages and salaries</t>
  </si>
  <si>
    <t>SF: Supply Staff: Teachers - long term cover: Employers national insurance</t>
  </si>
  <si>
    <t>SF: Supply Staff: Teachers - long term cover: Employers pension</t>
  </si>
  <si>
    <t>SF: Supply Staff: Teachers - short term cover: Wages and salaries</t>
  </si>
  <si>
    <t>SF: Supply Staff: Teachers - short term cover: Employers national insurance</t>
  </si>
  <si>
    <t>SF: Supply Staff: Teachers - short term cover: Employers pension</t>
  </si>
  <si>
    <t>SF: Supply Staff: Teaching assistants: Wages and salaries</t>
  </si>
  <si>
    <t>SF: Supply Staff: Teaching assistants: Employers national insurance</t>
  </si>
  <si>
    <t>SF: Supply Staff: Teaching assistants: Employers pension</t>
  </si>
  <si>
    <t>SF: Supply Staff: Support staff: Wages and salaries</t>
  </si>
  <si>
    <t>SF: Supply Staff: Support staff: Employers national insurance</t>
  </si>
  <si>
    <t>SF: Supply Staff: Support staff: Employers pension</t>
  </si>
  <si>
    <t>675480</t>
  </si>
  <si>
    <t>SF: Ind Emp Exp: Occupational health</t>
  </si>
  <si>
    <t>SF: Ind Emp Exp: Refreshments and hospitality costs for staff</t>
  </si>
  <si>
    <t>675810</t>
  </si>
  <si>
    <t>675820</t>
  </si>
  <si>
    <t>PR: Operating leases: Land and building rent payable</t>
  </si>
  <si>
    <t>PR: Operating leases: Telephony &amp; connectivity</t>
  </si>
  <si>
    <t>735310</t>
  </si>
  <si>
    <t>PR: Operating leases: On-site servers</t>
  </si>
  <si>
    <t>735320</t>
  </si>
  <si>
    <t>PR: Operating leases: Laptops, desktop computers and tablets</t>
  </si>
  <si>
    <t>735410</t>
  </si>
  <si>
    <t>PR: Operating leases: Solar panels</t>
  </si>
  <si>
    <t>735500</t>
  </si>
  <si>
    <t>PR: Operating leases: Vehicles</t>
  </si>
  <si>
    <t>760680</t>
  </si>
  <si>
    <t>PR: Other Premises: Accommodation service charge</t>
  </si>
  <si>
    <t>PR: Other premises: Revenue expenditure from capital funding (Premises)</t>
  </si>
  <si>
    <t>810510</t>
  </si>
  <si>
    <t>SP: Educ Supplies: Alternative provision costs</t>
  </si>
  <si>
    <t>820110</t>
  </si>
  <si>
    <t xml:space="preserve">SP: Technology Costs: Educational laptop/desktop bundles </t>
  </si>
  <si>
    <t>820160</t>
  </si>
  <si>
    <t>820170</t>
  </si>
  <si>
    <t>SP: Technology Costs: Educational server costs</t>
  </si>
  <si>
    <t>820310</t>
  </si>
  <si>
    <t>SP: Technology Costs: ICT Admin laptops, desktop, tablets and peripherals</t>
  </si>
  <si>
    <t>SP: Technology Costs: ICT Admin Hardware (not capital)</t>
  </si>
  <si>
    <t>820330</t>
  </si>
  <si>
    <t>SP: Technology Costs: ICT Admin server costs (not leased or capital)</t>
  </si>
  <si>
    <t>SP: Technology Costs: ICT Admin Repairs</t>
  </si>
  <si>
    <t>SP: Technology Costs: ICT Admin Software (not capital)</t>
  </si>
  <si>
    <t>SP: Technology Costs: ICT Admin Licences</t>
  </si>
  <si>
    <t>SP: Technology Costs: ICT Admin Broadband</t>
  </si>
  <si>
    <t>SP: Technology Costs: ICT Admin Consumable</t>
  </si>
  <si>
    <t>830170</t>
  </si>
  <si>
    <t>SP: School Trips: School Trips - Swimming</t>
  </si>
  <si>
    <t>SP: School Trips: School Trips - Food &amp; Drink</t>
  </si>
  <si>
    <t>SP: Administration: Subscriptions - Curriculum</t>
  </si>
  <si>
    <t>SP: Administration: Marketing and PR</t>
  </si>
  <si>
    <t>SP: Administration: Refreshments and hospitality - non-staff</t>
  </si>
  <si>
    <t>835590</t>
  </si>
  <si>
    <t>SP: Administration: Administration - Other non curriculum costs</t>
  </si>
  <si>
    <t>SP: Transport: Vehicle costs - other</t>
  </si>
  <si>
    <t>840110</t>
  </si>
  <si>
    <t>SP: Transport: Vehicle fuel Costs</t>
  </si>
  <si>
    <t>840120</t>
  </si>
  <si>
    <t>SP: Transport: Vehicle service/maintenance costs</t>
  </si>
  <si>
    <t>840130</t>
  </si>
  <si>
    <t>SP: Transport: Taxes, tolls and congestion charges</t>
  </si>
  <si>
    <t>SP: Non-educ contracts: Educ Psychologist consultancy (External strategic)</t>
  </si>
  <si>
    <t>SP: Non-educ contracts: Speech &amp; Language consultancy (External strategic)</t>
  </si>
  <si>
    <t>SP: Non-educ contracts: SEN consultancy (External strategic)</t>
  </si>
  <si>
    <t>SP: Governance: Trustees/Trust Director - travel</t>
  </si>
  <si>
    <t>SP: Governance: Trustees/Trust Director - subsistence</t>
  </si>
  <si>
    <t>SP: Governance: Trustees/Trust Director - other reimb.</t>
  </si>
  <si>
    <t>SP: Administration-support costs: Revenue expenditure from capital funding (Supp's &amp; serv's)</t>
  </si>
  <si>
    <t>W3</t>
  </si>
  <si>
    <t>Voluntary Income</t>
  </si>
  <si>
    <t>W4</t>
  </si>
  <si>
    <t>Voluntary Expenditure</t>
  </si>
  <si>
    <t>MID</t>
  </si>
  <si>
    <t>APP</t>
  </si>
  <si>
    <t>MAR</t>
  </si>
  <si>
    <t>MIL</t>
  </si>
  <si>
    <t>GRE</t>
  </si>
  <si>
    <t>ALE</t>
  </si>
  <si>
    <t>Alexander Primary</t>
  </si>
  <si>
    <t>Appleborough Infant</t>
  </si>
  <si>
    <t>EDU</t>
  </si>
  <si>
    <t>Educating Surrey Academy</t>
  </si>
  <si>
    <t>Green Court Secondary</t>
  </si>
  <si>
    <t>LEA</t>
  </si>
  <si>
    <t>Leading Edge Academy</t>
  </si>
  <si>
    <t>LOR</t>
  </si>
  <si>
    <t>Lord's Junior Academy</t>
  </si>
  <si>
    <t>Markell College</t>
  </si>
  <si>
    <t>Middle Ground School</t>
  </si>
  <si>
    <t>Milton Kent Academy</t>
  </si>
  <si>
    <t>AWPU01_LNS_PRI</t>
  </si>
  <si>
    <t>LUMP_LNS_PRI</t>
  </si>
  <si>
    <t>Pre 16 GAG - Funded KS3 Numbers Multiplied by AWPU rate</t>
  </si>
  <si>
    <t>Pre 16 GAG - Funded Primary Numbers Multiplied by AWPU rate</t>
  </si>
  <si>
    <t>Pre 16 GAG - Funded KS4 Numbers Multiplied by AWPU rate</t>
  </si>
  <si>
    <t>Pre 16 GAG - Entered Value from Funding Statement</t>
  </si>
  <si>
    <t>Post 16 GAG - Occupied pupil numbers multiplied by rate</t>
  </si>
  <si>
    <t>Pre 16 GAG - Occupied pupil numbers multiplied by rate</t>
  </si>
  <si>
    <t>01 - GAG Post 16 Core Programme Funding</t>
  </si>
  <si>
    <t>Post 16 GAG - Entered Value from funding statement - Summary Table</t>
  </si>
  <si>
    <t>02 - GAG Post 16 Condition of funding Adjustment</t>
  </si>
  <si>
    <t>Post 16 GAG - High needs pupil numbers multiplied by rate</t>
  </si>
  <si>
    <t>Pre 16 GAG - High needs pupil numbers multiplied by rate</t>
  </si>
  <si>
    <t>Pre 16 GAG - Lump Sum value from statistics</t>
  </si>
  <si>
    <t>03 - GAG Post 16 Advanced Maths premium</t>
  </si>
  <si>
    <t>04 - GAG Post 16 Core maths premium</t>
  </si>
  <si>
    <t>Pre 16 GAG - Usually used for Start-up Grant or Exceptional Circumstances</t>
  </si>
  <si>
    <t>05- GAG Post 16 High value courses premium</t>
  </si>
  <si>
    <t>06 - GAG Post 16 Student financial support</t>
  </si>
  <si>
    <t>Year 1</t>
  </si>
  <si>
    <t>Year 2</t>
  </si>
  <si>
    <t>Year 3</t>
  </si>
  <si>
    <t>Year 4</t>
  </si>
  <si>
    <t>Year 5</t>
  </si>
  <si>
    <t>Customer Totals</t>
  </si>
  <si>
    <t>Variance Yr1</t>
  </si>
  <si>
    <t>Variance Yr2</t>
  </si>
  <si>
    <t>Variance Yr3</t>
  </si>
  <si>
    <t>Variance Yr4</t>
  </si>
  <si>
    <t>Variance Yr5</t>
  </si>
  <si>
    <t>Pupil Numbers Check</t>
  </si>
  <si>
    <t>IMP Totals</t>
  </si>
  <si>
    <t>AWPU Rate Primary Lancashire</t>
  </si>
  <si>
    <t>Lump Sum Rate Primary Lancashire</t>
  </si>
  <si>
    <t>AWPU01_PRI</t>
  </si>
  <si>
    <t>AWPU02_KS3</t>
  </si>
  <si>
    <t>AWPU03_KS4</t>
  </si>
  <si>
    <t>APBUD2526</t>
  </si>
  <si>
    <t>SFS</t>
  </si>
  <si>
    <t>Title Blank Check</t>
  </si>
  <si>
    <t>Title Blanck Check</t>
  </si>
  <si>
    <t>Blank Code</t>
  </si>
  <si>
    <t>Blank Title</t>
  </si>
  <si>
    <t>Code Blank Check</t>
  </si>
  <si>
    <t>LEVY_TEA</t>
  </si>
  <si>
    <t>LEVY_SUP</t>
  </si>
  <si>
    <t>Apprentice Levy - Teaching</t>
  </si>
  <si>
    <t>Apprentice Levy - Support</t>
  </si>
  <si>
    <t>LEVY_ALL_SUP</t>
  </si>
  <si>
    <t>LEVY_ALL_TEA</t>
  </si>
  <si>
    <t>Levy Allowance - Support</t>
  </si>
  <si>
    <t>Levy Allowance - Teaching</t>
  </si>
  <si>
    <t>IN: DfE Revenue Grants: Temporary DfE grants 2 (for DfE use)</t>
  </si>
  <si>
    <t>IN: DfE Revenue Grants: Temporary DfE grants 3 (for DfE use)</t>
  </si>
  <si>
    <t>IN: DfE Capital Grants: Temporary DfE capital grants (for DfE use)</t>
  </si>
  <si>
    <t>IN: Donations: Donated FA - other (Restricted)</t>
  </si>
  <si>
    <t>580160</t>
  </si>
  <si>
    <t>IN: Donations: Donated FA - other (Unrestricted)</t>
  </si>
  <si>
    <t>IN: Donations: Donated intangible assets (Restricted)</t>
  </si>
  <si>
    <t>580210</t>
  </si>
  <si>
    <t>IN: Donations: Donated intangible assets (Unrestricted)</t>
  </si>
  <si>
    <t>IN: Donations: Other capital donations (Restricted)</t>
  </si>
  <si>
    <t>580260</t>
  </si>
  <si>
    <t>IN: Donations: Other capital donations (Unrestricted)</t>
  </si>
  <si>
    <t>IN: Donations: Revenue donations - general (Restricted)</t>
  </si>
  <si>
    <t>580310</t>
  </si>
  <si>
    <t>IN: Donations: Revenue donations - general (Unrestricted)</t>
  </si>
  <si>
    <t>IN: Donations: Revenue donations - charity (Restricted)</t>
  </si>
  <si>
    <t>580360</t>
  </si>
  <si>
    <t>IN: Donations: Revenue donations - charity (Unrestricted)</t>
  </si>
  <si>
    <t>IN: Donations: Revenue donations - gift aid (Restricted)</t>
  </si>
  <si>
    <t>580410</t>
  </si>
  <si>
    <t>IN: Donations: Revenue donations - gift aid (Unrestricted)</t>
  </si>
  <si>
    <t>SF: Ind Emp Exp: Apprenticeship levy - teachers and educational support stff</t>
  </si>
  <si>
    <t>675110</t>
  </si>
  <si>
    <t>SF: Ind Emp Exp: Apprenticeship levy - support staff</t>
  </si>
  <si>
    <t>SF: Ind Emp Exp: Ex-gratia/severance - teaching and educational support staff</t>
  </si>
  <si>
    <t>SF: Ind Emp Exp: Ex-gratia/severance - support staff</t>
  </si>
  <si>
    <t>SF: Ind Emp Exp: Redundancy - teaching and educational support staff</t>
  </si>
  <si>
    <t>SF: Ind Emp Exp: Other restructuring - teaching and educational support staff</t>
  </si>
  <si>
    <t>SF: Ind Emp Exp: Other restructuring - support staff</t>
  </si>
  <si>
    <t>SF: Ind Emp Exp: Secondment income - teaching and educational support staff</t>
  </si>
  <si>
    <t>SF: Ind Emp Exp: Secondment income - support staff</t>
  </si>
  <si>
    <t>SF: Ind Emp Exp: Childcare vouchers and other salary sacrifice scheme costs</t>
  </si>
  <si>
    <t>SF: Ind Emp Exp: Recruitment - teaching and educational support staff</t>
  </si>
  <si>
    <t>SF: Ind Emp Exp: Staff Advertising - teaching and educational support staff</t>
  </si>
  <si>
    <t>SF: Ind Emp Exp: Staff Advertising - support staff</t>
  </si>
  <si>
    <t>SF: Ind Emp Exp: DBS checks - teaching and educational support staff</t>
  </si>
  <si>
    <t>SF: Ind Emp Exp: Staff training - teaching and educational support staff</t>
  </si>
  <si>
    <t>SF: Ind Emp Exp: Other Ind Emp Expense - teaching and educational support staff</t>
  </si>
  <si>
    <t>SF: Ind Emp Exp: Other Ind Emp Expense - support staff</t>
  </si>
  <si>
    <t>SF: Ind Emp Exp: Supply insurance - teaching and educational support staff</t>
  </si>
  <si>
    <t>SF: Ind Emp Exp: Supply insurance - support staff</t>
  </si>
  <si>
    <t>SF: Ind Emp Exp: Professional subscriptions - teaching and educational support staff</t>
  </si>
  <si>
    <t>SF: Ind Emp Exp: Professional subscriptions - support staff</t>
  </si>
  <si>
    <t>720500</t>
  </si>
  <si>
    <t>PR: Energy: Biomass fuel &amp; other renewable energy costs</t>
  </si>
  <si>
    <t>810220</t>
  </si>
  <si>
    <t>SP: Educ Supplies: Curriculum printing &amp; photocopying</t>
  </si>
  <si>
    <t>SP: Technology Costs: Educational IT Hardware</t>
  </si>
  <si>
    <t>SP: Technology Costs: Educational telephony, connectivity and broadband costs</t>
  </si>
  <si>
    <t>820180</t>
  </si>
  <si>
    <t>SP: Technology Costs: Educational IT repairs</t>
  </si>
  <si>
    <t>820190</t>
  </si>
  <si>
    <t>SP: Technology Costs: Educational IT support contracts</t>
  </si>
  <si>
    <t>830400</t>
  </si>
  <si>
    <t>SP: School Trips: Student placement costs</t>
  </si>
  <si>
    <t>SP: Bought in supply cover: Agency teachers long term</t>
  </si>
  <si>
    <t>SP: Bought in supply cover: Agency teachers short term</t>
  </si>
  <si>
    <t xml:space="preserve">SP: Bought in supply cover: Agency support staff - professional service - non-curriculum </t>
  </si>
  <si>
    <t>Apprentice Allowance - Teaching</t>
  </si>
  <si>
    <t>Apprentice Allowance - Support</t>
  </si>
  <si>
    <t>PLAC</t>
  </si>
  <si>
    <t>2028/29</t>
  </si>
  <si>
    <t>Year 6</t>
  </si>
  <si>
    <t>Variance Yr6</t>
  </si>
  <si>
    <t>Rows Missing Funds</t>
  </si>
  <si>
    <t>NA</t>
  </si>
  <si>
    <t>IsBalanceSheet</t>
  </si>
  <si>
    <t>NI Grant -  September - March</t>
  </si>
  <si>
    <t>NI Grant -  April - August</t>
  </si>
  <si>
    <t>SBSG - September - March</t>
  </si>
  <si>
    <t>SBSG - April - August</t>
  </si>
  <si>
    <t>PreviousYears</t>
  </si>
  <si>
    <t>Primary Only</t>
  </si>
  <si>
    <t>Autumn Census</t>
  </si>
  <si>
    <t>High Needs - PRE16</t>
  </si>
  <si>
    <t>High Needs - Pre 16 Occupied</t>
  </si>
  <si>
    <t>Service</t>
  </si>
  <si>
    <t>Deprivation - Primary</t>
  </si>
  <si>
    <t>Spring Census</t>
  </si>
  <si>
    <t>UIFSM - Jan Census</t>
  </si>
  <si>
    <t>UIFSM Oct Census</t>
  </si>
  <si>
    <t>Secondary Only</t>
  </si>
  <si>
    <t>ALES</t>
  </si>
  <si>
    <t>AWPU02_LNS_KS3</t>
  </si>
  <si>
    <t>AWPU03_LNS_KS4</t>
  </si>
  <si>
    <t>LUMP_LNS_SEC</t>
  </si>
  <si>
    <t>AWPU Rate KS3 Lancashire</t>
  </si>
  <si>
    <t>AWPU Rate KS4 Lancashire</t>
  </si>
  <si>
    <t>Lump Sum Rate Secondary Lancashire</t>
  </si>
  <si>
    <t>35_ScenarioRows</t>
  </si>
  <si>
    <t>36_ScenarioYearValues</t>
  </si>
  <si>
    <t>37_Monthly Values</t>
  </si>
  <si>
    <t>14_Calculators</t>
  </si>
  <si>
    <t>15_MonthProfiles</t>
  </si>
  <si>
    <t>11_Finance Codes S3</t>
  </si>
  <si>
    <t>File Path - Pre 16</t>
  </si>
  <si>
    <t>File Path - Post 16</t>
  </si>
  <si>
    <t>Default (no) Ledger</t>
  </si>
  <si>
    <t>DEPARTMENTS</t>
  </si>
  <si>
    <t>CENTRAL</t>
  </si>
  <si>
    <t>SECONDARY</t>
  </si>
  <si>
    <t>Funding Type</t>
  </si>
  <si>
    <t>Amount</t>
  </si>
  <si>
    <t>Name</t>
  </si>
  <si>
    <t>UKPRN</t>
  </si>
  <si>
    <t>File Name</t>
  </si>
  <si>
    <t>Core programme funding</t>
  </si>
  <si>
    <t>Condition of funding ad$ustment</t>
  </si>
  <si>
    <t>Advanced maths premium</t>
  </si>
  <si>
    <t>Core maths premium</t>
  </si>
  <si>
    <t>High value courses premium</t>
  </si>
  <si>
    <t>High needs student</t>
  </si>
  <si>
    <t>Student financial support</t>
  </si>
  <si>
    <t>Rate</t>
  </si>
  <si>
    <t>Weighting</t>
  </si>
  <si>
    <t>Primary IDACI band B</t>
  </si>
  <si>
    <t>Primary IDACI band C</t>
  </si>
  <si>
    <t>Primary IDACI band D</t>
  </si>
  <si>
    <t>Primary IDACI band E</t>
  </si>
  <si>
    <t>Total primary lump sum</t>
  </si>
  <si>
    <t>Total for running an academy across different sites</t>
  </si>
  <si>
    <t>Total for small academy in sparsely populated area</t>
  </si>
  <si>
    <t>Key Stage 3</t>
  </si>
  <si>
    <t>Key Stage 4</t>
  </si>
  <si>
    <t>Total secondary lump sum</t>
  </si>
  <si>
    <t>Statement Fields</t>
  </si>
  <si>
    <t>Section</t>
  </si>
  <si>
    <t>Sub - section</t>
  </si>
  <si>
    <t>Basic entitlement</t>
  </si>
  <si>
    <t>Deprivation</t>
  </si>
  <si>
    <t>Low priorattainment</t>
  </si>
  <si>
    <t>English as anadditionallanguage</t>
  </si>
  <si>
    <t>Mobility</t>
  </si>
  <si>
    <t>London fringe area</t>
  </si>
  <si>
    <t>Total for costs of higher teacher salaries</t>
  </si>
  <si>
    <t>Lump sum</t>
  </si>
  <si>
    <t>Private finance initiative</t>
  </si>
  <si>
    <t>Total for additional premises costs</t>
  </si>
  <si>
    <t>Split sites</t>
  </si>
  <si>
    <t>Sparsity</t>
  </si>
  <si>
    <t>Minimum per pupil level</t>
  </si>
  <si>
    <t>Total adjustment to make sure minimum funding level is met</t>
  </si>
  <si>
    <t>Total minimum funding guarantee</t>
  </si>
  <si>
    <t>Total high needs</t>
  </si>
  <si>
    <t>Alternative provision</t>
  </si>
  <si>
    <t>Special occupied</t>
  </si>
  <si>
    <t>Special unoccupied</t>
  </si>
  <si>
    <t>Exceptional adjustments</t>
  </si>
  <si>
    <t>Total exceptional adjustments</t>
  </si>
  <si>
    <t>IMP</t>
  </si>
  <si>
    <t>GAG AWPU/Basic Entitlement Primary</t>
  </si>
  <si>
    <t>GAG AWPU/Basic Entitlement KS3</t>
  </si>
  <si>
    <t>GAG AWPU/Basic Entitlement KS4</t>
  </si>
  <si>
    <t>GAG Deprivation Secondary IDACI Band A</t>
  </si>
  <si>
    <t>GAG Deprivation Secondary IDACI Band B</t>
  </si>
  <si>
    <t>GAG Deprivation Secondary IDACI Band C</t>
  </si>
  <si>
    <t>GAG Deprivation Secondary IDACI Band D</t>
  </si>
  <si>
    <t>GAG Deprivation Secondary IDACI Band E</t>
  </si>
  <si>
    <t>GAG Deprivation Secondary IDACI Band F</t>
  </si>
  <si>
    <t>GAG Deprivation Secondary FSM</t>
  </si>
  <si>
    <t>GAG Deprivation Secondary FSM6</t>
  </si>
  <si>
    <t>GAG Deprivation Primary IDACI Band A</t>
  </si>
  <si>
    <t>GAG Deprivation Primary IDACI Band B</t>
  </si>
  <si>
    <t>GAG Deprivation Primary IDACI Band C</t>
  </si>
  <si>
    <t>GAG Deprivation Primary IDACI Band D</t>
  </si>
  <si>
    <t>GAG Deprivation Primary IDACI Band E</t>
  </si>
  <si>
    <t>GAG Deprivation Primary IDACI Band F</t>
  </si>
  <si>
    <t>GAG Deprivation Primary FSM</t>
  </si>
  <si>
    <t>GAG Deprivation Primary FSM6</t>
  </si>
  <si>
    <t>GAG Prior Attainment Primary</t>
  </si>
  <si>
    <t>GAG Prior Attainment Secondary</t>
  </si>
  <si>
    <t>GAG EAL Primary</t>
  </si>
  <si>
    <t>GAG EAL Secondary</t>
  </si>
  <si>
    <t>GAG Mobility Primary</t>
  </si>
  <si>
    <t>GAG Mobility Secondary</t>
  </si>
  <si>
    <t>GAG London Fringe</t>
  </si>
  <si>
    <t>GAG Lump Sum Primary</t>
  </si>
  <si>
    <t>GAG Lump Sum Secondary</t>
  </si>
  <si>
    <t>GAG PFI</t>
  </si>
  <si>
    <t>GAG Split Sites</t>
  </si>
  <si>
    <t>GAG Sparsity</t>
  </si>
  <si>
    <t>GAG Minimum per pupil Funding Level</t>
  </si>
  <si>
    <t>GAG Minimum Funding Guarantee</t>
  </si>
  <si>
    <t>GAG Funding statement adjustment</t>
  </si>
  <si>
    <t>GAG Post 16 Core Programme Funding</t>
  </si>
  <si>
    <t>GAG Post 16 Condition of funding Adjustment</t>
  </si>
  <si>
    <t>GAG Post 16 Advanced Maths premium</t>
  </si>
  <si>
    <t>GAG Post 16 Core maths premium</t>
  </si>
  <si>
    <t>GAG Post 16 High value courses premium</t>
  </si>
  <si>
    <t>GAG Post 16 Student financial support</t>
  </si>
  <si>
    <t>Header</t>
  </si>
  <si>
    <t>Total</t>
  </si>
  <si>
    <t>Secondary IDACI band A (most deprived)</t>
  </si>
  <si>
    <t>Secondary IDACI band B</t>
  </si>
  <si>
    <t>Secondary IDACI band C</t>
  </si>
  <si>
    <t>Secondary IDACI band D</t>
  </si>
  <si>
    <t>Secondary IDACI band E</t>
  </si>
  <si>
    <t>Secondary IDACI band F (least deprived)</t>
  </si>
  <si>
    <t>Secondary free school meals</t>
  </si>
  <si>
    <t>Secondary pupils not
achieving the expected standards in KS2 tests</t>
  </si>
  <si>
    <t>Secondary pupils in first 3 years of education
within England</t>
  </si>
  <si>
    <t>Secondary pupils starting school on unusual entry dates
(proportion above 6%)</t>
  </si>
  <si>
    <t>Primary IDACI band A (most deprived)</t>
  </si>
  <si>
    <t>Primary IDACI band F (least deprived)</t>
  </si>
  <si>
    <t>Primary free school meals</t>
  </si>
  <si>
    <t>Primary pupils eligible for free school meals in
past 6 years</t>
  </si>
  <si>
    <t>Primary pupils not
achieving the expected levels of development</t>
  </si>
  <si>
    <t>Primary pupils in first 3
years of education within England</t>
  </si>
  <si>
    <t>Primary pupils starting school on unusual entry dates (proportion above
6%)</t>
  </si>
  <si>
    <t>SchoolName</t>
  </si>
  <si>
    <t>URN</t>
  </si>
  <si>
    <t>Mapped Description</t>
  </si>
  <si>
    <t>Header - Cleaned</t>
  </si>
  <si>
    <t>Departments Ledger</t>
  </si>
  <si>
    <t>ACADEMY</t>
  </si>
  <si>
    <t>Academy Schools</t>
  </si>
  <si>
    <t>ALLTHROUGH</t>
  </si>
  <si>
    <t>Allthrough</t>
  </si>
  <si>
    <t>Central Services</t>
  </si>
  <si>
    <t>Total post-opening grant</t>
  </si>
  <si>
    <t>Secondary pupils eligible for free school meals in past 6 years</t>
  </si>
  <si>
    <t>GCH</t>
  </si>
  <si>
    <t>ABC</t>
  </si>
  <si>
    <t>AWPU01_DEV_PRI</t>
  </si>
  <si>
    <t>AWPU Rate Primary Devon</t>
  </si>
  <si>
    <t>AWPU02_DEV_KS3</t>
  </si>
  <si>
    <t>AWPU Rate KS3 Devon</t>
  </si>
  <si>
    <t>AWPU03_DEV_KS4</t>
  </si>
  <si>
    <t>AWPU Rate KS4 Devon</t>
  </si>
  <si>
    <t>LUMP_DEV_PRI</t>
  </si>
  <si>
    <t>Lump Sum Rate Primary Devon</t>
  </si>
  <si>
    <t>LUMP_DEV_SEC</t>
  </si>
  <si>
    <t>Lump Sum Rate Secondary Devon</t>
  </si>
  <si>
    <t>Approvers</t>
  </si>
  <si>
    <t>AWPU-PRI-Devon</t>
  </si>
  <si>
    <t>Lump Sum Primary Devon</t>
  </si>
  <si>
    <t>Total AWPU PRI Devon</t>
  </si>
  <si>
    <t>CLD</t>
  </si>
  <si>
    <t>BBP</t>
  </si>
  <si>
    <t>PRIMARY</t>
  </si>
  <si>
    <t>Bolton Brow Primary Academy</t>
  </si>
  <si>
    <t>BBS</t>
  </si>
  <si>
    <t>The Brooksbank School</t>
  </si>
  <si>
    <t>KKL</t>
  </si>
  <si>
    <t>CHS</t>
  </si>
  <si>
    <t>SPECIAL</t>
  </si>
  <si>
    <t>Castle Hill School</t>
  </si>
  <si>
    <t>HHS</t>
  </si>
  <si>
    <t>Honley High School</t>
  </si>
  <si>
    <t>LCP</t>
  </si>
  <si>
    <t>Linthwaite Clough Primary School</t>
  </si>
  <si>
    <t>MMP</t>
  </si>
  <si>
    <t>Meltham Moor Primary School</t>
  </si>
  <si>
    <t>NIN</t>
  </si>
  <si>
    <t>Netherton Infant and Nursery School</t>
  </si>
  <si>
    <t>RVS</t>
  </si>
  <si>
    <t>Ryburn Valley High School</t>
  </si>
  <si>
    <t>SRA</t>
  </si>
  <si>
    <t>Scout Road Academy</t>
  </si>
  <si>
    <t>TLT</t>
  </si>
  <si>
    <t>Together Learning Trust</t>
  </si>
  <si>
    <t>Calderdale</t>
  </si>
  <si>
    <t>Default (no) Local Authority</t>
  </si>
  <si>
    <t>Kirklees</t>
  </si>
  <si>
    <t>Apprentice levy code - Support</t>
  </si>
  <si>
    <t>Apprentice levy code - Teaching</t>
  </si>
  <si>
    <t>BUILD CHECKS DASHBOARD</t>
  </si>
  <si>
    <t>CONFIGURATION</t>
  </si>
  <si>
    <t>SUMMARY STATUS</t>
  </si>
  <si>
    <t>Enter school codes below. All checks will automatically include listed schools.</t>
  </si>
  <si>
    <t>Passed</t>
  </si>
  <si>
    <t>Failed</t>
  </si>
  <si>
    <t>Status</t>
  </si>
  <si>
    <t>School Code</t>
  </si>
  <si>
    <t>School Name (auto)</t>
  </si>
  <si>
    <t>1. Pupil Numbers (vs FS)</t>
  </si>
  <si>
    <t>2. Pupil Totals (vs Cust)</t>
  </si>
  <si>
    <t>3. Funding Statement</t>
  </si>
  <si>
    <t>4. Budget Values</t>
  </si>
  <si>
    <t>Finance Code Config</t>
  </si>
  <si>
    <t>Pre-16 Code 1</t>
  </si>
  <si>
    <t>Pre-16 Code 2</t>
  </si>
  <si>
    <t>Pre-16 Code 3</t>
  </si>
  <si>
    <t>Post-16 Code 1</t>
  </si>
  <si>
    <t>Post-16 Code 2</t>
  </si>
  <si>
    <t>Post-16 Code 3</t>
  </si>
  <si>
    <t>1. PUPIL NUMBER CHECKS (Autumn Census 24/25 vs Funding Statement 25/26)</t>
  </si>
  <si>
    <t>Pri (Cen)</t>
  </si>
  <si>
    <t>Pri (FS)</t>
  </si>
  <si>
    <t>Pri Var</t>
  </si>
  <si>
    <t>KS3 (Cen)</t>
  </si>
  <si>
    <t>KS3 (FS)</t>
  </si>
  <si>
    <t>KS3 Var</t>
  </si>
  <si>
    <t>KS4 (Cen)</t>
  </si>
  <si>
    <t>KS4 (FS)</t>
  </si>
  <si>
    <t>KS4 Var</t>
  </si>
  <si>
    <t>KS5 (Cen)</t>
  </si>
  <si>
    <t>KS5 (FS)</t>
  </si>
  <si>
    <t>KS5 Var</t>
  </si>
  <si>
    <t>2. PUPIL TOTALS BY SECTION (vs Customer Document Totals)</t>
  </si>
  <si>
    <t>24/25 Calc</t>
  </si>
  <si>
    <t>25/26 Calc</t>
  </si>
  <si>
    <t>26/27 Calc</t>
  </si>
  <si>
    <t>24/25 Cust</t>
  </si>
  <si>
    <t>25/26 Cust</t>
  </si>
  <si>
    <t>26/27 Cust</t>
  </si>
  <si>
    <t>24/25 Var</t>
  </si>
  <si>
    <t>25/26 Var</t>
  </si>
  <si>
    <t>26/27 Var</t>
  </si>
  <si>
    <t>3. FUNDING STATEMENT CHECK</t>
  </si>
  <si>
    <t>Pre-16 Budget</t>
  </si>
  <si>
    <t>Post-16 Budget</t>
  </si>
  <si>
    <t>Total Budget</t>
  </si>
  <si>
    <t>FS Total (Manual)</t>
  </si>
  <si>
    <t>4. BUDGET VALUES CHECK (ScenarioApBud vs Customer Docs)</t>
  </si>
  <si>
    <t>Budget Total (Calc)</t>
  </si>
  <si>
    <t>Customer Doc Total</t>
  </si>
  <si>
    <t>AWPU01_CLD_PRI</t>
  </si>
  <si>
    <t>AWPU01_KKL_PRI</t>
  </si>
  <si>
    <t>AWPU02_CLD_KS3</t>
  </si>
  <si>
    <t>AWPU02_KKL_KS3</t>
  </si>
  <si>
    <t>AWPU03_CLD_KS4</t>
  </si>
  <si>
    <t>AWPU03_KKL_KS4</t>
  </si>
  <si>
    <t>LUMP_CLD_PRI</t>
  </si>
  <si>
    <t>LUMP_CLD_SEC</t>
  </si>
  <si>
    <t>LUMP_KKL_PRI</t>
  </si>
  <si>
    <t>LUMP_KKL_SEC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</si>
</sst>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
    <numFmt numFmtId="165" formatCode="0.0000"/>
  </numFmts>
  <fonts count="30" x14ac:knownFonts="1">
    <font>
      <sz val="11"/>
      <color theme="1"/>
      <name val="Calibri"/>
      <family val="2"/>
      <scheme val="minor"/>
    </font>
    <font>
      <b/>
      <sz val="11"/>
      <color theme="1"/>
      <name val="Calibri"/>
      <family val="2"/>
      <scheme val="minor"/>
    </font>
    <font>
      <sz val="8"/>
      <name val="Calibri"/>
      <family val="2"/>
      <scheme val="minor"/>
    </font>
    <font>
      <sz val="11"/>
      <color rgb="FFFF0000"/>
      <name val="Calibri"/>
      <family val="2"/>
      <scheme val="minor"/>
    </font>
    <font>
      <sz val="11"/>
      <name val="Calibri"/>
      <family val="2"/>
      <scheme val="minor"/>
    </font>
    <font>
      <sz val="11"/>
      <color theme="0"/>
      <name val="Calibri"/>
      <family val="2"/>
      <scheme val="minor"/>
    </font>
    <font>
      <u/>
      <sz val="11"/>
      <color theme="10"/>
      <name val="Calibri"/>
      <family val="2"/>
      <scheme val="minor"/>
    </font>
    <font>
      <sz val="11"/>
      <color rgb="FFFFFFFF"/>
      <name val="Calibri"/>
      <family val="2"/>
      <scheme val="minor"/>
    </font>
    <font>
      <sz val="11"/>
      <color theme="5"/>
      <name val="Calibri"/>
      <family val="2"/>
      <scheme val="minor"/>
    </font>
    <font>
      <sz val="11"/>
      <color theme="9" tint="-0.499984740745262"/>
      <name val="Calibri"/>
      <family val="2"/>
      <scheme val="minor"/>
    </font>
    <font>
      <b/>
      <i/>
      <sz val="11"/>
      <color theme="1"/>
      <name val="Calibri"/>
      <family val="2"/>
      <scheme val="minor"/>
    </font>
    <font>
      <sz val="10"/>
      <name val="Arial"/>
      <family val="2"/>
    </font>
    <font>
      <u/>
      <sz val="11"/>
      <color theme="0"/>
      <name val="Calibri"/>
      <family val="2"/>
      <scheme val="minor"/>
    </font>
    <font>
      <b/>
      <u/>
      <sz val="12"/>
      <color theme="0"/>
      <name val="Calibri"/>
      <family val="2"/>
      <scheme val="minor"/>
    </font>
    <font>
      <b/>
      <sz val="11"/>
      <color theme="0"/>
      <name val="Calibri"/>
      <family val="2"/>
      <scheme val="minor"/>
    </font>
    <font>
      <b/>
      <sz val="12"/>
      <color theme="1"/>
      <name val="Calibri"/>
      <family val="2"/>
      <scheme val="minor"/>
    </font>
    <font>
      <b/>
      <sz val="11"/>
      <name val="Calibri"/>
      <family val="2"/>
      <scheme val="minor"/>
    </font>
    <font>
      <b/>
      <sz val="18"/>
      <color theme="0"/>
      <name val="Calibri"/>
      <family val="2"/>
      <scheme val="minor"/>
    </font>
    <font>
      <b/>
      <sz val="22"/>
      <color theme="1"/>
      <name val="Calibri"/>
      <family val="2"/>
      <scheme val="minor"/>
    </font>
    <font>
      <b/>
      <sz val="11"/>
      <color rgb="FFFF0000"/>
      <name val="Calibri"/>
      <family val="2"/>
      <scheme val="minor"/>
    </font>
    <font>
      <b/>
      <sz val="18"/>
      <color rgb="FFFF0000"/>
      <name val="Calibri"/>
      <family val="2"/>
      <scheme val="minor"/>
    </font>
    <font>
      <b/>
      <sz val="22"/>
      <name val="Calibri"/>
      <family val="2"/>
      <scheme val="minor"/>
    </font>
    <font>
      <b/>
      <sz val="22"/>
      <color theme="0"/>
      <name val="Calibri"/>
      <family val="2"/>
      <scheme val="minor"/>
    </font>
    <font>
      <sz val="11"/>
      <color theme="1"/>
      <name val="Calibri"/>
      <family val="2"/>
      <charset val="1"/>
    </font>
    <font>
      <b/>
      <sz val="16"/>
      <color rgb="FF1F4E79"/>
      <name val="Cambria"/>
      <family val="1"/>
    </font>
    <font>
      <b/>
      <sz val="11"/>
      <color rgb="FFFFFFFF"/>
      <name val="Cambria"/>
      <family val="1"/>
    </font>
    <font>
      <i/>
      <sz val="9"/>
      <color rgb="FF666666"/>
      <name val="Cambria"/>
      <family val="1"/>
    </font>
    <font>
      <b/>
      <sz val="10"/>
      <color rgb="FFFFFFFF"/>
      <name val="Cambria"/>
      <family val="1"/>
    </font>
    <font>
      <sz val="11"/>
      <color rgb="FF0000FF"/>
      <name val="Cambria"/>
      <family val="1"/>
    </font>
    <font>
      <b/>
      <sz val="11"/>
      <name val="Cambria"/>
      <family val="1"/>
    </font>
  </fonts>
  <fills count="23">
    <fill>
      <patternFill patternType="none"/>
    </fill>
    <fill>
      <patternFill patternType="gray125"/>
    </fill>
    <fill>
      <patternFill patternType="solid">
        <fgColor rgb="FFAC8DBF"/>
        <bgColor indexed="64"/>
      </patternFill>
    </fill>
    <fill>
      <patternFill patternType="solid">
        <fgColor rgb="FFAC6689"/>
        <bgColor indexed="64"/>
      </patternFill>
    </fill>
    <fill>
      <patternFill patternType="solid">
        <fgColor rgb="FFAC6689"/>
        <bgColor rgb="FFFFFFFF"/>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0.249977111117893"/>
        <bgColor rgb="FFFFFFFF"/>
      </patternFill>
    </fill>
    <fill>
      <patternFill patternType="solid">
        <fgColor theme="6" tint="0.59999389629810485"/>
        <bgColor indexed="64"/>
      </patternFill>
    </fill>
    <fill>
      <patternFill patternType="solid">
        <fgColor theme="6" tint="0.39997558519241921"/>
        <bgColor rgb="FFFFFFFF"/>
      </patternFill>
    </fill>
    <fill>
      <patternFill patternType="solid">
        <fgColor theme="6" tint="0.39997558519241921"/>
        <bgColor indexed="64"/>
      </patternFill>
    </fill>
    <fill>
      <patternFill patternType="solid">
        <fgColor rgb="FFFFFF00"/>
        <bgColor indexed="64"/>
      </patternFill>
    </fill>
    <fill>
      <patternFill patternType="solid">
        <fgColor rgb="FFA093DB"/>
        <bgColor indexed="64"/>
      </patternFill>
    </fill>
    <fill>
      <patternFill patternType="solid">
        <fgColor rgb="FF6A0F8E"/>
        <bgColor indexed="64"/>
      </patternFill>
    </fill>
    <fill>
      <patternFill patternType="solid">
        <fgColor rgb="FFE5E5E5"/>
        <bgColor indexed="64"/>
      </patternFill>
    </fill>
    <fill>
      <patternFill patternType="solid">
        <fgColor rgb="FF261342"/>
        <bgColor indexed="64"/>
      </patternFill>
    </fill>
    <fill>
      <patternFill patternType="solid">
        <fgColor rgb="FFE5E5E5"/>
        <bgColor theme="4"/>
      </patternFill>
    </fill>
    <fill>
      <patternFill patternType="solid">
        <fgColor rgb="FFE5E5E5"/>
        <bgColor rgb="FFFFFFFF"/>
      </patternFill>
    </fill>
    <fill>
      <patternFill patternType="solid">
        <fgColor rgb="FFB2B2B2"/>
        <bgColor indexed="64"/>
      </patternFill>
    </fill>
    <fill>
      <patternFill patternType="solid">
        <fgColor rgb="FF1F4E79"/>
        <bgColor rgb="FF003366"/>
      </patternFill>
    </fill>
    <fill>
      <patternFill patternType="solid">
        <fgColor rgb="FF2E75B6"/>
        <bgColor rgb="FF0563C1"/>
      </patternFill>
    </fill>
    <fill>
      <patternFill patternType="solid">
        <fgColor rgb="FFFFF2CC"/>
        <bgColor rgb="FFFBE5D6"/>
      </patternFill>
    </fill>
    <fill>
      <patternFill patternType="solid">
        <fgColor rgb="FFFFFF99"/>
        <bgColor rgb="FFFFF2CC"/>
      </patternFill>
    </fill>
  </fills>
  <borders count="31">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style="medium">
        <color indexed="64"/>
      </left>
      <right style="medium">
        <color indexed="64"/>
      </right>
      <top style="medium">
        <color indexed="64"/>
      </top>
      <bottom style="medium">
        <color indexed="64"/>
      </bottom>
      <diagonal/>
    </border>
    <border>
      <left style="thin">
        <color theme="4" tint="0.39997558519241921"/>
      </left>
      <right/>
      <top/>
      <bottom style="thin">
        <color theme="4" tint="0.39997558519241921"/>
      </bottom>
      <diagonal/>
    </border>
    <border>
      <left/>
      <right/>
      <top/>
      <bottom style="medium">
        <color indexed="64"/>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thin">
        <color theme="4" tint="0.39997558519241921"/>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thin">
        <color theme="4" tint="0.39997558519241921"/>
      </left>
      <right/>
      <top style="thin">
        <color theme="4" tint="0.39997558519241921"/>
      </top>
      <bottom/>
      <diagonal/>
    </border>
    <border>
      <left/>
      <right style="medium">
        <color indexed="64"/>
      </right>
      <top style="medium">
        <color indexed="64"/>
      </top>
      <bottom/>
      <diagonal/>
    </border>
    <border>
      <left/>
      <right/>
      <top style="hair">
        <color theme="0" tint="-0.34998626667073579"/>
      </top>
      <bottom style="hair">
        <color theme="0" tint="-0.34998626667073579"/>
      </bottom>
      <diagonal/>
    </border>
    <border>
      <left/>
      <right/>
      <top style="hair">
        <color theme="0" tint="-0.34998626667073579"/>
      </top>
      <bottom/>
      <diagonal/>
    </border>
    <border>
      <left/>
      <right/>
      <top/>
      <bottom style="medium">
        <color theme="0"/>
      </bottom>
      <diagonal/>
    </border>
    <border>
      <left/>
      <right/>
      <top style="hair">
        <color theme="0" tint="-0.499984740745262"/>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style="hair">
        <color theme="0" tint="-0.499984740745262"/>
      </top>
      <bottom style="hair">
        <color theme="0" tint="-0.499984740745262"/>
      </bottom>
      <diagonal/>
    </border>
    <border>
      <left style="medium">
        <color indexed="64"/>
      </left>
      <right style="medium">
        <color indexed="64"/>
      </right>
      <top/>
      <bottom style="medium">
        <color indexed="64"/>
      </bottom>
      <diagonal/>
    </border>
    <border>
      <left/>
      <right style="medium">
        <color indexed="64"/>
      </right>
      <top/>
      <bottom/>
      <diagonal/>
    </border>
    <border>
      <left style="thin">
        <color auto="1"/>
      </left>
      <right style="thin">
        <color auto="1"/>
      </right>
      <top style="thin">
        <color auto="1"/>
      </top>
      <bottom style="thin">
        <color auto="1"/>
      </bottom>
      <diagonal/>
    </border>
  </borders>
  <cellStyleXfs count="4">
    <xf numFmtId="0" fontId="0" fillId="0" borderId="0"/>
    <xf numFmtId="0" fontId="6" fillId="0" borderId="0" applyNumberFormat="0" applyFill="0" applyBorder="0" applyAlignment="0" applyProtection="0"/>
    <xf numFmtId="0" fontId="11" fillId="0" borderId="0"/>
    <xf numFmtId="0" fontId="23" fillId="0" borderId="0"/>
  </cellStyleXfs>
  <cellXfs count="196">
    <xf numFmtId="0" fontId="0" fillId="0" borderId="0" xfId="0"/>
    <xf numFmtId="0" fontId="4" fillId="2" borderId="0" xfId="0" applyFont="1" applyFill="1"/>
    <xf numFmtId="0" fontId="3" fillId="0" borderId="0" xfId="0" applyFont="1"/>
    <xf numFmtId="0" fontId="0" fillId="2" borderId="0" xfId="0" applyFill="1"/>
    <xf numFmtId="2" fontId="0" fillId="2" borderId="0" xfId="0" applyNumberFormat="1" applyFill="1"/>
    <xf numFmtId="0" fontId="7" fillId="3" borderId="0" xfId="0" applyFont="1" applyFill="1"/>
    <xf numFmtId="0" fontId="1" fillId="0" borderId="0" xfId="0" applyFont="1"/>
    <xf numFmtId="49" fontId="0" fillId="0" borderId="0" xfId="0" applyNumberFormat="1"/>
    <xf numFmtId="0" fontId="8" fillId="0" borderId="0" xfId="0" applyFont="1"/>
    <xf numFmtId="0" fontId="9" fillId="0" borderId="0" xfId="0" applyFont="1"/>
    <xf numFmtId="49" fontId="7" fillId="3" borderId="0" xfId="0" applyNumberFormat="1" applyFont="1" applyFill="1"/>
    <xf numFmtId="49" fontId="0" fillId="2" borderId="0" xfId="0" applyNumberFormat="1" applyFill="1"/>
    <xf numFmtId="0" fontId="0" fillId="2" borderId="0" xfId="0" applyFill="1" applyAlignment="1">
      <alignment horizontal="left"/>
    </xf>
    <xf numFmtId="0" fontId="5" fillId="3" borderId="0" xfId="0" applyFont="1" applyFill="1"/>
    <xf numFmtId="49" fontId="5" fillId="3" borderId="0" xfId="0" applyNumberFormat="1" applyFont="1" applyFill="1"/>
    <xf numFmtId="14" fontId="5" fillId="3" borderId="0" xfId="0" applyNumberFormat="1" applyFont="1" applyFill="1"/>
    <xf numFmtId="9" fontId="0" fillId="2" borderId="0" xfId="0" applyNumberFormat="1" applyFill="1"/>
    <xf numFmtId="0" fontId="4" fillId="0" borderId="0" xfId="0" applyFont="1"/>
    <xf numFmtId="0" fontId="0" fillId="0" borderId="0" xfId="0" applyAlignment="1">
      <alignment horizontal="right"/>
    </xf>
    <xf numFmtId="0" fontId="7" fillId="4" borderId="0" xfId="0" applyFont="1" applyFill="1" applyAlignment="1">
      <alignment horizontal="left"/>
    </xf>
    <xf numFmtId="0" fontId="0" fillId="0" borderId="0" xfId="0" applyAlignment="1">
      <alignment horizontal="left"/>
    </xf>
    <xf numFmtId="0" fontId="4" fillId="2" borderId="0" xfId="0" applyFont="1" applyFill="1" applyAlignment="1">
      <alignment horizontal="left"/>
    </xf>
    <xf numFmtId="49" fontId="0" fillId="2" borderId="0" xfId="0" applyNumberFormat="1" applyFill="1" applyAlignment="1">
      <alignment horizontal="left"/>
    </xf>
    <xf numFmtId="0" fontId="0" fillId="0" borderId="0" xfId="0" applyAlignment="1">
      <alignment horizontal="left" wrapText="1"/>
    </xf>
    <xf numFmtId="0" fontId="10" fillId="2" borderId="0" xfId="0" applyFont="1" applyFill="1" applyAlignment="1">
      <alignment horizontal="left"/>
    </xf>
    <xf numFmtId="0" fontId="0" fillId="6" borderId="0" xfId="0" applyFill="1"/>
    <xf numFmtId="0" fontId="7" fillId="7" borderId="0" xfId="0" applyFont="1" applyFill="1"/>
    <xf numFmtId="0" fontId="0" fillId="8" borderId="0" xfId="0" applyFill="1"/>
    <xf numFmtId="0" fontId="0" fillId="8" borderId="0" xfId="0" applyFill="1" applyAlignment="1">
      <alignment horizontal="left"/>
    </xf>
    <xf numFmtId="0" fontId="7" fillId="9" borderId="0" xfId="0" applyFont="1" applyFill="1" applyAlignment="1">
      <alignment horizontal="left"/>
    </xf>
    <xf numFmtId="0" fontId="5" fillId="10" borderId="0" xfId="0" applyFont="1" applyFill="1" applyAlignment="1">
      <alignment horizontal="left"/>
    </xf>
    <xf numFmtId="0" fontId="4" fillId="8" borderId="0" xfId="0" applyFont="1" applyFill="1"/>
    <xf numFmtId="0" fontId="7" fillId="10" borderId="0" xfId="0" applyFont="1" applyFill="1"/>
    <xf numFmtId="0" fontId="7" fillId="9" borderId="0" xfId="0" applyFont="1" applyFill="1"/>
    <xf numFmtId="1" fontId="5" fillId="3" borderId="0" xfId="0" applyNumberFormat="1" applyFont="1" applyFill="1"/>
    <xf numFmtId="1" fontId="0" fillId="2" borderId="0" xfId="0" applyNumberFormat="1" applyFill="1"/>
    <xf numFmtId="1" fontId="0" fillId="0" borderId="0" xfId="0" applyNumberFormat="1"/>
    <xf numFmtId="1" fontId="0" fillId="8" borderId="0" xfId="0" applyNumberFormat="1" applyFill="1"/>
    <xf numFmtId="2" fontId="0" fillId="0" borderId="0" xfId="0" applyNumberFormat="1"/>
    <xf numFmtId="2" fontId="5" fillId="3" borderId="0" xfId="0" applyNumberFormat="1" applyFont="1" applyFill="1"/>
    <xf numFmtId="0" fontId="15" fillId="0" borderId="0" xfId="0" applyFont="1"/>
    <xf numFmtId="0" fontId="0" fillId="0" borderId="0" xfId="0" pivotButton="1"/>
    <xf numFmtId="0" fontId="7" fillId="7" borderId="0" xfId="0" applyFont="1" applyFill="1" applyAlignment="1">
      <alignment horizontal="left" textRotation="45"/>
    </xf>
    <xf numFmtId="0" fontId="7" fillId="4" borderId="0" xfId="0" applyFont="1" applyFill="1" applyAlignment="1">
      <alignment horizontal="left" textRotation="45"/>
    </xf>
    <xf numFmtId="0" fontId="0" fillId="0" borderId="0" xfId="0" applyAlignment="1">
      <alignment horizontal="left" textRotation="45"/>
    </xf>
    <xf numFmtId="0" fontId="0" fillId="0" borderId="0" xfId="0" applyAlignment="1">
      <alignment vertical="center"/>
    </xf>
    <xf numFmtId="49" fontId="4" fillId="2" borderId="0" xfId="0" applyNumberFormat="1" applyFont="1" applyFill="1"/>
    <xf numFmtId="0" fontId="0" fillId="2" borderId="1" xfId="0" applyFill="1" applyBorder="1" applyAlignment="1">
      <alignment horizontal="left"/>
    </xf>
    <xf numFmtId="49" fontId="7" fillId="10" borderId="0" xfId="0" applyNumberFormat="1" applyFont="1" applyFill="1"/>
    <xf numFmtId="0" fontId="0" fillId="0" borderId="8" xfId="0" applyBorder="1"/>
    <xf numFmtId="0" fontId="0" fillId="0" borderId="9" xfId="0" applyBorder="1"/>
    <xf numFmtId="0" fontId="0" fillId="0" borderId="10" xfId="0" applyBorder="1"/>
    <xf numFmtId="0" fontId="0" fillId="5" borderId="0" xfId="0" applyFill="1" applyAlignment="1">
      <alignment horizontal="right"/>
    </xf>
    <xf numFmtId="2" fontId="15" fillId="0" borderId="0" xfId="0" applyNumberFormat="1" applyFont="1"/>
    <xf numFmtId="2" fontId="1" fillId="0" borderId="0" xfId="0" applyNumberFormat="1" applyFont="1"/>
    <xf numFmtId="0" fontId="1" fillId="11" borderId="5" xfId="0" applyFont="1" applyFill="1" applyBorder="1" applyAlignment="1">
      <alignment horizontal="center"/>
    </xf>
    <xf numFmtId="1" fontId="1" fillId="11" borderId="5" xfId="0" applyNumberFormat="1" applyFont="1" applyFill="1" applyBorder="1"/>
    <xf numFmtId="1" fontId="1" fillId="11" borderId="12" xfId="0" applyNumberFormat="1" applyFont="1" applyFill="1" applyBorder="1"/>
    <xf numFmtId="1" fontId="1" fillId="11" borderId="16" xfId="0" applyNumberFormat="1" applyFont="1" applyFill="1" applyBorder="1"/>
    <xf numFmtId="1" fontId="1" fillId="11" borderId="17" xfId="0" applyNumberFormat="1" applyFont="1" applyFill="1" applyBorder="1"/>
    <xf numFmtId="0" fontId="0" fillId="0" borderId="0" xfId="0" applyAlignment="1">
      <alignment vertical="center" wrapText="1"/>
    </xf>
    <xf numFmtId="0" fontId="7" fillId="5" borderId="0" xfId="0" applyFont="1" applyFill="1" applyAlignment="1">
      <alignment horizontal="center" textRotation="45"/>
    </xf>
    <xf numFmtId="0" fontId="4" fillId="5" borderId="0" xfId="0" applyFont="1" applyFill="1" applyAlignment="1">
      <alignment horizontal="left"/>
    </xf>
    <xf numFmtId="0" fontId="4" fillId="5" borderId="0" xfId="0" applyFont="1" applyFill="1" applyAlignment="1">
      <alignment horizontal="right"/>
    </xf>
    <xf numFmtId="0" fontId="14" fillId="0" borderId="2" xfId="0" applyFont="1" applyBorder="1"/>
    <xf numFmtId="0" fontId="0" fillId="0" borderId="1" xfId="0" applyBorder="1" applyAlignment="1">
      <alignment vertical="top"/>
    </xf>
    <xf numFmtId="0" fontId="0" fillId="0" borderId="1" xfId="0" applyBorder="1"/>
    <xf numFmtId="0" fontId="0" fillId="0" borderId="3" xfId="0" applyBorder="1"/>
    <xf numFmtId="0" fontId="6" fillId="0" borderId="3" xfId="1" applyFill="1" applyBorder="1"/>
    <xf numFmtId="0" fontId="0" fillId="14" borderId="0" xfId="0" applyFill="1"/>
    <xf numFmtId="0" fontId="13" fillId="0" borderId="0" xfId="0" applyFont="1"/>
    <xf numFmtId="0" fontId="0" fillId="0" borderId="0" xfId="0" applyAlignment="1">
      <alignment wrapText="1"/>
    </xf>
    <xf numFmtId="0" fontId="13" fillId="13" borderId="0" xfId="0" applyFont="1" applyFill="1" applyAlignment="1">
      <alignment vertical="center" wrapText="1"/>
    </xf>
    <xf numFmtId="0" fontId="13" fillId="13" borderId="0" xfId="0" applyFont="1" applyFill="1" applyAlignment="1">
      <alignment vertical="center"/>
    </xf>
    <xf numFmtId="2" fontId="13" fillId="13" borderId="0" xfId="0" applyNumberFormat="1" applyFont="1" applyFill="1" applyAlignment="1">
      <alignment vertical="center"/>
    </xf>
    <xf numFmtId="0" fontId="0" fillId="12" borderId="20" xfId="0" applyFill="1" applyBorder="1" applyAlignment="1">
      <alignment vertical="center"/>
    </xf>
    <xf numFmtId="0" fontId="0" fillId="12" borderId="20" xfId="0" applyFill="1" applyBorder="1" applyAlignment="1">
      <alignment vertical="center" wrapText="1"/>
    </xf>
    <xf numFmtId="14" fontId="0" fillId="12" borderId="20" xfId="0" applyNumberFormat="1" applyFill="1" applyBorder="1" applyAlignment="1">
      <alignment vertical="center"/>
    </xf>
    <xf numFmtId="0" fontId="0" fillId="12" borderId="21" xfId="0" applyFill="1" applyBorder="1" applyAlignment="1">
      <alignment vertical="center"/>
    </xf>
    <xf numFmtId="0" fontId="0" fillId="12" borderId="21" xfId="0" applyFill="1" applyBorder="1" applyAlignment="1">
      <alignment vertical="center" wrapText="1"/>
    </xf>
    <xf numFmtId="0" fontId="4" fillId="14" borderId="0" xfId="0" applyFont="1" applyFill="1"/>
    <xf numFmtId="0" fontId="16" fillId="16" borderId="0" xfId="0" applyFont="1" applyFill="1"/>
    <xf numFmtId="0" fontId="16" fillId="14" borderId="1" xfId="0" applyFont="1" applyFill="1" applyBorder="1"/>
    <xf numFmtId="0" fontId="16" fillId="14" borderId="0" xfId="0" applyFont="1" applyFill="1"/>
    <xf numFmtId="0" fontId="16" fillId="14" borderId="4" xfId="0" applyFont="1" applyFill="1" applyBorder="1"/>
    <xf numFmtId="0" fontId="4" fillId="14" borderId="1" xfId="0" applyFont="1" applyFill="1" applyBorder="1"/>
    <xf numFmtId="0" fontId="4" fillId="14" borderId="0" xfId="0" applyFont="1" applyFill="1" applyAlignment="1">
      <alignment horizontal="right"/>
    </xf>
    <xf numFmtId="0" fontId="16" fillId="17" borderId="4" xfId="0" applyFont="1" applyFill="1" applyBorder="1" applyAlignment="1">
      <alignment horizontal="left"/>
    </xf>
    <xf numFmtId="0" fontId="16" fillId="17" borderId="1" xfId="0" applyFont="1" applyFill="1" applyBorder="1" applyAlignment="1">
      <alignment horizontal="left"/>
    </xf>
    <xf numFmtId="0" fontId="16" fillId="14" borderId="1" xfId="0" applyFont="1" applyFill="1" applyBorder="1" applyAlignment="1">
      <alignment horizontal="left"/>
    </xf>
    <xf numFmtId="0" fontId="5" fillId="0" borderId="0" xfId="0" applyFont="1"/>
    <xf numFmtId="14" fontId="4" fillId="14" borderId="0" xfId="0" applyNumberFormat="1" applyFont="1" applyFill="1"/>
    <xf numFmtId="14" fontId="16" fillId="14" borderId="4" xfId="0" applyNumberFormat="1" applyFont="1" applyFill="1" applyBorder="1"/>
    <xf numFmtId="14" fontId="16" fillId="14" borderId="1" xfId="0" applyNumberFormat="1" applyFont="1" applyFill="1" applyBorder="1"/>
    <xf numFmtId="0" fontId="16" fillId="14" borderId="0" xfId="0" applyFont="1" applyFill="1" applyAlignment="1">
      <alignment horizontal="center"/>
    </xf>
    <xf numFmtId="0" fontId="4" fillId="14" borderId="2" xfId="0" applyFont="1" applyFill="1" applyBorder="1"/>
    <xf numFmtId="0" fontId="4" fillId="14" borderId="3" xfId="0" applyFont="1" applyFill="1" applyBorder="1"/>
    <xf numFmtId="14" fontId="16" fillId="14" borderId="0" xfId="0" applyNumberFormat="1" applyFont="1" applyFill="1"/>
    <xf numFmtId="14" fontId="5" fillId="0" borderId="0" xfId="0" applyNumberFormat="1" applyFont="1"/>
    <xf numFmtId="49" fontId="5" fillId="0" borderId="0" xfId="0" applyNumberFormat="1" applyFont="1"/>
    <xf numFmtId="1" fontId="5" fillId="0" borderId="0" xfId="0" applyNumberFormat="1" applyFont="1"/>
    <xf numFmtId="0" fontId="1" fillId="14" borderId="15" xfId="0" applyFont="1" applyFill="1" applyBorder="1"/>
    <xf numFmtId="0" fontId="16" fillId="14" borderId="7" xfId="0" applyFont="1" applyFill="1" applyBorder="1" applyAlignment="1">
      <alignment horizontal="center"/>
    </xf>
    <xf numFmtId="0" fontId="16" fillId="14" borderId="14" xfId="0" applyFont="1" applyFill="1" applyBorder="1" applyAlignment="1">
      <alignment horizontal="center"/>
    </xf>
    <xf numFmtId="0" fontId="5" fillId="15" borderId="0" xfId="0" applyFont="1" applyFill="1"/>
    <xf numFmtId="0" fontId="12" fillId="15" borderId="0" xfId="1" applyFont="1" applyFill="1"/>
    <xf numFmtId="0" fontId="1" fillId="14" borderId="12" xfId="0" applyFont="1" applyFill="1" applyBorder="1" applyAlignment="1">
      <alignment horizontal="center" vertical="center"/>
    </xf>
    <xf numFmtId="0" fontId="1" fillId="14" borderId="5" xfId="0" applyFont="1" applyFill="1" applyBorder="1" applyAlignment="1">
      <alignment horizontal="center" vertical="center"/>
    </xf>
    <xf numFmtId="0" fontId="1" fillId="0" borderId="0" xfId="0" applyFont="1" applyAlignment="1">
      <alignment horizontal="center" vertical="center"/>
    </xf>
    <xf numFmtId="0" fontId="1" fillId="14" borderId="5" xfId="0" applyFont="1" applyFill="1" applyBorder="1" applyAlignment="1">
      <alignment horizontal="center" vertical="center" wrapText="1"/>
    </xf>
    <xf numFmtId="0" fontId="1" fillId="14" borderId="16" xfId="0" applyFont="1" applyFill="1" applyBorder="1" applyAlignment="1">
      <alignment horizontal="center" vertical="center" wrapText="1"/>
    </xf>
    <xf numFmtId="0" fontId="1" fillId="0" borderId="0" xfId="0" applyFont="1" applyAlignment="1">
      <alignment horizontal="center" vertical="center" wrapText="1"/>
    </xf>
    <xf numFmtId="0" fontId="14" fillId="13" borderId="0" xfId="0" applyFont="1" applyFill="1" applyAlignment="1">
      <alignment horizontal="center" vertical="center"/>
    </xf>
    <xf numFmtId="49" fontId="4" fillId="2" borderId="0" xfId="0" applyNumberFormat="1" applyFont="1" applyFill="1" applyAlignment="1">
      <alignment horizontal="left"/>
    </xf>
    <xf numFmtId="164" fontId="14" fillId="13" borderId="0" xfId="0" applyNumberFormat="1" applyFont="1" applyFill="1" applyAlignment="1">
      <alignment horizontal="center" vertical="center"/>
    </xf>
    <xf numFmtId="0" fontId="16" fillId="16" borderId="3" xfId="0" applyFont="1" applyFill="1" applyBorder="1"/>
    <xf numFmtId="0" fontId="16" fillId="14" borderId="3" xfId="0" applyFont="1" applyFill="1" applyBorder="1"/>
    <xf numFmtId="0" fontId="16" fillId="16" borderId="18" xfId="0" applyFont="1" applyFill="1" applyBorder="1"/>
    <xf numFmtId="0" fontId="16" fillId="14" borderId="23" xfId="0" applyFont="1" applyFill="1" applyBorder="1"/>
    <xf numFmtId="0" fontId="16" fillId="14" borderId="18" xfId="0" applyFont="1" applyFill="1" applyBorder="1"/>
    <xf numFmtId="0" fontId="4" fillId="14" borderId="4" xfId="0" applyFont="1" applyFill="1" applyBorder="1"/>
    <xf numFmtId="0" fontId="4" fillId="14" borderId="6" xfId="0" applyFont="1" applyFill="1" applyBorder="1"/>
    <xf numFmtId="0" fontId="0" fillId="11" borderId="1" xfId="0" applyFill="1" applyBorder="1" applyAlignment="1">
      <alignment wrapText="1"/>
    </xf>
    <xf numFmtId="0" fontId="4" fillId="14" borderId="11" xfId="0" applyFont="1" applyFill="1" applyBorder="1"/>
    <xf numFmtId="0" fontId="16" fillId="16" borderId="23" xfId="0" applyFont="1" applyFill="1" applyBorder="1"/>
    <xf numFmtId="0" fontId="20" fillId="0" borderId="0" xfId="0" applyFont="1"/>
    <xf numFmtId="49" fontId="16" fillId="14" borderId="0" xfId="0" applyNumberFormat="1" applyFont="1" applyFill="1"/>
    <xf numFmtId="0" fontId="16" fillId="17" borderId="0" xfId="0" applyFont="1" applyFill="1"/>
    <xf numFmtId="1" fontId="4" fillId="14" borderId="0" xfId="0" applyNumberFormat="1" applyFont="1" applyFill="1"/>
    <xf numFmtId="14" fontId="0" fillId="11" borderId="3" xfId="0" applyNumberFormat="1" applyFill="1" applyBorder="1"/>
    <xf numFmtId="0" fontId="19" fillId="14" borderId="0" xfId="0" applyFont="1" applyFill="1"/>
    <xf numFmtId="0" fontId="19" fillId="0" borderId="0" xfId="0" applyFont="1" applyAlignment="1">
      <alignment horizontal="center"/>
    </xf>
    <xf numFmtId="0" fontId="4" fillId="5" borderId="0" xfId="0" applyFont="1" applyFill="1"/>
    <xf numFmtId="0" fontId="0" fillId="18" borderId="0" xfId="0" applyFill="1"/>
    <xf numFmtId="0" fontId="16" fillId="18" borderId="0" xfId="0" applyFont="1" applyFill="1"/>
    <xf numFmtId="1" fontId="0" fillId="11" borderId="3" xfId="0" applyNumberFormat="1" applyFill="1" applyBorder="1"/>
    <xf numFmtId="165" fontId="5" fillId="0" borderId="0" xfId="0" applyNumberFormat="1" applyFont="1"/>
    <xf numFmtId="165" fontId="0" fillId="0" borderId="0" xfId="0" applyNumberFormat="1"/>
    <xf numFmtId="0" fontId="1" fillId="11" borderId="13" xfId="0" applyFont="1" applyFill="1" applyBorder="1" applyAlignment="1">
      <alignment horizontal="center"/>
    </xf>
    <xf numFmtId="0" fontId="1" fillId="11" borderId="12" xfId="0" applyFont="1" applyFill="1" applyBorder="1" applyAlignment="1">
      <alignment horizontal="right"/>
    </xf>
    <xf numFmtId="0" fontId="4" fillId="6" borderId="0" xfId="0" applyFont="1" applyFill="1"/>
    <xf numFmtId="1" fontId="1" fillId="11" borderId="19" xfId="0" applyNumberFormat="1" applyFont="1" applyFill="1" applyBorder="1"/>
    <xf numFmtId="0" fontId="1" fillId="14" borderId="5" xfId="0" applyFont="1" applyFill="1" applyBorder="1"/>
    <xf numFmtId="0" fontId="1" fillId="0" borderId="0" xfId="0" applyFont="1" applyAlignment="1">
      <alignment horizontal="right"/>
    </xf>
    <xf numFmtId="14" fontId="1" fillId="0" borderId="0" xfId="0" applyNumberFormat="1" applyFont="1"/>
    <xf numFmtId="0" fontId="4" fillId="14" borderId="18" xfId="0" applyFont="1" applyFill="1" applyBorder="1"/>
    <xf numFmtId="0" fontId="0" fillId="11" borderId="3" xfId="0" applyFill="1" applyBorder="1" applyAlignment="1">
      <alignment wrapText="1"/>
    </xf>
    <xf numFmtId="49" fontId="4" fillId="14" borderId="0" xfId="0" applyNumberFormat="1" applyFont="1" applyFill="1"/>
    <xf numFmtId="0" fontId="4" fillId="6" borderId="24" xfId="0" applyFont="1" applyFill="1" applyBorder="1"/>
    <xf numFmtId="0" fontId="4" fillId="6" borderId="25" xfId="0" applyFont="1" applyFill="1" applyBorder="1"/>
    <xf numFmtId="0" fontId="4" fillId="6" borderId="7" xfId="0" applyFont="1" applyFill="1" applyBorder="1"/>
    <xf numFmtId="0" fontId="22" fillId="15" borderId="5" xfId="0" applyFont="1" applyFill="1" applyBorder="1" applyAlignment="1">
      <alignment horizontal="center" vertical="center"/>
    </xf>
    <xf numFmtId="0" fontId="0" fillId="0" borderId="26" xfId="0" applyBorder="1"/>
    <xf numFmtId="0" fontId="0" fillId="12" borderId="27" xfId="0" applyFill="1" applyBorder="1"/>
    <xf numFmtId="0" fontId="0" fillId="0" borderId="28" xfId="0" applyBorder="1"/>
    <xf numFmtId="0" fontId="4" fillId="6" borderId="29" xfId="0" applyFont="1" applyFill="1" applyBorder="1"/>
    <xf numFmtId="0" fontId="23" fillId="0" borderId="0" xfId="3"/>
    <xf numFmtId="0" fontId="27" fillId="20" borderId="30" xfId="3" applyFont="1" applyFill="1" applyBorder="1" applyAlignment="1">
      <alignment horizontal="center" vertical="center"/>
    </xf>
    <xf numFmtId="0" fontId="27" fillId="20" borderId="30" xfId="3" applyFont="1" applyFill="1" applyBorder="1"/>
    <xf numFmtId="0" fontId="23" fillId="0" borderId="30" xfId="3" applyBorder="1"/>
    <xf numFmtId="0" fontId="23" fillId="0" borderId="30" xfId="3" applyBorder="1" applyAlignment="1">
      <alignment horizontal="center" vertical="center"/>
    </xf>
    <xf numFmtId="0" fontId="28" fillId="21" borderId="30" xfId="3" applyFont="1" applyFill="1" applyBorder="1"/>
    <xf numFmtId="0" fontId="28" fillId="22" borderId="30" xfId="3" applyFont="1" applyFill="1" applyBorder="1"/>
    <xf numFmtId="0" fontId="23" fillId="22" borderId="30" xfId="3" applyFill="1" applyBorder="1"/>
    <xf numFmtId="0" fontId="4" fillId="14" borderId="4" xfId="0" applyFont="1" applyFill="1" applyBorder="1" applyAlignment="1">
      <alignment horizontal="left"/>
    </xf>
    <xf numFmtId="0" fontId="4" fillId="14" borderId="6" xfId="0" applyFont="1" applyFill="1" applyBorder="1" applyAlignment="1">
      <alignment horizontal="left"/>
    </xf>
    <xf numFmtId="0" fontId="4" fillId="14" borderId="18" xfId="0" applyFont="1" applyFill="1" applyBorder="1" applyAlignment="1">
      <alignment horizontal="left"/>
    </xf>
    <xf numFmtId="0" fontId="4" fillId="14" borderId="1" xfId="0" applyFont="1" applyFill="1" applyBorder="1" applyAlignment="1">
      <alignment horizontal="left"/>
    </xf>
    <xf numFmtId="0" fontId="4" fillId="14" borderId="2" xfId="0" applyFont="1" applyFill="1" applyBorder="1" applyAlignment="1">
      <alignment horizontal="left"/>
    </xf>
    <xf numFmtId="0" fontId="4" fillId="14" borderId="3" xfId="0" applyFont="1" applyFill="1" applyBorder="1" applyAlignment="1">
      <alignment horizontal="left"/>
    </xf>
    <xf numFmtId="0" fontId="0" fillId="0" borderId="0" xfId="0" applyAlignment="1">
      <alignment horizontal="left" vertical="center" wrapText="1"/>
    </xf>
    <xf numFmtId="0" fontId="0" fillId="0" borderId="0" xfId="0" applyAlignment="1">
      <alignment horizontal="left" vertical="center"/>
    </xf>
    <xf numFmtId="0" fontId="1" fillId="14" borderId="12" xfId="0" applyFont="1" applyFill="1" applyBorder="1" applyAlignment="1">
      <alignment horizontal="left"/>
    </xf>
    <xf numFmtId="0" fontId="1" fillId="14" borderId="15" xfId="0" applyFont="1" applyFill="1" applyBorder="1" applyAlignment="1">
      <alignment horizontal="left"/>
    </xf>
    <xf numFmtId="0" fontId="1" fillId="14" borderId="13" xfId="0" applyFont="1" applyFill="1" applyBorder="1" applyAlignment="1">
      <alignment horizontal="left"/>
    </xf>
    <xf numFmtId="0" fontId="0" fillId="0" borderId="0" xfId="0" applyAlignment="1">
      <alignment horizontal="left" vertical="top" wrapText="1"/>
    </xf>
    <xf numFmtId="0" fontId="0" fillId="0" borderId="0" xfId="0" applyAlignment="1">
      <alignment horizontal="left" wrapText="1"/>
    </xf>
    <xf numFmtId="0" fontId="0" fillId="0" borderId="0" xfId="0" applyAlignment="1">
      <alignment horizontal="left"/>
    </xf>
    <xf numFmtId="0" fontId="18" fillId="14" borderId="12" xfId="0" applyFont="1" applyFill="1" applyBorder="1" applyAlignment="1">
      <alignment horizontal="center"/>
    </xf>
    <xf numFmtId="0" fontId="18" fillId="14" borderId="15" xfId="0" applyFont="1" applyFill="1" applyBorder="1" applyAlignment="1">
      <alignment horizontal="center"/>
    </xf>
    <xf numFmtId="0" fontId="18" fillId="14" borderId="13" xfId="0" applyFont="1" applyFill="1" applyBorder="1" applyAlignment="1">
      <alignment horizontal="center"/>
    </xf>
    <xf numFmtId="0" fontId="17" fillId="15" borderId="0" xfId="0" applyFont="1" applyFill="1" applyAlignment="1">
      <alignment horizontal="center"/>
    </xf>
    <xf numFmtId="0" fontId="25" fillId="19" borderId="0" xfId="3" applyFont="1" applyFill="1"/>
    <xf numFmtId="0" fontId="24" fillId="0" borderId="0" xfId="3" applyFont="1" applyAlignment="1">
      <alignment horizontal="center"/>
    </xf>
    <xf numFmtId="0" fontId="26" fillId="0" borderId="0" xfId="3" applyFont="1"/>
    <xf numFmtId="0" fontId="29" fillId="21" borderId="0" xfId="3" applyFont="1" applyFill="1"/>
    <xf numFmtId="0" fontId="19" fillId="0" borderId="0" xfId="0" applyFont="1" applyAlignment="1">
      <alignment horizontal="center"/>
    </xf>
    <xf numFmtId="0" fontId="19" fillId="12" borderId="0" xfId="0" applyFont="1" applyFill="1" applyAlignment="1">
      <alignment horizontal="center"/>
    </xf>
    <xf numFmtId="49" fontId="19" fillId="14" borderId="0" xfId="0" applyNumberFormat="1" applyFont="1" applyFill="1" applyAlignment="1">
      <alignment horizontal="center"/>
    </xf>
    <xf numFmtId="0" fontId="20" fillId="0" borderId="0" xfId="0" applyFont="1" applyAlignment="1">
      <alignment horizontal="center"/>
    </xf>
    <xf numFmtId="0" fontId="17" fillId="15" borderId="22" xfId="0" applyFont="1" applyFill="1" applyBorder="1" applyAlignment="1">
      <alignment horizontal="center"/>
    </xf>
    <xf numFmtId="0" fontId="21" fillId="6" borderId="12" xfId="0" applyFont="1" applyFill="1" applyBorder="1" applyAlignment="1">
      <alignment horizontal="center" vertical="center"/>
    </xf>
    <xf numFmtId="0" fontId="21" fillId="6" borderId="15" xfId="0" applyFont="1" applyFill="1" applyBorder="1" applyAlignment="1">
      <alignment horizontal="center" vertical="center"/>
    </xf>
    <xf numFmtId="0" fontId="1" fillId="14" borderId="12" xfId="0" applyFont="1" applyFill="1" applyBorder="1" applyAlignment="1">
      <alignment horizontal="center" vertical="center" wrapText="1"/>
    </xf>
    <xf numFmtId="0" fontId="1" fillId="14" borderId="15" xfId="0" applyFont="1" applyFill="1" applyBorder="1" applyAlignment="1">
      <alignment horizontal="center" vertical="center" wrapText="1"/>
    </xf>
    <xf numFmtId="0" fontId="1" fillId="14" borderId="13" xfId="0" applyFont="1" applyFill="1" applyBorder="1" applyAlignment="1">
      <alignment horizontal="center" vertical="center" wrapText="1"/>
    </xf>
  </cellXfs>
  <cellStyles count="4">
    <cellStyle name="Hyperlink" xfId="1" builtinId="8"/>
    <cellStyle name="Normal" xfId="0" builtinId="0"/>
    <cellStyle name="Normal 2" xfId="2" xr:uid="{364D0991-BCFB-46D1-BC05-3E383CD10499}"/>
    <cellStyle name="Normal 3" xfId="3" xr:uid="{8B480D5D-B492-44C9-A38C-70F79E7C84EC}"/>
  </cellStyles>
  <dxfs count="67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39994506668294322"/>
        </patternFill>
      </fill>
    </dxf>
    <dxf>
      <font>
        <b/>
        <i val="0"/>
      </font>
      <fill>
        <patternFill>
          <bgColor rgb="FFFF4747"/>
        </patternFill>
      </fill>
    </dxf>
    <dxf>
      <font>
        <color rgb="FF9C0006"/>
      </font>
      <fill>
        <patternFill>
          <bgColor rgb="FFFFC7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numFmt numFmtId="0" formatCode="General"/>
    </dxf>
    <dxf>
      <font>
        <strike val="0"/>
        <outline val="0"/>
        <shadow val="0"/>
        <u val="none"/>
        <vertAlign val="baseline"/>
        <sz val="11"/>
        <color auto="1"/>
        <name val="Calibri"/>
        <family val="2"/>
        <scheme val="minor"/>
      </font>
      <fill>
        <patternFill patternType="solid">
          <fgColor indexed="64"/>
          <bgColor theme="0" tint="-0.14999847407452621"/>
        </patternFill>
      </fill>
    </dxf>
    <dxf>
      <font>
        <strike val="0"/>
        <outline val="0"/>
        <shadow val="0"/>
        <u val="none"/>
        <vertAlign val="baseline"/>
        <sz val="11"/>
        <color auto="1"/>
        <name val="Calibri"/>
        <family val="2"/>
        <scheme val="minor"/>
      </font>
      <numFmt numFmtId="0" formatCode="General"/>
      <fill>
        <patternFill patternType="solid">
          <fgColor indexed="64"/>
          <bgColor theme="0" tint="-0.14999847407452621"/>
        </patternFill>
      </fill>
    </dxf>
    <dxf>
      <numFmt numFmtId="0" formatCode="General"/>
    </dxf>
    <dxf>
      <numFmt numFmtId="0" formatCode="General"/>
    </dxf>
    <dxf>
      <numFmt numFmtId="0" formatCode="General"/>
    </dxf>
    <dxf>
      <font>
        <strike val="0"/>
        <outline val="0"/>
        <shadow val="0"/>
        <u val="none"/>
        <vertAlign val="baseline"/>
        <sz val="11"/>
        <color auto="1"/>
        <name val="Calibri"/>
        <family val="2"/>
        <scheme val="minor"/>
      </font>
      <fill>
        <patternFill patternType="solid">
          <fgColor indexed="64"/>
          <bgColor theme="0" tint="-0.14999847407452621"/>
        </patternFill>
      </fill>
    </dxf>
    <dxf>
      <numFmt numFmtId="0" formatCode="General"/>
    </dxf>
    <dxf>
      <font>
        <b/>
        <i val="0"/>
        <strike val="0"/>
        <condense val="0"/>
        <extend val="0"/>
        <outline val="0"/>
        <shadow val="0"/>
        <u val="none"/>
        <vertAlign val="baseline"/>
        <sz val="11"/>
        <color theme="1"/>
        <name val="Calibri"/>
        <family val="2"/>
        <scheme val="minor"/>
      </font>
      <numFmt numFmtId="1" formatCode="0"/>
      <fill>
        <patternFill patternType="solid">
          <fgColor indexed="64"/>
          <bgColor rgb="FFFFFF00"/>
        </patternFill>
      </fill>
      <border diagonalUp="0" diagonalDown="0">
        <left style="medium">
          <color indexed="64"/>
        </left>
        <right/>
        <top style="medium">
          <color indexed="64"/>
        </top>
        <bottom style="medium">
          <color indexed="64"/>
        </bottom>
        <vertical/>
        <horizontal/>
      </border>
    </dxf>
    <dxf>
      <font>
        <b/>
        <i val="0"/>
        <strike val="0"/>
        <condense val="0"/>
        <extend val="0"/>
        <outline val="0"/>
        <shadow val="0"/>
        <u val="none"/>
        <vertAlign val="baseline"/>
        <sz val="11"/>
        <color theme="1"/>
        <name val="Calibri"/>
        <family val="2"/>
        <scheme val="minor"/>
      </font>
      <numFmt numFmtId="1" formatCode="0"/>
      <fill>
        <patternFill patternType="solid">
          <fgColor indexed="64"/>
          <bgColor rgb="FFFFFF00"/>
        </patternFill>
      </fill>
      <border diagonalUp="0" diagonalDown="0" outline="0">
        <left/>
        <right style="medium">
          <color indexed="64"/>
        </right>
        <top style="medium">
          <color indexed="64"/>
        </top>
        <bottom style="medium">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E5E5E5"/>
        </patternFill>
      </fill>
      <border diagonalUp="0" diagonalDown="0" outline="0">
        <left/>
        <right/>
        <top style="medium">
          <color indexed="64"/>
        </top>
        <bottom style="medium">
          <color indexed="64"/>
        </bottom>
      </border>
    </dxf>
    <dxf>
      <border outline="0">
        <top style="medium">
          <color indexed="64"/>
        </top>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center" vertical="bottom" textRotation="0" wrapText="0" indent="0" justifyLastLine="0" shrinkToFit="0" readingOrder="0"/>
    </dxf>
    <dxf>
      <numFmt numFmtId="1" formatCode="0"/>
      <fill>
        <patternFill patternType="none">
          <fgColor indexed="64"/>
          <bgColor auto="1"/>
        </patternFill>
      </fill>
    </dxf>
    <dxf>
      <numFmt numFmtId="30" formatCode="@"/>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E5E5E5"/>
        </patternFill>
      </fill>
    </dxf>
    <dxf>
      <numFmt numFmtId="0" formatCode="Genera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ill>
        <patternFill patternType="solid">
          <fgColor indexed="64"/>
          <bgColor rgb="FFAC8DBF"/>
        </patternFill>
      </fill>
    </dxf>
    <dxf>
      <font>
        <b val="0"/>
        <i val="0"/>
        <strike val="0"/>
        <condense val="0"/>
        <extend val="0"/>
        <outline val="0"/>
        <shadow val="0"/>
        <u val="none"/>
        <vertAlign val="baseline"/>
        <sz val="11"/>
        <color theme="0"/>
        <name val="Calibri"/>
        <family val="2"/>
        <scheme val="minor"/>
      </font>
      <numFmt numFmtId="30" formatCode="@"/>
      <fill>
        <patternFill patternType="solid">
          <fgColor indexed="64"/>
          <bgColor rgb="FFAC6689"/>
        </patternFill>
      </fill>
    </dxf>
    <dxf>
      <numFmt numFmtId="1" formatCode="0"/>
      <fill>
        <patternFill patternType="solid">
          <fgColor indexed="64"/>
          <bgColor rgb="FFAC8DBF"/>
        </patternFill>
      </fill>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numFmt numFmtId="13" formatCode="0%"/>
      <fill>
        <patternFill patternType="solid">
          <fgColor indexed="64"/>
          <bgColor rgb="FFAC8DBF"/>
        </patternFill>
      </fill>
    </dxf>
    <dxf>
      <numFmt numFmtId="30" formatCode="@"/>
      <fill>
        <patternFill patternType="solid">
          <fgColor indexed="64"/>
          <bgColor rgb="FFAC8DBF"/>
        </patternFill>
      </fill>
    </dxf>
    <dxf>
      <fill>
        <patternFill patternType="solid">
          <fgColor indexed="64"/>
          <bgColor theme="6" tint="0.59999389629810485"/>
        </patternFill>
      </fill>
    </dxf>
    <dxf>
      <fill>
        <patternFill patternType="solid">
          <fgColor indexed="64"/>
          <bgColor rgb="FFAC8DBF"/>
        </patternFill>
      </fill>
    </dxf>
    <dxf>
      <numFmt numFmtId="0" formatCode="General"/>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theme="6" tint="0.59999389629810485"/>
        </patternFill>
      </fill>
    </dxf>
    <dxf>
      <fill>
        <patternFill patternType="solid">
          <fgColor rgb="FF000000"/>
          <bgColor rgb="FFDBDBDB"/>
        </patternFill>
      </fill>
    </dxf>
    <dxf>
      <font>
        <b val="0"/>
        <i val="0"/>
        <strike val="0"/>
        <condense val="0"/>
        <extend val="0"/>
        <outline val="0"/>
        <shadow val="0"/>
        <u val="none"/>
        <vertAlign val="baseline"/>
        <sz val="11"/>
        <color theme="0"/>
        <name val="Calibri"/>
        <family val="2"/>
        <scheme val="minor"/>
      </font>
      <numFmt numFmtId="166" formatCode="m/d/yyyy"/>
      <fill>
        <patternFill patternType="solid">
          <fgColor indexed="64"/>
          <bgColor theme="6" tint="0.39997558519241921"/>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strike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strike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strike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strike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strike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style="thin">
          <color theme="4" tint="0.39997558519241921"/>
        </left>
        <right/>
        <top style="thin">
          <color theme="4" tint="0.39997558519241921"/>
        </top>
        <bottom style="thin">
          <color theme="4" tint="0.39997558519241921"/>
        </bottom>
        <vertical/>
        <horizontal/>
      </border>
    </dxf>
    <dxf>
      <numFmt numFmtId="1" formatCode="0"/>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numFmt numFmtId="13" formatCode="0%"/>
      <fill>
        <patternFill patternType="solid">
          <fgColor indexed="64"/>
          <bgColor rgb="FFAC8DBF"/>
        </patternFill>
      </fill>
    </dxf>
    <dxf>
      <numFmt numFmtId="30" formatCode="@"/>
      <fill>
        <patternFill patternType="solid">
          <fgColor indexed="64"/>
          <bgColor rgb="FFAC8DBF"/>
        </patternFill>
      </fill>
    </dxf>
    <dxf>
      <fill>
        <patternFill patternType="solid">
          <fgColor indexed="64"/>
          <bgColor theme="6" tint="0.59999389629810485"/>
        </patternFill>
      </fill>
    </dxf>
    <dxf>
      <fill>
        <patternFill patternType="solid">
          <fgColor indexed="64"/>
          <bgColor rgb="FFAC8DBF"/>
        </patternFill>
      </fill>
    </dxf>
    <dxf>
      <numFmt numFmtId="0" formatCode="General"/>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theme="6" tint="0.59999389629810485"/>
        </patternFill>
      </fill>
    </dxf>
    <dxf>
      <fill>
        <patternFill patternType="solid">
          <fgColor rgb="FF000000"/>
          <bgColor rgb="FFDBDBDB"/>
        </patternFill>
      </fill>
    </dxf>
    <dxf>
      <font>
        <b val="0"/>
        <i val="0"/>
        <strike val="0"/>
        <condense val="0"/>
        <extend val="0"/>
        <outline val="0"/>
        <shadow val="0"/>
        <u val="none"/>
        <vertAlign val="baseline"/>
        <sz val="11"/>
        <color theme="0"/>
        <name val="Calibri"/>
        <family val="2"/>
        <scheme val="minor"/>
      </font>
      <numFmt numFmtId="166" formatCode="m/d/yyyy"/>
      <fill>
        <patternFill patternType="solid">
          <fgColor indexed="64"/>
          <bgColor theme="6" tint="0.39997558519241921"/>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strike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strike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strike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strike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strike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style="thin">
          <color theme="4" tint="0.39997558519241921"/>
        </left>
        <right/>
        <top style="thin">
          <color theme="4" tint="0.39997558519241921"/>
        </top>
        <bottom style="thin">
          <color theme="4" tint="0.39997558519241921"/>
        </bottom>
        <vertical/>
        <horizontal/>
      </border>
    </dxf>
    <dxf>
      <numFmt numFmtId="1" formatCode="0"/>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numFmt numFmtId="13" formatCode="0%"/>
      <fill>
        <patternFill patternType="solid">
          <fgColor indexed="64"/>
          <bgColor rgb="FFAC8DBF"/>
        </patternFill>
      </fill>
    </dxf>
    <dxf>
      <numFmt numFmtId="30" formatCode="@"/>
      <fill>
        <patternFill patternType="solid">
          <fgColor indexed="64"/>
          <bgColor rgb="FFAC8DBF"/>
        </patternFill>
      </fill>
    </dxf>
    <dxf>
      <fill>
        <patternFill patternType="solid">
          <fgColor indexed="64"/>
          <bgColor theme="6" tint="0.59999389629810485"/>
        </patternFill>
      </fill>
    </dxf>
    <dxf>
      <fill>
        <patternFill patternType="solid">
          <fgColor indexed="64"/>
          <bgColor rgb="FFAC8DBF"/>
        </patternFill>
      </fill>
    </dxf>
    <dxf>
      <numFmt numFmtId="0" formatCode="General"/>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theme="6" tint="0.59999389629810485"/>
        </patternFill>
      </fill>
    </dxf>
    <dxf>
      <fill>
        <patternFill patternType="solid">
          <fgColor indexed="64"/>
          <bgColor theme="6" tint="0.59999389629810485"/>
        </patternFill>
      </fill>
    </dxf>
    <dxf>
      <fill>
        <patternFill patternType="solid">
          <fgColor rgb="FF000000"/>
          <bgColor rgb="FFDBDBDB"/>
        </patternFill>
      </fill>
    </dxf>
    <dxf>
      <font>
        <b val="0"/>
        <i val="0"/>
        <strike val="0"/>
        <condense val="0"/>
        <extend val="0"/>
        <outline val="0"/>
        <shadow val="0"/>
        <u val="none"/>
        <vertAlign val="baseline"/>
        <sz val="11"/>
        <color theme="0"/>
        <name val="Calibri"/>
        <family val="2"/>
        <scheme val="minor"/>
      </font>
      <numFmt numFmtId="166" formatCode="m/d/yyyy"/>
      <fill>
        <patternFill patternType="solid">
          <fgColor indexed="64"/>
          <bgColor theme="6" tint="0.39997558519241921"/>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strike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strike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strike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strike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strike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style="thin">
          <color theme="4" tint="0.39997558519241921"/>
        </left>
        <right/>
        <top style="thin">
          <color theme="4" tint="0.39997558519241921"/>
        </top>
        <bottom style="thin">
          <color theme="4" tint="0.39997558519241921"/>
        </bottom>
        <vertical/>
        <horizontal/>
      </border>
    </dxf>
    <dxf>
      <numFmt numFmtId="0" formatCode="General"/>
      <fill>
        <patternFill patternType="none">
          <fgColor indexed="64"/>
          <bgColor indexed="65"/>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style="thin">
          <color theme="4" tint="0.39997558519241921"/>
        </left>
        <right/>
        <top/>
        <bottom/>
        <vertical/>
        <horizontal/>
      </border>
    </dxf>
    <dxf>
      <alignment horizontal="general" vertical="bottom" textRotation="0" wrapText="1" indent="0" justifyLastLine="0" shrinkToFit="0" readingOrder="0"/>
    </dxf>
    <dxf>
      <border diagonalUp="0" diagonalDown="0">
        <left style="medium">
          <color indexed="64"/>
        </left>
        <right style="medium">
          <color indexed="64"/>
        </right>
        <vertical/>
      </border>
    </dxf>
    <dxf>
      <font>
        <strike val="0"/>
        <outline val="0"/>
        <shadow val="0"/>
        <u val="none"/>
        <vertAlign val="baseline"/>
        <sz val="11"/>
        <color auto="1"/>
        <name val="Calibri"/>
        <family val="2"/>
        <scheme val="minor"/>
      </font>
      <fill>
        <patternFill patternType="solid">
          <fgColor indexed="64"/>
          <bgColor theme="0" tint="-0.14999847407452621"/>
        </patternFill>
      </fill>
      <border diagonalUp="0" diagonalDown="0">
        <left/>
        <right style="medium">
          <color indexed="64"/>
        </right>
        <top/>
        <bottom/>
        <vertical/>
        <horizontal/>
      </border>
    </dxf>
    <dxf>
      <font>
        <strike val="0"/>
        <outline val="0"/>
        <shadow val="0"/>
        <u val="none"/>
        <vertAlign val="baseline"/>
        <sz val="11"/>
        <color auto="1"/>
        <name val="Calibri"/>
        <family val="2"/>
        <scheme val="minor"/>
      </font>
      <fill>
        <patternFill patternType="solid">
          <fgColor indexed="64"/>
          <bgColor theme="0" tint="-0.14999847407452621"/>
        </patternFill>
      </fill>
      <border diagonalUp="0" diagonalDown="0">
        <left style="medium">
          <color indexed="64"/>
        </left>
        <right/>
        <top/>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strike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strike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font>
        <strike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style="thin">
          <color theme="4" tint="0.39997558519241921"/>
        </left>
        <right/>
        <top style="thin">
          <color theme="4" tint="0.39997558519241921"/>
        </top>
        <bottom style="thin">
          <color theme="4" tint="0.39997558519241921"/>
        </bottom>
        <vertical/>
        <horizontal/>
      </border>
    </dxf>
    <dxf>
      <numFmt numFmtId="1" formatCode="0"/>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numFmt numFmtId="13" formatCode="0%"/>
      <fill>
        <patternFill patternType="solid">
          <fgColor indexed="64"/>
          <bgColor rgb="FFAC8DBF"/>
        </patternFill>
      </fill>
    </dxf>
    <dxf>
      <numFmt numFmtId="30" formatCode="@"/>
      <fill>
        <patternFill patternType="solid">
          <fgColor indexed="64"/>
          <bgColor rgb="FFAC8DBF"/>
        </patternFill>
      </fill>
    </dxf>
    <dxf>
      <fill>
        <patternFill patternType="solid">
          <fgColor indexed="64"/>
          <bgColor theme="6" tint="0.59999389629810485"/>
        </patternFill>
      </fill>
    </dxf>
    <dxf>
      <fill>
        <patternFill patternType="solid">
          <fgColor indexed="64"/>
          <bgColor rgb="FFAC8DBF"/>
        </patternFill>
      </fill>
    </dxf>
    <dxf>
      <numFmt numFmtId="0" formatCode="General"/>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theme="6" tint="0.59999389629810485"/>
        </patternFill>
      </fill>
    </dxf>
    <dxf>
      <fill>
        <patternFill patternType="solid">
          <fgColor rgb="FF000000"/>
          <bgColor rgb="FFDBDBDB"/>
        </patternFill>
      </fill>
    </dxf>
    <dxf>
      <font>
        <b val="0"/>
        <i val="0"/>
        <strike val="0"/>
        <condense val="0"/>
        <extend val="0"/>
        <outline val="0"/>
        <shadow val="0"/>
        <u val="none"/>
        <vertAlign val="baseline"/>
        <sz val="11"/>
        <color theme="0"/>
        <name val="Calibri"/>
        <family val="2"/>
        <scheme val="minor"/>
      </font>
      <numFmt numFmtId="166" formatCode="m/d/yyyy"/>
      <fill>
        <patternFill patternType="solid">
          <fgColor indexed="64"/>
          <bgColor theme="6" tint="0.39997558519241921"/>
        </patternFill>
      </fill>
    </dxf>
    <dxf>
      <numFmt numFmtId="2" formatCode="0.00"/>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numFmt numFmtId="13" formatCode="0%"/>
      <fill>
        <patternFill patternType="solid">
          <fgColor indexed="64"/>
          <bgColor rgb="FFAC8DBF"/>
        </patternFill>
      </fill>
    </dxf>
    <dxf>
      <numFmt numFmtId="30" formatCode="@"/>
      <fill>
        <patternFill patternType="solid">
          <fgColor indexed="64"/>
          <bgColor rgb="FFAC8DBF"/>
        </patternFill>
      </fill>
    </dxf>
    <dxf>
      <fill>
        <patternFill patternType="solid">
          <fgColor indexed="64"/>
          <bgColor theme="6" tint="0.59999389629810485"/>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theme="6" tint="0.59999389629810485"/>
        </patternFill>
      </fill>
    </dxf>
    <dxf>
      <fill>
        <patternFill patternType="solid">
          <fgColor indexed="64"/>
          <bgColor theme="6" tint="0.59999389629810485"/>
        </patternFill>
      </fill>
    </dxf>
    <dxf>
      <fill>
        <patternFill patternType="solid">
          <fgColor indexed="64"/>
          <bgColor theme="6" tint="0.59999389629810485"/>
        </patternFill>
      </fill>
    </dxf>
    <dxf>
      <fill>
        <patternFill patternType="solid">
          <fgColor indexed="64"/>
          <bgColor theme="6" tint="0.59999389629810485"/>
        </patternFill>
      </fill>
    </dxf>
    <dxf>
      <fill>
        <patternFill patternType="solid">
          <fgColor rgb="FF000000"/>
          <bgColor rgb="FFDBDBDB"/>
        </patternFill>
      </fill>
    </dxf>
    <dxf>
      <font>
        <b val="0"/>
        <i val="0"/>
        <strike val="0"/>
        <condense val="0"/>
        <extend val="0"/>
        <outline val="0"/>
        <shadow val="0"/>
        <u val="none"/>
        <vertAlign val="baseline"/>
        <sz val="11"/>
        <color theme="0"/>
        <name val="Calibri"/>
        <family val="2"/>
        <scheme val="minor"/>
      </font>
      <numFmt numFmtId="166" formatCode="m/d/yyyy"/>
      <fill>
        <patternFill patternType="solid">
          <fgColor indexed="64"/>
          <bgColor theme="6" tint="0.39997558519241921"/>
        </patternFill>
      </fill>
    </dxf>
    <dxf>
      <numFmt numFmtId="1" formatCode="0"/>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numFmt numFmtId="13" formatCode="0%"/>
      <fill>
        <patternFill patternType="solid">
          <fgColor indexed="64"/>
          <bgColor rgb="FFAC8DBF"/>
        </patternFill>
      </fill>
    </dxf>
    <dxf>
      <numFmt numFmtId="30" formatCode="@"/>
      <fill>
        <patternFill patternType="solid">
          <fgColor indexed="64"/>
          <bgColor rgb="FFAC8DBF"/>
        </patternFill>
      </fill>
    </dxf>
    <dxf>
      <fill>
        <patternFill patternType="solid">
          <fgColor indexed="64"/>
          <bgColor theme="6" tint="0.59999389629810485"/>
        </patternFill>
      </fill>
    </dxf>
    <dxf>
      <fill>
        <patternFill patternType="solid">
          <fgColor indexed="64"/>
          <bgColor rgb="FFAC8DBF"/>
        </patternFill>
      </fill>
    </dxf>
    <dxf>
      <numFmt numFmtId="0" formatCode="General"/>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theme="6" tint="0.59999389629810485"/>
        </patternFill>
      </fill>
    </dxf>
    <dxf>
      <fill>
        <patternFill patternType="solid">
          <fgColor indexed="64"/>
          <bgColor theme="6" tint="0.59999389629810485"/>
        </patternFill>
      </fill>
    </dxf>
    <dxf>
      <font>
        <b val="0"/>
        <i val="0"/>
        <strike val="0"/>
        <condense val="0"/>
        <extend val="0"/>
        <outline val="0"/>
        <shadow val="0"/>
        <u val="none"/>
        <vertAlign val="baseline"/>
        <sz val="11"/>
        <color theme="0"/>
        <name val="Calibri"/>
        <family val="2"/>
        <scheme val="minor"/>
      </font>
      <numFmt numFmtId="166" formatCode="m/d/yyyy"/>
      <fill>
        <patternFill patternType="solid">
          <fgColor indexed="64"/>
          <bgColor theme="6" tint="0.39997558519241921"/>
        </patternFill>
      </fill>
    </dxf>
    <dxf>
      <numFmt numFmtId="0" formatCode="Genera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strike val="0"/>
        <outline val="0"/>
        <shadow val="0"/>
        <u val="none"/>
        <vertAlign val="baseline"/>
        <sz val="11"/>
        <color auto="1"/>
        <name val="Calibri"/>
        <family val="2"/>
        <scheme val="minor"/>
      </font>
      <fill>
        <patternFill patternType="solid">
          <fgColor indexed="64"/>
          <bgColor rgb="FFE5E5E5"/>
        </patternFill>
      </fill>
    </dxf>
    <dxf>
      <font>
        <strike val="0"/>
        <outline val="0"/>
        <shadow val="0"/>
        <u val="none"/>
        <vertAlign val="baseline"/>
        <sz val="11"/>
        <color auto="1"/>
        <name val="Calibri"/>
        <family val="2"/>
        <scheme val="minor"/>
      </font>
      <fill>
        <patternFill patternType="solid">
          <fgColor indexed="64"/>
          <bgColor rgb="FFE5E5E5"/>
        </patternFill>
      </fill>
    </dxf>
    <dxf>
      <font>
        <strike val="0"/>
        <outline val="0"/>
        <shadow val="0"/>
        <u val="none"/>
        <vertAlign val="baseline"/>
        <sz val="11"/>
        <color auto="1"/>
        <name val="Calibri"/>
        <family val="2"/>
        <scheme val="minor"/>
      </font>
      <fill>
        <patternFill patternType="solid">
          <fgColor indexed="64"/>
          <bgColor rgb="FFE5E5E5"/>
        </patternFill>
      </fill>
    </dxf>
    <dxf>
      <font>
        <strike val="0"/>
        <outline val="0"/>
        <shadow val="0"/>
        <u val="none"/>
        <vertAlign val="baseline"/>
        <sz val="11"/>
        <color auto="1"/>
        <name val="Calibri"/>
        <family val="2"/>
        <scheme val="minor"/>
      </font>
      <fill>
        <patternFill patternType="solid">
          <fgColor indexed="64"/>
          <bgColor rgb="FFE5E5E5"/>
        </patternFill>
      </fill>
    </dxf>
    <dxf>
      <font>
        <strike val="0"/>
        <outline val="0"/>
        <shadow val="0"/>
        <u val="none"/>
        <vertAlign val="baseline"/>
        <sz val="11"/>
        <color auto="1"/>
        <name val="Calibri"/>
        <family val="2"/>
        <scheme val="minor"/>
      </font>
      <fill>
        <patternFill patternType="solid">
          <fgColor indexed="64"/>
          <bgColor rgb="FFE5E5E5"/>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fill>
        <patternFill patternType="solid">
          <fgColor indexed="64"/>
          <bgColor theme="6" tint="0.59999389629810485"/>
        </patternFill>
      </fill>
    </dxf>
    <dxf>
      <numFmt numFmtId="1" formatCode="0"/>
      <fill>
        <patternFill patternType="solid">
          <fgColor indexed="64"/>
          <bgColor theme="6" tint="0.59999389629810485"/>
        </patternFill>
      </fill>
    </dxf>
    <dxf>
      <numFmt numFmtId="1" formatCode="0"/>
      <fill>
        <patternFill patternType="solid">
          <fgColor indexed="64"/>
          <bgColor theme="6" tint="0.59999389629810485"/>
        </patternFill>
      </fill>
    </dxf>
    <dxf>
      <numFmt numFmtId="1" formatCode="0"/>
      <fill>
        <patternFill patternType="solid">
          <fgColor indexed="64"/>
          <bgColor theme="6" tint="0.59999389629810485"/>
        </patternFill>
      </fill>
    </dxf>
    <dxf>
      <numFmt numFmtId="1" formatCode="0"/>
      <fill>
        <patternFill patternType="solid">
          <fgColor indexed="64"/>
          <bgColor theme="6" tint="0.59999389629810485"/>
        </patternFill>
      </fill>
    </dxf>
    <dxf>
      <numFmt numFmtId="1" formatCode="0"/>
      <fill>
        <patternFill patternType="solid">
          <fgColor indexed="64"/>
          <bgColor theme="6" tint="0.59999389629810485"/>
        </patternFill>
      </fill>
    </dxf>
    <dxf>
      <fill>
        <patternFill patternType="solid">
          <fgColor indexed="64"/>
          <bgColor theme="6" tint="0.59999389629810485"/>
        </patternFill>
      </fill>
    </dxf>
    <dxf>
      <fill>
        <patternFill patternType="solid">
          <fgColor indexed="64"/>
          <bgColor theme="6" tint="0.59999389629810485"/>
        </patternFill>
      </fill>
    </dxf>
    <dxf>
      <fill>
        <patternFill patternType="solid">
          <fgColor indexed="64"/>
          <bgColor theme="6" tint="0.59999389629810485"/>
        </patternFill>
      </fill>
    </dxf>
    <dxf>
      <fill>
        <patternFill patternType="solid">
          <fgColor indexed="64"/>
          <bgColor theme="6" tint="0.59999389629810485"/>
        </patternFill>
      </fill>
    </dxf>
    <dxf>
      <font>
        <b val="0"/>
        <i val="0"/>
        <strike val="0"/>
        <condense val="0"/>
        <extend val="0"/>
        <outline val="0"/>
        <shadow val="0"/>
        <u val="none"/>
        <vertAlign val="baseline"/>
        <sz val="11"/>
        <color auto="1"/>
        <name val="Calibri"/>
        <family val="2"/>
        <scheme val="minor"/>
      </font>
      <fill>
        <patternFill patternType="solid">
          <fgColor indexed="64"/>
          <bgColor theme="6" tint="0.59999389629810485"/>
        </patternFill>
      </fill>
    </dxf>
    <dxf>
      <font>
        <b val="0"/>
        <i val="0"/>
        <strike val="0"/>
        <condense val="0"/>
        <extend val="0"/>
        <outline val="0"/>
        <shadow val="0"/>
        <u val="none"/>
        <vertAlign val="baseline"/>
        <sz val="11"/>
        <color rgb="FFFFFFFF"/>
        <name val="Calibri"/>
        <family val="2"/>
        <scheme val="minor"/>
      </font>
      <fill>
        <patternFill patternType="solid">
          <fgColor indexed="64"/>
          <bgColor theme="6" tint="0.39997558519241921"/>
        </patternFill>
      </fill>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1" indent="0" justifyLastLine="0" shrinkToFit="0" readingOrder="0"/>
    </dxf>
    <dxf>
      <fill>
        <patternFill patternType="none">
          <fgColor indexed="64"/>
          <bgColor auto="1"/>
        </patternFill>
      </fill>
    </dxf>
    <dxf>
      <numFmt numFmtId="165" formatCode="0.0000"/>
      <fill>
        <patternFill patternType="none">
          <fgColor indexed="64"/>
          <bgColor auto="1"/>
        </patternFill>
      </fill>
    </dxf>
    <dxf>
      <numFmt numFmtId="165" formatCode="0.0000"/>
      <fill>
        <patternFill patternType="none">
          <fgColor indexed="64"/>
          <bgColor auto="1"/>
        </patternFill>
      </fill>
    </dxf>
    <dxf>
      <numFmt numFmtId="165" formatCode="0.0000"/>
      <fill>
        <patternFill patternType="none">
          <fgColor indexed="64"/>
          <bgColor auto="1"/>
        </patternFill>
      </fill>
    </dxf>
    <dxf>
      <numFmt numFmtId="165" formatCode="0.0000"/>
      <fill>
        <patternFill patternType="none">
          <fgColor indexed="64"/>
          <bgColor auto="1"/>
        </patternFill>
      </fill>
    </dxf>
    <dxf>
      <numFmt numFmtId="165" formatCode="0.0000"/>
      <fill>
        <patternFill patternType="none">
          <fgColor indexed="64"/>
          <bgColor auto="1"/>
        </patternFill>
      </fill>
    </dxf>
    <dxf>
      <numFmt numFmtId="165" formatCode="0.0000"/>
      <fill>
        <patternFill patternType="none">
          <fgColor indexed="64"/>
          <bgColor auto="1"/>
        </patternFill>
      </fill>
    </dxf>
    <dxf>
      <numFmt numFmtId="165" formatCode="0.0000"/>
      <fill>
        <patternFill patternType="none">
          <fgColor indexed="64"/>
          <bgColor auto="1"/>
        </patternFill>
      </fill>
    </dxf>
    <dxf>
      <numFmt numFmtId="165" formatCode="0.0000"/>
      <fill>
        <patternFill patternType="none">
          <fgColor indexed="64"/>
          <bgColor auto="1"/>
        </patternFill>
      </fill>
    </dxf>
    <dxf>
      <numFmt numFmtId="165" formatCode="0.0000"/>
      <fill>
        <patternFill patternType="none">
          <fgColor indexed="64"/>
          <bgColor auto="1"/>
        </patternFill>
      </fill>
    </dxf>
    <dxf>
      <numFmt numFmtId="165" formatCode="0.0000"/>
      <fill>
        <patternFill patternType="none">
          <fgColor indexed="64"/>
          <bgColor auto="1"/>
        </patternFill>
      </fill>
    </dxf>
    <dxf>
      <numFmt numFmtId="165" formatCode="0.0000"/>
      <fill>
        <patternFill patternType="none">
          <fgColor indexed="64"/>
          <bgColor auto="1"/>
        </patternFill>
      </fill>
    </dxf>
    <dxf>
      <numFmt numFmtId="165" formatCode="0.0000"/>
      <fill>
        <patternFill patternType="none">
          <fgColor indexed="64"/>
          <bgColor auto="1"/>
        </patternFill>
      </fill>
    </dxf>
    <dxf>
      <fill>
        <patternFill patternType="none">
          <fgColor indexed="64"/>
          <bgColor auto="1"/>
        </patternFill>
      </fill>
    </dxf>
    <dxf>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fill>
        <patternFill patternType="solid">
          <fgColor indexed="64"/>
          <bgColor rgb="FFE5E5E5"/>
        </patternFill>
      </fill>
    </dxf>
    <dxf>
      <font>
        <strike val="0"/>
        <outline val="0"/>
        <shadow val="0"/>
        <u val="none"/>
        <vertAlign val="baseline"/>
        <sz val="11"/>
        <color auto="1"/>
        <name val="Calibri"/>
        <family val="2"/>
        <scheme val="minor"/>
      </font>
      <fill>
        <patternFill patternType="solid">
          <fgColor indexed="64"/>
          <bgColor rgb="FFE5E5E5"/>
        </patternFill>
      </fill>
    </dxf>
    <dxf>
      <fill>
        <patternFill patternType="solid">
          <fgColor indexed="64"/>
          <bgColor rgb="FFAC8DBF"/>
        </patternFill>
      </fill>
    </dxf>
    <dxf>
      <font>
        <b val="0"/>
        <i val="0"/>
        <strike val="0"/>
        <condense val="0"/>
        <extend val="0"/>
        <outline val="0"/>
        <shadow val="0"/>
        <u val="none"/>
        <vertAlign val="baseline"/>
        <sz val="11"/>
        <color theme="0"/>
        <name val="Calibri"/>
        <family val="2"/>
        <scheme val="minor"/>
      </font>
      <fill>
        <patternFill patternType="solid">
          <fgColor indexed="64"/>
          <bgColor rgb="FFAC6689"/>
        </patternFill>
      </fill>
    </dxf>
    <dxf>
      <numFmt numFmtId="0" formatCode="General"/>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numFmt numFmtId="0" formatCode="General"/>
    </dxf>
    <dxf>
      <numFmt numFmtId="0" formatCode="Genera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right" vertical="bottom" textRotation="0" wrapText="0" indent="0" justifyLastLine="0" shrinkToFit="0" readingOrder="0"/>
    </dxf>
    <dxf>
      <font>
        <strike val="0"/>
        <outline val="0"/>
        <shadow val="0"/>
        <u val="none"/>
        <vertAlign val="baseline"/>
        <sz val="11"/>
        <color auto="1"/>
        <name val="Calibri"/>
        <family val="2"/>
        <scheme val="minor"/>
      </font>
      <fill>
        <patternFill patternType="solid">
          <fgColor indexed="64"/>
          <bgColor rgb="FFE5E5E5"/>
        </patternFill>
      </fill>
      <alignment horizontal="righ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theme="6" tint="0.59999389629810485"/>
        </patternFill>
      </fill>
      <alignment horizontal="left" vertical="bottom" textRotation="0" wrapText="0" indent="0" justifyLastLine="0" shrinkToFit="0" readingOrder="0"/>
    </dxf>
    <dxf>
      <fill>
        <patternFill patternType="solid">
          <fgColor indexed="64"/>
          <bgColor theme="6" tint="0.59999389629810485"/>
        </patternFill>
      </fill>
      <alignment horizontal="left" vertical="bottom" textRotation="0" wrapText="0" indent="0" justifyLastLine="0" shrinkToFit="0" readingOrder="0"/>
    </dxf>
    <dxf>
      <fill>
        <patternFill patternType="solid">
          <fgColor indexed="64"/>
          <bgColor theme="6" tint="0.59999389629810485"/>
        </patternFill>
      </fill>
      <alignment horizontal="left" vertical="bottom" textRotation="0" wrapText="0" indent="0" justifyLastLine="0" shrinkToFit="0" readingOrder="0"/>
    </dxf>
    <dxf>
      <fill>
        <patternFill patternType="solid">
          <fgColor indexed="64"/>
          <bgColor theme="6" tint="0.59999389629810485"/>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ont>
        <b val="0"/>
        <i val="0"/>
        <strike val="0"/>
        <condense val="0"/>
        <extend val="0"/>
        <outline val="0"/>
        <shadow val="0"/>
        <u val="none"/>
        <vertAlign val="baseline"/>
        <sz val="11"/>
        <color rgb="FFFFFFFF"/>
        <name val="Calibri"/>
        <family val="2"/>
        <scheme val="minor"/>
      </font>
      <fill>
        <patternFill patternType="solid">
          <fgColor rgb="FFFFFFFF"/>
          <bgColor rgb="FFAC6689"/>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theme="0" tint="-0.249977111117893"/>
        </patternFill>
      </fill>
      <alignment horizontal="right" vertical="bottom" textRotation="0" wrapText="0" indent="0" justifyLastLine="0" shrinkToFit="0" readingOrder="0"/>
    </dxf>
    <dxf>
      <font>
        <color auto="1"/>
      </font>
      <fill>
        <patternFill patternType="solid">
          <fgColor indexed="64"/>
          <bgColor theme="0" tint="-0.249977111117893"/>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theme="0" tint="-0.249977111117893"/>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theme="0" tint="-0.249977111117893"/>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ont>
        <b val="0"/>
        <i val="0"/>
        <strike val="0"/>
        <condense val="0"/>
        <extend val="0"/>
        <outline val="0"/>
        <shadow val="0"/>
        <u val="none"/>
        <vertAlign val="baseline"/>
        <sz val="11"/>
        <color rgb="FFFFFFFF"/>
        <name val="Calibri"/>
        <family val="2"/>
        <scheme val="minor"/>
      </font>
      <fill>
        <patternFill patternType="solid">
          <fgColor rgb="FFFFFFFF"/>
          <bgColor rgb="FFAC6689"/>
        </patternFill>
      </fill>
      <alignment horizontal="left" vertical="bottom" textRotation="45"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border diagonalUp="0" diagonalDown="0">
        <left style="thin">
          <color theme="4" tint="0.39997558519241921"/>
        </left>
        <right/>
        <top/>
        <bottom/>
        <vertical/>
        <horizontal/>
      </border>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theme="6" tint="0.59999389629810485"/>
        </patternFill>
      </fill>
    </dxf>
    <dxf>
      <fill>
        <patternFill patternType="solid">
          <fgColor indexed="64"/>
          <bgColor theme="6" tint="0.59999389629810485"/>
        </patternFill>
      </fill>
    </dxf>
    <dxf>
      <fill>
        <patternFill patternType="solid">
          <fgColor indexed="64"/>
          <bgColor theme="6" tint="0.59999389629810485"/>
        </patternFill>
      </fill>
    </dxf>
    <dxf>
      <fill>
        <patternFill patternType="solid">
          <fgColor indexed="64"/>
          <bgColor theme="6" tint="0.59999389629810485"/>
        </patternFill>
      </fill>
    </dxf>
    <dxf>
      <font>
        <b val="0"/>
        <i val="0"/>
        <strike val="0"/>
        <condense val="0"/>
        <extend val="0"/>
        <outline val="0"/>
        <shadow val="0"/>
        <u val="none"/>
        <vertAlign val="baseline"/>
        <sz val="11"/>
        <color rgb="FFFFFFFF"/>
        <name val="Calibri"/>
        <family val="2"/>
        <scheme val="minor"/>
      </font>
      <fill>
        <patternFill patternType="solid">
          <fgColor indexed="64"/>
          <bgColor theme="0" tint="-0.249977111117893"/>
        </patternFill>
      </fill>
    </dxf>
    <dxf>
      <numFmt numFmtId="0" formatCode="General"/>
    </dxf>
    <dxf>
      <numFmt numFmtId="0" formatCode="General"/>
    </dxf>
    <dxf>
      <numFmt numFmtId="0" formatCode="General"/>
      <fill>
        <patternFill patternType="solid">
          <fgColor indexed="64"/>
          <bgColor theme="0" tint="-0.14999847407452621"/>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numFmt numFmtId="0" formatCode="General"/>
      <fill>
        <patternFill patternType="solid">
          <fgColor indexed="64"/>
          <bgColor theme="0" tint="-0.14999847407452621"/>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numFmt numFmtId="0" formatCode="General"/>
      <fill>
        <patternFill patternType="solid">
          <fgColor indexed="64"/>
          <bgColor theme="0" tint="-0.14999847407452621"/>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numFmt numFmtId="0" formatCode="General"/>
      <fill>
        <patternFill patternType="solid">
          <fgColor indexed="64"/>
          <bgColor theme="0" tint="-0.14999847407452621"/>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numFmt numFmtId="0" formatCode="General"/>
      <fill>
        <patternFill patternType="solid">
          <fgColor indexed="64"/>
          <bgColor theme="0" tint="-0.14999847407452621"/>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numFmt numFmtId="0" formatCode="General"/>
      <fill>
        <patternFill patternType="solid">
          <fgColor indexed="64"/>
          <bgColor theme="0" tint="-0.14999847407452621"/>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numFmt numFmtId="0" formatCode="General"/>
      <fill>
        <patternFill patternType="solid">
          <fgColor indexed="64"/>
          <bgColor theme="0" tint="-0.14999847407452621"/>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numFmt numFmtId="0" formatCode="General"/>
      <fill>
        <patternFill patternType="solid">
          <fgColor indexed="64"/>
          <bgColor theme="0" tint="-0.14999847407452621"/>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numFmt numFmtId="0" formatCode="General"/>
      <fill>
        <patternFill patternType="solid">
          <fgColor indexed="64"/>
          <bgColor theme="0" tint="-0.14999847407452621"/>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numFmt numFmtId="0" formatCode="General"/>
      <fill>
        <patternFill patternType="solid">
          <fgColor indexed="64"/>
          <bgColor theme="0" tint="-0.14999847407452621"/>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numFmt numFmtId="0" formatCode="General"/>
      <fill>
        <patternFill patternType="solid">
          <fgColor indexed="64"/>
          <bgColor theme="0" tint="-0.14999847407452621"/>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numFmt numFmtId="0" formatCode="General"/>
      <fill>
        <patternFill patternType="solid">
          <fgColor indexed="64"/>
          <bgColor theme="0" tint="-0.14999847407452621"/>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numFmt numFmtId="0" formatCode="General"/>
      <fill>
        <patternFill patternType="solid">
          <fgColor indexed="64"/>
          <bgColor theme="0" tint="-0.14999847407452621"/>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numFmt numFmtId="0" formatCode="General"/>
      <fill>
        <patternFill patternType="solid">
          <fgColor indexed="64"/>
          <bgColor theme="0" tint="-0.14999847407452621"/>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border diagonalUp="0" diagonalDown="0">
        <left/>
        <right/>
        <top/>
        <bottom style="thin">
          <color theme="4" tint="0.39997558519241921"/>
        </bottom>
        <vertical/>
        <horizontal/>
      </border>
    </dxf>
    <dxf>
      <numFmt numFmtId="0" formatCode="General"/>
      <fill>
        <patternFill patternType="solid">
          <fgColor indexed="64"/>
          <bgColor theme="0" tint="-0.14999847407452621"/>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border diagonalUp="0" diagonalDown="0">
        <left style="thin">
          <color theme="4" tint="0.39997558519241921"/>
        </left>
        <right/>
        <top style="thin">
          <color theme="4" tint="0.39997558519241921"/>
        </top>
        <bottom style="thin">
          <color theme="4" tint="0.39997558519241921"/>
        </bottom>
        <vertical/>
        <horizontal/>
      </border>
    </dxf>
    <dxf>
      <numFmt numFmtId="0" formatCode="General"/>
    </dxf>
    <dxf>
      <numFmt numFmtId="0" formatCode="Genera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30" formatCode="@"/>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ill>
        <patternFill patternType="solid">
          <fgColor indexed="64"/>
          <bgColor rgb="FFE5E5E5"/>
        </patternFill>
      </fill>
    </dxf>
    <dxf>
      <fill>
        <patternFill patternType="solid">
          <fgColor indexed="64"/>
          <bgColor rgb="FFE5E5E5"/>
        </patternFill>
      </fill>
    </dxf>
    <dxf>
      <fill>
        <patternFill patternType="solid">
          <fgColor indexed="64"/>
          <bgColor rgb="FFE5E5E5"/>
        </patternFill>
      </fill>
    </dxf>
    <dxf>
      <fill>
        <patternFill patternType="solid">
          <fgColor indexed="64"/>
          <bgColor rgb="FFE5E5E5"/>
        </patternFill>
      </fill>
    </dxf>
    <dxf>
      <fill>
        <patternFill patternType="solid">
          <fgColor indexed="64"/>
          <bgColor rgb="FFE5E5E5"/>
        </patternFill>
      </fill>
    </dxf>
    <dxf>
      <fill>
        <patternFill patternType="solid">
          <fgColor indexed="64"/>
          <bgColor rgb="FFE5E5E5"/>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i val="0"/>
        <strike val="0"/>
        <condense val="0"/>
        <extend val="0"/>
        <outline val="0"/>
        <shadow val="0"/>
        <u/>
        <vertAlign val="baseline"/>
        <sz val="12"/>
        <color theme="0"/>
        <name val="Calibri"/>
        <family val="2"/>
        <scheme val="minor"/>
      </font>
      <fill>
        <patternFill patternType="none">
          <fgColor indexed="64"/>
          <bgColor auto="1"/>
        </patternFill>
      </fill>
    </dxf>
    <dxf>
      <fill>
        <patternFill patternType="none">
          <fgColor indexed="64"/>
          <bgColor auto="1"/>
        </patternFill>
      </fill>
      <border diagonalUp="0" diagonalDown="0" outline="0">
        <left/>
        <right/>
        <top style="thin">
          <color theme="4" tint="0.39997558519241921"/>
        </top>
        <bottom style="thin">
          <color theme="4" tint="0.39997558519241921"/>
        </bottom>
      </border>
    </dxf>
    <dxf>
      <fill>
        <patternFill patternType="none">
          <fgColor indexed="64"/>
          <bgColor auto="1"/>
        </patternFill>
      </fill>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none">
          <fgColor indexed="64"/>
          <bgColor auto="1"/>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dxf>
    <dxf>
      <font>
        <b/>
        <i val="0"/>
        <color theme="0"/>
      </font>
      <fill>
        <patternFill>
          <bgColor rgb="FF6A0F8E"/>
        </patternFill>
      </fill>
    </dxf>
    <dxf>
      <fill>
        <patternFill>
          <bgColor rgb="FFA093DB"/>
        </patternFill>
      </fill>
      <border>
        <horizontal style="hair">
          <color theme="0" tint="-0.499984740745262"/>
        </horizontal>
      </border>
    </dxf>
    <dxf>
      <font>
        <b/>
        <i val="0"/>
        <color theme="0"/>
      </font>
      <fill>
        <patternFill>
          <bgColor rgb="FFAC6689"/>
        </patternFill>
      </fill>
    </dxf>
    <dxf>
      <fill>
        <patternFill>
          <bgColor rgb="FFAC8DBF"/>
        </patternFill>
      </fill>
      <border>
        <horizontal style="hair">
          <color rgb="FFDAF6FA"/>
        </horizontal>
      </border>
    </dxf>
  </dxfs>
  <tableStyles count="2" defaultTableStyle="IMP Colours" defaultPivotStyle="PivotStyleLight16">
    <tableStyle name="IMP" pivot="0" count="2" xr9:uid="{40171677-745F-4D80-A854-43A1D0969914}">
      <tableStyleElement type="wholeTable" dxfId="678"/>
      <tableStyleElement type="headerRow" dxfId="677"/>
    </tableStyle>
    <tableStyle name="IMP Colours" pivot="0" count="2" xr9:uid="{9DAC662F-0F69-49D0-B4DF-8805A762DB2D}">
      <tableStyleElement type="wholeTable" dxfId="676"/>
      <tableStyleElement type="headerRow" dxfId="675"/>
    </tableStyle>
  </tableStyles>
  <colors>
    <mruColors>
      <color rgb="FFB2B2B2"/>
      <color rgb="FFE5E5E5"/>
      <color rgb="FFA093DB"/>
      <color rgb="FFFF4747"/>
      <color rgb="FF6A0F8E"/>
      <color rgb="FF261342"/>
      <color rgb="FFDCCEE4"/>
      <color rgb="FFC8B3D5"/>
      <color rgb="FFAAEBF4"/>
      <color rgb="FFAC8D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22/10/relationships/richValueRel" Target="richData/richValueRel.xml"/><Relationship Id="rId68"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pivotCacheDefinition" Target="pivotCache/pivotCacheDefinition1.xml"/><Relationship Id="rId58" Type="http://schemas.openxmlformats.org/officeDocument/2006/relationships/theme" Target="theme/theme1.xml"/><Relationship Id="rId66" Type="http://schemas.microsoft.com/office/2017/06/relationships/rdRichValueTypes" Target="richData/rdRichValueTypes.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pivotCacheDefinition" Target="pivotCache/pivotCacheDefinition4.xml"/><Relationship Id="rId64" Type="http://schemas.microsoft.com/office/2017/06/relationships/rdRichValue" Target="richData/rdrichvalue.xml"/><Relationship Id="rId69"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ustomXml" Target="../customXml/item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onnections" Target="connections.xml"/><Relationship Id="rId67"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pivotCacheDefinition" Target="pivotCache/pivotCacheDefinition2.xml"/><Relationship Id="rId62" Type="http://schemas.openxmlformats.org/officeDocument/2006/relationships/sheetMetadata" Target="metadata.xml"/><Relationship Id="rId7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pivotCacheDefinition" Target="pivotCache/pivotCacheDefinition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65"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pivotCacheDefinition" Target="pivotCache/pivotCacheDefinition3.xml"/></Relationships>
</file>

<file path=xl/drawings/_rels/drawing1.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0</xdr:col>
      <xdr:colOff>1</xdr:colOff>
      <xdr:row>7</xdr:row>
      <xdr:rowOff>0</xdr:rowOff>
    </xdr:from>
    <xdr:to>
      <xdr:col>16</xdr:col>
      <xdr:colOff>552451</xdr:colOff>
      <xdr:row>25</xdr:row>
      <xdr:rowOff>84731</xdr:rowOff>
    </xdr:to>
    <xdr:pic>
      <xdr:nvPicPr>
        <xdr:cNvPr id="2" name="Picture 1" descr="A screenshot of a computer&#10;&#10;Description automatically generated">
          <a:extLst>
            <a:ext uri="{FF2B5EF4-FFF2-40B4-BE49-F238E27FC236}">
              <a16:creationId xmlns:a16="http://schemas.microsoft.com/office/drawing/2014/main" id="{F2502E16-4149-4C38-848E-B20304B59EC3}"/>
            </a:ext>
          </a:extLst>
        </xdr:cNvPr>
        <xdr:cNvPicPr>
          <a:picLocks noChangeAspect="1"/>
        </xdr:cNvPicPr>
      </xdr:nvPicPr>
      <xdr:blipFill>
        <a:blip xmlns:r="http://schemas.openxmlformats.org/officeDocument/2006/relationships" r:embed="rId1"/>
        <a:stretch>
          <a:fillRect/>
        </a:stretch>
      </xdr:blipFill>
      <xdr:spPr>
        <a:xfrm>
          <a:off x="1" y="1343025"/>
          <a:ext cx="10306050" cy="0"/>
        </a:xfrm>
        <a:prstGeom prst="rect">
          <a:avLst/>
        </a:prstGeom>
      </xdr:spPr>
    </xdr:pic>
    <xdr:clientData/>
  </xdr:twoCellAnchor>
  <xdr:twoCellAnchor>
    <xdr:from>
      <xdr:col>0</xdr:col>
      <xdr:colOff>0</xdr:colOff>
      <xdr:row>29</xdr:row>
      <xdr:rowOff>0</xdr:rowOff>
    </xdr:from>
    <xdr:to>
      <xdr:col>24</xdr:col>
      <xdr:colOff>68726</xdr:colOff>
      <xdr:row>48</xdr:row>
      <xdr:rowOff>86242</xdr:rowOff>
    </xdr:to>
    <xdr:pic>
      <xdr:nvPicPr>
        <xdr:cNvPr id="3" name="Picture 2" descr="A screenshot of a computer&#10;&#10;Description automatically generated">
          <a:extLst>
            <a:ext uri="{FF2B5EF4-FFF2-40B4-BE49-F238E27FC236}">
              <a16:creationId xmlns:a16="http://schemas.microsoft.com/office/drawing/2014/main" id="{1F89A3C9-AD9C-4D26-9569-94D0383A0FD9}"/>
            </a:ext>
          </a:extLst>
        </xdr:cNvPr>
        <xdr:cNvPicPr>
          <a:picLocks noChangeAspect="1"/>
        </xdr:cNvPicPr>
      </xdr:nvPicPr>
      <xdr:blipFill>
        <a:blip xmlns:r="http://schemas.openxmlformats.org/officeDocument/2006/relationships" r:embed="rId2"/>
        <a:stretch>
          <a:fillRect/>
        </a:stretch>
      </xdr:blipFill>
      <xdr:spPr>
        <a:xfrm>
          <a:off x="0" y="1724025"/>
          <a:ext cx="14699126" cy="0"/>
        </a:xfrm>
        <a:prstGeom prst="rect">
          <a:avLst/>
        </a:prstGeom>
      </xdr:spPr>
    </xdr:pic>
    <xdr:clientData/>
  </xdr:twoCellAnchor>
  <xdr:twoCellAnchor>
    <xdr:from>
      <xdr:col>0</xdr:col>
      <xdr:colOff>0</xdr:colOff>
      <xdr:row>52</xdr:row>
      <xdr:rowOff>0</xdr:rowOff>
    </xdr:from>
    <xdr:to>
      <xdr:col>24</xdr:col>
      <xdr:colOff>49674</xdr:colOff>
      <xdr:row>101</xdr:row>
      <xdr:rowOff>106092</xdr:rowOff>
    </xdr:to>
    <xdr:pic>
      <xdr:nvPicPr>
        <xdr:cNvPr id="4" name="Picture 3" descr="A screenshot of a computer&#10;&#10;Description automatically generated">
          <a:extLst>
            <a:ext uri="{FF2B5EF4-FFF2-40B4-BE49-F238E27FC236}">
              <a16:creationId xmlns:a16="http://schemas.microsoft.com/office/drawing/2014/main" id="{17F8112D-75DB-4E14-9A39-9637B2710A1B}"/>
            </a:ext>
          </a:extLst>
        </xdr:cNvPr>
        <xdr:cNvPicPr>
          <a:picLocks noChangeAspect="1"/>
        </xdr:cNvPicPr>
      </xdr:nvPicPr>
      <xdr:blipFill>
        <a:blip xmlns:r="http://schemas.openxmlformats.org/officeDocument/2006/relationships" r:embed="rId3"/>
        <a:stretch>
          <a:fillRect/>
        </a:stretch>
      </xdr:blipFill>
      <xdr:spPr>
        <a:xfrm>
          <a:off x="0" y="2105025"/>
          <a:ext cx="14680074" cy="0"/>
        </a:xfrm>
        <a:prstGeom prst="rect">
          <a:avLst/>
        </a:prstGeom>
      </xdr:spPr>
    </xdr:pic>
    <xdr:clientData/>
  </xdr:twoCellAnchor>
  <xdr:twoCellAnchor>
    <xdr:from>
      <xdr:col>0</xdr:col>
      <xdr:colOff>0</xdr:colOff>
      <xdr:row>105</xdr:row>
      <xdr:rowOff>0</xdr:rowOff>
    </xdr:from>
    <xdr:to>
      <xdr:col>5</xdr:col>
      <xdr:colOff>495795</xdr:colOff>
      <xdr:row>144</xdr:row>
      <xdr:rowOff>67721</xdr:rowOff>
    </xdr:to>
    <xdr:pic>
      <xdr:nvPicPr>
        <xdr:cNvPr id="5" name="Picture 4" descr="A screenshot of a computer&#10;&#10;Description automatically generated">
          <a:extLst>
            <a:ext uri="{FF2B5EF4-FFF2-40B4-BE49-F238E27FC236}">
              <a16:creationId xmlns:a16="http://schemas.microsoft.com/office/drawing/2014/main" id="{40C15065-8C8C-408E-A170-9BABE7F3A26C}"/>
            </a:ext>
          </a:extLst>
        </xdr:cNvPr>
        <xdr:cNvPicPr>
          <a:picLocks noChangeAspect="1"/>
        </xdr:cNvPicPr>
      </xdr:nvPicPr>
      <xdr:blipFill>
        <a:blip xmlns:r="http://schemas.openxmlformats.org/officeDocument/2006/relationships" r:embed="rId4"/>
        <a:stretch>
          <a:fillRect/>
        </a:stretch>
      </xdr:blipFill>
      <xdr:spPr>
        <a:xfrm>
          <a:off x="0" y="2486025"/>
          <a:ext cx="3543795" cy="0"/>
        </a:xfrm>
        <a:prstGeom prst="rect">
          <a:avLst/>
        </a:prstGeom>
      </xdr:spPr>
    </xdr:pic>
    <xdr:clientData/>
  </xdr:twoCellAnchor>
  <xdr:twoCellAnchor>
    <xdr:from>
      <xdr:col>0</xdr:col>
      <xdr:colOff>0</xdr:colOff>
      <xdr:row>148</xdr:row>
      <xdr:rowOff>0</xdr:rowOff>
    </xdr:from>
    <xdr:to>
      <xdr:col>8</xdr:col>
      <xdr:colOff>168077</xdr:colOff>
      <xdr:row>161</xdr:row>
      <xdr:rowOff>7835</xdr:rowOff>
    </xdr:to>
    <xdr:pic>
      <xdr:nvPicPr>
        <xdr:cNvPr id="6" name="Picture 5" descr="A screenshot of a computer error&#10;&#10;Description automatically generated">
          <a:extLst>
            <a:ext uri="{FF2B5EF4-FFF2-40B4-BE49-F238E27FC236}">
              <a16:creationId xmlns:a16="http://schemas.microsoft.com/office/drawing/2014/main" id="{54EA52C7-79D0-4BDB-85B6-4FBD6ABF47ED}"/>
            </a:ext>
          </a:extLst>
        </xdr:cNvPr>
        <xdr:cNvPicPr>
          <a:picLocks noChangeAspect="1"/>
        </xdr:cNvPicPr>
      </xdr:nvPicPr>
      <xdr:blipFill>
        <a:blip xmlns:r="http://schemas.openxmlformats.org/officeDocument/2006/relationships" r:embed="rId5"/>
        <a:stretch>
          <a:fillRect/>
        </a:stretch>
      </xdr:blipFill>
      <xdr:spPr>
        <a:xfrm>
          <a:off x="0" y="28567380"/>
          <a:ext cx="5048687" cy="2482430"/>
        </a:xfrm>
        <a:prstGeom prst="rect">
          <a:avLst/>
        </a:prstGeom>
      </xdr:spPr>
    </xdr:pic>
    <xdr:clientData/>
  </xdr:twoCellAnchor>
  <xdr:twoCellAnchor>
    <xdr:from>
      <xdr:col>0</xdr:col>
      <xdr:colOff>0</xdr:colOff>
      <xdr:row>164</xdr:row>
      <xdr:rowOff>0</xdr:rowOff>
    </xdr:from>
    <xdr:to>
      <xdr:col>9</xdr:col>
      <xdr:colOff>251957</xdr:colOff>
      <xdr:row>170</xdr:row>
      <xdr:rowOff>53444</xdr:rowOff>
    </xdr:to>
    <xdr:pic>
      <xdr:nvPicPr>
        <xdr:cNvPr id="7" name="Picture 6">
          <a:extLst>
            <a:ext uri="{FF2B5EF4-FFF2-40B4-BE49-F238E27FC236}">
              <a16:creationId xmlns:a16="http://schemas.microsoft.com/office/drawing/2014/main" id="{7D0B9DE1-45EF-4CB7-B683-EB76E400F05E}"/>
            </a:ext>
          </a:extLst>
        </xdr:cNvPr>
        <xdr:cNvPicPr>
          <a:picLocks noChangeAspect="1"/>
        </xdr:cNvPicPr>
      </xdr:nvPicPr>
      <xdr:blipFill>
        <a:blip xmlns:r="http://schemas.openxmlformats.org/officeDocument/2006/relationships" r:embed="rId6"/>
        <a:stretch>
          <a:fillRect/>
        </a:stretch>
      </xdr:blipFill>
      <xdr:spPr>
        <a:xfrm>
          <a:off x="0" y="31632525"/>
          <a:ext cx="5738357" cy="1196444"/>
        </a:xfrm>
        <a:prstGeom prst="rect">
          <a:avLst/>
        </a:prstGeom>
      </xdr:spPr>
    </xdr:pic>
    <xdr:clientData/>
  </xdr:twoCellAnchor>
  <xdr:twoCellAnchor>
    <xdr:from>
      <xdr:col>0</xdr:col>
      <xdr:colOff>247650</xdr:colOff>
      <xdr:row>177</xdr:row>
      <xdr:rowOff>76200</xdr:rowOff>
    </xdr:from>
    <xdr:to>
      <xdr:col>15</xdr:col>
      <xdr:colOff>77452</xdr:colOff>
      <xdr:row>186</xdr:row>
      <xdr:rowOff>162176</xdr:rowOff>
    </xdr:to>
    <xdr:pic>
      <xdr:nvPicPr>
        <xdr:cNvPr id="8" name="Picture 7">
          <a:extLst>
            <a:ext uri="{FF2B5EF4-FFF2-40B4-BE49-F238E27FC236}">
              <a16:creationId xmlns:a16="http://schemas.microsoft.com/office/drawing/2014/main" id="{17EA7B3B-0505-0D50-058D-03448804483D}"/>
            </a:ext>
          </a:extLst>
        </xdr:cNvPr>
        <xdr:cNvPicPr>
          <a:picLocks noChangeAspect="1"/>
        </xdr:cNvPicPr>
      </xdr:nvPicPr>
      <xdr:blipFill>
        <a:blip xmlns:r="http://schemas.openxmlformats.org/officeDocument/2006/relationships" r:embed="rId7"/>
        <a:stretch>
          <a:fillRect/>
        </a:stretch>
      </xdr:blipFill>
      <xdr:spPr>
        <a:xfrm>
          <a:off x="247650" y="4667250"/>
          <a:ext cx="8973802" cy="1800476"/>
        </a:xfrm>
        <a:prstGeom prst="rect">
          <a:avLst/>
        </a:prstGeom>
      </xdr:spPr>
    </xdr:pic>
    <xdr:clientData/>
  </xdr:twoCellAnchor>
  <xdr:twoCellAnchor>
    <xdr:from>
      <xdr:col>0</xdr:col>
      <xdr:colOff>66675</xdr:colOff>
      <xdr:row>190</xdr:row>
      <xdr:rowOff>47625</xdr:rowOff>
    </xdr:from>
    <xdr:to>
      <xdr:col>25</xdr:col>
      <xdr:colOff>402224</xdr:colOff>
      <xdr:row>198</xdr:row>
      <xdr:rowOff>85943</xdr:rowOff>
    </xdr:to>
    <xdr:pic>
      <xdr:nvPicPr>
        <xdr:cNvPr id="9" name="Picture 8">
          <a:extLst>
            <a:ext uri="{FF2B5EF4-FFF2-40B4-BE49-F238E27FC236}">
              <a16:creationId xmlns:a16="http://schemas.microsoft.com/office/drawing/2014/main" id="{5FF5DE11-9124-8A6F-7F4A-EAA695CD254B}"/>
            </a:ext>
          </a:extLst>
        </xdr:cNvPr>
        <xdr:cNvPicPr>
          <a:picLocks noChangeAspect="1"/>
        </xdr:cNvPicPr>
      </xdr:nvPicPr>
      <xdr:blipFill>
        <a:blip xmlns:r="http://schemas.openxmlformats.org/officeDocument/2006/relationships" r:embed="rId8"/>
        <a:stretch>
          <a:fillRect/>
        </a:stretch>
      </xdr:blipFill>
      <xdr:spPr>
        <a:xfrm>
          <a:off x="66675" y="7315200"/>
          <a:ext cx="15575549" cy="1562318"/>
        </a:xfrm>
        <a:prstGeom prst="rect">
          <a:avLst/>
        </a:prstGeom>
      </xdr:spPr>
    </xdr:pic>
    <xdr:clientData/>
  </xdr:twoCellAnchor>
  <xdr:twoCellAnchor>
    <xdr:from>
      <xdr:col>0</xdr:col>
      <xdr:colOff>342900</xdr:colOff>
      <xdr:row>198</xdr:row>
      <xdr:rowOff>19050</xdr:rowOff>
    </xdr:from>
    <xdr:to>
      <xdr:col>3</xdr:col>
      <xdr:colOff>533682</xdr:colOff>
      <xdr:row>204</xdr:row>
      <xdr:rowOff>28736</xdr:rowOff>
    </xdr:to>
    <xdr:pic>
      <xdr:nvPicPr>
        <xdr:cNvPr id="11" name="Picture 10">
          <a:extLst>
            <a:ext uri="{FF2B5EF4-FFF2-40B4-BE49-F238E27FC236}">
              <a16:creationId xmlns:a16="http://schemas.microsoft.com/office/drawing/2014/main" id="{4368EAE7-536B-5AC3-C536-A13FF5EB8D16}"/>
            </a:ext>
          </a:extLst>
        </xdr:cNvPr>
        <xdr:cNvPicPr>
          <a:picLocks noChangeAspect="1"/>
        </xdr:cNvPicPr>
      </xdr:nvPicPr>
      <xdr:blipFill>
        <a:blip xmlns:r="http://schemas.openxmlformats.org/officeDocument/2006/relationships" r:embed="rId9"/>
        <a:stretch>
          <a:fillRect/>
        </a:stretch>
      </xdr:blipFill>
      <xdr:spPr>
        <a:xfrm>
          <a:off x="342900" y="8810625"/>
          <a:ext cx="2019582" cy="1152686"/>
        </a:xfrm>
        <a:prstGeom prst="rect">
          <a:avLst/>
        </a:prstGeom>
      </xdr:spPr>
    </xdr:pic>
    <xdr:clientData/>
  </xdr:twoCellAnchor>
  <xdr:twoCellAnchor>
    <xdr:from>
      <xdr:col>0</xdr:col>
      <xdr:colOff>0</xdr:colOff>
      <xdr:row>205</xdr:row>
      <xdr:rowOff>0</xdr:rowOff>
    </xdr:from>
    <xdr:to>
      <xdr:col>15</xdr:col>
      <xdr:colOff>382329</xdr:colOff>
      <xdr:row>225</xdr:row>
      <xdr:rowOff>181532</xdr:rowOff>
    </xdr:to>
    <xdr:pic>
      <xdr:nvPicPr>
        <xdr:cNvPr id="12" name="Picture 11">
          <a:extLst>
            <a:ext uri="{FF2B5EF4-FFF2-40B4-BE49-F238E27FC236}">
              <a16:creationId xmlns:a16="http://schemas.microsoft.com/office/drawing/2014/main" id="{E5747AE1-FCBB-5F17-A1B2-AECB824208DB}"/>
            </a:ext>
          </a:extLst>
        </xdr:cNvPr>
        <xdr:cNvPicPr>
          <a:picLocks noChangeAspect="1"/>
        </xdr:cNvPicPr>
      </xdr:nvPicPr>
      <xdr:blipFill>
        <a:blip xmlns:r="http://schemas.openxmlformats.org/officeDocument/2006/relationships" r:embed="rId10"/>
        <a:stretch>
          <a:fillRect/>
        </a:stretch>
      </xdr:blipFill>
      <xdr:spPr>
        <a:xfrm>
          <a:off x="0" y="10125075"/>
          <a:ext cx="9526329" cy="3991532"/>
        </a:xfrm>
        <a:prstGeom prst="rect">
          <a:avLst/>
        </a:prstGeom>
      </xdr:spPr>
    </xdr:pic>
    <xdr:clientData/>
  </xdr:twoCellAnchor>
  <xdr:twoCellAnchor>
    <xdr:from>
      <xdr:col>0</xdr:col>
      <xdr:colOff>0</xdr:colOff>
      <xdr:row>226</xdr:row>
      <xdr:rowOff>85725</xdr:rowOff>
    </xdr:from>
    <xdr:to>
      <xdr:col>15</xdr:col>
      <xdr:colOff>429961</xdr:colOff>
      <xdr:row>246</xdr:row>
      <xdr:rowOff>143415</xdr:rowOff>
    </xdr:to>
    <xdr:pic>
      <xdr:nvPicPr>
        <xdr:cNvPr id="13" name="Picture 12">
          <a:extLst>
            <a:ext uri="{FF2B5EF4-FFF2-40B4-BE49-F238E27FC236}">
              <a16:creationId xmlns:a16="http://schemas.microsoft.com/office/drawing/2014/main" id="{D3AF71CB-8150-473D-4D36-A0D6F88B41F8}"/>
            </a:ext>
          </a:extLst>
        </xdr:cNvPr>
        <xdr:cNvPicPr>
          <a:picLocks noChangeAspect="1"/>
        </xdr:cNvPicPr>
      </xdr:nvPicPr>
      <xdr:blipFill>
        <a:blip xmlns:r="http://schemas.openxmlformats.org/officeDocument/2006/relationships" r:embed="rId11"/>
        <a:stretch>
          <a:fillRect/>
        </a:stretch>
      </xdr:blipFill>
      <xdr:spPr>
        <a:xfrm>
          <a:off x="0" y="14211300"/>
          <a:ext cx="9573961" cy="3867690"/>
        </a:xfrm>
        <a:prstGeom prst="rect">
          <a:avLst/>
        </a:prstGeom>
      </xdr:spPr>
    </xdr:pic>
    <xdr:clientData/>
  </xdr:twoCellAnchor>
  <xdr:twoCellAnchor>
    <xdr:from>
      <xdr:col>0</xdr:col>
      <xdr:colOff>38100</xdr:colOff>
      <xdr:row>250</xdr:row>
      <xdr:rowOff>47625</xdr:rowOff>
    </xdr:from>
    <xdr:to>
      <xdr:col>25</xdr:col>
      <xdr:colOff>373649</xdr:colOff>
      <xdr:row>258</xdr:row>
      <xdr:rowOff>85943</xdr:rowOff>
    </xdr:to>
    <xdr:pic>
      <xdr:nvPicPr>
        <xdr:cNvPr id="14" name="Picture 13">
          <a:extLst>
            <a:ext uri="{FF2B5EF4-FFF2-40B4-BE49-F238E27FC236}">
              <a16:creationId xmlns:a16="http://schemas.microsoft.com/office/drawing/2014/main" id="{5EF4E5E3-0A5D-4972-9CCA-7BB2C46E6AC6}"/>
            </a:ext>
          </a:extLst>
        </xdr:cNvPr>
        <xdr:cNvPicPr>
          <a:picLocks noChangeAspect="1"/>
        </xdr:cNvPicPr>
      </xdr:nvPicPr>
      <xdr:blipFill>
        <a:blip xmlns:r="http://schemas.openxmlformats.org/officeDocument/2006/relationships" r:embed="rId8"/>
        <a:stretch>
          <a:fillRect/>
        </a:stretch>
      </xdr:blipFill>
      <xdr:spPr>
        <a:xfrm>
          <a:off x="38100" y="19154775"/>
          <a:ext cx="15575549" cy="1562318"/>
        </a:xfrm>
        <a:prstGeom prst="rect">
          <a:avLst/>
        </a:prstGeom>
      </xdr:spPr>
    </xdr:pic>
    <xdr:clientData/>
  </xdr:twoCellAnchor>
  <xdr:twoCellAnchor>
    <xdr:from>
      <xdr:col>3</xdr:col>
      <xdr:colOff>485775</xdr:colOff>
      <xdr:row>257</xdr:row>
      <xdr:rowOff>171450</xdr:rowOff>
    </xdr:from>
    <xdr:to>
      <xdr:col>5</xdr:col>
      <xdr:colOff>485945</xdr:colOff>
      <xdr:row>265</xdr:row>
      <xdr:rowOff>162136</xdr:rowOff>
    </xdr:to>
    <xdr:pic>
      <xdr:nvPicPr>
        <xdr:cNvPr id="15" name="Picture 14">
          <a:extLst>
            <a:ext uri="{FF2B5EF4-FFF2-40B4-BE49-F238E27FC236}">
              <a16:creationId xmlns:a16="http://schemas.microsoft.com/office/drawing/2014/main" id="{496BC966-3E34-4EE6-B6D3-BDBBB14E339E}"/>
            </a:ext>
          </a:extLst>
        </xdr:cNvPr>
        <xdr:cNvPicPr>
          <a:picLocks noChangeAspect="1"/>
        </xdr:cNvPicPr>
      </xdr:nvPicPr>
      <xdr:blipFill>
        <a:blip xmlns:r="http://schemas.openxmlformats.org/officeDocument/2006/relationships" r:embed="rId12"/>
        <a:stretch>
          <a:fillRect/>
        </a:stretch>
      </xdr:blipFill>
      <xdr:spPr>
        <a:xfrm>
          <a:off x="2314575" y="20612100"/>
          <a:ext cx="1219370" cy="1514686"/>
        </a:xfrm>
        <a:prstGeom prst="rect">
          <a:avLst/>
        </a:prstGeom>
      </xdr:spPr>
    </xdr:pic>
    <xdr:clientData/>
  </xdr:twoCellAnchor>
  <xdr:twoCellAnchor>
    <xdr:from>
      <xdr:col>0</xdr:col>
      <xdr:colOff>0</xdr:colOff>
      <xdr:row>267</xdr:row>
      <xdr:rowOff>95250</xdr:rowOff>
    </xdr:from>
    <xdr:to>
      <xdr:col>23</xdr:col>
      <xdr:colOff>592589</xdr:colOff>
      <xdr:row>275</xdr:row>
      <xdr:rowOff>95463</xdr:rowOff>
    </xdr:to>
    <xdr:pic>
      <xdr:nvPicPr>
        <xdr:cNvPr id="17" name="Picture 16">
          <a:extLst>
            <a:ext uri="{FF2B5EF4-FFF2-40B4-BE49-F238E27FC236}">
              <a16:creationId xmlns:a16="http://schemas.microsoft.com/office/drawing/2014/main" id="{F1C1D44E-E2F5-018B-3686-6A8A37B00491}"/>
            </a:ext>
          </a:extLst>
        </xdr:cNvPr>
        <xdr:cNvPicPr>
          <a:picLocks noChangeAspect="1"/>
        </xdr:cNvPicPr>
      </xdr:nvPicPr>
      <xdr:blipFill>
        <a:blip xmlns:r="http://schemas.openxmlformats.org/officeDocument/2006/relationships" r:embed="rId13"/>
        <a:stretch>
          <a:fillRect/>
        </a:stretch>
      </xdr:blipFill>
      <xdr:spPr>
        <a:xfrm>
          <a:off x="0" y="22802850"/>
          <a:ext cx="14613389" cy="1524213"/>
        </a:xfrm>
        <a:prstGeom prst="rect">
          <a:avLst/>
        </a:prstGeom>
      </xdr:spPr>
    </xdr:pic>
    <xdr:clientData/>
  </xdr:twoCellAnchor>
  <xdr:twoCellAnchor>
    <xdr:from>
      <xdr:col>0</xdr:col>
      <xdr:colOff>47625</xdr:colOff>
      <xdr:row>282</xdr:row>
      <xdr:rowOff>38100</xdr:rowOff>
    </xdr:from>
    <xdr:to>
      <xdr:col>29</xdr:col>
      <xdr:colOff>116777</xdr:colOff>
      <xdr:row>318</xdr:row>
      <xdr:rowOff>86721</xdr:rowOff>
    </xdr:to>
    <xdr:pic>
      <xdr:nvPicPr>
        <xdr:cNvPr id="18" name="Picture 17">
          <a:extLst>
            <a:ext uri="{FF2B5EF4-FFF2-40B4-BE49-F238E27FC236}">
              <a16:creationId xmlns:a16="http://schemas.microsoft.com/office/drawing/2014/main" id="{3B6CD9E3-3B44-348B-0964-0D087FD0FCB0}"/>
            </a:ext>
          </a:extLst>
        </xdr:cNvPr>
        <xdr:cNvPicPr>
          <a:picLocks noChangeAspect="1"/>
        </xdr:cNvPicPr>
      </xdr:nvPicPr>
      <xdr:blipFill rotWithShape="1">
        <a:blip xmlns:r="http://schemas.openxmlformats.org/officeDocument/2006/relationships" r:embed="rId14"/>
        <a:srcRect t="3204"/>
        <a:stretch/>
      </xdr:blipFill>
      <xdr:spPr>
        <a:xfrm>
          <a:off x="47625" y="55521225"/>
          <a:ext cx="17747552" cy="6906621"/>
        </a:xfrm>
        <a:prstGeom prst="rect">
          <a:avLst/>
        </a:prstGeom>
      </xdr:spPr>
    </xdr:pic>
    <xdr:clientData/>
  </xdr:twoCellAnchor>
  <xdr:twoCellAnchor>
    <xdr:from>
      <xdr:col>0</xdr:col>
      <xdr:colOff>0</xdr:colOff>
      <xdr:row>327</xdr:row>
      <xdr:rowOff>66675</xdr:rowOff>
    </xdr:from>
    <xdr:to>
      <xdr:col>24</xdr:col>
      <xdr:colOff>440253</xdr:colOff>
      <xdr:row>375</xdr:row>
      <xdr:rowOff>163215</xdr:rowOff>
    </xdr:to>
    <xdr:pic>
      <xdr:nvPicPr>
        <xdr:cNvPr id="19" name="Picture 18">
          <a:extLst>
            <a:ext uri="{FF2B5EF4-FFF2-40B4-BE49-F238E27FC236}">
              <a16:creationId xmlns:a16="http://schemas.microsoft.com/office/drawing/2014/main" id="{6299A517-FC00-047F-F451-CE99707539AC}"/>
            </a:ext>
          </a:extLst>
        </xdr:cNvPr>
        <xdr:cNvPicPr>
          <a:picLocks noChangeAspect="1"/>
        </xdr:cNvPicPr>
      </xdr:nvPicPr>
      <xdr:blipFill>
        <a:blip xmlns:r="http://schemas.openxmlformats.org/officeDocument/2006/relationships" r:embed="rId15"/>
        <a:stretch>
          <a:fillRect/>
        </a:stretch>
      </xdr:blipFill>
      <xdr:spPr>
        <a:xfrm>
          <a:off x="0" y="9086850"/>
          <a:ext cx="15070653" cy="9240540"/>
        </a:xfrm>
        <a:prstGeom prst="rect">
          <a:avLst/>
        </a:prstGeom>
      </xdr:spPr>
    </xdr:pic>
    <xdr:clientData/>
  </xdr:twoCellAnchor>
  <xdr:twoCellAnchor>
    <xdr:from>
      <xdr:col>0</xdr:col>
      <xdr:colOff>161925</xdr:colOff>
      <xdr:row>378</xdr:row>
      <xdr:rowOff>66675</xdr:rowOff>
    </xdr:from>
    <xdr:to>
      <xdr:col>21</xdr:col>
      <xdr:colOff>392344</xdr:colOff>
      <xdr:row>407</xdr:row>
      <xdr:rowOff>181762</xdr:rowOff>
    </xdr:to>
    <xdr:pic>
      <xdr:nvPicPr>
        <xdr:cNvPr id="20" name="Picture 19">
          <a:extLst>
            <a:ext uri="{FF2B5EF4-FFF2-40B4-BE49-F238E27FC236}">
              <a16:creationId xmlns:a16="http://schemas.microsoft.com/office/drawing/2014/main" id="{7CEFA8D7-9866-4699-F31A-3ED7F8998C12}"/>
            </a:ext>
          </a:extLst>
        </xdr:cNvPr>
        <xdr:cNvPicPr>
          <a:picLocks noChangeAspect="1"/>
        </xdr:cNvPicPr>
      </xdr:nvPicPr>
      <xdr:blipFill>
        <a:blip xmlns:r="http://schemas.openxmlformats.org/officeDocument/2006/relationships" r:embed="rId16"/>
        <a:stretch>
          <a:fillRect/>
        </a:stretch>
      </xdr:blipFill>
      <xdr:spPr>
        <a:xfrm>
          <a:off x="161925" y="9467850"/>
          <a:ext cx="13032019" cy="5639587"/>
        </a:xfrm>
        <a:prstGeom prst="rect">
          <a:avLst/>
        </a:prstGeom>
      </xdr:spPr>
    </xdr:pic>
    <xdr:clientData/>
  </xdr:twoCellAnchor>
  <xdr:twoCellAnchor>
    <xdr:from>
      <xdr:col>0</xdr:col>
      <xdr:colOff>76200</xdr:colOff>
      <xdr:row>410</xdr:row>
      <xdr:rowOff>104775</xdr:rowOff>
    </xdr:from>
    <xdr:to>
      <xdr:col>25</xdr:col>
      <xdr:colOff>497486</xdr:colOff>
      <xdr:row>452</xdr:row>
      <xdr:rowOff>182102</xdr:rowOff>
    </xdr:to>
    <xdr:pic>
      <xdr:nvPicPr>
        <xdr:cNvPr id="21" name="Picture 20">
          <a:extLst>
            <a:ext uri="{FF2B5EF4-FFF2-40B4-BE49-F238E27FC236}">
              <a16:creationId xmlns:a16="http://schemas.microsoft.com/office/drawing/2014/main" id="{9F14CBD8-7DD3-5E95-3C9B-5B54E82922CF}"/>
            </a:ext>
          </a:extLst>
        </xdr:cNvPr>
        <xdr:cNvPicPr>
          <a:picLocks noChangeAspect="1"/>
        </xdr:cNvPicPr>
      </xdr:nvPicPr>
      <xdr:blipFill>
        <a:blip xmlns:r="http://schemas.openxmlformats.org/officeDocument/2006/relationships" r:embed="rId17"/>
        <a:stretch>
          <a:fillRect/>
        </a:stretch>
      </xdr:blipFill>
      <xdr:spPr>
        <a:xfrm>
          <a:off x="76200" y="10077450"/>
          <a:ext cx="15661286" cy="8078327"/>
        </a:xfrm>
        <a:prstGeom prst="rect">
          <a:avLst/>
        </a:prstGeom>
      </xdr:spPr>
    </xdr:pic>
    <xdr:clientData/>
  </xdr:twoCellAnchor>
  <xdr:twoCellAnchor>
    <xdr:from>
      <xdr:col>0</xdr:col>
      <xdr:colOff>66675</xdr:colOff>
      <xdr:row>456</xdr:row>
      <xdr:rowOff>66675</xdr:rowOff>
    </xdr:from>
    <xdr:to>
      <xdr:col>18</xdr:col>
      <xdr:colOff>154244</xdr:colOff>
      <xdr:row>476</xdr:row>
      <xdr:rowOff>95786</xdr:rowOff>
    </xdr:to>
    <xdr:pic>
      <xdr:nvPicPr>
        <xdr:cNvPr id="23" name="Picture 22">
          <a:extLst>
            <a:ext uri="{FF2B5EF4-FFF2-40B4-BE49-F238E27FC236}">
              <a16:creationId xmlns:a16="http://schemas.microsoft.com/office/drawing/2014/main" id="{0E7B57A0-0570-E4BD-3088-6C71975ECE53}"/>
            </a:ext>
          </a:extLst>
        </xdr:cNvPr>
        <xdr:cNvPicPr>
          <a:picLocks noChangeAspect="1"/>
        </xdr:cNvPicPr>
      </xdr:nvPicPr>
      <xdr:blipFill rotWithShape="1">
        <a:blip xmlns:r="http://schemas.openxmlformats.org/officeDocument/2006/relationships" r:embed="rId18"/>
        <a:srcRect l="16292"/>
        <a:stretch/>
      </xdr:blipFill>
      <xdr:spPr>
        <a:xfrm>
          <a:off x="66675" y="10420350"/>
          <a:ext cx="11060369" cy="3839111"/>
        </a:xfrm>
        <a:prstGeom prst="rect">
          <a:avLst/>
        </a:prstGeom>
      </xdr:spPr>
    </xdr:pic>
    <xdr:clientData/>
  </xdr:twoCellAnchor>
  <xdr:twoCellAnchor>
    <xdr:from>
      <xdr:col>0</xdr:col>
      <xdr:colOff>19050</xdr:colOff>
      <xdr:row>479</xdr:row>
      <xdr:rowOff>38100</xdr:rowOff>
    </xdr:from>
    <xdr:to>
      <xdr:col>23</xdr:col>
      <xdr:colOff>454643</xdr:colOff>
      <xdr:row>506</xdr:row>
      <xdr:rowOff>91890</xdr:rowOff>
    </xdr:to>
    <xdr:pic>
      <xdr:nvPicPr>
        <xdr:cNvPr id="24" name="Picture 23">
          <a:extLst>
            <a:ext uri="{FF2B5EF4-FFF2-40B4-BE49-F238E27FC236}">
              <a16:creationId xmlns:a16="http://schemas.microsoft.com/office/drawing/2014/main" id="{5D99A015-D537-E897-3652-5054E3ABA409}"/>
            </a:ext>
          </a:extLst>
        </xdr:cNvPr>
        <xdr:cNvPicPr>
          <a:picLocks noChangeAspect="1"/>
        </xdr:cNvPicPr>
      </xdr:nvPicPr>
      <xdr:blipFill>
        <a:blip xmlns:r="http://schemas.openxmlformats.org/officeDocument/2006/relationships" r:embed="rId19"/>
        <a:stretch>
          <a:fillRect/>
        </a:stretch>
      </xdr:blipFill>
      <xdr:spPr>
        <a:xfrm>
          <a:off x="19050" y="10772775"/>
          <a:ext cx="14456393" cy="5197290"/>
        </a:xfrm>
        <a:prstGeom prst="rect">
          <a:avLst/>
        </a:prstGeom>
      </xdr:spPr>
    </xdr:pic>
    <xdr:clientData/>
  </xdr:twoCellAnchor>
  <xdr:twoCellAnchor>
    <xdr:from>
      <xdr:col>0</xdr:col>
      <xdr:colOff>0</xdr:colOff>
      <xdr:row>513</xdr:row>
      <xdr:rowOff>0</xdr:rowOff>
    </xdr:from>
    <xdr:to>
      <xdr:col>24</xdr:col>
      <xdr:colOff>68726</xdr:colOff>
      <xdr:row>532</xdr:row>
      <xdr:rowOff>86242</xdr:rowOff>
    </xdr:to>
    <xdr:pic>
      <xdr:nvPicPr>
        <xdr:cNvPr id="25" name="Picture 24" descr="A screenshot of a computer&#10;&#10;Description automatically generated">
          <a:extLst>
            <a:ext uri="{FF2B5EF4-FFF2-40B4-BE49-F238E27FC236}">
              <a16:creationId xmlns:a16="http://schemas.microsoft.com/office/drawing/2014/main" id="{D3F4A0C1-6870-4ED3-A485-F850B9AC8646}"/>
            </a:ext>
          </a:extLst>
        </xdr:cNvPr>
        <xdr:cNvPicPr>
          <a:picLocks noChangeAspect="1"/>
        </xdr:cNvPicPr>
      </xdr:nvPicPr>
      <xdr:blipFill>
        <a:blip xmlns:r="http://schemas.openxmlformats.org/officeDocument/2006/relationships" r:embed="rId2"/>
        <a:stretch>
          <a:fillRect/>
        </a:stretch>
      </xdr:blipFill>
      <xdr:spPr>
        <a:xfrm>
          <a:off x="0" y="16249650"/>
          <a:ext cx="14699126" cy="3705742"/>
        </a:xfrm>
        <a:prstGeom prst="rect">
          <a:avLst/>
        </a:prstGeom>
      </xdr:spPr>
    </xdr:pic>
    <xdr:clientData/>
  </xdr:twoCellAnchor>
  <xdr:twoCellAnchor>
    <xdr:from>
      <xdr:col>0</xdr:col>
      <xdr:colOff>190500</xdr:colOff>
      <xdr:row>535</xdr:row>
      <xdr:rowOff>123825</xdr:rowOff>
    </xdr:from>
    <xdr:to>
      <xdr:col>19</xdr:col>
      <xdr:colOff>176262</xdr:colOff>
      <xdr:row>570</xdr:row>
      <xdr:rowOff>162506</xdr:rowOff>
    </xdr:to>
    <xdr:pic>
      <xdr:nvPicPr>
        <xdr:cNvPr id="26" name="Picture 25">
          <a:extLst>
            <a:ext uri="{FF2B5EF4-FFF2-40B4-BE49-F238E27FC236}">
              <a16:creationId xmlns:a16="http://schemas.microsoft.com/office/drawing/2014/main" id="{C14C5E4E-822D-F5B2-94BD-CEF80FE5B289}"/>
            </a:ext>
          </a:extLst>
        </xdr:cNvPr>
        <xdr:cNvPicPr>
          <a:picLocks noChangeAspect="1"/>
        </xdr:cNvPicPr>
      </xdr:nvPicPr>
      <xdr:blipFill>
        <a:blip xmlns:r="http://schemas.openxmlformats.org/officeDocument/2006/relationships" r:embed="rId20"/>
        <a:stretch>
          <a:fillRect/>
        </a:stretch>
      </xdr:blipFill>
      <xdr:spPr>
        <a:xfrm>
          <a:off x="190500" y="12753975"/>
          <a:ext cx="11568162" cy="6706181"/>
        </a:xfrm>
        <a:prstGeom prst="rect">
          <a:avLst/>
        </a:prstGeom>
      </xdr:spPr>
    </xdr:pic>
    <xdr:clientData/>
  </xdr:twoCellAnchor>
  <xdr:twoCellAnchor>
    <xdr:from>
      <xdr:col>0</xdr:col>
      <xdr:colOff>257175</xdr:colOff>
      <xdr:row>573</xdr:row>
      <xdr:rowOff>38100</xdr:rowOff>
    </xdr:from>
    <xdr:to>
      <xdr:col>5</xdr:col>
      <xdr:colOff>386990</xdr:colOff>
      <xdr:row>603</xdr:row>
      <xdr:rowOff>168147</xdr:rowOff>
    </xdr:to>
    <xdr:pic>
      <xdr:nvPicPr>
        <xdr:cNvPr id="27" name="Picture 26">
          <a:extLst>
            <a:ext uri="{FF2B5EF4-FFF2-40B4-BE49-F238E27FC236}">
              <a16:creationId xmlns:a16="http://schemas.microsoft.com/office/drawing/2014/main" id="{6379EFD9-68D0-D747-0C6B-095A6BA91A52}"/>
            </a:ext>
          </a:extLst>
        </xdr:cNvPr>
        <xdr:cNvPicPr>
          <a:picLocks noChangeAspect="1"/>
        </xdr:cNvPicPr>
      </xdr:nvPicPr>
      <xdr:blipFill>
        <a:blip xmlns:r="http://schemas.openxmlformats.org/officeDocument/2006/relationships" r:embed="rId21"/>
        <a:stretch>
          <a:fillRect/>
        </a:stretch>
      </xdr:blipFill>
      <xdr:spPr>
        <a:xfrm>
          <a:off x="257175" y="13049250"/>
          <a:ext cx="3177815" cy="584504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Kaylie Wells" id="{7842F4E6-62FC-4C96-B397-801BC2A5BB8B}" userId="Kaylie Wells" providerId="None"/>
  <person displayName="Celine Lewis-Baker" id="{2BA1ACE1-2EA0-4657-B48E-40CBC85658FD}" userId="S::Celine.Lewis-Baker@impsoftware.co.uk::2d672d2c-c6a2-4e9e-a1ee-cad763ea090a"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Dunridge" refreshedDate="45250.715578356481" createdVersion="8" refreshedVersion="8" minRefreshableVersion="3" recordCount="5" xr:uid="{C59ED345-AF4E-4CAD-BE3E-300B90EB4A8F}">
  <cacheSource type="worksheet">
    <worksheetSource name="SCHOOLS"/>
  </cacheSource>
  <cacheFields count="19">
    <cacheField name="HubIssues" numFmtId="0">
      <sharedItems containsSemiMixedTypes="0" containsString="0" containsNumber="1" containsInteger="1" minValue="0" maxValue="0"/>
    </cacheField>
    <cacheField name="SchTypeIssue" numFmtId="0">
      <sharedItems containsSemiMixedTypes="0" containsString="0" containsNumber="1" containsInteger="1" minValue="0" maxValue="0"/>
    </cacheField>
    <cacheField name="Blank Data" numFmtId="0">
      <sharedItems containsSemiMixedTypes="0" containsString="0" containsNumber="1" containsInteger="1" minValue="0" maxValue="0"/>
    </cacheField>
    <cacheField name="Code length Check" numFmtId="0">
      <sharedItems containsSemiMixedTypes="0" containsString="0" containsNumber="1" containsInteger="1" minValue="0" maxValue="0"/>
    </cacheField>
    <cacheField name="Title length check" numFmtId="0">
      <sharedItems containsSemiMixedTypes="0" containsString="0" containsNumber="1" containsInteger="1" minValue="0" maxValue="0"/>
    </cacheField>
    <cacheField name="Will Import if 0" numFmtId="0">
      <sharedItems containsSemiMixedTypes="0" containsString="0" containsNumber="1" containsInteger="1" minValue="0" maxValue="0"/>
    </cacheField>
    <cacheField name="London Weighting Type" numFmtId="0">
      <sharedItems/>
    </cacheField>
    <cacheField name="LA" numFmtId="0">
      <sharedItems/>
    </cacheField>
    <cacheField name="School Type" numFmtId="0">
      <sharedItems count="5">
        <s v="Central"/>
        <s v="Secondary"/>
        <s v="Primary"/>
        <s v="AllThrough"/>
        <s v="Special"/>
      </sharedItems>
    </cacheField>
    <cacheField name="SchoolLocalAuthority" numFmtId="0">
      <sharedItems/>
    </cacheField>
    <cacheField name="SchoolCode" numFmtId="0">
      <sharedItems/>
    </cacheField>
    <cacheField name="SchoolHub" numFmtId="0">
      <sharedItems/>
    </cacheField>
    <cacheField name="SchoolType" numFmtId="0">
      <sharedItems/>
    </cacheField>
    <cacheField name="Title" numFmtId="0">
      <sharedItems/>
    </cacheField>
    <cacheField name="LondonWeighting" numFmtId="0">
      <sharedItems/>
    </cacheField>
    <cacheField name="UniqueReferenceNumber" numFmtId="0">
      <sharedItems containsSemiMixedTypes="0" containsString="0" containsNumber="1" containsInteger="1" minValue="0" maxValue="0"/>
    </cacheField>
    <cacheField name="TeachingHours" numFmtId="0">
      <sharedItems containsSemiMixedTypes="0" containsString="0" containsNumber="1" minValue="32.5" maxValue="32.5"/>
    </cacheField>
    <cacheField name="SchoolEnabled" numFmtId="0">
      <sharedItems/>
    </cacheField>
    <cacheField name="SchLookup"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Dunridge" refreshedDate="45250.715578587966" createdVersion="8" refreshedVersion="8" minRefreshableVersion="3" recordCount="2" xr:uid="{B3AC60BD-98DC-45F5-8CCB-64516277A0DE}">
  <cacheSource type="worksheet">
    <worksheetSource name="APBUD"/>
  </cacheSource>
  <cacheFields count="33">
    <cacheField name="Column1" numFmtId="0">
      <sharedItems/>
    </cacheField>
    <cacheField name="DuplicateLine" numFmtId="0">
      <sharedItems containsSemiMixedTypes="0" containsString="0" containsNumber="1" containsInteger="1" minValue="0" maxValue="0"/>
    </cacheField>
    <cacheField name="FinanceCodeIssue" numFmtId="0">
      <sharedItems containsSemiMixedTypes="0" containsString="0" containsNumber="1" containsInteger="1" minValue="1" maxValue="1"/>
    </cacheField>
    <cacheField name="LocationIssue" numFmtId="0">
      <sharedItems containsSemiMixedTypes="0" containsString="0" containsNumber="1" containsInteger="1" minValue="0" maxValue="0"/>
    </cacheField>
    <cacheField name="LedgerIssue" numFmtId="0">
      <sharedItems containsSemiMixedTypes="0" containsString="0" containsNumber="1" containsInteger="1" minValue="1" maxValue="1"/>
    </cacheField>
    <cacheField name="MonthProfileIssue" numFmtId="0">
      <sharedItems containsSemiMixedTypes="0" containsString="0" containsNumber="1" containsInteger="1" minValue="1" maxValue="1"/>
    </cacheField>
    <cacheField name="DepartmentIssue" numFmtId="0">
      <sharedItems containsSemiMixedTypes="0" containsString="0" containsNumber="1" containsInteger="1" minValue="1" maxValue="1"/>
    </cacheField>
    <cacheField name="FundCodeCheck" numFmtId="0">
      <sharedItems containsSemiMixedTypes="0" containsString="0" containsNumber="1" containsInteger="1" minValue="0" maxValue="0"/>
    </cacheField>
    <cacheField name="FC/DEP Ledger Issue" numFmtId="0">
      <sharedItems/>
    </cacheField>
    <cacheField name="True/False Cal Issue" numFmtId="0">
      <sharedItems containsSemiMixedTypes="0" containsString="0" containsNumber="1" containsInteger="1" minValue="1" maxValue="1"/>
    </cacheField>
    <cacheField name="Calc Issue" numFmtId="0">
      <sharedItems containsSemiMixedTypes="0" containsString="0" containsNumber="1" containsInteger="1" minValue="0" maxValue="0"/>
    </cacheField>
    <cacheField name="Blank Description" numFmtId="0">
      <sharedItems containsSemiMixedTypes="0" containsString="0" containsNumber="1" containsInteger="1" minValue="1" maxValue="1"/>
    </cacheField>
    <cacheField name="Blank Mat edit only" numFmtId="0">
      <sharedItems containsSemiMixedTypes="0" containsString="0" containsNumber="1" containsInteger="1" minValue="0" maxValue="0"/>
    </cacheField>
    <cacheField name="Blank Year Code" numFmtId="0">
      <sharedItems containsSemiMixedTypes="0" containsString="0" containsNumber="1" containsInteger="1" minValue="0" maxValue="0"/>
    </cacheField>
    <cacheField name="Blank Calculated" numFmtId="0">
      <sharedItems containsSemiMixedTypes="0" containsString="0" containsNumber="1" containsInteger="1" minValue="0" maxValue="0"/>
    </cacheField>
    <cacheField name="Blank ScenarioCode" numFmtId="0">
      <sharedItems containsSemiMixedTypes="0" containsString="0" containsNumber="1" containsInteger="1" minValue="0" maxValue="0"/>
    </cacheField>
    <cacheField name="Will Import if 0" numFmtId="0">
      <sharedItems/>
    </cacheField>
    <cacheField name="School Title" numFmtId="0">
      <sharedItems/>
    </cacheField>
    <cacheField name="ScenarioCode" numFmtId="0">
      <sharedItems count="4">
        <s v="APBUD2324"/>
        <s v="MASTER_OG"/>
        <s v="APBUD2223" u="1"/>
        <s v="APBUDMASTER" u="1"/>
      </sharedItems>
    </cacheField>
    <cacheField name="FinanceCode" numFmtId="0">
      <sharedItems containsNonDate="0" containsString="0" containsBlank="1"/>
    </cacheField>
    <cacheField name="SchoolCode" numFmtId="0">
      <sharedItems containsMixedTypes="1" containsNumber="1" containsInteger="1" minValue="100" maxValue="100" count="3">
        <s v="SEC"/>
        <s v="PRI"/>
        <n v="100" u="1"/>
      </sharedItems>
    </cacheField>
    <cacheField name="LedgerCode" numFmtId="0">
      <sharedItems/>
    </cacheField>
    <cacheField name="DepartmentCode" numFmtId="0">
      <sharedItems containsNonDate="0" containsString="0" containsBlank="1"/>
    </cacheField>
    <cacheField name="FundCode" numFmtId="0">
      <sharedItems containsNonDate="0" containsString="0" containsBlank="1"/>
    </cacheField>
    <cacheField name="CalculatorCode" numFmtId="9">
      <sharedItems containsNonDate="0" containsString="0" containsBlank="1"/>
    </cacheField>
    <cacheField name="MonthProfileCode" numFmtId="9">
      <sharedItems containsNonDate="0" containsString="0" containsBlank="1"/>
    </cacheField>
    <cacheField name="Description" numFmtId="0">
      <sharedItems containsNonDate="0" containsString="0" containsBlank="1"/>
    </cacheField>
    <cacheField name="Notes" numFmtId="0">
      <sharedItems containsNonDate="0" containsString="0" containsBlank="1"/>
    </cacheField>
    <cacheField name="YearNotes" numFmtId="0">
      <sharedItems containsNonDate="0" containsString="0" containsBlank="1"/>
    </cacheField>
    <cacheField name="MatEditOnly" numFmtId="0">
      <sharedItems/>
    </cacheField>
    <cacheField name="FinancialYearCode" numFmtId="0">
      <sharedItems/>
    </cacheField>
    <cacheField name="Calculated" numFmtId="49">
      <sharedItems/>
    </cacheField>
    <cacheField name="YearValue" numFmtId="1">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Dunridge" refreshedDate="45250.715579398151" createdVersion="7" refreshedVersion="8" minRefreshableVersion="3" recordCount="472" xr:uid="{DCD24C6B-87D6-461F-97B0-F0EFE53BB5A2}">
  <cacheSource type="worksheet">
    <worksheetSource name="ScenarioRows"/>
  </cacheSource>
  <cacheFields count="17">
    <cacheField name="Tab" numFmtId="0">
      <sharedItems count="7">
        <s v="Statistics"/>
        <s v="PupilNum"/>
        <s v="Funding"/>
        <s v="Income"/>
        <s v="Expenditure"/>
        <s v="BFBalances"/>
        <s v="ApBud"/>
      </sharedItems>
    </cacheField>
    <cacheField name="ScenarioCode" numFmtId="0">
      <sharedItems containsBlank="1"/>
    </cacheField>
    <cacheField name="FinanceCode" numFmtId="0">
      <sharedItems containsBlank="1"/>
    </cacheField>
    <cacheField name="SchoolCode" numFmtId="0">
      <sharedItems/>
    </cacheField>
    <cacheField name="LedgerCode" numFmtId="0">
      <sharedItems containsBlank="1"/>
    </cacheField>
    <cacheField name="DepartmentCode" numFmtId="0">
      <sharedItems containsBlank="1"/>
    </cacheField>
    <cacheField name="FundCode" numFmtId="0">
      <sharedItems containsNonDate="0" containsString="0" containsBlank="1"/>
    </cacheField>
    <cacheField name="CalculatorCode" numFmtId="0">
      <sharedItems containsBlank="1"/>
    </cacheField>
    <cacheField name="MonthProfileCode" numFmtId="0">
      <sharedItems containsBlank="1"/>
    </cacheField>
    <cacheField name="StaffMemberCode" numFmtId="0">
      <sharedItems/>
    </cacheField>
    <cacheField name="StaffRoleCode" numFmtId="0">
      <sharedItems/>
    </cacheField>
    <cacheField name="ContractReference" numFmtId="0">
      <sharedItems/>
    </cacheField>
    <cacheField name="ContractDateFrom" numFmtId="0">
      <sharedItems/>
    </cacheField>
    <cacheField name="ContractDateTo" numFmtId="0">
      <sharedItems/>
    </cacheField>
    <cacheField name="Description" numFmtId="0">
      <sharedItems containsBlank="1"/>
    </cacheField>
    <cacheField name="Notes" numFmtId="0">
      <sharedItems containsBlank="1"/>
    </cacheField>
    <cacheField name="MatEditOnly"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Dunridge" refreshedDate="45250.715579745367" createdVersion="7" refreshedVersion="8" minRefreshableVersion="3" recordCount="457" xr:uid="{A831CF64-C90F-4692-B3CC-ACDE0359FC6B}">
  <cacheSource type="worksheet">
    <worksheetSource name="ScenarioYearValues"/>
  </cacheSource>
  <cacheFields count="11">
    <cacheField name="Tab" numFmtId="0">
      <sharedItems count="7">
        <s v="Statistics"/>
        <s v="PupilNum"/>
        <s v="Funding"/>
        <s v="Income"/>
        <s v="BFBalances"/>
        <s v="ApBud"/>
        <s v="Expenditure" u="1"/>
      </sharedItems>
    </cacheField>
    <cacheField name="ScenarioCode" numFmtId="0">
      <sharedItems containsBlank="1"/>
    </cacheField>
    <cacheField name="FinanceCode" numFmtId="0">
      <sharedItems containsBlank="1"/>
    </cacheField>
    <cacheField name="SchoolCode" numFmtId="0">
      <sharedItems/>
    </cacheField>
    <cacheField name="LedgerCode" numFmtId="0">
      <sharedItems containsBlank="1"/>
    </cacheField>
    <cacheField name="DepartmentCode" numFmtId="0">
      <sharedItems containsBlank="1"/>
    </cacheField>
    <cacheField name="Description" numFmtId="0">
      <sharedItems containsBlank="1"/>
    </cacheField>
    <cacheField name="YearNotes" numFmtId="0">
      <sharedItems containsNonDate="0" containsString="0" containsBlank="1"/>
    </cacheField>
    <cacheField name="FinancialYearCode" numFmtId="0">
      <sharedItems/>
    </cacheField>
    <cacheField name="Calculated" numFmtId="0">
      <sharedItems/>
    </cacheField>
    <cacheField name="YearValue" numFmtId="0">
      <sharedItems containsString="0" containsBlank="1" containsNumber="1" minValue="-16000" maxValue="117.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Dunridge" refreshedDate="45832.66404826389" createdVersion="7" refreshedVersion="8" minRefreshableVersion="3" recordCount="693" xr:uid="{071BF3A4-440E-4699-B187-6DA60A16D5D6}">
  <cacheSource type="worksheet">
    <worksheetSource name="ScenarioAppend"/>
  </cacheSource>
  <cacheFields count="24">
    <cacheField name="Will Import if 0" numFmtId="0">
      <sharedItems containsString="0" containsBlank="1" containsNumber="1" containsInteger="1" minValue="0" maxValue="1"/>
    </cacheField>
    <cacheField name="Tab" numFmtId="0">
      <sharedItems count="7">
        <s v="Statistics"/>
        <s v="PupilNum"/>
        <s v="Funding"/>
        <s v="Income"/>
        <s v="Expenditure"/>
        <s v="BFBalances"/>
        <s v="ApBud"/>
      </sharedItems>
    </cacheField>
    <cacheField name="ScenarioCode" numFmtId="0">
      <sharedItems containsBlank="1"/>
    </cacheField>
    <cacheField name="FinanceCode" numFmtId="0">
      <sharedItems containsBlank="1" containsMixedTypes="1" containsNumber="1" containsInteger="1" minValue="50000" maxValue="860100" count="176">
        <s v="UPLIFT_PUPILASCL%"/>
        <s v="UPLIFT_PUPILEXP%"/>
        <s v="UPLIFT_PUPILGAG%"/>
        <s v="UPLIFT_PUPILINC%"/>
        <s v="UPLIFT_PUPILPOST16%"/>
        <s v="UPLIFT_PUPILRPI%"/>
        <s v="AWPU01_COR_PRI"/>
        <s v="AWPU01_DEV_PRI"/>
        <s v="AWPU02_COR_KS3"/>
        <s v="AWPU02_DEV_KS3"/>
        <s v="AWPU03_COR_KS4"/>
        <s v="AWPU03_DEV_KS4"/>
        <s v="CENCHG"/>
        <s v="DFC_CORE"/>
        <s v="DFC_PUPIL_NUR"/>
        <s v="DFC_PUPIL_POST16"/>
        <s v="DFC_PUPIL_PRI"/>
        <s v="DFC_PUPIL_SEC"/>
        <s v="DFC_PUPIL_SPS"/>
        <s v="HNPFO_RATE"/>
        <s v="HNPF_RATE"/>
        <s v="LEVY"/>
        <s v="LEVY_ALL"/>
        <s v="LUMP_COR_PRI"/>
        <s v="LUMP_COR_SEC"/>
        <s v="LUMP_DEV_PRI"/>
        <s v="LUMP_DEV_SEC"/>
        <s v="PAYGRANT_SPS"/>
        <s v="PAYGRANT_SPS_FRINGE"/>
        <s v="PAYGRANT_SPS_INNER"/>
        <s v="PAYGRANT_SPS_OUTER"/>
        <s v="PEG_CORE"/>
        <s v="PEG_PUPIL"/>
        <s v="PENSGRANT_POST16"/>
        <s v="PENSGRANT_POST16_FRINGE"/>
        <s v="PENSGRANT_POST16_INNER"/>
        <s v="PENSGRANT_POST16_OUTER"/>
        <s v="PENSGRANT_SPS"/>
        <s v="PENSGRANT_SPS_FRINGE"/>
        <s v="PENSGRANT_SPS_INNER"/>
        <s v="PENSGRANT_SPS_OUTER"/>
        <s v="PUPLAC_RATE"/>
        <s v="PUPPRI_RATE"/>
        <s v="PUPSEC_RATE"/>
        <s v="PUPSER_RATE"/>
        <s v="RECOVERY_RATE_PRI"/>
        <s v="RECOVERY_RATE_SEC"/>
        <s v="RPA_RATE"/>
        <s v="UIFSM_RATE"/>
        <s v="UPLIFT_ASCL"/>
        <s v="UPLIFT_CPI"/>
        <s v="UPLIFT_EXP"/>
        <s v="UPLIFT_GAG"/>
        <s v="UPLIFT_INC"/>
        <s v="UPLIFT_POST16"/>
        <s v="UPLIFT_RPI"/>
        <s v="PUPIL_CEN"/>
        <s v="PUPIL_CEN_00"/>
        <s v="PUPIL_CEN_01"/>
        <s v="PUPIL_CEN_02"/>
        <s v="PUPIL_CEN_03"/>
        <s v="PUPIL_CEN_04"/>
        <s v="PUPIL_CEN_05"/>
        <s v="PUPIL_CEN_06"/>
        <s v="PUPIL_CEN_07"/>
        <s v="PUPIL_CEN_08"/>
        <s v="PUPIL_CEN_09"/>
        <s v="PUPIL_CEN_10"/>
        <s v="PUPIL_CEN_11"/>
        <s v="PUPIL_CEN_12"/>
        <s v="PUPIL_CEN_13"/>
        <s v="PUPIL_CEN_14"/>
        <s v="PUPIL_SPRING_FS"/>
        <s v="PUPIL_SPRING_KS1"/>
        <s v="PUPIL_SPRING_KS2"/>
        <s v="PUPIL_SPRING_KS3"/>
        <s v="PUPIL_SPRING_KS4"/>
        <s v="PUPIL_SPRING_KS5"/>
        <s v="PUPIL_SPRING_NUR"/>
        <s v="PUPIL_UIFSM"/>
        <s v="PUPILPREMIUM_PRI"/>
        <s v="PUPILPREMIUM_SEC"/>
        <s v="PUPILPREMIUMLAC"/>
        <s v="PUPILPREMIUMSER"/>
        <s v="FUNDED_FS"/>
        <s v="FUNDED_KS1"/>
        <s v="FUNDED_KS2"/>
        <s v="FUNDED_KS3"/>
        <s v="FUNDED_KS3_ADJ"/>
        <s v="FUNDED_KS4"/>
        <s v="FUNDED_KS4_ADJ"/>
        <s v="FUNDED_KS5"/>
        <s v="FUNDED_KS5_ADJ"/>
        <s v="FUNDED_PPPOST16"/>
        <s v="FUNDED_PPPOST16O"/>
        <s v="FUNDED_PPPRE16"/>
        <s v="FUNDED_PPPRE16O"/>
        <s v="FUNDED_PRI"/>
        <s v="FUNDED_PRI_ADJ"/>
        <s v="PUPIL_RECOVERY_PREM_PRI"/>
        <s v="PUPIL_RECOVERY_PREM_SEC"/>
        <s v="FUNDING_01"/>
        <s v="DFC"/>
        <s v="ESFA_POST16_TOTAL"/>
        <s v="ESFA_TOTAL"/>
        <s v="FUNDING_HNPOST16"/>
        <s v="FUNDING_HNPRE16"/>
        <s v="FUNDING_PUPPREM_LAC"/>
        <s v="FUNDING_PUPPREM_PRI"/>
        <s v="FUNDING_PUPPREM_SEC"/>
        <s v="FUNDING_PUPPREM_SER"/>
        <s v="FUNDING_SCA"/>
        <s v="PE_GRANT"/>
        <s v="PENSGRANT"/>
        <s v="PAYGRANT"/>
        <s v="FUNDING_REC_PREM_PRI_CUR_PUPILS"/>
        <s v="FUNDING_REC_PREM_PRI_PY_PUPILS"/>
        <s v="FUNDING_REC_PREM_SEC_CUR_PUPILS"/>
        <s v="FUNDING_REC_PREM_SEC_PY_PUPILS"/>
        <m/>
        <s v="CAP_BFWD_RES"/>
        <s v="REV_BFWD_RES"/>
        <n v="510100" u="1"/>
        <n v="510110" u="1"/>
        <n v="510200" u="1"/>
        <n v="510250" u="1"/>
        <n v="510400" u="1"/>
        <n v="510950" u="1"/>
        <n v="520100" u="1"/>
        <n v="520150" u="1"/>
        <n v="520300" u="1"/>
        <n v="525300" u="1"/>
        <n v="525400" u="1"/>
        <n v="525752" u="1"/>
        <n v="530100" u="1"/>
        <n v="530700" u="1"/>
        <n v="510510" u="1"/>
        <n v="675100" u="1"/>
        <n v="675650" u="1"/>
        <n v="675700" u="1"/>
        <n v="710100" u="1"/>
        <n v="710200" u="1"/>
        <n v="720300" u="1"/>
        <n v="725100" u="1"/>
        <n v="810200" u="1"/>
        <n v="810250" u="1"/>
        <n v="815100" u="1"/>
        <n v="820150" u="1"/>
        <n v="820300" u="1"/>
        <n v="825300" u="1"/>
        <n v="825400" u="1"/>
        <n v="830100" u="1"/>
        <n v="835100" u="1"/>
        <n v="835200" u="1"/>
        <n v="840100" u="1"/>
        <n v="845100" u="1"/>
        <n v="850100" u="1"/>
        <n v="855100" u="1"/>
        <n v="855250" u="1"/>
        <n v="860100" u="1"/>
        <n v="612100" u="1"/>
        <n v="612200" u="1"/>
        <n v="612300" u="1"/>
        <n v="615100" u="1"/>
        <n v="615200" u="1"/>
        <n v="615300" u="1"/>
        <n v="625100" u="1"/>
        <n v="625200" u="1"/>
        <n v="625300" u="1"/>
        <n v="627100" u="1"/>
        <n v="627200" u="1"/>
        <n v="627300" u="1"/>
        <n v="632100" u="1"/>
        <n v="632200" u="1"/>
        <n v="632300" u="1"/>
        <n v="50000" u="1"/>
      </sharedItems>
    </cacheField>
    <cacheField name="SchoolCode" numFmtId="0">
      <sharedItems/>
    </cacheField>
    <cacheField name="LedgerCode" numFmtId="0">
      <sharedItems containsBlank="1"/>
    </cacheField>
    <cacheField name="DepartmentCode" numFmtId="0">
      <sharedItems containsBlank="1"/>
    </cacheField>
    <cacheField name="FundCode" numFmtId="0">
      <sharedItems containsNonDate="0" containsString="0" containsBlank="1"/>
    </cacheField>
    <cacheField name="CalculatorCode" numFmtId="0">
      <sharedItems containsBlank="1" count="129">
        <s v="PUPILASCL_FACTOR"/>
        <s v="PUPILEXP_FACTOR"/>
        <s v="PUPILGAG_FACTOR"/>
        <s v="PUPILINC_FACTOR"/>
        <s v="PUPILPOST16_FACTOR"/>
        <s v="PUPILRPI_FACTOR"/>
        <s v="UPLIFT_GAG"/>
        <s v="0%_CALC"/>
        <m/>
        <s v="PUPILY00_LY"/>
        <s v="PUPILY01_LY"/>
        <s v="PUPILY02_LY"/>
        <s v="PUPILY03_LY"/>
        <s v="PUPILY04_LY"/>
        <s v="PUPILY05_LY"/>
        <s v="PUPILY07_LY"/>
        <s v="PUPILY08_LY"/>
        <s v="PUPILY09_LY"/>
        <s v="PUPILY10_LY"/>
        <s v="PUPILY12_LY"/>
        <s v="PUPILY13_LY"/>
        <s v="PUPIL_SPRING_FS"/>
        <s v="PUPIL_SPRING_KS1"/>
        <s v="PUPIL_SPRING_KS2"/>
        <s v="PUPIL_SPRING_KS3"/>
        <s v="PUPIL_SPRING_KS4"/>
        <s v="PUPIL_SPRING_KS5"/>
        <s v="PUPIL_SPRING_NUR"/>
        <s v="UIFSM_FACTOR"/>
        <s v="PUPPREMIUM_FACTOR"/>
        <s v="FUNDED_FS"/>
        <s v="FUNDED_KS1"/>
        <s v="FUNDED_KS2"/>
        <s v="FUNDED_KS3"/>
        <s v="FUNDED_KS4"/>
        <s v="FUNDED_KS5"/>
        <s v="FUNDED_PRI"/>
        <s v="TOTAL_PP_PUPILS_PRI"/>
        <s v="TOTAL_PP_PUPILS_SEC"/>
        <s v="AWPU_PRI"/>
        <s v="UPLIFT_GAG_PUPIL"/>
        <s v="LUMP_PRI"/>
        <s v="AWPU_KS3"/>
        <s v="AWPU_KS4"/>
        <s v="LUMP_SEC"/>
        <s v="UPLIFT_POST16_PUPIL"/>
        <s v="DFC_CORE"/>
        <s v="DFC_PUPIL_NUR"/>
        <s v="DFC_PUPIL_POST16"/>
        <s v="DFC_PUPIL_PRI"/>
        <s v="DFC_PUPIL_SEC"/>
        <s v="ESFA_POST16_TOTAL"/>
        <s v="ESFA_TOTAL"/>
        <s v="HNPF_POST16O"/>
        <s v="HNPF_POST16"/>
        <s v="HNPF_PRE16O"/>
        <s v="HNPF_PRE16"/>
        <s v="PUPLACINCOME"/>
        <s v="PUPINCOME_PRI"/>
        <s v="PUPINCOME_SEC"/>
        <s v="PUPSERINCOME"/>
        <s v="PEG_CORE"/>
        <s v="PEG_PUPIL"/>
        <s v="PENGRANT_POST16_CALC"/>
        <s v="DFC_PUPIL_SPS"/>
        <s v="PAYGRANT_SPS_CALC"/>
        <s v="FUNDING_REC_PREM_PRI_CUR_PUPILS"/>
        <s v="FUNDING_REC_PREM_PRI_PY_PUPILS"/>
        <s v="FUNDING_REC_PREM_SEC_CUR_PUPILS"/>
        <s v="FUNDING_REC_PREM_SEC_PY_PUPILS"/>
        <s v="CENTRALCHG_MAT"/>
        <s v="FUNDING_01"/>
        <s v="FUNDING_02"/>
        <s v="FUNDING_03"/>
        <s v="FUNDING_HNPOST16"/>
        <s v="FUNDING_HNPRE16"/>
        <s v="FUNDING_SCA"/>
        <s v="LEVY_ALL"/>
        <s v="PAYGRANT_TOTAL"/>
        <s v="PENSGRANT_TOTAL"/>
        <s v="PUP_PREM_LAC_5/12"/>
        <s v="PUP_PREM_LAC_7/12"/>
        <s v="PUP_PREM_PRI_5/12"/>
        <s v="PUP_PREM_PRI_7/12"/>
        <s v="PUP_PREM_SEC_5/12"/>
        <s v="PUP_PREM_SEC_7/12"/>
        <s v="PUP_PREM_SER_5/12"/>
        <s v="PUP_PREM_SER_7/12"/>
        <s v="RECOVERY_PREM_PRI_1_4_CURRYR"/>
        <s v="RECOVERY_PREM_PRI_3_4_PRIORYR"/>
        <s v="RECOVERY_PREM_SEC_1_4_CURRYR"/>
        <s v="RECOVERY_PREM_SEC_3_4_PRIORYR"/>
        <s v="TOTAL_DFC_5/12"/>
        <s v="TOTAL_DFC_7/12"/>
        <s v="TOTAL_PEG"/>
        <s v="UIFSM_TOTAL"/>
        <s v="CENTRALCHG_SCH"/>
        <s v="LEVY_CALC"/>
        <s v="RPA_CALC"/>
        <s v="RPA_SPE_CALC"/>
        <s v="AWPU02_MED_KS3" u="1"/>
        <s v="AWPU03_MED_KS4" u="1"/>
        <s v="LUMP_MED_SEC" u="1"/>
        <s v="AWPU01_MED_PRI" u="1"/>
        <s v="LUMP_MED_PRI" u="1"/>
        <s v="FUNDING_GAG" u="1"/>
        <s v="FUNDING_STU" u="1"/>
        <s v="UPLIFT_INC" u="1"/>
        <s v="UPLIFT_EXP" u="1"/>
        <s v="PENGRANT_SPS_CALC" u="1"/>
        <s v="RECOVERY_TOTAL_PRE" u="1"/>
        <s v="RECOVERY_MIN_PRI_CALC" u="1"/>
        <s v="NTP_SPE" u="1"/>
        <s v="NTP_SEN" u="1"/>
        <s v="RECOVERY_PUP_PRI" u="1"/>
        <s v="RECOVERY_MIN_SEC_CALC" u="1"/>
        <s v="RECOVERY_TOPUP" u="1"/>
        <s v="RECOVERY_MIN_PRI" u="1"/>
        <s v="NTP_SEC" u="1"/>
        <s v="RECOVERY_PUP_SEC" u="1"/>
        <s v="RECOVERY_PUP_PRI_SPE" u="1"/>
        <s v="PAYGRANT_POST16_CALC" u="1"/>
        <s v="PENGRANT_NUR_CALC" u="1"/>
        <s v="FUNDING_NTP" u="1"/>
        <s v="RECOVERY_TOTAL_CUR" u="1"/>
        <s v="RECOVERY_MIN_SEC" u="1"/>
        <s v="NTP_PRI" u="1"/>
        <s v="PAYGRANT_NUR_CALC" u="1"/>
        <s v="RECOVERY_PUP_SEC_SPE" u="1"/>
      </sharedItems>
    </cacheField>
    <cacheField name="MonthProfileCode" numFmtId="0">
      <sharedItems containsBlank="1"/>
    </cacheField>
    <cacheField name="StaffMemberCode" numFmtId="0">
      <sharedItems/>
    </cacheField>
    <cacheField name="StaffRoleCode" numFmtId="0">
      <sharedItems/>
    </cacheField>
    <cacheField name="ContractReference" numFmtId="0">
      <sharedItems/>
    </cacheField>
    <cacheField name="ContractDateFrom" numFmtId="0">
      <sharedItems/>
    </cacheField>
    <cacheField name="ContractDateTo" numFmtId="0">
      <sharedItems/>
    </cacheField>
    <cacheField name="Description" numFmtId="0">
      <sharedItems containsBlank="1"/>
    </cacheField>
    <cacheField name="Notes" numFmtId="0">
      <sharedItems containsBlank="1"/>
    </cacheField>
    <cacheField name="Value" numFmtId="0">
      <sharedItems containsString="0" containsBlank="1" containsNumber="1" containsInteger="1" minValue="0" maxValue="0"/>
    </cacheField>
    <cacheField name="FundCode Issue" numFmtId="0">
      <sharedItems containsString="0" containsBlank="1" containsNumber="1" containsInteger="1" minValue="0" maxValue="0"/>
    </cacheField>
    <cacheField name="YearNotes" numFmtId="0">
      <sharedItems containsNonDate="0" containsString="0" containsBlank="1"/>
    </cacheField>
    <cacheField name="MatEditOnly" numFmtId="0">
      <sharedItems/>
    </cacheField>
    <cacheField name="FinancialYearCode" numFmtId="0">
      <sharedItems count="7">
        <s v="2023/24"/>
        <s v="2021/22"/>
        <s v="2022/23"/>
        <s v="2019/20"/>
        <s v="2024/25"/>
        <s v="2025/26"/>
        <s v="2026/27"/>
      </sharedItems>
    </cacheField>
    <cacheField name="Calculated" numFmtId="0">
      <sharedItems/>
    </cacheField>
    <cacheField name="YearValue" numFmtId="0">
      <sharedItems containsString="0" containsBlank="1" containsNumber="1" minValue="-16000" maxValue="117.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n v="0"/>
    <n v="0"/>
    <n v="0"/>
    <n v="0"/>
    <n v="0"/>
    <n v="0"/>
    <s v="England &amp; Wales"/>
    <s v="LA1"/>
    <x v="0"/>
    <s v="DEV"/>
    <s v="MAT"/>
    <s v="MAT"/>
    <s v="CENTRAL"/>
    <s v="Central Services "/>
    <b v="0"/>
    <n v="0"/>
    <n v="32.5"/>
    <b v="1"/>
    <s v="School 1"/>
  </r>
  <r>
    <n v="0"/>
    <n v="0"/>
    <n v="0"/>
    <n v="0"/>
    <n v="0"/>
    <n v="0"/>
    <s v="England &amp; Wales"/>
    <s v="LA1"/>
    <x v="1"/>
    <s v="DEV"/>
    <s v="SEC"/>
    <s v="MAT"/>
    <s v="SECONDARY"/>
    <s v="Secondary"/>
    <b v="0"/>
    <n v="0"/>
    <n v="32.5"/>
    <b v="1"/>
    <s v="School 2"/>
  </r>
  <r>
    <n v="0"/>
    <n v="0"/>
    <n v="0"/>
    <n v="0"/>
    <n v="0"/>
    <n v="0"/>
    <s v="England &amp; Wales"/>
    <s v="LA1"/>
    <x v="2"/>
    <s v="DEV"/>
    <s v="PRI"/>
    <s v="MAT"/>
    <s v="PRIMARY"/>
    <s v="Primary"/>
    <b v="0"/>
    <n v="0"/>
    <n v="32.5"/>
    <b v="1"/>
    <s v="School 3"/>
  </r>
  <r>
    <n v="0"/>
    <n v="0"/>
    <n v="0"/>
    <n v="0"/>
    <n v="0"/>
    <n v="0"/>
    <s v="England &amp; Wales"/>
    <s v="LA2"/>
    <x v="3"/>
    <s v="COR"/>
    <s v="ALL"/>
    <s v="MAT"/>
    <s v="ALLTHROUGH"/>
    <s v="Allthrough"/>
    <b v="0"/>
    <n v="0"/>
    <n v="32.5"/>
    <b v="1"/>
    <s v="School 4"/>
  </r>
  <r>
    <n v="0"/>
    <n v="0"/>
    <n v="0"/>
    <n v="0"/>
    <n v="0"/>
    <n v="0"/>
    <s v="England &amp; Wales"/>
    <s v="LA2"/>
    <x v="4"/>
    <s v="COR"/>
    <s v="SPE"/>
    <s v="MAT"/>
    <s v="SPECIAL"/>
    <s v="Special"/>
    <b v="0"/>
    <n v="0"/>
    <n v="32.5"/>
    <b v="1"/>
    <s v="School 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s v="APBUD2324SEC2023/24"/>
    <n v="0"/>
    <n v="1"/>
    <n v="0"/>
    <n v="1"/>
    <n v="1"/>
    <n v="1"/>
    <n v="0"/>
    <e v="#N/A"/>
    <n v="1"/>
    <n v="0"/>
    <n v="1"/>
    <n v="0"/>
    <n v="0"/>
    <n v="0"/>
    <n v="0"/>
    <e v="#N/A"/>
    <s v="Secondary"/>
    <x v="0"/>
    <m/>
    <x v="0"/>
    <e v="#N/A"/>
    <m/>
    <m/>
    <m/>
    <m/>
    <m/>
    <m/>
    <m/>
    <b v="1"/>
    <s v="2023/24"/>
    <b v="0"/>
    <m/>
  </r>
  <r>
    <s v="MASTER_OGPRI2023/24"/>
    <n v="0"/>
    <n v="1"/>
    <n v="0"/>
    <n v="1"/>
    <n v="1"/>
    <n v="1"/>
    <n v="0"/>
    <e v="#N/A"/>
    <n v="1"/>
    <n v="0"/>
    <n v="1"/>
    <n v="0"/>
    <n v="0"/>
    <n v="0"/>
    <n v="0"/>
    <e v="#N/A"/>
    <s v="Primary"/>
    <x v="1"/>
    <m/>
    <x v="1"/>
    <e v="#N/A"/>
    <m/>
    <m/>
    <m/>
    <m/>
    <m/>
    <m/>
    <m/>
    <b v="1"/>
    <s v="2023/24"/>
    <b v="0"/>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
  <r>
    <x v="0"/>
    <m/>
    <s v="UPLIFT_PUPILASCL%"/>
    <s v="ALL"/>
    <s v="DEFAULT"/>
    <s v="DEFAULT"/>
    <m/>
    <s v="PUPILASCL_FACTOR"/>
    <s v="MONTHLY"/>
    <s v=""/>
    <s v=""/>
    <s v=""/>
    <s v=""/>
    <s v=""/>
    <s v="Pupil ASCL Uplift %"/>
    <s v="Percentage change of pupil numbers from previous year to current year combined with ASCL Uplift %"/>
    <b v="1"/>
  </r>
  <r>
    <x v="0"/>
    <m/>
    <s v="UPLIFT_PUPILEXP%"/>
    <s v="ALL"/>
    <s v="DEFAULT"/>
    <s v="DEFAULT"/>
    <m/>
    <s v="PUPILEXP_FACTOR"/>
    <s v="MONTHLY"/>
    <s v=""/>
    <s v=""/>
    <s v=""/>
    <s v=""/>
    <s v=""/>
    <s v="Pupil Expenditure Uplift %"/>
    <s v="Percentage change of pupil numbers from previous year to current year combined with Expenditure Uplift %"/>
    <b v="1"/>
  </r>
  <r>
    <x v="0"/>
    <m/>
    <s v="UPLIFT_PUPILGAG%"/>
    <s v="ALL"/>
    <s v="DEFAULT"/>
    <s v="DEFAULT"/>
    <m/>
    <s v="PUPILGAG_FACTOR"/>
    <s v="MONTHLY"/>
    <s v=""/>
    <s v=""/>
    <s v=""/>
    <s v=""/>
    <s v=""/>
    <s v="Pupil GAG Uplift %"/>
    <s v="Percentage change of pupil numbers from previous year to current year combined with GAG Uplift %"/>
    <b v="1"/>
  </r>
  <r>
    <x v="0"/>
    <m/>
    <s v="UPLIFT_PUPILINC%"/>
    <s v="ALL"/>
    <s v="DEFAULT"/>
    <s v="DEFAULT"/>
    <m/>
    <s v="PUPILINC_FACTOR"/>
    <s v="MONTHLY"/>
    <s v=""/>
    <s v=""/>
    <s v=""/>
    <s v=""/>
    <s v=""/>
    <s v="Pupil Income Uplift %"/>
    <s v="Percentage change of pupil numbers from previous year to current year combined with Income Uplift %"/>
    <b v="1"/>
  </r>
  <r>
    <x v="0"/>
    <m/>
    <s v="UPLIFT_PUPILPOST16%"/>
    <s v="ALL"/>
    <s v="DEFAULT"/>
    <s v="DEFAULT"/>
    <m/>
    <s v="PUPILPOST16_FACTOR"/>
    <s v="MONTHLY"/>
    <s v=""/>
    <s v=""/>
    <s v=""/>
    <s v=""/>
    <s v=""/>
    <s v="Pupil Post 16 GAG Uplift %"/>
    <s v="Percentage change of pupil numbers from previous year to current year combined with Post 16 GAG Uplift %"/>
    <b v="1"/>
  </r>
  <r>
    <x v="0"/>
    <m/>
    <s v="UPLIFT_PUPILRPI%"/>
    <s v="ALL"/>
    <s v="DEFAULT"/>
    <s v="DEFAULT"/>
    <m/>
    <s v="PUPILRPI_FACTOR"/>
    <s v="MONTHLY"/>
    <s v=""/>
    <s v=""/>
    <s v=""/>
    <s v=""/>
    <s v=""/>
    <s v="Pupil RPI Uplift %"/>
    <s v="Percentage change of pupil numbers from previous year to current year combined with RPI Uplift %"/>
    <b v="1"/>
  </r>
  <r>
    <x v="0"/>
    <m/>
    <s v="AWPU01_COR_PRI"/>
    <s v="MAT"/>
    <s v="DEFAULT"/>
    <s v="DEFAULT"/>
    <m/>
    <s v="UPLIFT_GAG"/>
    <s v="MONTHLY"/>
    <s v=""/>
    <s v=""/>
    <s v=""/>
    <s v=""/>
    <s v=""/>
    <s v="AWPU Rate Primary Cornwall"/>
    <s v="Basic Entitlement Primary rate from Factor 1 of Funding statement"/>
    <b v="1"/>
  </r>
  <r>
    <x v="0"/>
    <m/>
    <s v="AWPU01_DEV_PRI"/>
    <s v="MAT"/>
    <s v="DEFAULT"/>
    <s v="DEFAULT"/>
    <m/>
    <s v="UPLIFT_GAG"/>
    <s v="MONTHLY"/>
    <s v=""/>
    <s v=""/>
    <s v=""/>
    <s v=""/>
    <s v=""/>
    <s v="AWPU Rate Primary Devon"/>
    <s v="Basic Entitlement Primary rate from Factor 1 of Funding statement"/>
    <b v="1"/>
  </r>
  <r>
    <x v="0"/>
    <m/>
    <s v="AWPU02_COR_KS3"/>
    <s v="MAT"/>
    <s v="DEFAULT"/>
    <s v="DEFAULT"/>
    <m/>
    <s v="UPLIFT_GAG"/>
    <s v="MONTHLY"/>
    <s v=""/>
    <s v=""/>
    <s v=""/>
    <s v=""/>
    <s v=""/>
    <s v="AWPU Rate KS3 Cornwall"/>
    <s v="Basic Entitlement KS3 rate from Factor 1 of Funding statement"/>
    <b v="1"/>
  </r>
  <r>
    <x v="0"/>
    <m/>
    <s v="AWPU02_DEV_KS3"/>
    <s v="MAT"/>
    <s v="DEFAULT"/>
    <s v="DEFAULT"/>
    <m/>
    <s v="UPLIFT_GAG"/>
    <s v="MONTHLY"/>
    <s v=""/>
    <s v=""/>
    <s v=""/>
    <s v=""/>
    <s v=""/>
    <s v="AWPU Rate KS3 Devon"/>
    <s v="Basic Entitlement KS3 rate from Factor 1 of Funding statement"/>
    <b v="1"/>
  </r>
  <r>
    <x v="0"/>
    <m/>
    <s v="AWPU03_COR_KS4"/>
    <s v="MAT"/>
    <s v="DEFAULT"/>
    <s v="DEFAULT"/>
    <m/>
    <s v="UPLIFT_GAG"/>
    <s v="MONTHLY"/>
    <s v=""/>
    <s v=""/>
    <s v=""/>
    <s v=""/>
    <s v=""/>
    <s v="AWPU Rate KS4 Cornwall"/>
    <s v="Basic Entitlement KS4 rate from Factor 1 of Funding statement"/>
    <b v="1"/>
  </r>
  <r>
    <x v="0"/>
    <m/>
    <s v="AWPU03_DEV_KS4"/>
    <s v="MAT"/>
    <s v="DEFAULT"/>
    <s v="DEFAULT"/>
    <m/>
    <s v="UPLIFT_GAG"/>
    <s v="MONTHLY"/>
    <s v=""/>
    <s v=""/>
    <s v=""/>
    <s v=""/>
    <s v=""/>
    <s v="AWPU Rate KS4 Devon"/>
    <s v="Basic Entitlement KS4 rate from Factor 1 of Funding statement"/>
    <b v="1"/>
  </r>
  <r>
    <x v="0"/>
    <m/>
    <s v="CENCHG"/>
    <s v="MAT"/>
    <s v="DEFAULT"/>
    <s v="DEFAULT"/>
    <m/>
    <s v="0%_CALC"/>
    <s v="MONTHLY"/>
    <s v=""/>
    <s v=""/>
    <s v=""/>
    <s v=""/>
    <s v=""/>
    <s v="Central Charge % Rate"/>
    <s v="Percentage used in Topslice calculation"/>
    <b v="1"/>
  </r>
  <r>
    <x v="0"/>
    <m/>
    <s v="DFC_CORE"/>
    <s v="MAT"/>
    <s v="DEFAULT"/>
    <s v="DEFAULT"/>
    <m/>
    <s v="0%_CALC"/>
    <s v="MONTHLY"/>
    <s v=""/>
    <s v=""/>
    <s v=""/>
    <s v=""/>
    <s v=""/>
    <s v="DFC Core"/>
    <s v="Lump Sum value which makes up part of the DFC funding"/>
    <b v="1"/>
  </r>
  <r>
    <x v="0"/>
    <m/>
    <s v="DFC_PUPIL_NUR"/>
    <s v="MAT"/>
    <s v="DEFAULT"/>
    <s v="DEFAULT"/>
    <m/>
    <s v="0%_CALC"/>
    <s v="MONTHLY"/>
    <s v=""/>
    <s v=""/>
    <s v=""/>
    <s v=""/>
    <s v=""/>
    <s v="DFC Nursery Pupil"/>
    <s v="Nursery Per pupil rate for DFC funding"/>
    <b v="1"/>
  </r>
  <r>
    <x v="0"/>
    <m/>
    <s v="DFC_PUPIL_POST16"/>
    <s v="MAT"/>
    <s v="DEFAULT"/>
    <s v="DEFAULT"/>
    <m/>
    <s v="0%_CALC"/>
    <s v="MONTHLY"/>
    <s v=""/>
    <s v=""/>
    <s v=""/>
    <s v=""/>
    <s v=""/>
    <s v="DFC Post16 Pupil"/>
    <s v="Post 16 Per pupil rate for DFC funding"/>
    <b v="1"/>
  </r>
  <r>
    <x v="0"/>
    <m/>
    <s v="DFC_PUPIL_PRI"/>
    <s v="MAT"/>
    <s v="DEFAULT"/>
    <s v="DEFAULT"/>
    <m/>
    <s v="0%_CALC"/>
    <s v="MONTHLY"/>
    <s v=""/>
    <s v=""/>
    <s v=""/>
    <s v=""/>
    <s v=""/>
    <s v="DFC Primary Pupil"/>
    <s v="Primary Per pupil rate for DFC funding"/>
    <b v="1"/>
  </r>
  <r>
    <x v="0"/>
    <m/>
    <s v="DFC_PUPIL_SEC"/>
    <s v="MAT"/>
    <s v="DEFAULT"/>
    <s v="DEFAULT"/>
    <m/>
    <s v="0%_CALC"/>
    <s v="MONTHLY"/>
    <s v=""/>
    <s v=""/>
    <s v=""/>
    <s v=""/>
    <s v=""/>
    <s v="DFC Secondary Pupil"/>
    <s v="Secondary Per pupil rate for DFC funding"/>
    <b v="1"/>
  </r>
  <r>
    <x v="0"/>
    <m/>
    <s v="DFC_PUPIL_SPS"/>
    <s v="MAT"/>
    <s v="DEFAULT"/>
    <s v="DEFAULT"/>
    <m/>
    <s v="0%_CALC"/>
    <s v="MONTHLY"/>
    <s v=""/>
    <s v=""/>
    <s v=""/>
    <s v=""/>
    <s v=""/>
    <s v="DFC Special Pupil"/>
    <s v="Special School Per pupil rate for DFC funding"/>
    <b v="1"/>
  </r>
  <r>
    <x v="0"/>
    <m/>
    <s v="HNPFO_RATE"/>
    <s v="MAT"/>
    <s v="DEFAULT"/>
    <s v="DEFAULT"/>
    <m/>
    <s v="0%_CALC"/>
    <s v="MONTHLY"/>
    <s v=""/>
    <s v=""/>
    <s v=""/>
    <s v=""/>
    <s v=""/>
    <s v="Occupied High Needs Place Funding Per Pupil Rate"/>
    <s v="Per place value for special occupied."/>
    <b v="1"/>
  </r>
  <r>
    <x v="0"/>
    <m/>
    <s v="HNPF_RATE"/>
    <s v="MAT"/>
    <s v="DEFAULT"/>
    <s v="DEFAULT"/>
    <m/>
    <s v="0%_CALC"/>
    <s v="MONTHLY"/>
    <s v=""/>
    <s v=""/>
    <s v=""/>
    <s v=""/>
    <s v=""/>
    <s v="High Needs Place Funding Per Pupil Rate"/>
    <s v="Per place value for special unoccupied."/>
    <b v="1"/>
  </r>
  <r>
    <x v="0"/>
    <m/>
    <s v="LEVY"/>
    <s v="MAT"/>
    <s v="DEFAULT"/>
    <s v="DEFAULT"/>
    <m/>
    <s v="0%_CALC"/>
    <s v="MONTHLY"/>
    <s v=""/>
    <s v=""/>
    <s v=""/>
    <s v=""/>
    <s v=""/>
    <s v="Apprentice Levy"/>
    <s v="Percentage used in Apprentice levy calculation"/>
    <b v="1"/>
  </r>
  <r>
    <x v="0"/>
    <m/>
    <s v="LEVY_ALL"/>
    <s v="MAT"/>
    <s v="DEFAULT"/>
    <s v="DEFAULT"/>
    <m/>
    <s v="0%_CALC"/>
    <s v="MONTHLY"/>
    <s v=""/>
    <s v=""/>
    <s v=""/>
    <s v=""/>
    <s v=""/>
    <s v="Apprentice Allowance"/>
    <s v="Total Apprentice Allowance value used in calculation."/>
    <b v="1"/>
  </r>
  <r>
    <x v="0"/>
    <m/>
    <s v="LUMP_COR_PRI"/>
    <s v="MAT"/>
    <s v="DEFAULT"/>
    <s v="DEFAULT"/>
    <m/>
    <s v="UPLIFT_GAG"/>
    <s v="MONTHLY"/>
    <s v=""/>
    <s v=""/>
    <s v=""/>
    <s v=""/>
    <s v=""/>
    <s v="Lump Sum Rate Primary Cornwall"/>
    <s v="Primary Lump Sum value from funding statement factor 8"/>
    <b v="1"/>
  </r>
  <r>
    <x v="0"/>
    <m/>
    <s v="LUMP_COR_SEC"/>
    <s v="MAT"/>
    <s v="DEFAULT"/>
    <s v="DEFAULT"/>
    <m/>
    <s v="UPLIFT_GAG"/>
    <s v="MONTHLY"/>
    <s v=""/>
    <s v=""/>
    <s v=""/>
    <s v=""/>
    <s v=""/>
    <s v="Lump Sum Rate Secondary Cornwall"/>
    <s v="Secondary Lump Sum value from funding statement factor 8"/>
    <b v="1"/>
  </r>
  <r>
    <x v="0"/>
    <m/>
    <s v="LUMP_DEV_PRI"/>
    <s v="MAT"/>
    <s v="DEFAULT"/>
    <s v="DEFAULT"/>
    <m/>
    <s v="UPLIFT_GAG"/>
    <s v="MONTHLY"/>
    <s v=""/>
    <s v=""/>
    <s v=""/>
    <s v=""/>
    <s v=""/>
    <s v="Lump Sum Rate Primary Devon"/>
    <s v="Primary Lump Sum value from funding statement factor 8"/>
    <b v="1"/>
  </r>
  <r>
    <x v="0"/>
    <m/>
    <s v="LUMP_DEV_SEC"/>
    <s v="MAT"/>
    <s v="DEFAULT"/>
    <s v="DEFAULT"/>
    <m/>
    <s v="UPLIFT_GAG"/>
    <s v="MONTHLY"/>
    <s v=""/>
    <s v=""/>
    <s v=""/>
    <s v=""/>
    <s v=""/>
    <s v="Lump Sum Rate Secondary Devon"/>
    <s v="Secondary Lump Sum value from funding statement factor 8"/>
    <b v="1"/>
  </r>
  <r>
    <x v="0"/>
    <m/>
    <s v="PAYGRANT_SPS"/>
    <s v="MAT"/>
    <s v="DEFAULT"/>
    <s v="DEFAULT"/>
    <m/>
    <s v="0%_CALC"/>
    <s v="MONTHLY"/>
    <s v=""/>
    <s v=""/>
    <s v=""/>
    <s v=""/>
    <s v=""/>
    <s v="Teachers Pay Grant Special School"/>
    <s v="England and Wales rate"/>
    <b v="1"/>
  </r>
  <r>
    <x v="0"/>
    <m/>
    <s v="PAYGRANT_SPS_FRINGE"/>
    <s v="MAT"/>
    <s v="DEFAULT"/>
    <s v="DEFAULT"/>
    <m/>
    <s v="0%_CALC"/>
    <s v="MONTHLY"/>
    <s v=""/>
    <s v=""/>
    <s v=""/>
    <s v=""/>
    <s v=""/>
    <s v="Teachers Pay Grant Special School"/>
    <s v="London Fringe rate"/>
    <b v="1"/>
  </r>
  <r>
    <x v="0"/>
    <m/>
    <s v="PAYGRANT_SPS_INNER"/>
    <s v="MAT"/>
    <s v="DEFAULT"/>
    <s v="DEFAULT"/>
    <m/>
    <s v="0%_CALC"/>
    <s v="MONTHLY"/>
    <s v=""/>
    <s v=""/>
    <s v=""/>
    <s v=""/>
    <s v=""/>
    <s v="Teachers Pay Grant Special School"/>
    <s v="London Inner rate"/>
    <b v="1"/>
  </r>
  <r>
    <x v="0"/>
    <m/>
    <s v="PAYGRANT_SPS_OUTER"/>
    <s v="MAT"/>
    <s v="DEFAULT"/>
    <s v="DEFAULT"/>
    <m/>
    <s v="0%_CALC"/>
    <s v="MONTHLY"/>
    <s v=""/>
    <s v=""/>
    <s v=""/>
    <s v=""/>
    <s v=""/>
    <s v="Teachers Pay Grant Special School"/>
    <s v="London Outer rate"/>
    <b v="1"/>
  </r>
  <r>
    <x v="0"/>
    <m/>
    <s v="PEG_CORE"/>
    <s v="MAT"/>
    <s v="DEFAULT"/>
    <s v="DEFAULT"/>
    <m/>
    <s v="0%_CALC"/>
    <s v="MONTHLY"/>
    <s v=""/>
    <s v=""/>
    <s v=""/>
    <s v=""/>
    <s v=""/>
    <s v="PE Grant Core Rate"/>
    <s v="Lump Sum value which makes up part of the PE funding"/>
    <b v="1"/>
  </r>
  <r>
    <x v="0"/>
    <m/>
    <s v="PEG_PUPIL"/>
    <s v="MAT"/>
    <s v="DEFAULT"/>
    <s v="DEFAULT"/>
    <m/>
    <s v="0%_CALC"/>
    <s v="MONTHLY"/>
    <s v=""/>
    <s v=""/>
    <s v=""/>
    <s v=""/>
    <s v=""/>
    <s v="PE Grant Per Pupil Rate"/>
    <m/>
    <b v="1"/>
  </r>
  <r>
    <x v="0"/>
    <m/>
    <s v="PENSGRANT_POST16"/>
    <s v="MAT"/>
    <s v="DEFAULT"/>
    <s v="DEFAULT"/>
    <m/>
    <s v="0%_CALC"/>
    <s v="MONTHLY"/>
    <s v=""/>
    <s v=""/>
    <s v=""/>
    <s v=""/>
    <s v=""/>
    <s v="Teachers Pensions Grant Post 16"/>
    <s v="England and Wales rate"/>
    <b v="1"/>
  </r>
  <r>
    <x v="0"/>
    <m/>
    <s v="PENSGRANT_POST16_FRINGE"/>
    <s v="MAT"/>
    <s v="DEFAULT"/>
    <s v="DEFAULT"/>
    <m/>
    <s v="0%_CALC"/>
    <s v="MONTHLY"/>
    <s v=""/>
    <s v=""/>
    <s v=""/>
    <s v=""/>
    <s v=""/>
    <s v="Teachers Pensions Grant Post 16 Fringe"/>
    <s v="London Fringe rate"/>
    <b v="1"/>
  </r>
  <r>
    <x v="0"/>
    <m/>
    <s v="PENSGRANT_POST16_INNER"/>
    <s v="MAT"/>
    <s v="DEFAULT"/>
    <s v="DEFAULT"/>
    <m/>
    <s v="0%_CALC"/>
    <s v="MONTHLY"/>
    <s v=""/>
    <s v=""/>
    <s v=""/>
    <s v=""/>
    <s v=""/>
    <s v="Teachers Pensions Grant Post 16 Inner"/>
    <s v="London Inner rate"/>
    <b v="1"/>
  </r>
  <r>
    <x v="0"/>
    <m/>
    <s v="PENSGRANT_POST16_OUTER"/>
    <s v="MAT"/>
    <s v="DEFAULT"/>
    <s v="DEFAULT"/>
    <m/>
    <s v="0%_CALC"/>
    <s v="MONTHLY"/>
    <s v=""/>
    <s v=""/>
    <s v=""/>
    <s v=""/>
    <s v=""/>
    <s v="Teachers Pensions Grant Post 16 Outer"/>
    <s v="London Outer rate"/>
    <b v="1"/>
  </r>
  <r>
    <x v="0"/>
    <m/>
    <s v="PENSGRANT_SPS"/>
    <s v="MAT"/>
    <s v="DEFAULT"/>
    <s v="DEFAULT"/>
    <m/>
    <s v="0%_CALC"/>
    <s v="MONTHLY"/>
    <s v=""/>
    <s v=""/>
    <s v=""/>
    <s v=""/>
    <s v=""/>
    <s v="Teachers Pensions Grant Special School"/>
    <s v="England and Wales rate"/>
    <b v="1"/>
  </r>
  <r>
    <x v="0"/>
    <m/>
    <s v="PENSGRANT_SPS_FRINGE"/>
    <s v="MAT"/>
    <s v="DEFAULT"/>
    <s v="DEFAULT"/>
    <m/>
    <s v="0%_CALC"/>
    <s v="MONTHLY"/>
    <s v=""/>
    <s v=""/>
    <s v=""/>
    <s v=""/>
    <s v=""/>
    <s v="Teachers Pensions Grant Special School"/>
    <s v="London Fringe rate"/>
    <b v="1"/>
  </r>
  <r>
    <x v="0"/>
    <m/>
    <s v="PENSGRANT_SPS_INNER"/>
    <s v="MAT"/>
    <s v="DEFAULT"/>
    <s v="DEFAULT"/>
    <m/>
    <s v="0%_CALC"/>
    <s v="MONTHLY"/>
    <s v=""/>
    <s v=""/>
    <s v=""/>
    <s v=""/>
    <s v=""/>
    <s v="Teachers Pensions Grant Special School"/>
    <s v="London Inner rate"/>
    <b v="1"/>
  </r>
  <r>
    <x v="0"/>
    <m/>
    <s v="PENSGRANT_SPS_OUTER"/>
    <s v="MAT"/>
    <s v="DEFAULT"/>
    <s v="DEFAULT"/>
    <m/>
    <s v="0%_CALC"/>
    <s v="MONTHLY"/>
    <s v=""/>
    <s v=""/>
    <s v=""/>
    <s v=""/>
    <s v=""/>
    <s v="Teachers Pensions Grant Special School"/>
    <s v="London Outer rate"/>
    <b v="1"/>
  </r>
  <r>
    <x v="0"/>
    <m/>
    <s v="PUPLAC_RATE"/>
    <s v="MAT"/>
    <s v="DEFAULT"/>
    <s v="DEFAULT"/>
    <m/>
    <s v="0%_CALC"/>
    <s v="MONTHLY"/>
    <s v=""/>
    <s v=""/>
    <s v=""/>
    <s v=""/>
    <s v=""/>
    <s v="Pupil Premium LAC Rate"/>
    <s v="Looked After Children Per pupil rate"/>
    <b v="1"/>
  </r>
  <r>
    <x v="0"/>
    <m/>
    <s v="PUPPRI_RATE"/>
    <s v="MAT"/>
    <s v="DEFAULT"/>
    <s v="DEFAULT"/>
    <m/>
    <s v="0%_CALC"/>
    <s v="MONTHLY"/>
    <s v=""/>
    <s v=""/>
    <s v=""/>
    <s v=""/>
    <s v=""/>
    <s v="Pupil Premium Rate Primary"/>
    <s v="Primary Pupil premium Per pupil rate"/>
    <b v="1"/>
  </r>
  <r>
    <x v="0"/>
    <m/>
    <s v="PUPSEC_RATE"/>
    <s v="MAT"/>
    <s v="DEFAULT"/>
    <s v="DEFAULT"/>
    <m/>
    <s v="0%_CALC"/>
    <s v="MONTHLY"/>
    <s v=""/>
    <s v=""/>
    <s v=""/>
    <s v=""/>
    <s v=""/>
    <s v="Pupil Premium Rate Secondary"/>
    <s v="Secondary Pupil premium Per pupil rate"/>
    <b v="1"/>
  </r>
  <r>
    <x v="0"/>
    <m/>
    <s v="PUPSER_RATE"/>
    <s v="MAT"/>
    <s v="DEFAULT"/>
    <s v="DEFAULT"/>
    <m/>
    <s v="0%_CALC"/>
    <s v="MONTHLY"/>
    <s v=""/>
    <s v=""/>
    <s v=""/>
    <s v=""/>
    <s v=""/>
    <s v="Pupil Premium SER Rate"/>
    <s v="Service Children Per pupil rate"/>
    <b v="1"/>
  </r>
  <r>
    <x v="0"/>
    <m/>
    <s v="RECOVERY_RATE_PRI"/>
    <s v="MAT"/>
    <s v="DEFAULT"/>
    <s v="DEFAULT"/>
    <m/>
    <s v="0%_CALC"/>
    <s v="MONTHLY"/>
    <s v=""/>
    <s v=""/>
    <s v=""/>
    <s v=""/>
    <s v=""/>
    <s v="Recovery premium primary rate"/>
    <m/>
    <b v="1"/>
  </r>
  <r>
    <x v="0"/>
    <m/>
    <s v="RECOVERY_RATE_SEC"/>
    <s v="MAT"/>
    <s v="DEFAULT"/>
    <s v="DEFAULT"/>
    <m/>
    <s v="0%_CALC"/>
    <s v="MONTHLY"/>
    <s v=""/>
    <s v=""/>
    <s v=""/>
    <s v=""/>
    <s v=""/>
    <s v="Recovery premium secondary rate"/>
    <m/>
    <b v="1"/>
  </r>
  <r>
    <x v="0"/>
    <m/>
    <s v="RPA_RATE"/>
    <s v="MAT"/>
    <s v="DEFAULT"/>
    <s v="DEFAULT"/>
    <m/>
    <s v="0%_CALC"/>
    <s v="MONTHLY"/>
    <s v=""/>
    <s v=""/>
    <s v=""/>
    <s v=""/>
    <s v=""/>
    <s v="RPA Per Pupil Rate"/>
    <m/>
    <b v="1"/>
  </r>
  <r>
    <x v="0"/>
    <m/>
    <s v="UIFSM_RATE"/>
    <s v="MAT"/>
    <s v="DEFAULT"/>
    <s v="DEFAULT"/>
    <m/>
    <s v="0%_CALC"/>
    <s v="MONTHLY"/>
    <s v=""/>
    <s v=""/>
    <s v=""/>
    <s v=""/>
    <s v=""/>
    <s v="UIFSM Per Pupil Per Annum"/>
    <m/>
    <b v="1"/>
  </r>
  <r>
    <x v="0"/>
    <m/>
    <s v="UPLIFT_ASCL"/>
    <s v="MAT"/>
    <s v="DEFAULT"/>
    <s v="DEFAULT"/>
    <m/>
    <s v="0%_CALC"/>
    <s v="MONTHLY"/>
    <s v=""/>
    <s v=""/>
    <s v=""/>
    <s v=""/>
    <s v=""/>
    <s v="ASCL Guidance on non Staffing (%)"/>
    <m/>
    <b v="1"/>
  </r>
  <r>
    <x v="0"/>
    <m/>
    <s v="UPLIFT_CPI"/>
    <s v="MAT"/>
    <s v="DEFAULT"/>
    <s v="DEFAULT"/>
    <m/>
    <m/>
    <s v="MONTHLY"/>
    <s v=""/>
    <s v=""/>
    <s v=""/>
    <s v=""/>
    <s v=""/>
    <s v="CPI"/>
    <s v="Consumer price index"/>
    <b v="1"/>
  </r>
  <r>
    <x v="0"/>
    <m/>
    <s v="UPLIFT_EXP"/>
    <s v="MAT"/>
    <s v="DEFAULT"/>
    <s v="DEFAULT"/>
    <m/>
    <s v="0%_CALC"/>
    <s v="MONTHLY"/>
    <s v=""/>
    <s v=""/>
    <s v=""/>
    <s v=""/>
    <s v=""/>
    <s v="Expenditure Uplift %"/>
    <m/>
    <b v="1"/>
  </r>
  <r>
    <x v="0"/>
    <m/>
    <s v="UPLIFT_GAG"/>
    <s v="MAT"/>
    <s v="DEFAULT"/>
    <s v="DEFAULT"/>
    <m/>
    <s v="0%_CALC"/>
    <s v="MONTHLY"/>
    <s v=""/>
    <s v=""/>
    <s v=""/>
    <s v=""/>
    <s v=""/>
    <s v="GAG Uplift %"/>
    <m/>
    <b v="1"/>
  </r>
  <r>
    <x v="0"/>
    <m/>
    <s v="UPLIFT_INC"/>
    <s v="MAT"/>
    <s v="DEFAULT"/>
    <s v="DEFAULT"/>
    <m/>
    <s v="0%_CALC"/>
    <s v="MONTHLY"/>
    <s v=""/>
    <s v=""/>
    <s v=""/>
    <s v=""/>
    <s v=""/>
    <s v="Income Uplift %"/>
    <m/>
    <b v="1"/>
  </r>
  <r>
    <x v="0"/>
    <m/>
    <s v="UPLIFT_POST16"/>
    <s v="MAT"/>
    <s v="DEFAULT"/>
    <s v="DEFAULT"/>
    <m/>
    <s v="0%_CALC"/>
    <s v="MONTHLY"/>
    <s v=""/>
    <s v=""/>
    <s v=""/>
    <s v=""/>
    <s v=""/>
    <s v="Post 16 GAG Uplift %"/>
    <m/>
    <b v="1"/>
  </r>
  <r>
    <x v="0"/>
    <m/>
    <s v="UPLIFT_RPI"/>
    <s v="MAT"/>
    <s v="DEFAULT"/>
    <s v="DEFAULT"/>
    <m/>
    <m/>
    <s v="MONTHLY"/>
    <s v=""/>
    <s v=""/>
    <s v=""/>
    <s v=""/>
    <s v=""/>
    <s v="RPI"/>
    <s v="Retail Price Index"/>
    <b v="1"/>
  </r>
  <r>
    <x v="0"/>
    <m/>
    <s v="UPLIFT_PUPILASCL%"/>
    <s v="PRI"/>
    <s v="DEFAULT"/>
    <s v="DEFAULT"/>
    <m/>
    <s v="PUPILASCL_FACTOR"/>
    <s v="MONTHLY"/>
    <s v=""/>
    <s v=""/>
    <s v=""/>
    <s v=""/>
    <s v=""/>
    <s v="Pupil ASCL Uplift %"/>
    <s v="Percentage change of pupil numbers from previous year to current year combined with ASCL Uplift %"/>
    <b v="1"/>
  </r>
  <r>
    <x v="0"/>
    <m/>
    <s v="UPLIFT_PUPILEXP%"/>
    <s v="PRI"/>
    <s v="DEFAULT"/>
    <s v="DEFAULT"/>
    <m/>
    <s v="PUPILEXP_FACTOR"/>
    <s v="MONTHLY"/>
    <s v=""/>
    <s v=""/>
    <s v=""/>
    <s v=""/>
    <s v=""/>
    <s v="Pupil Expenditure Uplift %"/>
    <s v="Percentage change of pupil numbers from previous year to current year combined with Expenditure Uplift %"/>
    <b v="1"/>
  </r>
  <r>
    <x v="0"/>
    <m/>
    <s v="UPLIFT_PUPILGAG%"/>
    <s v="PRI"/>
    <s v="DEFAULT"/>
    <s v="DEFAULT"/>
    <m/>
    <s v="PUPILGAG_FACTOR"/>
    <s v="MONTHLY"/>
    <s v=""/>
    <s v=""/>
    <s v=""/>
    <s v=""/>
    <s v=""/>
    <s v="Pupil GAG Uplift %"/>
    <s v="Percentage change of pupil numbers from previous year to current year combined with GAG Uplift %"/>
    <b v="1"/>
  </r>
  <r>
    <x v="0"/>
    <m/>
    <s v="UPLIFT_PUPILINC%"/>
    <s v="PRI"/>
    <s v="DEFAULT"/>
    <s v="DEFAULT"/>
    <m/>
    <s v="PUPILINC_FACTOR"/>
    <s v="MONTHLY"/>
    <s v=""/>
    <s v=""/>
    <s v=""/>
    <s v=""/>
    <s v=""/>
    <s v="Pupil Income Uplift %"/>
    <s v="Percentage change of pupil numbers from previous year to current year combined with Income Uplift %"/>
    <b v="1"/>
  </r>
  <r>
    <x v="0"/>
    <m/>
    <s v="UPLIFT_PUPILRPI%"/>
    <s v="PRI"/>
    <s v="DEFAULT"/>
    <s v="DEFAULT"/>
    <m/>
    <s v="PUPILRPI_FACTOR"/>
    <s v="MONTHLY"/>
    <s v=""/>
    <s v=""/>
    <s v=""/>
    <s v=""/>
    <s v=""/>
    <s v="Pupil RPI Uplift %"/>
    <s v="Percentage change of pupil numbers from previous year to current year combined with RPI Uplift %"/>
    <b v="1"/>
  </r>
  <r>
    <x v="0"/>
    <m/>
    <s v="UPLIFT_PUPILASCL%"/>
    <s v="SEC"/>
    <s v="DEFAULT"/>
    <s v="DEFAULT"/>
    <m/>
    <s v="PUPILASCL_FACTOR"/>
    <s v="MONTHLY"/>
    <s v=""/>
    <s v=""/>
    <s v=""/>
    <s v=""/>
    <s v=""/>
    <s v="Pupil ASCL Uplift %"/>
    <s v="Percentage change of pupil numbers from previous year to current year combined with ASCL Uplift %"/>
    <b v="1"/>
  </r>
  <r>
    <x v="0"/>
    <m/>
    <s v="UPLIFT_PUPILEXP%"/>
    <s v="SEC"/>
    <s v="DEFAULT"/>
    <s v="DEFAULT"/>
    <m/>
    <s v="PUPILEXP_FACTOR"/>
    <s v="MONTHLY"/>
    <s v=""/>
    <s v=""/>
    <s v=""/>
    <s v=""/>
    <s v=""/>
    <s v="Pupil Expenditure Uplift %"/>
    <s v="Percentage change of pupil numbers from previous year to current year combined with Expenditure Uplift %"/>
    <b v="1"/>
  </r>
  <r>
    <x v="0"/>
    <m/>
    <s v="UPLIFT_PUPILGAG%"/>
    <s v="SEC"/>
    <s v="DEFAULT"/>
    <s v="DEFAULT"/>
    <m/>
    <s v="PUPILGAG_FACTOR"/>
    <s v="MONTHLY"/>
    <s v=""/>
    <s v=""/>
    <s v=""/>
    <s v=""/>
    <s v=""/>
    <s v="Pupil GAG Uplift %"/>
    <s v="Percentage change of pupil numbers from previous year to current year combined with GAG Uplift %"/>
    <b v="1"/>
  </r>
  <r>
    <x v="0"/>
    <m/>
    <s v="UPLIFT_PUPILINC%"/>
    <s v="SEC"/>
    <s v="DEFAULT"/>
    <s v="DEFAULT"/>
    <m/>
    <s v="PUPILINC_FACTOR"/>
    <s v="MONTHLY"/>
    <s v=""/>
    <s v=""/>
    <s v=""/>
    <s v=""/>
    <s v=""/>
    <s v="Pupil Income Uplift %"/>
    <s v="Percentage change of pupil numbers from previous year to current year combined with Income Uplift %"/>
    <b v="1"/>
  </r>
  <r>
    <x v="0"/>
    <m/>
    <s v="UPLIFT_PUPILPOST16%"/>
    <s v="SEC"/>
    <s v="DEFAULT"/>
    <s v="DEFAULT"/>
    <m/>
    <s v="PUPILPOST16_FACTOR"/>
    <s v="MONTHLY"/>
    <s v=""/>
    <s v=""/>
    <s v=""/>
    <s v=""/>
    <s v=""/>
    <s v="Pupil Post 16 GAG Uplift %"/>
    <s v="Percentage change of pupil numbers from previous year to current year combined with Post 16 GAG Uplift %"/>
    <b v="1"/>
  </r>
  <r>
    <x v="0"/>
    <m/>
    <s v="UPLIFT_PUPILRPI%"/>
    <s v="SEC"/>
    <s v="DEFAULT"/>
    <s v="DEFAULT"/>
    <m/>
    <s v="PUPILRPI_FACTOR"/>
    <s v="MONTHLY"/>
    <s v=""/>
    <s v=""/>
    <s v=""/>
    <s v=""/>
    <s v=""/>
    <s v="Pupil RPI Uplift %"/>
    <s v="Percentage change of pupil numbers from previous year to current year combined with RPI Uplift %"/>
    <b v="1"/>
  </r>
  <r>
    <x v="0"/>
    <m/>
    <s v="UPLIFT_PUPILASCL%"/>
    <s v="SPE"/>
    <s v="DEFAULT"/>
    <s v="DEFAULT"/>
    <m/>
    <s v="PUPILASCL_FACTOR"/>
    <s v="MONTHLY"/>
    <s v=""/>
    <s v=""/>
    <s v=""/>
    <s v=""/>
    <s v=""/>
    <s v="Pupil ASCL Uplift %"/>
    <s v="Percentage change of pupil numbers from previous year to current year combined with ASCL Uplift %"/>
    <b v="1"/>
  </r>
  <r>
    <x v="0"/>
    <m/>
    <s v="UPLIFT_PUPILEXP%"/>
    <s v="SPE"/>
    <s v="DEFAULT"/>
    <s v="DEFAULT"/>
    <m/>
    <s v="PUPILEXP_FACTOR"/>
    <s v="MONTHLY"/>
    <s v=""/>
    <s v=""/>
    <s v=""/>
    <s v=""/>
    <s v=""/>
    <s v="Pupil Expenditure Uplift %"/>
    <s v="Percentage change of pupil numbers from previous year to current year combined with Expenditure Uplift %"/>
    <b v="1"/>
  </r>
  <r>
    <x v="0"/>
    <m/>
    <s v="UPLIFT_PUPILGAG%"/>
    <s v="SPE"/>
    <s v="DEFAULT"/>
    <s v="DEFAULT"/>
    <m/>
    <s v="PUPILGAG_FACTOR"/>
    <s v="MONTHLY"/>
    <s v=""/>
    <s v=""/>
    <s v=""/>
    <s v=""/>
    <s v=""/>
    <s v="Pupil GAG Uplift %"/>
    <s v="Percentage change of pupil numbers from previous year to current year combined with GAG Uplift %"/>
    <b v="1"/>
  </r>
  <r>
    <x v="0"/>
    <m/>
    <s v="UPLIFT_PUPILINC%"/>
    <s v="SPE"/>
    <s v="DEFAULT"/>
    <s v="DEFAULT"/>
    <m/>
    <s v="PUPILINC_FACTOR"/>
    <s v="MONTHLY"/>
    <s v=""/>
    <s v=""/>
    <s v=""/>
    <s v=""/>
    <s v=""/>
    <s v="Pupil Income Uplift %"/>
    <s v="Percentage change of pupil numbers from previous year to current year combined with Income Uplift %"/>
    <b v="1"/>
  </r>
  <r>
    <x v="0"/>
    <m/>
    <s v="UPLIFT_PUPILRPI%"/>
    <s v="SPE"/>
    <s v="DEFAULT"/>
    <s v="DEFAULT"/>
    <m/>
    <s v="PUPILRPI_FACTOR"/>
    <s v="MONTHLY"/>
    <s v=""/>
    <s v=""/>
    <s v=""/>
    <s v=""/>
    <s v=""/>
    <s v="Pupil RPI Uplift %"/>
    <s v="Percentage change of pupil numbers from previous year to current year combined with RPI Uplift %"/>
    <b v="1"/>
  </r>
  <r>
    <x v="1"/>
    <m/>
    <s v="PUPIL_CEN"/>
    <s v="ALL"/>
    <s v="DEFAULT"/>
    <s v="DEFAULT"/>
    <m/>
    <s v="0%_CALC"/>
    <s v="MONTHLY"/>
    <s v=""/>
    <s v=""/>
    <s v=""/>
    <s v=""/>
    <s v=""/>
    <s v="Nursery Pupil Numbers"/>
    <s v="N1 &amp; N2 from Table 3 of School census collection: Autumn"/>
    <b v="0"/>
  </r>
  <r>
    <x v="1"/>
    <m/>
    <s v="PUPIL_CEN_00"/>
    <s v="ALL"/>
    <s v="DEFAULT"/>
    <s v="DEFAULT"/>
    <m/>
    <s v="0%_CALC"/>
    <s v="MONTHLY"/>
    <s v=""/>
    <s v=""/>
    <s v=""/>
    <s v=""/>
    <s v=""/>
    <s v="Reception Pupil Numbers"/>
    <s v="From Table 3 of School census collection: Autumn"/>
    <b v="0"/>
  </r>
  <r>
    <x v="1"/>
    <m/>
    <s v="PUPIL_CEN_01"/>
    <s v="ALL"/>
    <s v="DEFAULT"/>
    <s v="DEFAULT"/>
    <m/>
    <s v="PUPILY00_LY"/>
    <s v="MONTHLY"/>
    <s v=""/>
    <s v=""/>
    <s v=""/>
    <s v=""/>
    <s v=""/>
    <s v="Year 1 Pupil Numbers"/>
    <s v="From Table 3 of School census collection: Autumn"/>
    <b v="0"/>
  </r>
  <r>
    <x v="1"/>
    <m/>
    <s v="PUPIL_CEN_02"/>
    <s v="ALL"/>
    <s v="DEFAULT"/>
    <s v="DEFAULT"/>
    <m/>
    <s v="PUPILY01_LY"/>
    <s v="MONTHLY"/>
    <s v=""/>
    <s v=""/>
    <s v=""/>
    <s v=""/>
    <s v=""/>
    <s v="Year 2 Pupil Numbers"/>
    <s v="From Table 3 of School census collection: Autumn"/>
    <b v="0"/>
  </r>
  <r>
    <x v="1"/>
    <m/>
    <s v="PUPIL_CEN_03"/>
    <s v="ALL"/>
    <s v="DEFAULT"/>
    <s v="DEFAULT"/>
    <m/>
    <s v="PUPILY02_LY"/>
    <s v="MONTHLY"/>
    <s v=""/>
    <s v=""/>
    <s v=""/>
    <s v=""/>
    <s v=""/>
    <s v="Year 3 Pupil Numbers"/>
    <s v="From Table 3 of School census collection: Autumn"/>
    <b v="0"/>
  </r>
  <r>
    <x v="1"/>
    <m/>
    <s v="PUPIL_CEN_04"/>
    <s v="ALL"/>
    <s v="DEFAULT"/>
    <s v="DEFAULT"/>
    <m/>
    <s v="PUPILY03_LY"/>
    <s v="MONTHLY"/>
    <s v=""/>
    <s v=""/>
    <s v=""/>
    <s v=""/>
    <s v=""/>
    <s v="Year 4 Pupil Numbers"/>
    <s v="From Table 3 of School census collection: Autumn"/>
    <b v="0"/>
  </r>
  <r>
    <x v="1"/>
    <m/>
    <s v="PUPIL_CEN_05"/>
    <s v="ALL"/>
    <s v="DEFAULT"/>
    <s v="DEFAULT"/>
    <m/>
    <s v="PUPILY04_LY"/>
    <s v="MONTHLY"/>
    <s v=""/>
    <s v=""/>
    <s v=""/>
    <s v=""/>
    <s v=""/>
    <s v="Year 5 Pupil Numbers"/>
    <s v="From Table 3 of School census collection: Autumn"/>
    <b v="0"/>
  </r>
  <r>
    <x v="1"/>
    <m/>
    <s v="PUPIL_CEN_06"/>
    <s v="ALL"/>
    <s v="DEFAULT"/>
    <s v="DEFAULT"/>
    <m/>
    <s v="PUPILY05_LY"/>
    <s v="MONTHLY"/>
    <s v=""/>
    <s v=""/>
    <s v=""/>
    <s v=""/>
    <s v=""/>
    <s v="Year 6 Pupil Numbers"/>
    <s v="From Table 3 of School census collection: Autumn"/>
    <b v="0"/>
  </r>
  <r>
    <x v="1"/>
    <m/>
    <s v="PUPIL_CEN_07"/>
    <s v="ALL"/>
    <s v="DEFAULT"/>
    <s v="DEFAULT"/>
    <m/>
    <s v="0%_CALC"/>
    <s v="MONTHLY"/>
    <s v=""/>
    <s v=""/>
    <s v=""/>
    <s v=""/>
    <s v=""/>
    <s v="Year 7 Pupil Numbers"/>
    <s v="From Table 3 of School census collection: Autumn"/>
    <b v="0"/>
  </r>
  <r>
    <x v="1"/>
    <m/>
    <s v="PUPIL_CEN_08"/>
    <s v="ALL"/>
    <s v="DEFAULT"/>
    <s v="DEFAULT"/>
    <m/>
    <s v="PUPILY07_LY"/>
    <s v="MONTHLY"/>
    <s v=""/>
    <s v=""/>
    <s v=""/>
    <s v=""/>
    <s v=""/>
    <s v="Year 8 Pupil Numbers"/>
    <s v="From Table 3 of School census collection: Autumn"/>
    <b v="0"/>
  </r>
  <r>
    <x v="1"/>
    <m/>
    <s v="PUPIL_CEN_09"/>
    <s v="ALL"/>
    <s v="DEFAULT"/>
    <s v="DEFAULT"/>
    <m/>
    <s v="PUPILY08_LY"/>
    <s v="MONTHLY"/>
    <s v=""/>
    <s v=""/>
    <s v=""/>
    <s v=""/>
    <s v=""/>
    <s v="Year 9 Pupil Numbers"/>
    <s v="From Table 3 of School census collection: Autumn"/>
    <b v="0"/>
  </r>
  <r>
    <x v="1"/>
    <m/>
    <s v="PUPIL_CEN_10"/>
    <s v="ALL"/>
    <s v="DEFAULT"/>
    <s v="DEFAULT"/>
    <m/>
    <s v="PUPILY09_LY"/>
    <s v="MONTHLY"/>
    <s v=""/>
    <s v=""/>
    <s v=""/>
    <s v=""/>
    <s v=""/>
    <s v="Year 10 Pupil Numbers"/>
    <s v="From Table 3 of School census collection: Autumn"/>
    <b v="0"/>
  </r>
  <r>
    <x v="1"/>
    <m/>
    <s v="PUPIL_CEN_11"/>
    <s v="ALL"/>
    <s v="DEFAULT"/>
    <s v="DEFAULT"/>
    <m/>
    <s v="PUPILY10_LY"/>
    <s v="MONTHLY"/>
    <s v=""/>
    <s v=""/>
    <s v=""/>
    <s v=""/>
    <s v=""/>
    <s v="Year 11 Pupil Numbers"/>
    <s v="From Table 3 of School census collection: Autumn"/>
    <b v="0"/>
  </r>
  <r>
    <x v="1"/>
    <m/>
    <s v="PUPIL_CEN_12"/>
    <s v="ALL"/>
    <s v="DEFAULT"/>
    <s v="DEFAULT"/>
    <m/>
    <s v="0%_CALC"/>
    <s v="MONTHLY"/>
    <s v=""/>
    <s v=""/>
    <s v=""/>
    <s v=""/>
    <s v=""/>
    <s v="Year 12 Pupil Numbers"/>
    <s v="From Table 3 of School census collection: Autumn"/>
    <b v="0"/>
  </r>
  <r>
    <x v="1"/>
    <m/>
    <s v="PUPIL_CEN_13"/>
    <s v="ALL"/>
    <s v="DEFAULT"/>
    <s v="DEFAULT"/>
    <m/>
    <s v="PUPILY12_LY"/>
    <s v="MONTHLY"/>
    <s v=""/>
    <s v=""/>
    <s v=""/>
    <s v=""/>
    <s v=""/>
    <s v="Year 13 Pupil Numbers"/>
    <s v="From Table 3 of School census collection: Autumn"/>
    <b v="0"/>
  </r>
  <r>
    <x v="1"/>
    <m/>
    <s v="PUPIL_CEN_14"/>
    <s v="ALL"/>
    <s v="DEFAULT"/>
    <s v="DEFAULT"/>
    <m/>
    <s v="PUPILY13_LY"/>
    <s v="MONTHLY"/>
    <s v=""/>
    <s v=""/>
    <s v=""/>
    <s v=""/>
    <s v=""/>
    <s v="Year 14 Pupil Numbers"/>
    <s v="From Table 3 of School census collection: Autumn"/>
    <b v="0"/>
  </r>
  <r>
    <x v="1"/>
    <m/>
    <s v="PUPIL_SPRING_FS"/>
    <s v="ALL"/>
    <s v="DEFAULT"/>
    <s v="DEFAULT"/>
    <m/>
    <s v="PUPIL_SPRING_FS"/>
    <s v="MONTHLY"/>
    <s v=""/>
    <s v=""/>
    <s v=""/>
    <s v=""/>
    <s v=""/>
    <s v="Foundation Spring Census Pupil Numbers"/>
    <s v="Reception Students From Table 3 of School census collection: Spring"/>
    <b v="0"/>
  </r>
  <r>
    <x v="1"/>
    <m/>
    <s v="PUPIL_SPRING_KS1"/>
    <s v="ALL"/>
    <s v="DEFAULT"/>
    <s v="DEFAULT"/>
    <m/>
    <s v="PUPIL_SPRING_KS1"/>
    <s v="MONTHLY"/>
    <s v=""/>
    <s v=""/>
    <s v=""/>
    <s v=""/>
    <s v=""/>
    <s v="KS1 Spring Census Pupil Numbers"/>
    <s v="Year 1 &amp; 2 Students From Table 3 of School census collection: Spring"/>
    <b v="0"/>
  </r>
  <r>
    <x v="1"/>
    <m/>
    <s v="PUPIL_SPRING_KS2"/>
    <s v="ALL"/>
    <s v="DEFAULT"/>
    <s v="DEFAULT"/>
    <m/>
    <s v="PUPIL_SPRING_KS2"/>
    <s v="MONTHLY"/>
    <s v=""/>
    <s v=""/>
    <s v=""/>
    <s v=""/>
    <s v=""/>
    <s v="KS2 Spring Census Pupil Numbers"/>
    <s v="Year 3, 4, 5, and 6 Students From Table 3 of School census collection: Spring"/>
    <b v="0"/>
  </r>
  <r>
    <x v="1"/>
    <m/>
    <s v="PUPIL_SPRING_KS3"/>
    <s v="ALL"/>
    <s v="DEFAULT"/>
    <s v="DEFAULT"/>
    <m/>
    <s v="PUPIL_SPRING_KS3"/>
    <s v="MONTHLY"/>
    <s v=""/>
    <s v=""/>
    <s v=""/>
    <s v=""/>
    <s v=""/>
    <s v="KS3 Spring Census Pupil Numbers"/>
    <s v="Year 7, 8, and 9 Students From Table 3 of School census collection: Spring"/>
    <b v="0"/>
  </r>
  <r>
    <x v="1"/>
    <m/>
    <s v="PUPIL_SPRING_KS4"/>
    <s v="ALL"/>
    <s v="DEFAULT"/>
    <s v="DEFAULT"/>
    <m/>
    <s v="PUPIL_SPRING_KS4"/>
    <s v="MONTHLY"/>
    <s v=""/>
    <s v=""/>
    <s v=""/>
    <s v=""/>
    <s v=""/>
    <s v="KS4 Spring Census Pupil Numbers"/>
    <s v="Year 10 &amp; 11 Students From Table 3 of School census collection: Spring"/>
    <b v="0"/>
  </r>
  <r>
    <x v="1"/>
    <m/>
    <s v="PUPIL_SPRING_KS5"/>
    <s v="ALL"/>
    <s v="DEFAULT"/>
    <s v="DEFAULT"/>
    <m/>
    <s v="PUPIL_SPRING_KS5"/>
    <s v="MONTHLY"/>
    <s v=""/>
    <s v=""/>
    <s v=""/>
    <s v=""/>
    <s v=""/>
    <s v="KS5 Spring Census Pupil Numbers"/>
    <s v="Year 12, 13, and 14 Students From Table 3 of School census collection: Spring"/>
    <b v="0"/>
  </r>
  <r>
    <x v="1"/>
    <m/>
    <s v="PUPIL_SPRING_NUR"/>
    <s v="ALL"/>
    <s v="DEFAULT"/>
    <s v="DEFAULT"/>
    <m/>
    <s v="PUPIL_SPRING_NUR"/>
    <s v="MONTHLY"/>
    <s v=""/>
    <s v=""/>
    <s v=""/>
    <s v=""/>
    <s v=""/>
    <s v="Nursery Spring Census Pupil Numbers"/>
    <s v="N1 &amp; N2 Students From Table 3 of School census collection: Spring"/>
    <b v="0"/>
  </r>
  <r>
    <x v="1"/>
    <m/>
    <s v="PUPIL_UIFSM"/>
    <s v="ALL"/>
    <s v="DEFAULT"/>
    <s v="DEFAULT"/>
    <m/>
    <s v="UIFSM_FACTOR"/>
    <s v="MONTHLY"/>
    <s v=""/>
    <s v=""/>
    <s v=""/>
    <s v=""/>
    <s v=""/>
    <s v="Pupils taking UIFSM"/>
    <s v="Total Eligible Meals taken by pupils."/>
    <b v="0"/>
  </r>
  <r>
    <x v="1"/>
    <m/>
    <s v="PUPILPREMIUM_PRI"/>
    <s v="ALL"/>
    <s v="DEFAULT"/>
    <s v="DEFAULT"/>
    <m/>
    <s v="PUPPREMIUM_FACTOR"/>
    <s v="MONTHLY"/>
    <s v=""/>
    <s v=""/>
    <s v=""/>
    <s v=""/>
    <s v=""/>
    <s v="Pupil Premium Numbers Primary"/>
    <s v="Taken from ESFA Pupil Premium spreadsheet, column &quot;Number of Primary pupils eligible for the Deprivation Pupil Premium&quot;"/>
    <b v="0"/>
  </r>
  <r>
    <x v="1"/>
    <m/>
    <s v="PUPILPREMIUM_SEC"/>
    <s v="ALL"/>
    <s v="DEFAULT"/>
    <s v="DEFAULT"/>
    <m/>
    <s v="PUPPREMIUM_FACTOR"/>
    <s v="MONTHLY"/>
    <s v=""/>
    <s v=""/>
    <s v=""/>
    <s v=""/>
    <s v=""/>
    <s v="Pupil Premium Numbers Secondary"/>
    <s v="Taken from ESFA Pupil Premium spreadsheet, column &quot;Number of Secondary pupils eligible for the Deprivation Pupil Premium&quot;"/>
    <b v="0"/>
  </r>
  <r>
    <x v="1"/>
    <m/>
    <s v="PUPILPREMIUMLAC"/>
    <s v="ALL"/>
    <s v="DEFAULT"/>
    <s v="DEFAULT"/>
    <m/>
    <s v="PUPPREMIUM_FACTOR"/>
    <s v="MONTHLY"/>
    <s v=""/>
    <s v=""/>
    <s v=""/>
    <s v=""/>
    <s v=""/>
    <s v="Pupil Premium LAC Numbers"/>
    <s v="Post Looked After Children number From Table 5 of School census collection: Autumn"/>
    <b v="0"/>
  </r>
  <r>
    <x v="1"/>
    <m/>
    <s v="PUPILPREMIUMSER"/>
    <s v="ALL"/>
    <s v="DEFAULT"/>
    <s v="DEFAULT"/>
    <m/>
    <s v="PUPPREMIUM_FACTOR"/>
    <s v="MONTHLY"/>
    <s v=""/>
    <s v=""/>
    <s v=""/>
    <s v=""/>
    <s v=""/>
    <s v="Pupil Premium Service Numbers"/>
    <s v="Service Children number From Table 5 of School census collection: Autumn"/>
    <b v="0"/>
  </r>
  <r>
    <x v="1"/>
    <m/>
    <s v="FUNDED_FS"/>
    <s v="ALL"/>
    <s v="DEFAULT"/>
    <s v="DEFAULT"/>
    <m/>
    <s v="FUNDED_FS"/>
    <s v="MONTHLY"/>
    <s v=""/>
    <s v=""/>
    <s v=""/>
    <s v=""/>
    <s v=""/>
    <s v="Funded Pupil Numbers Foundation"/>
    <s v="Previous Year Reception Numbers (PUPIL_CEN_00)"/>
    <b v="0"/>
  </r>
  <r>
    <x v="1"/>
    <m/>
    <s v="FUNDED_KS1"/>
    <s v="ALL"/>
    <s v="DEFAULT"/>
    <s v="DEFAULT"/>
    <m/>
    <s v="FUNDED_KS1"/>
    <s v="MONTHLY"/>
    <s v=""/>
    <s v=""/>
    <s v=""/>
    <s v=""/>
    <s v=""/>
    <s v="Funded Pupil Numbers KS1"/>
    <s v="Previous Year KS1 Numbers (PUPIL_CEN_01,PUPIL_CEN_02)"/>
    <b v="0"/>
  </r>
  <r>
    <x v="1"/>
    <m/>
    <s v="FUNDED_KS2"/>
    <s v="ALL"/>
    <s v="DEFAULT"/>
    <s v="DEFAULT"/>
    <m/>
    <s v="FUNDED_KS2"/>
    <s v="MONTHLY"/>
    <s v=""/>
    <s v=""/>
    <s v=""/>
    <s v=""/>
    <s v=""/>
    <s v="Funded Pupil Numbers KS2"/>
    <s v="Previous Year KS2 Numbers (PUPIL_CEN_03,PUPIL_CEN_04,PUPIL_CEN_05,PUPIL_CEN_06)"/>
    <b v="0"/>
  </r>
  <r>
    <x v="1"/>
    <m/>
    <s v="FUNDED_KS3"/>
    <s v="ALL"/>
    <s v="DEFAULT"/>
    <s v="DEFAULT"/>
    <m/>
    <s v="FUNDED_KS3"/>
    <s v="MONTHLY"/>
    <s v=""/>
    <s v=""/>
    <s v=""/>
    <s v=""/>
    <s v=""/>
    <s v="Funded Pupil Numbers KS3"/>
    <s v="Previous Year KS3 Numbers (PUPIL_CEN_07,PUPIL_CEN_08,PUPIL_CEN_09)"/>
    <b v="0"/>
  </r>
  <r>
    <x v="1"/>
    <m/>
    <s v="FUNDED_KS3_ADJ"/>
    <s v="ALL"/>
    <s v="DEFAULT"/>
    <s v="DEFAULT"/>
    <m/>
    <m/>
    <s v="MONTHLY"/>
    <s v=""/>
    <s v=""/>
    <s v=""/>
    <s v=""/>
    <s v=""/>
    <s v="Funding Statement Adjustment KS3"/>
    <s v="KS3 Adjustment to match Key stage 3 value in Factor 1 of the Funding statement."/>
    <b v="0"/>
  </r>
  <r>
    <x v="1"/>
    <m/>
    <s v="FUNDED_KS4"/>
    <s v="ALL"/>
    <s v="DEFAULT"/>
    <s v="DEFAULT"/>
    <m/>
    <s v="FUNDED_KS4"/>
    <s v="MONTHLY"/>
    <s v=""/>
    <s v=""/>
    <s v=""/>
    <s v=""/>
    <s v=""/>
    <s v="Funded Pupil Numbers KS4"/>
    <s v="Previous Year KS4 Numbers (PUPIL_CEN_10,PUPIL_CEN_11)"/>
    <b v="0"/>
  </r>
  <r>
    <x v="1"/>
    <m/>
    <s v="FUNDED_KS4_ADJ"/>
    <s v="ALL"/>
    <s v="DEFAULT"/>
    <s v="DEFAULT"/>
    <m/>
    <m/>
    <s v="MONTHLY"/>
    <s v=""/>
    <s v=""/>
    <s v=""/>
    <s v=""/>
    <s v=""/>
    <s v="Funding Statement Adjustment KS4"/>
    <s v="KS4 Adjustment to match Key stage 4 value in Factor 1 of the Funding statement."/>
    <b v="0"/>
  </r>
  <r>
    <x v="1"/>
    <m/>
    <s v="FUNDED_KS5"/>
    <s v="ALL"/>
    <s v="DEFAULT"/>
    <s v="DEFAULT"/>
    <m/>
    <s v="FUNDED_KS5"/>
    <s v="MONTHLY"/>
    <s v=""/>
    <s v=""/>
    <s v=""/>
    <s v=""/>
    <s v=""/>
    <s v="Funded Pupil Numbers KS5"/>
    <s v="Previous Year KS5 Numbers (PUPIL_CEN_12,PUPIL_CEN_13,PUPIL_CEN_14)"/>
    <b v="0"/>
  </r>
  <r>
    <x v="1"/>
    <m/>
    <s v="FUNDED_KS5_ADJ"/>
    <s v="ALL"/>
    <s v="DEFAULT"/>
    <s v="DEFAULT"/>
    <m/>
    <m/>
    <s v="MONTHLY"/>
    <s v=""/>
    <s v=""/>
    <s v=""/>
    <s v=""/>
    <s v=""/>
    <s v="Funding Statement Adjustment KS5"/>
    <s v="KS5 Adjustment to match funding statement student numbers (Page 1)"/>
    <b v="0"/>
  </r>
  <r>
    <x v="1"/>
    <m/>
    <s v="FUNDED_PPPOST16"/>
    <s v="ALL"/>
    <s v="DEFAULT"/>
    <s v="DEFAULT"/>
    <m/>
    <s v="0%_CALC"/>
    <s v="MONTHLY"/>
    <s v=""/>
    <s v=""/>
    <s v=""/>
    <s v=""/>
    <s v=""/>
    <s v="Post 16 Pupil Places Special Provision"/>
    <s v="Post 16 Special/Alternative Provision Places from Funding Statement High needs funding"/>
    <b v="0"/>
  </r>
  <r>
    <x v="1"/>
    <m/>
    <s v="FUNDED_PPPOST16O"/>
    <s v="ALL"/>
    <s v="DEFAULT"/>
    <s v="DEFAULT"/>
    <m/>
    <s v="0%_CALC"/>
    <s v="MONTHLY"/>
    <s v=""/>
    <s v=""/>
    <s v=""/>
    <s v=""/>
    <s v=""/>
    <s v="Occupied Post 16 Pupil Places Special Provision"/>
    <s v="Post 16 Special/Alternative Provision Places from Funding Statement High needs funding"/>
    <b v="0"/>
  </r>
  <r>
    <x v="1"/>
    <m/>
    <s v="FUNDED_PPPRE16"/>
    <s v="ALL"/>
    <s v="DEFAULT"/>
    <s v="DEFAULT"/>
    <m/>
    <s v="0%_CALC"/>
    <s v="MONTHLY"/>
    <s v=""/>
    <s v=""/>
    <s v=""/>
    <s v=""/>
    <s v=""/>
    <s v="Pre 16 Pupil Places Special Provision"/>
    <s v="Pre 16 Special/Alternative Provision Places From Table D of Funding Statement"/>
    <b v="0"/>
  </r>
  <r>
    <x v="1"/>
    <m/>
    <s v="FUNDED_PPPRE16O"/>
    <s v="ALL"/>
    <s v="DEFAULT"/>
    <s v="DEFAULT"/>
    <m/>
    <s v="0%_CALC"/>
    <s v="MONTHLY"/>
    <s v=""/>
    <s v=""/>
    <s v=""/>
    <s v=""/>
    <s v=""/>
    <s v="Occupied Pre 16 Pupil Places Special Provision"/>
    <s v="Pre 16 Special/Alternative Provision Places From Table D of Funding Statement"/>
    <b v="0"/>
  </r>
  <r>
    <x v="1"/>
    <m/>
    <s v="FUNDED_PRI"/>
    <s v="ALL"/>
    <s v="DEFAULT"/>
    <s v="DEFAULT"/>
    <m/>
    <s v="FUNDED_PRI"/>
    <s v="MONTHLY"/>
    <s v=""/>
    <s v=""/>
    <s v=""/>
    <s v=""/>
    <s v=""/>
    <s v="Funded Pupil Numbers Primary Total"/>
    <s v="Total Primary Pupil Numbers from previous year (PUPIL_CEN_00, PUPIL_CEN_01, PUPIL_CEN_02, PUPIL_CEN_03, PUPIL_CEN_04, PUPIL_CEN_05, PUPIL_CEN_06)"/>
    <b v="0"/>
  </r>
  <r>
    <x v="1"/>
    <m/>
    <s v="FUNDED_PRI_ADJ"/>
    <s v="ALL"/>
    <s v="DEFAULT"/>
    <s v="DEFAULT"/>
    <m/>
    <m/>
    <s v="MONTHLY"/>
    <s v=""/>
    <s v=""/>
    <s v=""/>
    <s v=""/>
    <s v=""/>
    <s v="Funding Statement Adjustment Primary"/>
    <s v="Primary Adjustment to match Primary value in Factor 1 of the Funding statement."/>
    <b v="0"/>
  </r>
  <r>
    <x v="1"/>
    <m/>
    <s v="PUPIL_CEN"/>
    <s v="PRI"/>
    <s v="DEFAULT"/>
    <s v="DEFAULT"/>
    <m/>
    <s v="0%_CALC"/>
    <s v="MONTHLY"/>
    <s v=""/>
    <s v=""/>
    <s v=""/>
    <s v=""/>
    <s v=""/>
    <s v="Nursery Pupil Numbers"/>
    <s v="N1 &amp; N2 from Table 3 of School census collection: Autumn"/>
    <b v="0"/>
  </r>
  <r>
    <x v="1"/>
    <m/>
    <s v="PUPIL_CEN_00"/>
    <s v="PRI"/>
    <s v="DEFAULT"/>
    <s v="DEFAULT"/>
    <m/>
    <s v="0%_CALC"/>
    <s v="MONTHLY"/>
    <s v=""/>
    <s v=""/>
    <s v=""/>
    <s v=""/>
    <s v=""/>
    <s v="Reception Pupil Numbers"/>
    <s v="From Table 3 of School census collection: Autumn"/>
    <b v="0"/>
  </r>
  <r>
    <x v="1"/>
    <m/>
    <s v="PUPIL_CEN_01"/>
    <s v="PRI"/>
    <s v="DEFAULT"/>
    <s v="DEFAULT"/>
    <m/>
    <s v="PUPILY00_LY"/>
    <s v="MONTHLY"/>
    <s v=""/>
    <s v=""/>
    <s v=""/>
    <s v=""/>
    <s v=""/>
    <s v="Year 1 Pupil Numbers"/>
    <s v="From Table 3 of School census collection: Autumn"/>
    <b v="0"/>
  </r>
  <r>
    <x v="1"/>
    <m/>
    <s v="PUPIL_CEN_02"/>
    <s v="PRI"/>
    <s v="DEFAULT"/>
    <s v="DEFAULT"/>
    <m/>
    <s v="PUPILY01_LY"/>
    <s v="MONTHLY"/>
    <s v=""/>
    <s v=""/>
    <s v=""/>
    <s v=""/>
    <s v=""/>
    <s v="Year 2 Pupil Numbers"/>
    <s v="From Table 3 of School census collection: Autumn"/>
    <b v="0"/>
  </r>
  <r>
    <x v="1"/>
    <m/>
    <s v="PUPIL_CEN_03"/>
    <s v="PRI"/>
    <s v="DEFAULT"/>
    <s v="DEFAULT"/>
    <m/>
    <s v="PUPILY02_LY"/>
    <s v="MONTHLY"/>
    <s v=""/>
    <s v=""/>
    <s v=""/>
    <s v=""/>
    <s v=""/>
    <s v="Year 3 Pupil Numbers"/>
    <s v="From Table 3 of School census collection: Autumn"/>
    <b v="0"/>
  </r>
  <r>
    <x v="1"/>
    <m/>
    <s v="PUPIL_CEN_04"/>
    <s v="PRI"/>
    <s v="DEFAULT"/>
    <s v="DEFAULT"/>
    <m/>
    <s v="PUPILY03_LY"/>
    <s v="MONTHLY"/>
    <s v=""/>
    <s v=""/>
    <s v=""/>
    <s v=""/>
    <s v=""/>
    <s v="Year 4 Pupil Numbers"/>
    <s v="From Table 3 of School census collection: Autumn"/>
    <b v="0"/>
  </r>
  <r>
    <x v="1"/>
    <m/>
    <s v="PUPIL_CEN_05"/>
    <s v="PRI"/>
    <s v="DEFAULT"/>
    <s v="DEFAULT"/>
    <m/>
    <s v="PUPILY04_LY"/>
    <s v="MONTHLY"/>
    <s v=""/>
    <s v=""/>
    <s v=""/>
    <s v=""/>
    <s v=""/>
    <s v="Year 5 Pupil Numbers"/>
    <s v="From Table 3 of School census collection: Autumn"/>
    <b v="0"/>
  </r>
  <r>
    <x v="1"/>
    <m/>
    <s v="PUPIL_CEN_06"/>
    <s v="PRI"/>
    <s v="DEFAULT"/>
    <s v="DEFAULT"/>
    <m/>
    <s v="PUPILY05_LY"/>
    <s v="MONTHLY"/>
    <s v=""/>
    <s v=""/>
    <s v=""/>
    <s v=""/>
    <s v=""/>
    <s v="Year 6 Pupil Numbers"/>
    <s v="From Table 3 of School census collection: Autumn"/>
    <b v="0"/>
  </r>
  <r>
    <x v="1"/>
    <m/>
    <s v="PUPIL_SPRING_FS"/>
    <s v="PRI"/>
    <s v="DEFAULT"/>
    <s v="DEFAULT"/>
    <m/>
    <s v="PUPIL_SPRING_FS"/>
    <s v="MONTHLY"/>
    <s v=""/>
    <s v=""/>
    <s v=""/>
    <s v=""/>
    <s v=""/>
    <s v="Foundation Spring Census Pupil Numbers"/>
    <s v="Reception Students From Table 3 of School census collection: Spring"/>
    <b v="0"/>
  </r>
  <r>
    <x v="1"/>
    <m/>
    <s v="PUPIL_SPRING_KS1"/>
    <s v="PRI"/>
    <s v="DEFAULT"/>
    <s v="DEFAULT"/>
    <m/>
    <s v="PUPIL_SPRING_KS1"/>
    <s v="MONTHLY"/>
    <s v=""/>
    <s v=""/>
    <s v=""/>
    <s v=""/>
    <s v=""/>
    <s v="KS1 Spring Census Pupil Numbers"/>
    <s v="Year 1 &amp; 2 Students From Table 3 of School census collection: Spring"/>
    <b v="0"/>
  </r>
  <r>
    <x v="1"/>
    <m/>
    <s v="PUPIL_SPRING_KS2"/>
    <s v="PRI"/>
    <s v="DEFAULT"/>
    <s v="DEFAULT"/>
    <m/>
    <s v="PUPIL_SPRING_KS2"/>
    <s v="MONTHLY"/>
    <s v=""/>
    <s v=""/>
    <s v=""/>
    <s v=""/>
    <s v=""/>
    <s v="KS2 Spring Census Pupil Numbers"/>
    <s v="Year 3, 4, 5, and 6 Students From Table 3 of School census collection: Spring"/>
    <b v="0"/>
  </r>
  <r>
    <x v="1"/>
    <m/>
    <s v="PUPIL_SPRING_NUR"/>
    <s v="PRI"/>
    <s v="DEFAULT"/>
    <s v="DEFAULT"/>
    <m/>
    <s v="PUPIL_SPRING_NUR"/>
    <s v="MONTHLY"/>
    <s v=""/>
    <s v=""/>
    <s v=""/>
    <s v=""/>
    <s v=""/>
    <s v="Nursery Spring Census Pupil Numbers"/>
    <s v="N1 &amp; N2 Students From Table 3 of School census collection: Spring"/>
    <b v="0"/>
  </r>
  <r>
    <x v="1"/>
    <m/>
    <s v="PUPIL_UIFSM"/>
    <s v="PRI"/>
    <s v="DEFAULT"/>
    <s v="DEFAULT"/>
    <m/>
    <s v="UIFSM_FACTOR"/>
    <s v="MONTHLY"/>
    <s v=""/>
    <s v=""/>
    <s v=""/>
    <s v=""/>
    <s v=""/>
    <s v="Pupils taking UIFSM"/>
    <s v="Total Eligible Meals taken by pupils."/>
    <b v="0"/>
  </r>
  <r>
    <x v="1"/>
    <m/>
    <s v="PUPILPREMIUM_PRI"/>
    <s v="PRI"/>
    <s v="DEFAULT"/>
    <s v="DEFAULT"/>
    <m/>
    <s v="PUPPREMIUM_FACTOR"/>
    <s v="MONTHLY"/>
    <s v=""/>
    <s v=""/>
    <s v=""/>
    <s v=""/>
    <s v=""/>
    <s v="Pupil Premium Numbers Primary"/>
    <s v="Taken from ESFA Pupil Premium spreadsheet, column &quot;Number of Primary pupils eligible for the Deprivation Pupil Premium&quot;"/>
    <b v="0"/>
  </r>
  <r>
    <x v="1"/>
    <m/>
    <s v="PUPILPREMIUMLAC"/>
    <s v="PRI"/>
    <s v="DEFAULT"/>
    <s v="DEFAULT"/>
    <m/>
    <s v="PUPPREMIUM_FACTOR"/>
    <s v="MONTHLY"/>
    <s v=""/>
    <s v=""/>
    <s v=""/>
    <s v=""/>
    <s v=""/>
    <s v="Pupil Premium LAC Numbers"/>
    <s v="Post Looked After Children number From Table 5 of School census collection: Autumn"/>
    <b v="0"/>
  </r>
  <r>
    <x v="1"/>
    <m/>
    <s v="PUPILPREMIUMSER"/>
    <s v="PRI"/>
    <s v="DEFAULT"/>
    <s v="DEFAULT"/>
    <m/>
    <s v="PUPPREMIUM_FACTOR"/>
    <s v="MONTHLY"/>
    <s v=""/>
    <s v=""/>
    <s v=""/>
    <s v=""/>
    <s v=""/>
    <s v="Pupil Premium Service Numbers"/>
    <s v="Service Children number From Table 5 of School census collection: Autumn"/>
    <b v="0"/>
  </r>
  <r>
    <x v="1"/>
    <m/>
    <s v="FUNDED_FS"/>
    <s v="PRI"/>
    <s v="DEFAULT"/>
    <s v="DEFAULT"/>
    <m/>
    <s v="FUNDED_FS"/>
    <s v="MONTHLY"/>
    <s v=""/>
    <s v=""/>
    <s v=""/>
    <s v=""/>
    <s v=""/>
    <s v="Funded Pupil Numbers Foundation"/>
    <s v="Previous Year Reception Numbers (PUPIL_CEN_00)"/>
    <b v="0"/>
  </r>
  <r>
    <x v="1"/>
    <m/>
    <s v="FUNDED_KS1"/>
    <s v="PRI"/>
    <s v="DEFAULT"/>
    <s v="DEFAULT"/>
    <m/>
    <s v="FUNDED_KS1"/>
    <s v="MONTHLY"/>
    <s v=""/>
    <s v=""/>
    <s v=""/>
    <s v=""/>
    <s v=""/>
    <s v="Funded Pupil Numbers KS1"/>
    <s v="Previous Year KS1 Numbers (PUPIL_CEN_01,PUPIL_CEN_02)"/>
    <b v="0"/>
  </r>
  <r>
    <x v="1"/>
    <m/>
    <s v="FUNDED_KS2"/>
    <s v="PRI"/>
    <s v="DEFAULT"/>
    <s v="DEFAULT"/>
    <m/>
    <s v="FUNDED_KS2"/>
    <s v="MONTHLY"/>
    <s v=""/>
    <s v=""/>
    <s v=""/>
    <s v=""/>
    <s v=""/>
    <s v="Funded Pupil Numbers KS2"/>
    <s v="Previous Year KS2 Numbers (PUPIL_CEN_03,PUPIL_CEN_04,PUPIL_CEN_05,PUPIL_CEN_06)"/>
    <b v="0"/>
  </r>
  <r>
    <x v="1"/>
    <m/>
    <s v="FUNDED_PPPRE16"/>
    <s v="PRI"/>
    <s v="DEFAULT"/>
    <s v="DEFAULT"/>
    <m/>
    <s v="0%_CALC"/>
    <s v="MONTHLY"/>
    <s v=""/>
    <s v=""/>
    <s v=""/>
    <s v=""/>
    <s v=""/>
    <s v="Pre 16 Pupil Places Special Provision"/>
    <s v="Pre 16 Special/Alternative Provision Places From Table D of Funding Statement"/>
    <b v="0"/>
  </r>
  <r>
    <x v="1"/>
    <m/>
    <s v="FUNDED_PPPRE16O"/>
    <s v="PRI"/>
    <s v="DEFAULT"/>
    <s v="DEFAULT"/>
    <m/>
    <s v="0%_CALC"/>
    <s v="MONTHLY"/>
    <s v=""/>
    <s v=""/>
    <s v=""/>
    <s v=""/>
    <s v=""/>
    <s v="Occupied Pre 16 Pupil Places Special Provision"/>
    <s v="Pre 16 Special/Alternative Provision Places From Table D of Funding Statement"/>
    <b v="0"/>
  </r>
  <r>
    <x v="1"/>
    <m/>
    <s v="FUNDED_PRI"/>
    <s v="PRI"/>
    <s v="DEFAULT"/>
    <s v="DEFAULT"/>
    <m/>
    <s v="FUNDED_PRI"/>
    <s v="MONTHLY"/>
    <s v=""/>
    <s v=""/>
    <s v=""/>
    <s v=""/>
    <s v=""/>
    <s v="Funded Pupil Numbers Primary Total"/>
    <s v="Total Primary Pupil Numbers from previous year (PUPIL_CEN_00, PUPIL_CEN_01, PUPIL_CEN_02, PUPIL_CEN_03, PUPIL_CEN_04, PUPIL_CEN_05, PUPIL_CEN_06)"/>
    <b v="0"/>
  </r>
  <r>
    <x v="1"/>
    <m/>
    <s v="FUNDED_PRI_ADJ"/>
    <s v="PRI"/>
    <s v="DEFAULT"/>
    <s v="DEFAULT"/>
    <m/>
    <m/>
    <s v="MONTHLY"/>
    <s v=""/>
    <s v=""/>
    <s v=""/>
    <s v=""/>
    <s v=""/>
    <s v="Funding Statement Adjustment Primary"/>
    <s v="Primary Adjustment to match Primary value in Factor 1 of the Funding statement."/>
    <b v="0"/>
  </r>
  <r>
    <x v="1"/>
    <m/>
    <s v="PUPIL_CEN_07"/>
    <s v="SEC"/>
    <s v="DEFAULT"/>
    <s v="DEFAULT"/>
    <m/>
    <s v="0%_CALC"/>
    <s v="MONTHLY"/>
    <s v=""/>
    <s v=""/>
    <s v=""/>
    <s v=""/>
    <s v=""/>
    <s v="Year 7 Pupil Numbers"/>
    <s v="From Table 3 of School census collection: Autumn"/>
    <b v="0"/>
  </r>
  <r>
    <x v="1"/>
    <m/>
    <s v="PUPIL_CEN_08"/>
    <s v="SEC"/>
    <s v="DEFAULT"/>
    <s v="DEFAULT"/>
    <m/>
    <s v="PUPILY07_LY"/>
    <s v="MONTHLY"/>
    <s v=""/>
    <s v=""/>
    <s v=""/>
    <s v=""/>
    <s v=""/>
    <s v="Year 8 Pupil Numbers"/>
    <s v="From Table 3 of School census collection: Autumn"/>
    <b v="0"/>
  </r>
  <r>
    <x v="1"/>
    <m/>
    <s v="PUPIL_CEN_09"/>
    <s v="SEC"/>
    <s v="DEFAULT"/>
    <s v="DEFAULT"/>
    <m/>
    <s v="PUPILY08_LY"/>
    <s v="MONTHLY"/>
    <s v=""/>
    <s v=""/>
    <s v=""/>
    <s v=""/>
    <s v=""/>
    <s v="Year 9 Pupil Numbers"/>
    <s v="From Table 3 of School census collection: Autumn"/>
    <b v="0"/>
  </r>
  <r>
    <x v="1"/>
    <m/>
    <s v="PUPIL_CEN_10"/>
    <s v="SEC"/>
    <s v="DEFAULT"/>
    <s v="DEFAULT"/>
    <m/>
    <s v="PUPILY09_LY"/>
    <s v="MONTHLY"/>
    <s v=""/>
    <s v=""/>
    <s v=""/>
    <s v=""/>
    <s v=""/>
    <s v="Year 10 Pupil Numbers"/>
    <s v="From Table 3 of School census collection: Autumn"/>
    <b v="0"/>
  </r>
  <r>
    <x v="1"/>
    <m/>
    <s v="PUPIL_CEN_11"/>
    <s v="SEC"/>
    <s v="DEFAULT"/>
    <s v="DEFAULT"/>
    <m/>
    <s v="PUPILY10_LY"/>
    <s v="MONTHLY"/>
    <s v=""/>
    <s v=""/>
    <s v=""/>
    <s v=""/>
    <s v=""/>
    <s v="Year 11 Pupil Numbers"/>
    <s v="From Table 3 of School census collection: Autumn"/>
    <b v="0"/>
  </r>
  <r>
    <x v="1"/>
    <m/>
    <s v="PUPIL_CEN_12"/>
    <s v="SEC"/>
    <s v="DEFAULT"/>
    <s v="DEFAULT"/>
    <m/>
    <s v="0%_CALC"/>
    <s v="MONTHLY"/>
    <s v=""/>
    <s v=""/>
    <s v=""/>
    <s v=""/>
    <s v=""/>
    <s v="Year 12 Pupil Numbers"/>
    <s v="From Table 3 of School census collection: Autumn"/>
    <b v="0"/>
  </r>
  <r>
    <x v="1"/>
    <m/>
    <s v="PUPIL_CEN_13"/>
    <s v="SEC"/>
    <s v="DEFAULT"/>
    <s v="DEFAULT"/>
    <m/>
    <s v="PUPILY12_LY"/>
    <s v="MONTHLY"/>
    <s v=""/>
    <s v=""/>
    <s v=""/>
    <s v=""/>
    <s v=""/>
    <s v="Year 13 Pupil Numbers"/>
    <s v="From Table 3 of School census collection: Autumn"/>
    <b v="0"/>
  </r>
  <r>
    <x v="1"/>
    <m/>
    <s v="PUPIL_CEN_14"/>
    <s v="SEC"/>
    <s v="DEFAULT"/>
    <s v="DEFAULT"/>
    <m/>
    <s v="PUPILY13_LY"/>
    <s v="MONTHLY"/>
    <s v=""/>
    <s v=""/>
    <s v=""/>
    <s v=""/>
    <s v=""/>
    <s v="Year 14 Pupil Numbers"/>
    <s v="From Table 3 of School census collection: Autumn"/>
    <b v="0"/>
  </r>
  <r>
    <x v="1"/>
    <m/>
    <s v="PUPIL_SPRING_KS3"/>
    <s v="SEC"/>
    <s v="DEFAULT"/>
    <s v="DEFAULT"/>
    <m/>
    <s v="PUPIL_SPRING_KS3"/>
    <s v="MONTHLY"/>
    <s v=""/>
    <s v=""/>
    <s v=""/>
    <s v=""/>
    <s v=""/>
    <s v="KS3 Spring Census Pupil Numbers"/>
    <s v="Year 7, 8, and 9 Students From Table 3 of School census collection: Spring"/>
    <b v="0"/>
  </r>
  <r>
    <x v="1"/>
    <m/>
    <s v="PUPIL_SPRING_KS4"/>
    <s v="SEC"/>
    <s v="DEFAULT"/>
    <s v="DEFAULT"/>
    <m/>
    <s v="PUPIL_SPRING_KS4"/>
    <s v="MONTHLY"/>
    <s v=""/>
    <s v=""/>
    <s v=""/>
    <s v=""/>
    <s v=""/>
    <s v="KS4 Spring Census Pupil Numbers"/>
    <s v="Year 10 &amp; 11 Students From Table 3 of School census collection: Spring"/>
    <b v="0"/>
  </r>
  <r>
    <x v="1"/>
    <m/>
    <s v="PUPIL_SPRING_KS5"/>
    <s v="SEC"/>
    <s v="DEFAULT"/>
    <s v="DEFAULT"/>
    <m/>
    <s v="PUPIL_SPRING_KS5"/>
    <s v="MONTHLY"/>
    <s v=""/>
    <s v=""/>
    <s v=""/>
    <s v=""/>
    <s v=""/>
    <s v="KS5 Spring Census Pupil Numbers"/>
    <s v="Year 12, 13, and 14 Students From Table 3 of School census collection: Spring"/>
    <b v="0"/>
  </r>
  <r>
    <x v="1"/>
    <m/>
    <s v="PUPILPREMIUM_SEC"/>
    <s v="SEC"/>
    <s v="DEFAULT"/>
    <s v="DEFAULT"/>
    <m/>
    <s v="PUPPREMIUM_FACTOR"/>
    <s v="MONTHLY"/>
    <s v=""/>
    <s v=""/>
    <s v=""/>
    <s v=""/>
    <s v=""/>
    <s v="Pupil Premium Numbers Secondary"/>
    <s v="Taken from ESFA Pupil Premium spreadsheet, column &quot;Number of Secondary pupils eligible for the Deprivation Pupil Premium&quot;"/>
    <b v="0"/>
  </r>
  <r>
    <x v="1"/>
    <m/>
    <s v="PUPILPREMIUMLAC"/>
    <s v="SEC"/>
    <s v="DEFAULT"/>
    <s v="DEFAULT"/>
    <m/>
    <s v="PUPPREMIUM_FACTOR"/>
    <s v="MONTHLY"/>
    <s v=""/>
    <s v=""/>
    <s v=""/>
    <s v=""/>
    <s v=""/>
    <s v="Pupil Premium LAC Numbers"/>
    <s v="Post Looked After Children number From Table 5 of School census collection: Autumn"/>
    <b v="0"/>
  </r>
  <r>
    <x v="1"/>
    <m/>
    <s v="PUPILPREMIUMSER"/>
    <s v="SEC"/>
    <s v="DEFAULT"/>
    <s v="DEFAULT"/>
    <m/>
    <s v="PUPPREMIUM_FACTOR"/>
    <s v="MONTHLY"/>
    <s v=""/>
    <s v=""/>
    <s v=""/>
    <s v=""/>
    <s v=""/>
    <s v="Pupil Premium Service Numbers"/>
    <s v="Service Children number From Table 5 of School census collection: Autumn"/>
    <b v="0"/>
  </r>
  <r>
    <x v="1"/>
    <m/>
    <s v="FUNDED_KS3"/>
    <s v="SEC"/>
    <s v="DEFAULT"/>
    <s v="DEFAULT"/>
    <m/>
    <s v="FUNDED_KS3"/>
    <s v="MONTHLY"/>
    <s v=""/>
    <s v=""/>
    <s v=""/>
    <s v=""/>
    <s v=""/>
    <s v="Funded Pupil Numbers KS3"/>
    <s v="Previous Year KS3 Numbers (PUPIL_CEN_07,PUPIL_CEN_08,PUPIL_CEN_09)"/>
    <b v="0"/>
  </r>
  <r>
    <x v="1"/>
    <m/>
    <s v="FUNDED_KS3_ADJ"/>
    <s v="SEC"/>
    <s v="DEFAULT"/>
    <s v="DEFAULT"/>
    <m/>
    <m/>
    <s v="MONTHLY"/>
    <s v=""/>
    <s v=""/>
    <s v=""/>
    <s v=""/>
    <s v=""/>
    <s v="Funding Statement Adjustment KS3"/>
    <s v="KS3 Adjustment to match Key stage 3 value in Factor 1 of the Funding statement."/>
    <b v="0"/>
  </r>
  <r>
    <x v="1"/>
    <m/>
    <s v="FUNDED_KS4"/>
    <s v="SEC"/>
    <s v="DEFAULT"/>
    <s v="DEFAULT"/>
    <m/>
    <s v="FUNDED_KS4"/>
    <s v="MONTHLY"/>
    <s v=""/>
    <s v=""/>
    <s v=""/>
    <s v=""/>
    <s v=""/>
    <s v="Funded Pupil Numbers KS4"/>
    <s v="Previous Year KS4 Numbers (PUPIL_CEN_10,PUPIL_CEN_11)"/>
    <b v="0"/>
  </r>
  <r>
    <x v="1"/>
    <m/>
    <s v="FUNDED_KS4_ADJ"/>
    <s v="SEC"/>
    <s v="DEFAULT"/>
    <s v="DEFAULT"/>
    <m/>
    <m/>
    <s v="MONTHLY"/>
    <s v=""/>
    <s v=""/>
    <s v=""/>
    <s v=""/>
    <s v=""/>
    <s v="Funding Statement Adjustment KS4"/>
    <s v="KS4 Adjustment to match Key stage 4 value in Factor 1 of the Funding statement."/>
    <b v="0"/>
  </r>
  <r>
    <x v="1"/>
    <m/>
    <s v="FUNDED_KS5"/>
    <s v="SEC"/>
    <s v="DEFAULT"/>
    <s v="DEFAULT"/>
    <m/>
    <s v="FUNDED_KS5"/>
    <s v="MONTHLY"/>
    <s v=""/>
    <s v=""/>
    <s v=""/>
    <s v=""/>
    <s v=""/>
    <s v="Funded Pupil Numbers KS5"/>
    <s v="Previous Year KS5 Numbers (PUPIL_CEN_12,PUPIL_CEN_13,PUPIL_CEN_14)"/>
    <b v="0"/>
  </r>
  <r>
    <x v="1"/>
    <m/>
    <s v="FUNDED_KS5_ADJ"/>
    <s v="SEC"/>
    <s v="DEFAULT"/>
    <s v="DEFAULT"/>
    <m/>
    <m/>
    <s v="MONTHLY"/>
    <s v=""/>
    <s v=""/>
    <s v=""/>
    <s v=""/>
    <s v=""/>
    <s v="Funding Statement Adjustment KS5"/>
    <s v="KS5 Adjustment to match funding statement student numbers (Page 1)"/>
    <b v="0"/>
  </r>
  <r>
    <x v="1"/>
    <m/>
    <s v="FUNDED_PPPOST16"/>
    <s v="SEC"/>
    <s v="DEFAULT"/>
    <s v="DEFAULT"/>
    <m/>
    <s v="0%_CALC"/>
    <s v="MONTHLY"/>
    <s v=""/>
    <s v=""/>
    <s v=""/>
    <s v=""/>
    <s v=""/>
    <s v="Post 16 Pupil Places Special Provision"/>
    <s v="Post 16 Special/Alternative Provision Places from Funding Statement High needs funding"/>
    <b v="0"/>
  </r>
  <r>
    <x v="1"/>
    <m/>
    <s v="FUNDED_PPPOST16O"/>
    <s v="SEC"/>
    <s v="DEFAULT"/>
    <s v="DEFAULT"/>
    <m/>
    <s v="0%_CALC"/>
    <s v="MONTHLY"/>
    <s v=""/>
    <s v=""/>
    <s v=""/>
    <s v=""/>
    <s v=""/>
    <s v="Occupied Post 16 Pupil Places Special Provision"/>
    <s v="Post 16 Special/Alternative Provision Places from Funding Statement High needs funding"/>
    <b v="0"/>
  </r>
  <r>
    <x v="1"/>
    <m/>
    <s v="FUNDED_PPPRE16"/>
    <s v="SEC"/>
    <s v="DEFAULT"/>
    <s v="DEFAULT"/>
    <m/>
    <s v="0%_CALC"/>
    <s v="MONTHLY"/>
    <s v=""/>
    <s v=""/>
    <s v=""/>
    <s v=""/>
    <s v=""/>
    <s v="Pre 16 Pupil Places Special Provision"/>
    <s v="Pre 16 Special/Alternative Provision Places From Table D of Funding Statement"/>
    <b v="0"/>
  </r>
  <r>
    <x v="1"/>
    <m/>
    <s v="FUNDED_PPPRE16O"/>
    <s v="SEC"/>
    <s v="DEFAULT"/>
    <s v="DEFAULT"/>
    <m/>
    <s v="0%_CALC"/>
    <s v="MONTHLY"/>
    <s v=""/>
    <s v=""/>
    <s v=""/>
    <s v=""/>
    <s v=""/>
    <s v="Occupied Pre 16 Pupil Places Special Provision"/>
    <s v="Pre 16 Special/Alternative Provision Places From Table D of Funding Statement"/>
    <b v="0"/>
  </r>
  <r>
    <x v="1"/>
    <m/>
    <s v="PUPIL_CEN"/>
    <s v="SPE"/>
    <s v="DEFAULT"/>
    <s v="DEFAULT"/>
    <m/>
    <s v="0%_CALC"/>
    <s v="MONTHLY"/>
    <s v=""/>
    <s v=""/>
    <s v=""/>
    <s v=""/>
    <s v=""/>
    <s v="Nursery Pupil Numbers"/>
    <s v="N1 &amp; N2 from Table 3 of School census collection: Autumn"/>
    <b v="0"/>
  </r>
  <r>
    <x v="1"/>
    <m/>
    <s v="PUPIL_CEN_00"/>
    <s v="SPE"/>
    <s v="DEFAULT"/>
    <s v="DEFAULT"/>
    <m/>
    <s v="0%_CALC"/>
    <s v="MONTHLY"/>
    <s v=""/>
    <s v=""/>
    <s v=""/>
    <s v=""/>
    <s v=""/>
    <s v="Reception Pupil Numbers"/>
    <s v="From Table 3 of School census collection: Autumn"/>
    <b v="0"/>
  </r>
  <r>
    <x v="1"/>
    <m/>
    <s v="PUPIL_CEN_01"/>
    <s v="SPE"/>
    <s v="DEFAULT"/>
    <s v="DEFAULT"/>
    <m/>
    <s v="PUPILY00_LY"/>
    <s v="MONTHLY"/>
    <s v=""/>
    <s v=""/>
    <s v=""/>
    <s v=""/>
    <s v=""/>
    <s v="Year 1 Pupil Numbers"/>
    <s v="From Table 3 of School census collection: Autumn"/>
    <b v="0"/>
  </r>
  <r>
    <x v="1"/>
    <m/>
    <s v="PUPIL_CEN_02"/>
    <s v="SPE"/>
    <s v="DEFAULT"/>
    <s v="DEFAULT"/>
    <m/>
    <s v="PUPILY01_LY"/>
    <s v="MONTHLY"/>
    <s v=""/>
    <s v=""/>
    <s v=""/>
    <s v=""/>
    <s v=""/>
    <s v="Year 2 Pupil Numbers"/>
    <s v="From Table 3 of School census collection: Autumn"/>
    <b v="0"/>
  </r>
  <r>
    <x v="1"/>
    <m/>
    <s v="PUPIL_CEN_03"/>
    <s v="SPE"/>
    <s v="DEFAULT"/>
    <s v="DEFAULT"/>
    <m/>
    <s v="PUPILY02_LY"/>
    <s v="MONTHLY"/>
    <s v=""/>
    <s v=""/>
    <s v=""/>
    <s v=""/>
    <s v=""/>
    <s v="Year 3 Pupil Numbers"/>
    <s v="From Table 3 of School census collection: Autumn"/>
    <b v="0"/>
  </r>
  <r>
    <x v="1"/>
    <m/>
    <s v="PUPIL_CEN_04"/>
    <s v="SPE"/>
    <s v="DEFAULT"/>
    <s v="DEFAULT"/>
    <m/>
    <s v="PUPILY03_LY"/>
    <s v="MONTHLY"/>
    <s v=""/>
    <s v=""/>
    <s v=""/>
    <s v=""/>
    <s v=""/>
    <s v="Year 4 Pupil Numbers"/>
    <s v="From Table 3 of School census collection: Autumn"/>
    <b v="0"/>
  </r>
  <r>
    <x v="1"/>
    <m/>
    <s v="PUPIL_CEN_05"/>
    <s v="SPE"/>
    <s v="DEFAULT"/>
    <s v="DEFAULT"/>
    <m/>
    <s v="PUPILY04_LY"/>
    <s v="MONTHLY"/>
    <s v=""/>
    <s v=""/>
    <s v=""/>
    <s v=""/>
    <s v=""/>
    <s v="Year 5 Pupil Numbers"/>
    <s v="From Table 3 of School census collection: Autumn"/>
    <b v="0"/>
  </r>
  <r>
    <x v="1"/>
    <m/>
    <s v="PUPIL_CEN_06"/>
    <s v="SPE"/>
    <s v="DEFAULT"/>
    <s v="DEFAULT"/>
    <m/>
    <s v="PUPILY05_LY"/>
    <s v="MONTHLY"/>
    <s v=""/>
    <s v=""/>
    <s v=""/>
    <s v=""/>
    <s v=""/>
    <s v="Year 6 Pupil Numbers"/>
    <s v="From Table 3 of School census collection: Autumn"/>
    <b v="0"/>
  </r>
  <r>
    <x v="1"/>
    <m/>
    <s v="PUPIL_CEN_07"/>
    <s v="SPE"/>
    <s v="DEFAULT"/>
    <s v="DEFAULT"/>
    <m/>
    <s v="0%_CALC"/>
    <s v="MONTHLY"/>
    <s v=""/>
    <s v=""/>
    <s v=""/>
    <s v=""/>
    <s v=""/>
    <s v="Year 7 Pupil Numbers"/>
    <s v="From Table 3 of School census collection: Autumn"/>
    <b v="0"/>
  </r>
  <r>
    <x v="1"/>
    <m/>
    <s v="PUPIL_CEN_08"/>
    <s v="SPE"/>
    <s v="DEFAULT"/>
    <s v="DEFAULT"/>
    <m/>
    <s v="PUPILY07_LY"/>
    <s v="MONTHLY"/>
    <s v=""/>
    <s v=""/>
    <s v=""/>
    <s v=""/>
    <s v=""/>
    <s v="Year 8 Pupil Numbers"/>
    <s v="From Table 3 of School census collection: Autumn"/>
    <b v="0"/>
  </r>
  <r>
    <x v="1"/>
    <m/>
    <s v="PUPIL_CEN_09"/>
    <s v="SPE"/>
    <s v="DEFAULT"/>
    <s v="DEFAULT"/>
    <m/>
    <s v="PUPILY08_LY"/>
    <s v="MONTHLY"/>
    <s v=""/>
    <s v=""/>
    <s v=""/>
    <s v=""/>
    <s v=""/>
    <s v="Year 9 Pupil Numbers"/>
    <s v="From Table 3 of School census collection: Autumn"/>
    <b v="0"/>
  </r>
  <r>
    <x v="1"/>
    <m/>
    <s v="PUPIL_CEN_10"/>
    <s v="SPE"/>
    <s v="DEFAULT"/>
    <s v="DEFAULT"/>
    <m/>
    <s v="PUPILY09_LY"/>
    <s v="MONTHLY"/>
    <s v=""/>
    <s v=""/>
    <s v=""/>
    <s v=""/>
    <s v=""/>
    <s v="Year 10 Pupil Numbers"/>
    <s v="From Table 3 of School census collection: Autumn"/>
    <b v="0"/>
  </r>
  <r>
    <x v="1"/>
    <m/>
    <s v="PUPIL_CEN_11"/>
    <s v="SPE"/>
    <s v="DEFAULT"/>
    <s v="DEFAULT"/>
    <m/>
    <s v="PUPILY10_LY"/>
    <s v="MONTHLY"/>
    <s v=""/>
    <s v=""/>
    <s v=""/>
    <s v=""/>
    <s v=""/>
    <s v="Year 11 Pupil Numbers"/>
    <s v="From Table 3 of School census collection: Autumn"/>
    <b v="0"/>
  </r>
  <r>
    <x v="1"/>
    <m/>
    <s v="PUPIL_CEN_12"/>
    <s v="SPE"/>
    <s v="DEFAULT"/>
    <s v="DEFAULT"/>
    <m/>
    <s v="0%_CALC"/>
    <s v="MONTHLY"/>
    <s v=""/>
    <s v=""/>
    <s v=""/>
    <s v=""/>
    <s v=""/>
    <s v="Year 12 Pupil Numbers"/>
    <s v="From Table 3 of School census collection: Autumn"/>
    <b v="0"/>
  </r>
  <r>
    <x v="1"/>
    <m/>
    <s v="PUPIL_CEN_13"/>
    <s v="SPE"/>
    <s v="DEFAULT"/>
    <s v="DEFAULT"/>
    <m/>
    <s v="PUPILY12_LY"/>
    <s v="MONTHLY"/>
    <s v=""/>
    <s v=""/>
    <s v=""/>
    <s v=""/>
    <s v=""/>
    <s v="Year 13 Pupil Numbers"/>
    <s v="From Table 3 of School census collection: Autumn"/>
    <b v="0"/>
  </r>
  <r>
    <x v="1"/>
    <m/>
    <s v="PUPIL_CEN_14"/>
    <s v="SPE"/>
    <s v="DEFAULT"/>
    <s v="DEFAULT"/>
    <m/>
    <s v="PUPILY13_LY"/>
    <s v="MONTHLY"/>
    <s v=""/>
    <s v=""/>
    <s v=""/>
    <s v=""/>
    <s v=""/>
    <s v="Year 14 Pupil Numbers"/>
    <s v="From Table 3 of School census collection: Autumn"/>
    <b v="0"/>
  </r>
  <r>
    <x v="1"/>
    <m/>
    <s v="PUPIL_SPRING_FS"/>
    <s v="SPE"/>
    <s v="DEFAULT"/>
    <s v="DEFAULT"/>
    <m/>
    <s v="PUPIL_SPRING_FS"/>
    <s v="MONTHLY"/>
    <s v=""/>
    <s v=""/>
    <s v=""/>
    <s v=""/>
    <s v=""/>
    <s v="Foundation Spring Census Pupil Numbers"/>
    <s v="Reception Students From Table 3 of School census collection: Spring"/>
    <b v="0"/>
  </r>
  <r>
    <x v="1"/>
    <m/>
    <s v="PUPIL_SPRING_KS1"/>
    <s v="SPE"/>
    <s v="DEFAULT"/>
    <s v="DEFAULT"/>
    <m/>
    <s v="PUPIL_SPRING_KS1"/>
    <s v="MONTHLY"/>
    <s v=""/>
    <s v=""/>
    <s v=""/>
    <s v=""/>
    <s v=""/>
    <s v="KS1 Spring Census Pupil Numbers"/>
    <s v="Year 1 &amp; 2 Students From Table 3 of School census collection: Spring"/>
    <b v="0"/>
  </r>
  <r>
    <x v="1"/>
    <m/>
    <s v="PUPIL_SPRING_KS2"/>
    <s v="SPE"/>
    <s v="DEFAULT"/>
    <s v="DEFAULT"/>
    <m/>
    <s v="PUPIL_SPRING_KS2"/>
    <s v="MONTHLY"/>
    <s v=""/>
    <s v=""/>
    <s v=""/>
    <s v=""/>
    <s v=""/>
    <s v="KS2 Spring Census Pupil Numbers"/>
    <s v="Year 3, 4, 5, and 6 Students From Table 3 of School census collection: Spring"/>
    <b v="0"/>
  </r>
  <r>
    <x v="1"/>
    <m/>
    <s v="PUPIL_SPRING_KS3"/>
    <s v="SPE"/>
    <s v="DEFAULT"/>
    <s v="DEFAULT"/>
    <m/>
    <s v="PUPIL_SPRING_KS3"/>
    <s v="MONTHLY"/>
    <s v=""/>
    <s v=""/>
    <s v=""/>
    <s v=""/>
    <s v=""/>
    <s v="KS3 Spring Census Pupil Numbers"/>
    <s v="Year 7, 8, and 9 Students From Table 3 of School census collection: Spring"/>
    <b v="0"/>
  </r>
  <r>
    <x v="1"/>
    <m/>
    <s v="PUPIL_SPRING_KS4"/>
    <s v="SPE"/>
    <s v="DEFAULT"/>
    <s v="DEFAULT"/>
    <m/>
    <s v="PUPIL_SPRING_KS4"/>
    <s v="MONTHLY"/>
    <s v=""/>
    <s v=""/>
    <s v=""/>
    <s v=""/>
    <s v=""/>
    <s v="KS4 Spring Census Pupil Numbers"/>
    <s v="Year 10 &amp; 11 Students From Table 3 of School census collection: Spring"/>
    <b v="0"/>
  </r>
  <r>
    <x v="1"/>
    <m/>
    <s v="PUPIL_SPRING_KS5"/>
    <s v="SPE"/>
    <s v="DEFAULT"/>
    <s v="DEFAULT"/>
    <m/>
    <s v="PUPIL_SPRING_KS5"/>
    <s v="MONTHLY"/>
    <s v=""/>
    <s v=""/>
    <s v=""/>
    <s v=""/>
    <s v=""/>
    <s v="KS5 Spring Census Pupil Numbers"/>
    <s v="Year 12, 13, and 14 Students From Table 3 of School census collection: Spring"/>
    <b v="0"/>
  </r>
  <r>
    <x v="1"/>
    <m/>
    <s v="PUPIL_SPRING_NUR"/>
    <s v="SPE"/>
    <s v="DEFAULT"/>
    <s v="DEFAULT"/>
    <m/>
    <s v="PUPIL_SPRING_NUR"/>
    <s v="MONTHLY"/>
    <s v=""/>
    <s v=""/>
    <s v=""/>
    <s v=""/>
    <s v=""/>
    <s v="Nursery Spring Census Pupil Numbers"/>
    <s v="N1 &amp; N2 Students From Table 3 of School census collection: Spring"/>
    <b v="0"/>
  </r>
  <r>
    <x v="1"/>
    <m/>
    <s v="PUPIL_UIFSM"/>
    <s v="SPE"/>
    <s v="DEFAULT"/>
    <s v="DEFAULT"/>
    <m/>
    <s v="UIFSM_FACTOR"/>
    <s v="MONTHLY"/>
    <s v=""/>
    <s v=""/>
    <s v=""/>
    <s v=""/>
    <s v=""/>
    <s v="Pupils taking UIFSM"/>
    <s v="Total Eligible Meals taken by pupils."/>
    <b v="0"/>
  </r>
  <r>
    <x v="1"/>
    <m/>
    <s v="PUPILPREMIUM_PRI"/>
    <s v="SPE"/>
    <s v="DEFAULT"/>
    <s v="DEFAULT"/>
    <m/>
    <s v="PUPPREMIUM_FACTOR"/>
    <s v="MONTHLY"/>
    <s v=""/>
    <s v=""/>
    <s v=""/>
    <s v=""/>
    <s v=""/>
    <s v="Pupil Premium Numbers Primary"/>
    <s v="Taken from ESFA Pupil Premium spreadsheet, column &quot;Number of Primary pupils eligible for the Deprivation Pupil Premium&quot;"/>
    <b v="0"/>
  </r>
  <r>
    <x v="1"/>
    <m/>
    <s v="PUPILPREMIUM_SEC"/>
    <s v="SPE"/>
    <s v="DEFAULT"/>
    <s v="DEFAULT"/>
    <m/>
    <s v="PUPPREMIUM_FACTOR"/>
    <s v="MONTHLY"/>
    <s v=""/>
    <s v=""/>
    <s v=""/>
    <s v=""/>
    <s v=""/>
    <s v="Pupil Premium Numbers Secondary"/>
    <s v="Taken from ESFA Pupil Premium spreadsheet, column &quot;Number of Secondary pupils eligible for the Deprivation Pupil Premium&quot;"/>
    <b v="0"/>
  </r>
  <r>
    <x v="1"/>
    <m/>
    <s v="PUPILPREMIUMLAC"/>
    <s v="SPE"/>
    <s v="DEFAULT"/>
    <s v="DEFAULT"/>
    <m/>
    <s v="PUPPREMIUM_FACTOR"/>
    <s v="MONTHLY"/>
    <s v=""/>
    <s v=""/>
    <s v=""/>
    <s v=""/>
    <s v=""/>
    <s v="Pupil Premium LAC Numbers"/>
    <s v="Post Looked After Children number From Table 5 of School census collection: Autumn"/>
    <b v="0"/>
  </r>
  <r>
    <x v="1"/>
    <m/>
    <s v="PUPILPREMIUMSER"/>
    <s v="SPE"/>
    <s v="DEFAULT"/>
    <s v="DEFAULT"/>
    <m/>
    <s v="PUPPREMIUM_FACTOR"/>
    <s v="MONTHLY"/>
    <s v=""/>
    <s v=""/>
    <s v=""/>
    <s v=""/>
    <s v=""/>
    <s v="Pupil Premium Service Numbers"/>
    <s v="Service Children number From Table 5 of School census collection: Autumn"/>
    <b v="0"/>
  </r>
  <r>
    <x v="1"/>
    <m/>
    <s v="FUNDED_PPPOST16"/>
    <s v="SPE"/>
    <s v="DEFAULT"/>
    <s v="DEFAULT"/>
    <m/>
    <s v="0%_CALC"/>
    <s v="MONTHLY"/>
    <s v=""/>
    <s v=""/>
    <s v=""/>
    <s v=""/>
    <s v=""/>
    <s v="Post 16 Pupil Places Special Provision"/>
    <s v="Post 16 Special/Alternative Provision Places from Funding Statement High needs funding"/>
    <b v="0"/>
  </r>
  <r>
    <x v="1"/>
    <m/>
    <s v="FUNDED_PPPRE16"/>
    <s v="SPE"/>
    <s v="DEFAULT"/>
    <s v="DEFAULT"/>
    <m/>
    <s v="0%_CALC"/>
    <s v="MONTHLY"/>
    <s v=""/>
    <s v=""/>
    <s v=""/>
    <s v=""/>
    <s v=""/>
    <s v="Pre 16 Pupil Places Special Provision"/>
    <s v="Pre 16 Special/Alternative Provision Places From Table D of Funding Statement"/>
    <b v="0"/>
  </r>
  <r>
    <x v="1"/>
    <m/>
    <s v="PUPIL_RECOVERY_PREM_PRI"/>
    <s v="PRI"/>
    <s v="DEFAULT"/>
    <s v="DEFAULT"/>
    <m/>
    <s v="TOTAL_PP_PUPILS_PRI"/>
    <s v="MONTHLY"/>
    <s v=""/>
    <s v=""/>
    <s v=""/>
    <s v=""/>
    <s v=""/>
    <s v="Recovery Premium Pupil Numbers - Primary"/>
    <m/>
    <b v="0"/>
  </r>
  <r>
    <x v="1"/>
    <m/>
    <s v="PUPIL_RECOVERY_PREM_SEC"/>
    <s v="SEC"/>
    <s v="DEFAULT"/>
    <s v="DEFAULT"/>
    <m/>
    <s v="TOTAL_PP_PUPILS_SEC"/>
    <s v="MONTHLY"/>
    <s v=""/>
    <s v=""/>
    <s v=""/>
    <s v=""/>
    <s v=""/>
    <s v="Recovery Premium Pupil Numbers - Secondary"/>
    <m/>
    <b v="0"/>
  </r>
  <r>
    <x v="1"/>
    <m/>
    <s v="PUPIL_RECOVERY_PREM_PRI"/>
    <s v="ALL"/>
    <s v="DEFAULT"/>
    <s v="DEFAULT"/>
    <m/>
    <s v="TOTAL_PP_PUPILS_PRI"/>
    <s v="MONTHLY"/>
    <s v=""/>
    <s v=""/>
    <s v=""/>
    <s v=""/>
    <s v=""/>
    <s v="Recovery Premium Pupil Numbers - Primary"/>
    <m/>
    <b v="0"/>
  </r>
  <r>
    <x v="1"/>
    <m/>
    <s v="PUPIL_RECOVERY_PREM_SEC"/>
    <s v="ALL"/>
    <s v="DEFAULT"/>
    <s v="DEFAULT"/>
    <m/>
    <s v="TOTAL_PP_PUPILS_SEC"/>
    <s v="MONTHLY"/>
    <s v=""/>
    <s v=""/>
    <s v=""/>
    <s v=""/>
    <s v=""/>
    <s v="Recovery Premium Pupil Numbers - Secondary"/>
    <m/>
    <b v="0"/>
  </r>
  <r>
    <x v="1"/>
    <m/>
    <s v="PUPIL_RECOVERY_PREM_PRI"/>
    <s v="SPE"/>
    <s v="DEFAULT"/>
    <s v="DEFAULT"/>
    <m/>
    <s v="TOTAL_PP_PUPILS_PRI"/>
    <s v="MONTHLY"/>
    <s v=""/>
    <s v=""/>
    <s v=""/>
    <s v=""/>
    <s v=""/>
    <s v="Recovery Premium Pupil Numbers - Primary"/>
    <m/>
    <b v="0"/>
  </r>
  <r>
    <x v="1"/>
    <m/>
    <s v="PUPIL_RECOVERY_PREM_SEC"/>
    <s v="SPE"/>
    <s v="DEFAULT"/>
    <s v="DEFAULT"/>
    <m/>
    <s v="TOTAL_PP_PUPILS_SEC"/>
    <s v="MONTHLY"/>
    <s v=""/>
    <s v=""/>
    <s v=""/>
    <s v=""/>
    <s v=""/>
    <s v="Recovery Premium Pupil Numbers - Secondary"/>
    <m/>
    <b v="0"/>
  </r>
  <r>
    <x v="2"/>
    <m/>
    <s v="FUNDING_01"/>
    <s v="ALL"/>
    <s v="DEFAULT"/>
    <s v="DEFAULT"/>
    <m/>
    <s v="AWPU_PRI"/>
    <s v="MONTHLY"/>
    <s v=""/>
    <s v=""/>
    <s v=""/>
    <s v=""/>
    <s v=""/>
    <s v="GAG AWPU/Basic Entitlement Primary"/>
    <s v="Funded Primary Numbers Multiplied by AWPU rate"/>
    <b v="0"/>
  </r>
  <r>
    <x v="2"/>
    <m/>
    <s v="FUNDING_01"/>
    <s v="ALL"/>
    <s v="DEFAULT"/>
    <s v="DEFAULT"/>
    <m/>
    <s v="UPLIFT_GAG_PUPIL"/>
    <s v="MONTHLY"/>
    <s v=""/>
    <s v=""/>
    <s v=""/>
    <s v=""/>
    <s v=""/>
    <s v="GAG Deprivation Primary IDACI Band F"/>
    <s v="Entered Value from Funding Statement"/>
    <b v="0"/>
  </r>
  <r>
    <x v="2"/>
    <m/>
    <s v="FUNDING_01"/>
    <s v="ALL"/>
    <s v="DEFAULT"/>
    <s v="DEFAULT"/>
    <m/>
    <s v="UPLIFT_GAG_PUPIL"/>
    <s v="MONTHLY"/>
    <s v=""/>
    <s v=""/>
    <s v=""/>
    <s v=""/>
    <s v=""/>
    <s v="GAG Deprivation Primary IDACI Band E"/>
    <s v="Entered Value from Funding Statement"/>
    <b v="0"/>
  </r>
  <r>
    <x v="2"/>
    <m/>
    <s v="FUNDING_01"/>
    <s v="ALL"/>
    <s v="DEFAULT"/>
    <s v="DEFAULT"/>
    <m/>
    <s v="UPLIFT_GAG_PUPIL"/>
    <s v="MONTHLY"/>
    <s v=""/>
    <s v=""/>
    <s v=""/>
    <s v=""/>
    <s v=""/>
    <s v="GAG Deprivation Primary IDACI Band D"/>
    <s v="Entered Value from Funding Statement"/>
    <b v="0"/>
  </r>
  <r>
    <x v="2"/>
    <m/>
    <s v="FUNDING_01"/>
    <s v="ALL"/>
    <s v="DEFAULT"/>
    <s v="DEFAULT"/>
    <m/>
    <s v="UPLIFT_GAG_PUPIL"/>
    <s v="MONTHLY"/>
    <s v=""/>
    <s v=""/>
    <s v=""/>
    <s v=""/>
    <s v=""/>
    <s v="GAG Deprivation Primary IDACI Band C"/>
    <s v="Entered Value from Funding Statement"/>
    <b v="0"/>
  </r>
  <r>
    <x v="2"/>
    <m/>
    <s v="FUNDING_01"/>
    <s v="ALL"/>
    <s v="DEFAULT"/>
    <s v="DEFAULT"/>
    <m/>
    <s v="UPLIFT_GAG_PUPIL"/>
    <s v="MONTHLY"/>
    <s v=""/>
    <s v=""/>
    <s v=""/>
    <s v=""/>
    <s v=""/>
    <s v="GAG Deprivation Primary IDACI Band B"/>
    <s v="Entered Value from Funding Statement"/>
    <b v="0"/>
  </r>
  <r>
    <x v="2"/>
    <m/>
    <s v="FUNDING_01"/>
    <s v="ALL"/>
    <s v="DEFAULT"/>
    <s v="DEFAULT"/>
    <m/>
    <s v="UPLIFT_GAG_PUPIL"/>
    <s v="MONTHLY"/>
    <s v=""/>
    <s v=""/>
    <s v=""/>
    <s v=""/>
    <s v=""/>
    <s v="GAG Deprivation Primary IDACI Band A"/>
    <s v="Entered Value from Funding Statement"/>
    <b v="0"/>
  </r>
  <r>
    <x v="2"/>
    <m/>
    <s v="FUNDING_01"/>
    <s v="ALL"/>
    <s v="DEFAULT"/>
    <s v="DEFAULT"/>
    <m/>
    <s v="UPLIFT_GAG_PUPIL"/>
    <s v="MONTHLY"/>
    <s v=""/>
    <s v=""/>
    <s v=""/>
    <s v=""/>
    <s v=""/>
    <s v="GAG Deprivation Primary FSM"/>
    <s v="Entered Value from Funding Statement"/>
    <b v="0"/>
  </r>
  <r>
    <x v="2"/>
    <m/>
    <s v="FUNDING_01"/>
    <s v="ALL"/>
    <s v="DEFAULT"/>
    <s v="DEFAULT"/>
    <m/>
    <s v="UPLIFT_GAG_PUPIL"/>
    <s v="MONTHLY"/>
    <s v=""/>
    <s v=""/>
    <s v=""/>
    <s v=""/>
    <s v=""/>
    <s v="GAG Deprivation Primary FSM6"/>
    <s v="Entered Value from Funding Statement"/>
    <b v="0"/>
  </r>
  <r>
    <x v="2"/>
    <m/>
    <s v="FUNDING_01"/>
    <s v="ALL"/>
    <s v="DEFAULT"/>
    <s v="DEFAULT"/>
    <m/>
    <s v="UPLIFT_GAG_PUPIL"/>
    <s v="MONTHLY"/>
    <s v=""/>
    <s v=""/>
    <s v=""/>
    <s v=""/>
    <s v=""/>
    <s v="GAG Prior Attainment Primary"/>
    <s v="Entered Value from Funding Statement"/>
    <b v="0"/>
  </r>
  <r>
    <x v="2"/>
    <m/>
    <s v="FUNDING_01"/>
    <s v="ALL"/>
    <s v="DEFAULT"/>
    <s v="DEFAULT"/>
    <m/>
    <s v="UPLIFT_GAG_PUPIL"/>
    <s v="MONTHLY"/>
    <s v=""/>
    <s v=""/>
    <s v=""/>
    <s v=""/>
    <s v=""/>
    <s v="GAG EAL Primary"/>
    <s v="Entered Value from Funding Statement"/>
    <b v="0"/>
  </r>
  <r>
    <x v="2"/>
    <m/>
    <s v="FUNDING_01"/>
    <s v="ALL"/>
    <s v="DEFAULT"/>
    <s v="DEFAULT"/>
    <m/>
    <s v="UPLIFT_GAG_PUPIL"/>
    <s v="MONTHLY"/>
    <s v=""/>
    <s v=""/>
    <s v=""/>
    <s v=""/>
    <s v=""/>
    <s v="GAG Mobility Primary"/>
    <s v="Entered Value from Funding Statement"/>
    <b v="0"/>
  </r>
  <r>
    <x v="2"/>
    <m/>
    <s v="FUNDING_01"/>
    <s v="ALL"/>
    <s v="DEFAULT"/>
    <s v="DEFAULT"/>
    <m/>
    <s v="UPLIFT_GAG_PUPIL"/>
    <s v="MONTHLY"/>
    <s v=""/>
    <s v=""/>
    <s v=""/>
    <s v=""/>
    <s v=""/>
    <s v="GAG Sparsity"/>
    <s v="Entered Value from Funding Statement"/>
    <b v="0"/>
  </r>
  <r>
    <x v="2"/>
    <m/>
    <s v="FUNDING_01"/>
    <s v="ALL"/>
    <s v="DEFAULT"/>
    <s v="DEFAULT"/>
    <m/>
    <s v="LUMP_PRI"/>
    <s v="MONTHLY"/>
    <s v=""/>
    <s v=""/>
    <s v=""/>
    <s v=""/>
    <s v=""/>
    <s v="GAG Lump Sum Primary"/>
    <s v="Lump Sum value from statistics"/>
    <b v="0"/>
  </r>
  <r>
    <x v="2"/>
    <m/>
    <s v="FUNDING_01"/>
    <s v="ALL"/>
    <s v="DEFAULT"/>
    <s v="DEFAULT"/>
    <m/>
    <s v="UPLIFT_GAG_PUPIL"/>
    <s v="MONTHLY"/>
    <s v=""/>
    <s v=""/>
    <s v=""/>
    <s v=""/>
    <s v=""/>
    <s v="GAG PFI"/>
    <s v="Entered Value from Funding Statement"/>
    <b v="0"/>
  </r>
  <r>
    <x v="2"/>
    <m/>
    <s v="FUNDING_01"/>
    <s v="ALL"/>
    <s v="DEFAULT"/>
    <s v="DEFAULT"/>
    <m/>
    <s v="UPLIFT_GAG_PUPIL"/>
    <s v="MONTHLY"/>
    <s v=""/>
    <s v=""/>
    <s v=""/>
    <s v=""/>
    <s v=""/>
    <s v="GAG London Fringe"/>
    <s v="Entered Value from Funding Statement"/>
    <b v="0"/>
  </r>
  <r>
    <x v="2"/>
    <m/>
    <s v="FUNDING_01"/>
    <s v="ALL"/>
    <s v="DEFAULT"/>
    <s v="DEFAULT"/>
    <m/>
    <m/>
    <s v="MONTHLY"/>
    <s v=""/>
    <s v=""/>
    <s v=""/>
    <s v=""/>
    <s v=""/>
    <s v="GAG Minimum Funding Guarantee"/>
    <s v="MFG from funding statement section 1. Breakdown of academic year"/>
    <b v="0"/>
  </r>
  <r>
    <x v="2"/>
    <m/>
    <s v="FUNDING_01"/>
    <s v="ALL"/>
    <s v="DEFAULT"/>
    <s v="DEFAULT"/>
    <m/>
    <s v="AWPU_KS3"/>
    <s v="MONTHLY"/>
    <s v=""/>
    <s v=""/>
    <s v=""/>
    <s v=""/>
    <s v=""/>
    <s v="GAG AWPU/Basic Entitlement KS3"/>
    <s v="Funded KS3 Numbers Multiplied by AWPU rate"/>
    <b v="0"/>
  </r>
  <r>
    <x v="2"/>
    <m/>
    <s v="FUNDING_01"/>
    <s v="ALL"/>
    <s v="DEFAULT"/>
    <s v="DEFAULT"/>
    <m/>
    <s v="AWPU_KS4"/>
    <s v="MONTHLY"/>
    <s v=""/>
    <s v=""/>
    <s v=""/>
    <s v=""/>
    <s v=""/>
    <s v="GAG AWPU/Basic Entitlement KS4"/>
    <s v="Funded KS4 Numbers Multiplied by AWPU rate"/>
    <b v="0"/>
  </r>
  <r>
    <x v="2"/>
    <m/>
    <s v="FUNDING_01"/>
    <s v="ALL"/>
    <s v="DEFAULT"/>
    <s v="DEFAULT"/>
    <m/>
    <s v="UPLIFT_GAG_PUPIL"/>
    <s v="MONTHLY"/>
    <s v=""/>
    <s v=""/>
    <s v=""/>
    <s v=""/>
    <s v=""/>
    <s v="GAG Deprivation Secondary IDACI Band F"/>
    <s v="Entered Value from Funding Statement"/>
    <b v="0"/>
  </r>
  <r>
    <x v="2"/>
    <m/>
    <s v="FUNDING_01"/>
    <s v="ALL"/>
    <s v="DEFAULT"/>
    <s v="DEFAULT"/>
    <m/>
    <s v="UPLIFT_GAG_PUPIL"/>
    <s v="MONTHLY"/>
    <s v=""/>
    <s v=""/>
    <s v=""/>
    <s v=""/>
    <s v=""/>
    <s v="GAG Deprivation Secondary IDACI Band E"/>
    <s v="Entered Value from Funding Statement"/>
    <b v="0"/>
  </r>
  <r>
    <x v="2"/>
    <m/>
    <s v="FUNDING_01"/>
    <s v="ALL"/>
    <s v="DEFAULT"/>
    <s v="DEFAULT"/>
    <m/>
    <s v="UPLIFT_GAG_PUPIL"/>
    <s v="MONTHLY"/>
    <s v=""/>
    <s v=""/>
    <s v=""/>
    <s v=""/>
    <s v=""/>
    <s v="GAG Deprivation Secondary IDACI Band D"/>
    <s v="Entered Value from Funding Statement"/>
    <b v="0"/>
  </r>
  <r>
    <x v="2"/>
    <m/>
    <s v="FUNDING_01"/>
    <s v="ALL"/>
    <s v="DEFAULT"/>
    <s v="DEFAULT"/>
    <m/>
    <s v="UPLIFT_GAG_PUPIL"/>
    <s v="MONTHLY"/>
    <s v=""/>
    <s v=""/>
    <s v=""/>
    <s v=""/>
    <s v=""/>
    <s v="GAG Deprivation Secondary IDACI Band C"/>
    <s v="Entered Value from Funding Statement"/>
    <b v="0"/>
  </r>
  <r>
    <x v="2"/>
    <m/>
    <s v="FUNDING_01"/>
    <s v="ALL"/>
    <s v="DEFAULT"/>
    <s v="DEFAULT"/>
    <m/>
    <s v="UPLIFT_GAG_PUPIL"/>
    <s v="MONTHLY"/>
    <s v=""/>
    <s v=""/>
    <s v=""/>
    <s v=""/>
    <s v=""/>
    <s v="GAG Deprivation Secondary IDACI Band B"/>
    <s v="Entered Value from Funding Statement"/>
    <b v="0"/>
  </r>
  <r>
    <x v="2"/>
    <m/>
    <s v="FUNDING_01"/>
    <s v="ALL"/>
    <s v="DEFAULT"/>
    <s v="DEFAULT"/>
    <m/>
    <s v="UPLIFT_GAG_PUPIL"/>
    <s v="MONTHLY"/>
    <s v=""/>
    <s v=""/>
    <s v=""/>
    <s v=""/>
    <s v=""/>
    <s v="GAG Deprivation Secondary IDACI Band A"/>
    <s v="Entered Value from Funding Statement"/>
    <b v="0"/>
  </r>
  <r>
    <x v="2"/>
    <m/>
    <s v="FUNDING_01"/>
    <s v="ALL"/>
    <s v="DEFAULT"/>
    <s v="DEFAULT"/>
    <m/>
    <s v="UPLIFT_GAG_PUPIL"/>
    <s v="MONTHLY"/>
    <s v=""/>
    <s v=""/>
    <s v=""/>
    <s v=""/>
    <s v=""/>
    <s v="GAG Deprivation Secondary FSM"/>
    <s v="Entered Value from Funding Statement"/>
    <b v="0"/>
  </r>
  <r>
    <x v="2"/>
    <m/>
    <s v="FUNDING_01"/>
    <s v="ALL"/>
    <s v="DEFAULT"/>
    <s v="DEFAULT"/>
    <m/>
    <s v="UPLIFT_GAG_PUPIL"/>
    <s v="MONTHLY"/>
    <s v=""/>
    <s v=""/>
    <s v=""/>
    <s v=""/>
    <s v=""/>
    <s v="GAG Deprivation Secondary FSM6"/>
    <s v="Entered Value from Funding Statement"/>
    <b v="0"/>
  </r>
  <r>
    <x v="2"/>
    <m/>
    <s v="FUNDING_01"/>
    <s v="ALL"/>
    <s v="DEFAULT"/>
    <s v="DEFAULT"/>
    <m/>
    <s v="UPLIFT_GAG_PUPIL"/>
    <s v="MONTHLY"/>
    <s v=""/>
    <s v=""/>
    <s v=""/>
    <s v=""/>
    <s v=""/>
    <s v="GAG Prior Attainment Secondary"/>
    <s v="Entered Value from Funding Statement"/>
    <b v="0"/>
  </r>
  <r>
    <x v="2"/>
    <m/>
    <s v="FUNDING_01"/>
    <s v="ALL"/>
    <s v="DEFAULT"/>
    <s v="DEFAULT"/>
    <m/>
    <s v="UPLIFT_GAG_PUPIL"/>
    <s v="MONTHLY"/>
    <s v=""/>
    <s v=""/>
    <s v=""/>
    <s v=""/>
    <s v=""/>
    <s v="GAG EAL Secondary"/>
    <s v="Entered Value from Funding Statement"/>
    <b v="0"/>
  </r>
  <r>
    <x v="2"/>
    <m/>
    <s v="FUNDING_01"/>
    <s v="ALL"/>
    <s v="DEFAULT"/>
    <s v="DEFAULT"/>
    <m/>
    <s v="UPLIFT_GAG_PUPIL"/>
    <s v="MONTHLY"/>
    <s v=""/>
    <s v=""/>
    <s v=""/>
    <s v=""/>
    <s v=""/>
    <s v="GAG Mobility Secondary"/>
    <s v="Entered Value from Funding Statement"/>
    <b v="0"/>
  </r>
  <r>
    <x v="2"/>
    <m/>
    <s v="FUNDING_01"/>
    <s v="ALL"/>
    <s v="DEFAULT"/>
    <s v="DEFAULT"/>
    <m/>
    <s v="LUMP_SEC"/>
    <s v="MONTHLY"/>
    <s v=""/>
    <s v=""/>
    <s v=""/>
    <s v=""/>
    <s v=""/>
    <s v="GAG Lump Sum Secondary"/>
    <s v="Lump Sum value from statistics"/>
    <b v="0"/>
  </r>
  <r>
    <x v="2"/>
    <m/>
    <s v="FUNDING_01"/>
    <s v="ALL"/>
    <s v="DEFAULT"/>
    <s v="DEFAULT"/>
    <m/>
    <s v="UPLIFT_GAG_PUPIL"/>
    <s v="MONTHLY"/>
    <s v=""/>
    <s v=""/>
    <s v=""/>
    <s v=""/>
    <s v=""/>
    <s v="GAG Split Sites"/>
    <s v="Entered Value from Funding Statement"/>
    <b v="0"/>
  </r>
  <r>
    <x v="2"/>
    <m/>
    <s v="FUNDING_01"/>
    <s v="ALL"/>
    <s v="DEFAULT"/>
    <s v="DEFAULT"/>
    <m/>
    <m/>
    <s v="MONTHLY"/>
    <s v=""/>
    <s v=""/>
    <s v=""/>
    <s v=""/>
    <s v=""/>
    <s v="GAG Minimum per pupil Funding Level"/>
    <s v="Entered value from funding statement Table A final section."/>
    <b v="0"/>
  </r>
  <r>
    <x v="2"/>
    <m/>
    <s v="FUNDING_01"/>
    <s v="ALL"/>
    <s v="DEFAULT"/>
    <s v="DEFAULT"/>
    <m/>
    <m/>
    <s v="MONTHLY"/>
    <s v=""/>
    <s v=""/>
    <s v=""/>
    <s v=""/>
    <s v=""/>
    <s v="GAG Funding statement adjustment"/>
    <s v="Usually used for Start-up Grant or Exceptional Circumstances"/>
    <b v="0"/>
  </r>
  <r>
    <x v="2"/>
    <m/>
    <s v="FUNDING_01"/>
    <s v="ALL"/>
    <s v="DEFAULT"/>
    <s v="DEFAULT"/>
    <m/>
    <s v="UPLIFT_POST16_PUPIL"/>
    <s v="MONTHLY"/>
    <s v=""/>
    <s v=""/>
    <s v=""/>
    <s v=""/>
    <s v=""/>
    <s v="GAG Post 16 Core Programme Funding"/>
    <s v="Entered Value from Post 16 funding statement - Summary Table"/>
    <b v="0"/>
  </r>
  <r>
    <x v="2"/>
    <m/>
    <s v="FUNDING_01"/>
    <s v="ALL"/>
    <s v="DEFAULT"/>
    <s v="DEFAULT"/>
    <m/>
    <s v="UPLIFT_POST16_PUPIL"/>
    <s v="MONTHLY"/>
    <s v=""/>
    <s v=""/>
    <s v=""/>
    <s v=""/>
    <s v=""/>
    <s v="GAG Post 16 Condition of funding Adjustment"/>
    <s v="Entered Value from Post 16 funding statement - Summary Table"/>
    <b v="0"/>
  </r>
  <r>
    <x v="2"/>
    <m/>
    <s v="FUNDING_01"/>
    <s v="ALL"/>
    <s v="DEFAULT"/>
    <s v="DEFAULT"/>
    <m/>
    <s v="UPLIFT_POST16_PUPIL"/>
    <s v="MONTHLY"/>
    <s v=""/>
    <s v=""/>
    <s v=""/>
    <s v=""/>
    <s v=""/>
    <s v="GAG Post 16 Advanced Maths premium"/>
    <s v="Entered Value from Post 16 funding statement - Summary Table"/>
    <b v="0"/>
  </r>
  <r>
    <x v="2"/>
    <m/>
    <s v="FUNDING_01"/>
    <s v="ALL"/>
    <s v="DEFAULT"/>
    <s v="DEFAULT"/>
    <m/>
    <s v="UPLIFT_POST16_PUPIL"/>
    <s v="MONTHLY"/>
    <s v=""/>
    <s v=""/>
    <s v=""/>
    <s v=""/>
    <s v=""/>
    <s v="GAG Post 16 High value courses premium"/>
    <s v="Entered Value from Post 16 funding statement - Summary Table"/>
    <b v="0"/>
  </r>
  <r>
    <x v="2"/>
    <m/>
    <s v="FUNDING_01"/>
    <s v="ALL"/>
    <s v="DEFAULT"/>
    <s v="DEFAULT"/>
    <m/>
    <s v="UPLIFT_POST16_PUPIL"/>
    <s v="MONTHLY"/>
    <s v=""/>
    <s v=""/>
    <s v=""/>
    <s v=""/>
    <s v=""/>
    <s v="GAG Post 16 Industry placements"/>
    <s v="Entered Value from Post 16 funding statement - Summary Table"/>
    <b v="0"/>
  </r>
  <r>
    <x v="2"/>
    <m/>
    <s v="FUNDING_01"/>
    <s v="ALL"/>
    <s v="DEFAULT"/>
    <s v="DEFAULT"/>
    <m/>
    <s v="UPLIFT_POST16_PUPIL"/>
    <s v="MONTHLY"/>
    <s v=""/>
    <s v=""/>
    <s v=""/>
    <s v=""/>
    <s v=""/>
    <s v="GAG Post 16 Student financial support"/>
    <s v="Entered Value from Post 16 funding statement - Summary Table"/>
    <b v="0"/>
  </r>
  <r>
    <x v="2"/>
    <m/>
    <s v="FUNDING_01"/>
    <s v="ALL"/>
    <s v="DEFAULT"/>
    <s v="DEFAULT"/>
    <m/>
    <s v="UPLIFT_POST16_PUPIL"/>
    <s v="MONTHLY"/>
    <s v=""/>
    <s v=""/>
    <s v=""/>
    <s v=""/>
    <s v=""/>
    <s v="GAG Post 16 Tuition Funding"/>
    <s v="Entered Value from Post 16 funding statement - Summary Table"/>
    <b v="0"/>
  </r>
  <r>
    <x v="2"/>
    <m/>
    <s v="DFC"/>
    <s v="ALL"/>
    <s v="DEFAULT"/>
    <s v="DEFAULT"/>
    <m/>
    <s v="DFC_CORE"/>
    <s v="MONTHLY"/>
    <s v=""/>
    <s v=""/>
    <s v=""/>
    <s v=""/>
    <s v=""/>
    <s v="DFC Core Amount"/>
    <s v="Lump Sum value from statistics"/>
    <b v="0"/>
  </r>
  <r>
    <x v="2"/>
    <m/>
    <s v="DFC"/>
    <s v="ALL"/>
    <s v="DEFAULT"/>
    <s v="DEFAULT"/>
    <m/>
    <s v="DFC_PUPIL_NUR"/>
    <s v="MONTHLY"/>
    <s v=""/>
    <s v=""/>
    <s v=""/>
    <s v=""/>
    <s v=""/>
    <s v="DFC Per Pupil Nursery"/>
    <s v="Current Year Spring Nursery Numbers multiplied by Rate"/>
    <b v="0"/>
  </r>
  <r>
    <x v="2"/>
    <m/>
    <s v="DFC"/>
    <s v="ALL"/>
    <s v="DEFAULT"/>
    <s v="DEFAULT"/>
    <m/>
    <s v="DFC_PUPIL_POST16"/>
    <s v="MONTHLY"/>
    <s v=""/>
    <s v=""/>
    <s v=""/>
    <s v=""/>
    <s v=""/>
    <s v="DFC Per Pupil Post 16"/>
    <s v="Current Year Spring KS5 Numbers multiplied by Rate"/>
    <b v="0"/>
  </r>
  <r>
    <x v="2"/>
    <m/>
    <s v="DFC"/>
    <s v="ALL"/>
    <s v="DEFAULT"/>
    <s v="DEFAULT"/>
    <m/>
    <s v="DFC_PUPIL_PRI"/>
    <s v="MONTHLY"/>
    <s v=""/>
    <s v=""/>
    <s v=""/>
    <s v=""/>
    <s v=""/>
    <s v="DFC Per Pupil Primary"/>
    <s v="Current Year Spring FS, KS1, KS2 Numbers multiplied by Rate"/>
    <b v="0"/>
  </r>
  <r>
    <x v="2"/>
    <m/>
    <s v="DFC"/>
    <s v="ALL"/>
    <s v="DEFAULT"/>
    <s v="DEFAULT"/>
    <m/>
    <s v="DFC_PUPIL_SEC"/>
    <s v="MONTHLY"/>
    <s v=""/>
    <s v=""/>
    <s v=""/>
    <s v=""/>
    <s v=""/>
    <s v="DFC Per Pupil Secondary"/>
    <s v="Current Year Spring KS3 and KS4 Numbers multiplied by Rate"/>
    <b v="0"/>
  </r>
  <r>
    <x v="2"/>
    <m/>
    <s v="ESFA_POST16_TOTAL"/>
    <s v="ALL"/>
    <s v="DEFAULT"/>
    <s v="DEFAULT"/>
    <m/>
    <s v="ESFA_POST16_TOTAL"/>
    <s v="MONTHLY"/>
    <s v=""/>
    <s v=""/>
    <s v=""/>
    <s v=""/>
    <s v=""/>
    <s v="ESFA Post 16 Funding Statement Total Calculated Line"/>
    <s v="Sum of Funding lines. Should match funding statement total."/>
    <b v="0"/>
  </r>
  <r>
    <x v="2"/>
    <m/>
    <s v="ESFA_TOTAL"/>
    <s v="ALL"/>
    <s v="DEFAULT"/>
    <s v="DEFAULT"/>
    <m/>
    <s v="ESFA_TOTAL"/>
    <s v="MONTHLY"/>
    <s v=""/>
    <s v=""/>
    <s v=""/>
    <s v=""/>
    <s v=""/>
    <s v="ESFA Pre 16 Funding Statement Total Calculated Line"/>
    <s v="Sum of Funding lines. Should match funding statement total."/>
    <b v="0"/>
  </r>
  <r>
    <x v="2"/>
    <m/>
    <s v="FUNDING_HNPOST16"/>
    <s v="ALL"/>
    <s v="DEFAULT"/>
    <s v="DEFAULT"/>
    <m/>
    <s v="HNPF_POST16O"/>
    <s v="MONTHLY"/>
    <s v=""/>
    <s v=""/>
    <s v=""/>
    <s v=""/>
    <s v=""/>
    <s v="Occupied Post 16 High Needs"/>
    <s v="Post 16 Occupied pupil numbers multiplied by rate"/>
    <b v="0"/>
  </r>
  <r>
    <x v="2"/>
    <m/>
    <s v="FUNDING_HNPOST16"/>
    <s v="ALL"/>
    <s v="DEFAULT"/>
    <s v="DEFAULT"/>
    <m/>
    <s v="HNPF_POST16"/>
    <s v="MONTHLY"/>
    <s v=""/>
    <s v=""/>
    <s v=""/>
    <s v=""/>
    <s v=""/>
    <s v="Post 16 High Needs"/>
    <s v="Post 16 High needs pupil numbers multiplied by rate"/>
    <b v="0"/>
  </r>
  <r>
    <x v="2"/>
    <m/>
    <s v="FUNDING_HNPRE16"/>
    <s v="ALL"/>
    <s v="DEFAULT"/>
    <s v="DEFAULT"/>
    <m/>
    <s v="HNPF_PRE16O"/>
    <s v="MONTHLY"/>
    <s v=""/>
    <s v=""/>
    <s v=""/>
    <s v=""/>
    <s v=""/>
    <s v="Occupied Pre 16 High Needs"/>
    <s v="Pre 16 Occupied pupil numbers multiplied by rate"/>
    <b v="0"/>
  </r>
  <r>
    <x v="2"/>
    <m/>
    <s v="FUNDING_HNPRE16"/>
    <s v="ALL"/>
    <s v="DEFAULT"/>
    <s v="DEFAULT"/>
    <m/>
    <s v="HNPF_PRE16"/>
    <s v="MONTHLY"/>
    <s v=""/>
    <s v=""/>
    <s v=""/>
    <s v=""/>
    <s v=""/>
    <s v="Pre 16 High Needs"/>
    <s v="Pre 16 High needs pupil numbers multiplied by rate"/>
    <b v="0"/>
  </r>
  <r>
    <x v="2"/>
    <m/>
    <s v="FUNDING_PUPPREM_LAC"/>
    <s v="ALL"/>
    <s v="DEFAULT"/>
    <s v="DEFAULT"/>
    <m/>
    <s v="PUPLACINCOME"/>
    <s v="MONTHLY"/>
    <s v=""/>
    <s v=""/>
    <s v=""/>
    <s v=""/>
    <s v=""/>
    <s v="Pupil Premium Looked After Children Income"/>
    <s v="Looked after children pupil numbers multiplied by rate"/>
    <b v="0"/>
  </r>
  <r>
    <x v="2"/>
    <m/>
    <s v="FUNDING_PUPPREM_PRI"/>
    <s v="ALL"/>
    <s v="DEFAULT"/>
    <s v="DEFAULT"/>
    <m/>
    <s v="PUPINCOME_PRI"/>
    <s v="MONTHLY"/>
    <s v=""/>
    <s v=""/>
    <s v=""/>
    <s v=""/>
    <s v=""/>
    <s v="Pupil Premium Income Primary"/>
    <s v="Primary Pupil premium pupil numbers multiplied by rate"/>
    <b v="0"/>
  </r>
  <r>
    <x v="2"/>
    <m/>
    <s v="FUNDING_PUPPREM_SEC"/>
    <s v="ALL"/>
    <s v="DEFAULT"/>
    <s v="DEFAULT"/>
    <m/>
    <s v="PUPINCOME_SEC"/>
    <s v="MONTHLY"/>
    <s v=""/>
    <s v=""/>
    <s v=""/>
    <s v=""/>
    <s v=""/>
    <s v="Pupil Premium Income Secondary"/>
    <s v="Secondary Pupil premium pupil numbers multiplied by rate"/>
    <b v="0"/>
  </r>
  <r>
    <x v="2"/>
    <m/>
    <s v="FUNDING_PUPPREM_SER"/>
    <s v="ALL"/>
    <s v="DEFAULT"/>
    <s v="DEFAULT"/>
    <m/>
    <s v="PUPSERINCOME"/>
    <s v="MONTHLY"/>
    <s v=""/>
    <s v=""/>
    <s v=""/>
    <s v=""/>
    <s v=""/>
    <s v="Pupil Premium Service Children Income"/>
    <s v="Service children pupil numbers multiplied by rate"/>
    <b v="0"/>
  </r>
  <r>
    <x v="2"/>
    <m/>
    <s v="FUNDING_SCA"/>
    <s v="ALL"/>
    <s v="DEFAULT"/>
    <s v="DEFAULT"/>
    <m/>
    <s v="UPLIFT_GAG_PUPIL"/>
    <s v="MONTHLY"/>
    <s v=""/>
    <s v=""/>
    <s v=""/>
    <s v=""/>
    <s v=""/>
    <s v="School Condition Allocation"/>
    <s v="Entered Value from EFSA Capital funding report"/>
    <b v="1"/>
  </r>
  <r>
    <x v="2"/>
    <m/>
    <s v="PE_GRANT"/>
    <s v="ALL"/>
    <s v="DEFAULT"/>
    <s v="DEFAULT"/>
    <m/>
    <s v="PEG_CORE"/>
    <s v="MONTHLY"/>
    <s v=""/>
    <s v=""/>
    <s v=""/>
    <s v=""/>
    <s v=""/>
    <s v="PE Grant Core"/>
    <s v="Lump Sum value from statistics"/>
    <b v="0"/>
  </r>
  <r>
    <x v="2"/>
    <m/>
    <s v="PE_GRANT"/>
    <s v="ALL"/>
    <s v="DEFAULT"/>
    <s v="DEFAULT"/>
    <m/>
    <s v="PEG_PUPIL"/>
    <s v="MONTHLY"/>
    <s v=""/>
    <s v=""/>
    <s v=""/>
    <s v=""/>
    <s v=""/>
    <s v="PE Grant Per Pupil"/>
    <s v="Spring KS1 and KS2 pupil numbers multiplied by rate"/>
    <b v="0"/>
  </r>
  <r>
    <x v="2"/>
    <m/>
    <s v="PENSGRANT"/>
    <s v="ALL"/>
    <s v="DEFAULT"/>
    <s v="DEFAULT"/>
    <m/>
    <s v="PENGRANT_POST16_CALC"/>
    <s v="MONTHLY"/>
    <s v=""/>
    <s v=""/>
    <s v=""/>
    <s v=""/>
    <s v=""/>
    <s v="Teachers Pensions Grant Post 16"/>
    <s v="Post 16 pupil numbers multiplied by rate"/>
    <b v="0"/>
  </r>
  <r>
    <x v="2"/>
    <m/>
    <s v="FUNDING_01"/>
    <s v="PRI"/>
    <s v="DEFAULT"/>
    <s v="DEFAULT"/>
    <m/>
    <s v="AWPU_PRI"/>
    <s v="MONTHLY"/>
    <s v=""/>
    <s v=""/>
    <s v=""/>
    <s v=""/>
    <s v=""/>
    <s v="GAG AWPU/Basic Entitlement Primary"/>
    <s v="Funded Primary Numbers Multiplied by AWPU rate"/>
    <b v="0"/>
  </r>
  <r>
    <x v="2"/>
    <m/>
    <s v="FUNDING_01"/>
    <s v="PRI"/>
    <s v="DEFAULT"/>
    <s v="DEFAULT"/>
    <m/>
    <s v="UPLIFT_GAG_PUPIL"/>
    <s v="MONTHLY"/>
    <s v=""/>
    <s v=""/>
    <s v=""/>
    <s v=""/>
    <s v=""/>
    <s v="GAG Deprivation Primary IDACI Band F"/>
    <s v="Entered Value from Funding Statement"/>
    <b v="0"/>
  </r>
  <r>
    <x v="2"/>
    <m/>
    <s v="FUNDING_01"/>
    <s v="PRI"/>
    <s v="DEFAULT"/>
    <s v="DEFAULT"/>
    <m/>
    <s v="UPLIFT_GAG_PUPIL"/>
    <s v="MONTHLY"/>
    <s v=""/>
    <s v=""/>
    <s v=""/>
    <s v=""/>
    <s v=""/>
    <s v="GAG Deprivation Primary IDACI Band E"/>
    <s v="Entered Value from Funding Statement"/>
    <b v="0"/>
  </r>
  <r>
    <x v="2"/>
    <m/>
    <s v="FUNDING_01"/>
    <s v="PRI"/>
    <s v="DEFAULT"/>
    <s v="DEFAULT"/>
    <m/>
    <s v="UPLIFT_GAG_PUPIL"/>
    <s v="MONTHLY"/>
    <s v=""/>
    <s v=""/>
    <s v=""/>
    <s v=""/>
    <s v=""/>
    <s v="GAG Deprivation Primary IDACI Band D"/>
    <s v="Entered Value from Funding Statement"/>
    <b v="0"/>
  </r>
  <r>
    <x v="2"/>
    <m/>
    <s v="FUNDING_01"/>
    <s v="PRI"/>
    <s v="DEFAULT"/>
    <s v="DEFAULT"/>
    <m/>
    <s v="UPLIFT_GAG_PUPIL"/>
    <s v="MONTHLY"/>
    <s v=""/>
    <s v=""/>
    <s v=""/>
    <s v=""/>
    <s v=""/>
    <s v="GAG Deprivation Primary IDACI Band C"/>
    <s v="Entered Value from Funding Statement"/>
    <b v="0"/>
  </r>
  <r>
    <x v="2"/>
    <m/>
    <s v="FUNDING_01"/>
    <s v="PRI"/>
    <s v="DEFAULT"/>
    <s v="DEFAULT"/>
    <m/>
    <s v="UPLIFT_GAG_PUPIL"/>
    <s v="MONTHLY"/>
    <s v=""/>
    <s v=""/>
    <s v=""/>
    <s v=""/>
    <s v=""/>
    <s v="GAG Deprivation Primary IDACI Band B"/>
    <s v="Entered Value from Funding Statement"/>
    <b v="0"/>
  </r>
  <r>
    <x v="2"/>
    <m/>
    <s v="FUNDING_01"/>
    <s v="PRI"/>
    <s v="DEFAULT"/>
    <s v="DEFAULT"/>
    <m/>
    <s v="UPLIFT_GAG_PUPIL"/>
    <s v="MONTHLY"/>
    <s v=""/>
    <s v=""/>
    <s v=""/>
    <s v=""/>
    <s v=""/>
    <s v="GAG Deprivation Primary IDACI Band A"/>
    <s v="Entered Value from Funding Statement"/>
    <b v="0"/>
  </r>
  <r>
    <x v="2"/>
    <m/>
    <s v="FUNDING_01"/>
    <s v="PRI"/>
    <s v="DEFAULT"/>
    <s v="DEFAULT"/>
    <m/>
    <s v="UPLIFT_GAG_PUPIL"/>
    <s v="MONTHLY"/>
    <s v=""/>
    <s v=""/>
    <s v=""/>
    <s v=""/>
    <s v=""/>
    <s v="GAG Deprivation Primary FSM"/>
    <s v="Entered Value from Funding Statement"/>
    <b v="0"/>
  </r>
  <r>
    <x v="2"/>
    <m/>
    <s v="FUNDING_01"/>
    <s v="PRI"/>
    <s v="DEFAULT"/>
    <s v="DEFAULT"/>
    <m/>
    <s v="UPLIFT_GAG_PUPIL"/>
    <s v="MONTHLY"/>
    <s v=""/>
    <s v=""/>
    <s v=""/>
    <s v=""/>
    <s v=""/>
    <s v="GAG Deprivation Primary FSM6"/>
    <s v="Entered Value from Funding Statement"/>
    <b v="0"/>
  </r>
  <r>
    <x v="2"/>
    <m/>
    <s v="FUNDING_01"/>
    <s v="PRI"/>
    <s v="DEFAULT"/>
    <s v="DEFAULT"/>
    <m/>
    <s v="UPLIFT_GAG_PUPIL"/>
    <s v="MONTHLY"/>
    <s v=""/>
    <s v=""/>
    <s v=""/>
    <s v=""/>
    <s v=""/>
    <s v="GAG Prior Attainment Primary"/>
    <s v="Entered Value from Funding Statement"/>
    <b v="0"/>
  </r>
  <r>
    <x v="2"/>
    <m/>
    <s v="FUNDING_01"/>
    <s v="PRI"/>
    <s v="DEFAULT"/>
    <s v="DEFAULT"/>
    <m/>
    <s v="UPLIFT_GAG_PUPIL"/>
    <s v="MONTHLY"/>
    <s v=""/>
    <s v=""/>
    <s v=""/>
    <s v=""/>
    <s v=""/>
    <s v="GAG EAL Primary"/>
    <s v="Entered Value from Funding Statement"/>
    <b v="0"/>
  </r>
  <r>
    <x v="2"/>
    <m/>
    <s v="FUNDING_01"/>
    <s v="PRI"/>
    <s v="DEFAULT"/>
    <s v="DEFAULT"/>
    <m/>
    <s v="UPLIFT_GAG_PUPIL"/>
    <s v="MONTHLY"/>
    <s v=""/>
    <s v=""/>
    <s v=""/>
    <s v=""/>
    <s v=""/>
    <s v="GAG Mobility Primary"/>
    <s v="Entered Value from Funding Statement"/>
    <b v="0"/>
  </r>
  <r>
    <x v="2"/>
    <m/>
    <s v="FUNDING_01"/>
    <s v="PRI"/>
    <s v="DEFAULT"/>
    <s v="DEFAULT"/>
    <m/>
    <s v="UPLIFT_GAG_PUPIL"/>
    <s v="MONTHLY"/>
    <s v=""/>
    <s v=""/>
    <s v=""/>
    <s v=""/>
    <s v=""/>
    <s v="GAG Sparsity"/>
    <s v="Entered Value from Funding Statement"/>
    <b v="0"/>
  </r>
  <r>
    <x v="2"/>
    <m/>
    <s v="FUNDING_01"/>
    <s v="PRI"/>
    <s v="DEFAULT"/>
    <s v="DEFAULT"/>
    <m/>
    <s v="LUMP_PRI"/>
    <s v="MONTHLY"/>
    <s v=""/>
    <s v=""/>
    <s v=""/>
    <s v=""/>
    <s v=""/>
    <s v="GAG Lump Sum Primary"/>
    <s v="Lump Sum value from statistics"/>
    <b v="0"/>
  </r>
  <r>
    <x v="2"/>
    <m/>
    <s v="FUNDING_01"/>
    <s v="PRI"/>
    <s v="DEFAULT"/>
    <s v="DEFAULT"/>
    <m/>
    <s v="UPLIFT_GAG_PUPIL"/>
    <s v="MONTHLY"/>
    <s v=""/>
    <s v=""/>
    <s v=""/>
    <s v=""/>
    <s v=""/>
    <s v="GAG Split Sites"/>
    <s v="Entered Value from Funding Statement"/>
    <b v="0"/>
  </r>
  <r>
    <x v="2"/>
    <m/>
    <s v="FUNDING_01"/>
    <s v="PRI"/>
    <s v="DEFAULT"/>
    <s v="DEFAULT"/>
    <m/>
    <s v="UPLIFT_GAG_PUPIL"/>
    <s v="MONTHLY"/>
    <s v=""/>
    <s v=""/>
    <s v=""/>
    <s v=""/>
    <s v=""/>
    <s v="GAG PFI"/>
    <s v="Entered Value from Funding Statement"/>
    <b v="0"/>
  </r>
  <r>
    <x v="2"/>
    <m/>
    <s v="FUNDING_01"/>
    <s v="PRI"/>
    <s v="DEFAULT"/>
    <s v="DEFAULT"/>
    <m/>
    <s v="UPLIFT_GAG_PUPIL"/>
    <s v="MONTHLY"/>
    <s v=""/>
    <s v=""/>
    <s v=""/>
    <s v=""/>
    <s v=""/>
    <s v="GAG London Fringe"/>
    <s v="Entered Value from Funding Statement"/>
    <b v="0"/>
  </r>
  <r>
    <x v="2"/>
    <m/>
    <s v="FUNDING_01"/>
    <s v="PRI"/>
    <s v="DEFAULT"/>
    <s v="DEFAULT"/>
    <m/>
    <m/>
    <s v="MONTHLY"/>
    <s v=""/>
    <s v=""/>
    <s v=""/>
    <s v=""/>
    <s v=""/>
    <s v="GAG Minimum Funding Guarantee"/>
    <s v="MFG from funding statement section 1. Breakdown of academic year"/>
    <b v="0"/>
  </r>
  <r>
    <x v="2"/>
    <m/>
    <s v="FUNDING_01"/>
    <s v="PRI"/>
    <s v="DEFAULT"/>
    <s v="DEFAULT"/>
    <m/>
    <m/>
    <s v="MONTHLY"/>
    <s v=""/>
    <s v=""/>
    <s v=""/>
    <s v=""/>
    <s v=""/>
    <s v="GAG Minimum per pupil Funding Level"/>
    <s v="Entered value from funding statement Table A final section."/>
    <b v="0"/>
  </r>
  <r>
    <x v="2"/>
    <m/>
    <s v="FUNDING_01"/>
    <s v="PRI"/>
    <s v="DEFAULT"/>
    <s v="DEFAULT"/>
    <m/>
    <m/>
    <s v="MONTHLY"/>
    <s v=""/>
    <s v=""/>
    <s v=""/>
    <s v=""/>
    <s v=""/>
    <s v="GAG Funding statement adjustment"/>
    <s v="Usually used for Start-up Grant or Exceptional Circumstances"/>
    <b v="0"/>
  </r>
  <r>
    <x v="2"/>
    <m/>
    <s v="DFC"/>
    <s v="PRI"/>
    <s v="DEFAULT"/>
    <s v="DEFAULT"/>
    <m/>
    <s v="DFC_CORE"/>
    <s v="MONTHLY"/>
    <s v=""/>
    <s v=""/>
    <s v=""/>
    <s v=""/>
    <s v=""/>
    <s v="DFC Core Amount"/>
    <s v="Lump Sum value from statistics"/>
    <b v="0"/>
  </r>
  <r>
    <x v="2"/>
    <m/>
    <s v="DFC"/>
    <s v="PRI"/>
    <s v="DEFAULT"/>
    <s v="DEFAULT"/>
    <m/>
    <s v="DFC_PUPIL_NUR"/>
    <s v="MONTHLY"/>
    <s v=""/>
    <s v=""/>
    <s v=""/>
    <s v=""/>
    <s v=""/>
    <s v="DFC Per Pupil Nursery"/>
    <s v="Current Year Spring Nursery Numbers multiplied by Rate"/>
    <b v="0"/>
  </r>
  <r>
    <x v="2"/>
    <m/>
    <s v="DFC"/>
    <s v="PRI"/>
    <s v="DEFAULT"/>
    <s v="DEFAULT"/>
    <m/>
    <s v="DFC_PUPIL_PRI"/>
    <s v="MONTHLY"/>
    <s v=""/>
    <s v=""/>
    <s v=""/>
    <s v=""/>
    <s v=""/>
    <s v="DFC Per Pupil Primary"/>
    <s v="Current Year Spring FS, KS1, KS2 Numbers multiplied by Rate"/>
    <b v="0"/>
  </r>
  <r>
    <x v="2"/>
    <m/>
    <s v="ESFA_TOTAL"/>
    <s v="PRI"/>
    <s v="DEFAULT"/>
    <s v="DEFAULT"/>
    <m/>
    <s v="ESFA_TOTAL"/>
    <s v="MONTHLY"/>
    <s v=""/>
    <s v=""/>
    <s v=""/>
    <s v=""/>
    <s v=""/>
    <s v="ESFA Funding Statement Total Calculated Line"/>
    <s v="Sum of Funding lines. Should match funding statement total."/>
    <b v="0"/>
  </r>
  <r>
    <x v="2"/>
    <m/>
    <s v="FUNDING_HNPRE16"/>
    <s v="PRI"/>
    <s v="DEFAULT"/>
    <s v="DEFAULT"/>
    <m/>
    <s v="HNPF_PRE16O"/>
    <s v="MONTHLY"/>
    <s v=""/>
    <s v=""/>
    <s v=""/>
    <s v=""/>
    <s v=""/>
    <s v="Occupied Pre 16 High Needs"/>
    <s v="Pre 16 Occupied pupil numbers multiplied by rate"/>
    <b v="0"/>
  </r>
  <r>
    <x v="2"/>
    <m/>
    <s v="FUNDING_HNPRE16"/>
    <s v="PRI"/>
    <s v="DEFAULT"/>
    <s v="DEFAULT"/>
    <m/>
    <s v="HNPF_PRE16"/>
    <s v="MONTHLY"/>
    <s v=""/>
    <s v=""/>
    <s v=""/>
    <s v=""/>
    <s v=""/>
    <s v="Pre 16 High Needs"/>
    <s v="Pre 16 High needs pupil numbers multiplied by rate"/>
    <b v="0"/>
  </r>
  <r>
    <x v="2"/>
    <m/>
    <s v="FUNDING_PUPPREM_LAC"/>
    <s v="PRI"/>
    <s v="DEFAULT"/>
    <s v="DEFAULT"/>
    <m/>
    <s v="PUPLACINCOME"/>
    <s v="MONTHLY"/>
    <s v=""/>
    <s v=""/>
    <s v=""/>
    <s v=""/>
    <s v=""/>
    <s v="Pupil Premium Looked After Children Income"/>
    <s v="Looked after children pupil numbers multiplied by rate"/>
    <b v="0"/>
  </r>
  <r>
    <x v="2"/>
    <m/>
    <s v="FUNDING_PUPPREM_PRI"/>
    <s v="PRI"/>
    <s v="DEFAULT"/>
    <s v="DEFAULT"/>
    <m/>
    <s v="PUPINCOME_PRI"/>
    <s v="MONTHLY"/>
    <s v=""/>
    <s v=""/>
    <s v=""/>
    <s v=""/>
    <s v=""/>
    <s v="Pupil Premium Income Primary"/>
    <s v="Primary Pupil premium pupil numbers multiplied by rate"/>
    <b v="0"/>
  </r>
  <r>
    <x v="2"/>
    <m/>
    <s v="FUNDING_PUPPREM_SER"/>
    <s v="PRI"/>
    <s v="DEFAULT"/>
    <s v="DEFAULT"/>
    <m/>
    <s v="PUPSERINCOME"/>
    <s v="MONTHLY"/>
    <s v=""/>
    <s v=""/>
    <s v=""/>
    <s v=""/>
    <s v=""/>
    <s v="Pupil Premium Service Children Income"/>
    <s v="Service children pupil numbers multiplied by rate"/>
    <b v="0"/>
  </r>
  <r>
    <x v="2"/>
    <m/>
    <s v="FUNDING_SCA"/>
    <s v="PRI"/>
    <s v="DEFAULT"/>
    <s v="DEFAULT"/>
    <m/>
    <s v="UPLIFT_GAG_PUPIL"/>
    <s v="MONTHLY"/>
    <s v=""/>
    <s v=""/>
    <s v=""/>
    <s v=""/>
    <s v=""/>
    <s v="School Condition Allocation"/>
    <s v="Entered Value from EFSA Capital funding report"/>
    <b v="1"/>
  </r>
  <r>
    <x v="2"/>
    <m/>
    <s v="PE_GRANT"/>
    <s v="PRI"/>
    <s v="DEFAULT"/>
    <s v="DEFAULT"/>
    <m/>
    <s v="PEG_CORE"/>
    <s v="MONTHLY"/>
    <s v=""/>
    <s v=""/>
    <s v=""/>
    <s v=""/>
    <s v=""/>
    <s v="PE Grant Core"/>
    <s v="Lump Sum value from statistics"/>
    <b v="0"/>
  </r>
  <r>
    <x v="2"/>
    <m/>
    <s v="PE_GRANT"/>
    <s v="PRI"/>
    <s v="DEFAULT"/>
    <s v="DEFAULT"/>
    <m/>
    <s v="PEG_PUPIL"/>
    <s v="MONTHLY"/>
    <s v=""/>
    <s v=""/>
    <s v=""/>
    <s v=""/>
    <s v=""/>
    <s v="PE Grant Per Pupil"/>
    <s v="Spring KS1 and KS2 pupil numbers multiplied by rate"/>
    <b v="0"/>
  </r>
  <r>
    <x v="2"/>
    <m/>
    <s v="FUNDING_01"/>
    <s v="SEC"/>
    <s v="DEFAULT"/>
    <s v="DEFAULT"/>
    <m/>
    <s v="AWPU_KS3"/>
    <s v="MONTHLY"/>
    <s v=""/>
    <s v=""/>
    <s v=""/>
    <s v=""/>
    <s v=""/>
    <s v="GAG AWPU/Basic Entitlement KS3"/>
    <s v="Funded KS3 Numbers Multiplied by AWPU rate"/>
    <b v="0"/>
  </r>
  <r>
    <x v="2"/>
    <m/>
    <s v="FUNDING_01"/>
    <s v="SEC"/>
    <s v="DEFAULT"/>
    <s v="DEFAULT"/>
    <m/>
    <s v="AWPU_KS4"/>
    <s v="MONTHLY"/>
    <s v=""/>
    <s v=""/>
    <s v=""/>
    <s v=""/>
    <s v=""/>
    <s v="GAG AWPU/Basic Entitlement KS4"/>
    <s v="Funded KS4 Numbers Multiplied by AWPU rate"/>
    <b v="0"/>
  </r>
  <r>
    <x v="2"/>
    <m/>
    <s v="FUNDING_01"/>
    <s v="SEC"/>
    <s v="DEFAULT"/>
    <s v="DEFAULT"/>
    <m/>
    <s v="UPLIFT_GAG_PUPIL"/>
    <s v="MONTHLY"/>
    <s v=""/>
    <s v=""/>
    <s v=""/>
    <s v=""/>
    <s v=""/>
    <s v="GAG Deprivation Secondary IDACI Band F"/>
    <s v="Entered Value from Funding Statement"/>
    <b v="0"/>
  </r>
  <r>
    <x v="2"/>
    <m/>
    <s v="FUNDING_01"/>
    <s v="SEC"/>
    <s v="DEFAULT"/>
    <s v="DEFAULT"/>
    <m/>
    <s v="UPLIFT_GAG_PUPIL"/>
    <s v="MONTHLY"/>
    <s v=""/>
    <s v=""/>
    <s v=""/>
    <s v=""/>
    <s v=""/>
    <s v="GAG Deprivation Secondary IDACI Band E"/>
    <s v="Entered Value from Funding Statement"/>
    <b v="0"/>
  </r>
  <r>
    <x v="2"/>
    <m/>
    <s v="FUNDING_01"/>
    <s v="SEC"/>
    <s v="DEFAULT"/>
    <s v="DEFAULT"/>
    <m/>
    <s v="UPLIFT_GAG_PUPIL"/>
    <s v="MONTHLY"/>
    <s v=""/>
    <s v=""/>
    <s v=""/>
    <s v=""/>
    <s v=""/>
    <s v="GAG Deprivation Secondary IDACI Band D"/>
    <s v="Entered Value from Funding Statement"/>
    <b v="0"/>
  </r>
  <r>
    <x v="2"/>
    <m/>
    <s v="FUNDING_01"/>
    <s v="SEC"/>
    <s v="DEFAULT"/>
    <s v="DEFAULT"/>
    <m/>
    <s v="UPLIFT_GAG_PUPIL"/>
    <s v="MONTHLY"/>
    <s v=""/>
    <s v=""/>
    <s v=""/>
    <s v=""/>
    <s v=""/>
    <s v="GAG Deprivation Secondary IDACI Band C"/>
    <s v="Entered Value from Funding Statement"/>
    <b v="0"/>
  </r>
  <r>
    <x v="2"/>
    <m/>
    <s v="FUNDING_01"/>
    <s v="SEC"/>
    <s v="DEFAULT"/>
    <s v="DEFAULT"/>
    <m/>
    <s v="UPLIFT_GAG_PUPIL"/>
    <s v="MONTHLY"/>
    <s v=""/>
    <s v=""/>
    <s v=""/>
    <s v=""/>
    <s v=""/>
    <s v="GAG Deprivation Secondary IDACI Band B"/>
    <s v="Entered Value from Funding Statement"/>
    <b v="0"/>
  </r>
  <r>
    <x v="2"/>
    <m/>
    <s v="FUNDING_01"/>
    <s v="SEC"/>
    <s v="DEFAULT"/>
    <s v="DEFAULT"/>
    <m/>
    <s v="UPLIFT_GAG_PUPIL"/>
    <s v="MONTHLY"/>
    <s v=""/>
    <s v=""/>
    <s v=""/>
    <s v=""/>
    <s v=""/>
    <s v="GAG Deprivation Secondary IDACI Band A"/>
    <s v="Entered Value from Funding Statement"/>
    <b v="0"/>
  </r>
  <r>
    <x v="2"/>
    <m/>
    <s v="FUNDING_01"/>
    <s v="SEC"/>
    <s v="DEFAULT"/>
    <s v="DEFAULT"/>
    <m/>
    <s v="UPLIFT_GAG_PUPIL"/>
    <s v="MONTHLY"/>
    <s v=""/>
    <s v=""/>
    <s v=""/>
    <s v=""/>
    <s v=""/>
    <s v="GAG Deprivation Secondary FSM"/>
    <s v="Entered Value from Funding Statement"/>
    <b v="0"/>
  </r>
  <r>
    <x v="2"/>
    <m/>
    <s v="FUNDING_01"/>
    <s v="SEC"/>
    <s v="DEFAULT"/>
    <s v="DEFAULT"/>
    <m/>
    <s v="UPLIFT_GAG_PUPIL"/>
    <s v="MONTHLY"/>
    <s v=""/>
    <s v=""/>
    <s v=""/>
    <s v=""/>
    <s v=""/>
    <s v="GAG Deprivation Secondary FSM6"/>
    <s v="Entered Value from Funding Statement"/>
    <b v="0"/>
  </r>
  <r>
    <x v="2"/>
    <m/>
    <s v="FUNDING_01"/>
    <s v="SEC"/>
    <s v="DEFAULT"/>
    <s v="DEFAULT"/>
    <m/>
    <s v="UPLIFT_GAG_PUPIL"/>
    <s v="MONTHLY"/>
    <s v=""/>
    <s v=""/>
    <s v=""/>
    <s v=""/>
    <s v=""/>
    <s v="GAG Prior Attainment Secondary"/>
    <s v="Entered Value from Funding Statement"/>
    <b v="0"/>
  </r>
  <r>
    <x v="2"/>
    <m/>
    <s v="FUNDING_01"/>
    <s v="SEC"/>
    <s v="DEFAULT"/>
    <s v="DEFAULT"/>
    <m/>
    <s v="UPLIFT_GAG_PUPIL"/>
    <s v="MONTHLY"/>
    <s v=""/>
    <s v=""/>
    <s v=""/>
    <s v=""/>
    <s v=""/>
    <s v="GAG EAL Secondary"/>
    <s v="Entered Value from Funding Statement"/>
    <b v="0"/>
  </r>
  <r>
    <x v="2"/>
    <m/>
    <s v="FUNDING_01"/>
    <s v="SEC"/>
    <s v="DEFAULT"/>
    <s v="DEFAULT"/>
    <m/>
    <s v="UPLIFT_GAG_PUPIL"/>
    <s v="MONTHLY"/>
    <s v=""/>
    <s v=""/>
    <s v=""/>
    <s v=""/>
    <s v=""/>
    <s v="GAG Mobility Secondary"/>
    <s v="Entered Value from Funding Statement"/>
    <b v="0"/>
  </r>
  <r>
    <x v="2"/>
    <m/>
    <s v="FUNDING_01"/>
    <s v="SEC"/>
    <s v="DEFAULT"/>
    <s v="DEFAULT"/>
    <m/>
    <s v="UPLIFT_GAG_PUPIL"/>
    <s v="MONTHLY"/>
    <s v=""/>
    <s v=""/>
    <s v=""/>
    <s v=""/>
    <s v=""/>
    <s v="GAG Sparsity"/>
    <s v="Entered Value from Funding Statement"/>
    <b v="0"/>
  </r>
  <r>
    <x v="2"/>
    <m/>
    <s v="FUNDING_01"/>
    <s v="SEC"/>
    <s v="DEFAULT"/>
    <s v="DEFAULT"/>
    <m/>
    <s v="LUMP_SEC"/>
    <s v="MONTHLY"/>
    <s v=""/>
    <s v=""/>
    <s v=""/>
    <s v=""/>
    <s v=""/>
    <s v="GAG Lump Sum Secondary"/>
    <s v="Lump Sum value from statistics"/>
    <b v="0"/>
  </r>
  <r>
    <x v="2"/>
    <m/>
    <s v="FUNDING_01"/>
    <s v="SEC"/>
    <s v="DEFAULT"/>
    <s v="DEFAULT"/>
    <m/>
    <s v="UPLIFT_GAG_PUPIL"/>
    <s v="MONTHLY"/>
    <s v=""/>
    <s v=""/>
    <s v=""/>
    <s v=""/>
    <s v=""/>
    <s v="GAG Split Sites"/>
    <s v="Entered Value from Funding Statement"/>
    <b v="0"/>
  </r>
  <r>
    <x v="2"/>
    <m/>
    <s v="FUNDING_01"/>
    <s v="SEC"/>
    <s v="DEFAULT"/>
    <s v="DEFAULT"/>
    <m/>
    <s v="UPLIFT_GAG_PUPIL"/>
    <s v="MONTHLY"/>
    <s v=""/>
    <s v=""/>
    <s v=""/>
    <s v=""/>
    <s v=""/>
    <s v="GAG PFI"/>
    <s v="Entered Value from Funding Statement"/>
    <b v="0"/>
  </r>
  <r>
    <x v="2"/>
    <m/>
    <s v="FUNDING_01"/>
    <s v="SEC"/>
    <s v="DEFAULT"/>
    <s v="DEFAULT"/>
    <m/>
    <s v="UPLIFT_GAG_PUPIL"/>
    <s v="MONTHLY"/>
    <s v=""/>
    <s v=""/>
    <s v=""/>
    <s v=""/>
    <s v=""/>
    <s v="GAG London Fringe"/>
    <s v="Entered Value from Funding Statement"/>
    <b v="0"/>
  </r>
  <r>
    <x v="2"/>
    <m/>
    <s v="FUNDING_01"/>
    <s v="SEC"/>
    <s v="DEFAULT"/>
    <s v="DEFAULT"/>
    <m/>
    <m/>
    <s v="MONTHLY"/>
    <s v=""/>
    <s v=""/>
    <s v=""/>
    <s v=""/>
    <s v=""/>
    <s v="GAG Minimum Funding Guarantee"/>
    <s v="MFG from funding statement section 1. Breakdown of academic year"/>
    <b v="0"/>
  </r>
  <r>
    <x v="2"/>
    <m/>
    <s v="FUNDING_01"/>
    <s v="SEC"/>
    <s v="DEFAULT"/>
    <s v="DEFAULT"/>
    <m/>
    <m/>
    <s v="MONTHLY"/>
    <s v=""/>
    <s v=""/>
    <s v=""/>
    <s v=""/>
    <s v=""/>
    <s v="GAG Minimum per pupil Funding Level"/>
    <s v="Entered value from funding statement Table A final section."/>
    <b v="0"/>
  </r>
  <r>
    <x v="2"/>
    <m/>
    <s v="FUNDING_01"/>
    <s v="SEC"/>
    <s v="DEFAULT"/>
    <s v="DEFAULT"/>
    <m/>
    <m/>
    <s v="MONTHLY"/>
    <s v=""/>
    <s v=""/>
    <s v=""/>
    <s v=""/>
    <s v=""/>
    <s v="GAG Funding statement adjustment"/>
    <s v="Usually used for Start-up Grant or Exceptional Circumstances"/>
    <b v="0"/>
  </r>
  <r>
    <x v="2"/>
    <m/>
    <s v="FUNDING_01"/>
    <s v="SEC"/>
    <s v="DEFAULT"/>
    <s v="DEFAULT"/>
    <m/>
    <s v="UPLIFT_POST16_PUPIL"/>
    <s v="MONTHLY"/>
    <s v=""/>
    <s v=""/>
    <s v=""/>
    <s v=""/>
    <s v=""/>
    <s v="GAG Post 16 Core Programme Funding"/>
    <s v="Entered Value from Post 16 funding statement - Summary Table"/>
    <b v="0"/>
  </r>
  <r>
    <x v="2"/>
    <m/>
    <s v="FUNDING_01"/>
    <s v="SEC"/>
    <s v="DEFAULT"/>
    <s v="DEFAULT"/>
    <m/>
    <s v="UPLIFT_POST16_PUPIL"/>
    <s v="MONTHLY"/>
    <s v=""/>
    <s v=""/>
    <s v=""/>
    <s v=""/>
    <s v=""/>
    <s v="GAG Post 16 Condition of funding Adjustment"/>
    <s v="Entered Value from Post 16 funding statement - Summary Table"/>
    <b v="0"/>
  </r>
  <r>
    <x v="2"/>
    <m/>
    <s v="FUNDING_01"/>
    <s v="SEC"/>
    <s v="DEFAULT"/>
    <s v="DEFAULT"/>
    <m/>
    <s v="UPLIFT_POST16_PUPIL"/>
    <s v="MONTHLY"/>
    <s v=""/>
    <s v=""/>
    <s v=""/>
    <s v=""/>
    <s v=""/>
    <s v="GAG Post 16 Advanced Maths premium"/>
    <s v="Entered Value from Post 16 funding statement - Summary Table"/>
    <b v="0"/>
  </r>
  <r>
    <x v="2"/>
    <m/>
    <s v="FUNDING_01"/>
    <s v="SEC"/>
    <s v="DEFAULT"/>
    <s v="DEFAULT"/>
    <m/>
    <s v="UPLIFT_POST16_PUPIL"/>
    <s v="MONTHLY"/>
    <s v=""/>
    <s v=""/>
    <s v=""/>
    <s v=""/>
    <s v=""/>
    <s v="GAG Post 16 High value courses premium"/>
    <s v="Entered Value from Post 16 funding statement - Summary Table"/>
    <b v="0"/>
  </r>
  <r>
    <x v="2"/>
    <m/>
    <s v="FUNDING_01"/>
    <s v="SEC"/>
    <s v="DEFAULT"/>
    <s v="DEFAULT"/>
    <m/>
    <s v="UPLIFT_POST16_PUPIL"/>
    <s v="MONTHLY"/>
    <s v=""/>
    <s v=""/>
    <s v=""/>
    <s v=""/>
    <s v=""/>
    <s v="GAG Post 16 Industry placements"/>
    <s v="Entered Value from Post 16 funding statement - Summary Table"/>
    <b v="0"/>
  </r>
  <r>
    <x v="2"/>
    <m/>
    <s v="FUNDING_01"/>
    <s v="SEC"/>
    <s v="DEFAULT"/>
    <s v="DEFAULT"/>
    <m/>
    <s v="UPLIFT_POST16_PUPIL"/>
    <s v="MONTHLY"/>
    <s v=""/>
    <s v=""/>
    <s v=""/>
    <s v=""/>
    <s v=""/>
    <s v="GAG Post 16 Student financial support"/>
    <s v="Entered Value from Post 16 funding statement - Summary Table"/>
    <b v="0"/>
  </r>
  <r>
    <x v="2"/>
    <m/>
    <s v="DFC"/>
    <s v="SEC"/>
    <s v="DEFAULT"/>
    <s v="DEFAULT"/>
    <m/>
    <s v="DFC_CORE"/>
    <s v="MONTHLY"/>
    <s v=""/>
    <s v=""/>
    <s v=""/>
    <s v=""/>
    <s v=""/>
    <s v="DFC Core Amount"/>
    <s v="Lump Sum value from statistics"/>
    <b v="0"/>
  </r>
  <r>
    <x v="2"/>
    <m/>
    <s v="DFC"/>
    <s v="SEC"/>
    <s v="DEFAULT"/>
    <s v="DEFAULT"/>
    <m/>
    <s v="DFC_PUPIL_POST16"/>
    <s v="MONTHLY"/>
    <s v=""/>
    <s v=""/>
    <s v=""/>
    <s v=""/>
    <s v=""/>
    <s v="DFC Per Pupil Post 16"/>
    <s v="Current Year Spring KS5 Numbers multiplied by Rate"/>
    <b v="0"/>
  </r>
  <r>
    <x v="2"/>
    <m/>
    <s v="DFC"/>
    <s v="SEC"/>
    <s v="DEFAULT"/>
    <s v="DEFAULT"/>
    <m/>
    <s v="DFC_PUPIL_SEC"/>
    <s v="MONTHLY"/>
    <s v=""/>
    <s v=""/>
    <s v=""/>
    <s v=""/>
    <s v=""/>
    <s v="DFC Per Pupil Secondary"/>
    <s v="Current Year Spring KS3 and KS4 Numbers multiplied by Rate"/>
    <b v="0"/>
  </r>
  <r>
    <x v="2"/>
    <m/>
    <s v="ESFA_POST16_TOTAL"/>
    <s v="SEC"/>
    <s v="DEFAULT"/>
    <s v="DEFAULT"/>
    <m/>
    <s v="ESFA_POST16_TOTAL"/>
    <s v="MONTHLY"/>
    <s v=""/>
    <s v=""/>
    <s v=""/>
    <s v=""/>
    <s v=""/>
    <s v="ESFA Post 16 Funding Statement Total Calculated Line"/>
    <s v="Sum of Funding lines. Should match funding statement total."/>
    <b v="0"/>
  </r>
  <r>
    <x v="2"/>
    <m/>
    <s v="ESFA_TOTAL"/>
    <s v="SEC"/>
    <s v="DEFAULT"/>
    <s v="DEFAULT"/>
    <m/>
    <s v="ESFA_TOTAL"/>
    <s v="MONTHLY"/>
    <s v=""/>
    <s v=""/>
    <s v=""/>
    <s v=""/>
    <s v=""/>
    <s v="ESFA Pre 16 Funding Statement Total Calculated Line"/>
    <s v="Sum of Funding lines. Should match funding statement total."/>
    <b v="0"/>
  </r>
  <r>
    <x v="2"/>
    <m/>
    <s v="FUNDING_HNPOST16"/>
    <s v="SEC"/>
    <s v="DEFAULT"/>
    <s v="DEFAULT"/>
    <m/>
    <s v="HNPF_POST16O"/>
    <s v="MONTHLY"/>
    <s v=""/>
    <s v=""/>
    <s v=""/>
    <s v=""/>
    <s v=""/>
    <s v="Occupied Post 16 High Needs"/>
    <s v="Post 16 Occupied pupil numbers multiplied by rate"/>
    <b v="0"/>
  </r>
  <r>
    <x v="2"/>
    <m/>
    <s v="FUNDING_HNPOST16"/>
    <s v="SEC"/>
    <s v="DEFAULT"/>
    <s v="DEFAULT"/>
    <m/>
    <s v="HNPF_POST16"/>
    <s v="MONTHLY"/>
    <s v=""/>
    <s v=""/>
    <s v=""/>
    <s v=""/>
    <s v=""/>
    <s v="Post 16 High Needs"/>
    <s v="Post 16 High needs pupil numbers multiplied by rate"/>
    <b v="0"/>
  </r>
  <r>
    <x v="2"/>
    <m/>
    <s v="FUNDING_HNPRE16"/>
    <s v="SEC"/>
    <s v="DEFAULT"/>
    <s v="DEFAULT"/>
    <m/>
    <s v="HNPF_PRE16O"/>
    <s v="MONTHLY"/>
    <s v=""/>
    <s v=""/>
    <s v=""/>
    <s v=""/>
    <s v=""/>
    <s v="Occupied Pre 16 High Needs"/>
    <s v="Pre 16 Occupied pupil numbers multiplied by rate"/>
    <b v="0"/>
  </r>
  <r>
    <x v="2"/>
    <m/>
    <s v="FUNDING_HNPRE16"/>
    <s v="SEC"/>
    <s v="DEFAULT"/>
    <s v="DEFAULT"/>
    <m/>
    <s v="HNPF_PRE16"/>
    <s v="MONTHLY"/>
    <s v=""/>
    <s v=""/>
    <s v=""/>
    <s v=""/>
    <s v=""/>
    <s v="Pre 16 High Needs"/>
    <s v="Pre 16 High needs pupil numbers multiplied by rate"/>
    <b v="0"/>
  </r>
  <r>
    <x v="2"/>
    <m/>
    <s v="FUNDING_PUPPREM_LAC"/>
    <s v="SEC"/>
    <s v="DEFAULT"/>
    <s v="DEFAULT"/>
    <m/>
    <s v="PUPLACINCOME"/>
    <s v="MONTHLY"/>
    <s v=""/>
    <s v=""/>
    <s v=""/>
    <s v=""/>
    <s v=""/>
    <s v="Pupil Premium Looked After Children Income"/>
    <s v="Looked after children pupil numbers multiplied by rate"/>
    <b v="0"/>
  </r>
  <r>
    <x v="2"/>
    <m/>
    <s v="FUNDING_PUPPREM_SEC"/>
    <s v="SEC"/>
    <s v="DEFAULT"/>
    <s v="DEFAULT"/>
    <m/>
    <s v="PUPINCOME_SEC"/>
    <s v="MONTHLY"/>
    <s v=""/>
    <s v=""/>
    <s v=""/>
    <s v=""/>
    <s v=""/>
    <s v="Pupil Premium Income Secondary"/>
    <s v="Secondary Pupil premium pupil numbers multiplied by rate"/>
    <b v="0"/>
  </r>
  <r>
    <x v="2"/>
    <m/>
    <s v="FUNDING_PUPPREM_SER"/>
    <s v="SEC"/>
    <s v="DEFAULT"/>
    <s v="DEFAULT"/>
    <m/>
    <s v="PUPSERINCOME"/>
    <s v="MONTHLY"/>
    <s v=""/>
    <s v=""/>
    <s v=""/>
    <s v=""/>
    <s v=""/>
    <s v="Pupil Premium Service Children Income"/>
    <s v="Service children pupil numbers multiplied by rate"/>
    <b v="0"/>
  </r>
  <r>
    <x v="2"/>
    <m/>
    <s v="FUNDING_SCA"/>
    <s v="SEC"/>
    <s v="DEFAULT"/>
    <s v="DEFAULT"/>
    <m/>
    <s v="UPLIFT_GAG_PUPIL"/>
    <s v="MONTHLY"/>
    <s v=""/>
    <s v=""/>
    <s v=""/>
    <s v=""/>
    <s v=""/>
    <s v="School Condition Allocation"/>
    <s v="Entered Value from EFSA Capital funding report"/>
    <b v="1"/>
  </r>
  <r>
    <x v="2"/>
    <m/>
    <s v="PENSGRANT"/>
    <s v="SEC"/>
    <s v="DEFAULT"/>
    <s v="DEFAULT"/>
    <m/>
    <s v="PENGRANT_POST16_CALC"/>
    <s v="MONTHLY"/>
    <s v=""/>
    <s v=""/>
    <s v=""/>
    <s v=""/>
    <s v=""/>
    <s v="Teachers Pensions Grant Post 16"/>
    <s v="Post 16 pupil numbers multiplied by rate"/>
    <b v="0"/>
  </r>
  <r>
    <x v="2"/>
    <m/>
    <s v="DFC"/>
    <s v="SPE"/>
    <s v="DEFAULT"/>
    <s v="DEFAULT"/>
    <m/>
    <s v="DFC_CORE"/>
    <s v="MONTHLY"/>
    <s v=""/>
    <s v=""/>
    <s v=""/>
    <s v=""/>
    <s v=""/>
    <s v="DFC Core Amount"/>
    <s v="Lump Sum value from statistics"/>
    <b v="0"/>
  </r>
  <r>
    <x v="2"/>
    <m/>
    <s v="DFC"/>
    <s v="SPE"/>
    <s v="DEFAULT"/>
    <s v="DEFAULT"/>
    <m/>
    <s v="DFC_PUPIL_SPS"/>
    <s v="MONTHLY"/>
    <s v=""/>
    <s v=""/>
    <s v=""/>
    <s v=""/>
    <s v=""/>
    <s v="DFC Special"/>
    <s v="High needs places multiplied by Rate"/>
    <b v="0"/>
  </r>
  <r>
    <x v="2"/>
    <m/>
    <s v="ESFA_POST16_TOTAL"/>
    <s v="SPE"/>
    <s v="DEFAULT"/>
    <s v="DEFAULT"/>
    <m/>
    <s v="ESFA_POST16_TOTAL"/>
    <s v="MONTHLY"/>
    <s v=""/>
    <s v=""/>
    <s v=""/>
    <s v=""/>
    <s v=""/>
    <s v="ESFA Post 16 Funding Statement Total Calculated Line"/>
    <s v="Sum of Funding lines. Should match funding statement total."/>
    <b v="0"/>
  </r>
  <r>
    <x v="2"/>
    <m/>
    <s v="ESFA_TOTAL"/>
    <s v="SPE"/>
    <s v="DEFAULT"/>
    <s v="DEFAULT"/>
    <m/>
    <s v="ESFA_TOTAL"/>
    <s v="MONTHLY"/>
    <s v=""/>
    <s v=""/>
    <s v=""/>
    <s v=""/>
    <s v=""/>
    <s v="ESFA Pre 16 Funding Statement Total Calculated Line"/>
    <s v="Sum of Funding lines. Should match funding statement total."/>
    <b v="0"/>
  </r>
  <r>
    <x v="2"/>
    <m/>
    <s v="FUNDING_HNPOST16"/>
    <s v="SPE"/>
    <s v="DEFAULT"/>
    <s v="DEFAULT"/>
    <m/>
    <s v="HNPF_POST16"/>
    <s v="MONTHLY"/>
    <s v=""/>
    <s v=""/>
    <s v=""/>
    <s v=""/>
    <s v=""/>
    <s v="Post 16 High Needs"/>
    <s v="Post 16 High needs pupil numbers multiplied by rate"/>
    <b v="0"/>
  </r>
  <r>
    <x v="2"/>
    <m/>
    <s v="FUNDING_HNPRE16"/>
    <s v="SPE"/>
    <s v="DEFAULT"/>
    <s v="DEFAULT"/>
    <m/>
    <s v="HNPF_PRE16"/>
    <s v="MONTHLY"/>
    <s v=""/>
    <s v=""/>
    <s v=""/>
    <s v=""/>
    <s v=""/>
    <s v="Pre 16 High Needs"/>
    <s v="Pre 16 High needs pupil numbers multiplied by rate"/>
    <b v="0"/>
  </r>
  <r>
    <x v="2"/>
    <m/>
    <s v="FUNDING_PUPPREM_LAC"/>
    <s v="SPE"/>
    <s v="DEFAULT"/>
    <s v="DEFAULT"/>
    <m/>
    <s v="PUPLACINCOME"/>
    <s v="MONTHLY"/>
    <s v=""/>
    <s v=""/>
    <s v=""/>
    <s v=""/>
    <s v=""/>
    <s v="Pupil Premium Looked After Children Income"/>
    <s v="Looked after children pupil numbers multiplied by rate"/>
    <b v="0"/>
  </r>
  <r>
    <x v="2"/>
    <m/>
    <s v="FUNDING_PUPPREM_PRI"/>
    <s v="SPE"/>
    <s v="DEFAULT"/>
    <s v="DEFAULT"/>
    <m/>
    <s v="PUPINCOME_PRI"/>
    <s v="MONTHLY"/>
    <s v=""/>
    <s v=""/>
    <s v=""/>
    <s v=""/>
    <s v=""/>
    <s v="Pupil Premium Income Primary"/>
    <s v="Primary Pupil premium pupil numbers multiplied by rate"/>
    <b v="0"/>
  </r>
  <r>
    <x v="2"/>
    <m/>
    <s v="FUNDING_PUPPREM_SEC"/>
    <s v="SPE"/>
    <s v="DEFAULT"/>
    <s v="DEFAULT"/>
    <m/>
    <s v="PUPINCOME_SEC"/>
    <s v="MONTHLY"/>
    <s v=""/>
    <s v=""/>
    <s v=""/>
    <s v=""/>
    <s v=""/>
    <s v="Pupil Premium Income Secondary"/>
    <s v="Secondary Pupil premium pupil numbers multiplied by rate"/>
    <b v="0"/>
  </r>
  <r>
    <x v="2"/>
    <m/>
    <s v="FUNDING_PUPPREM_SER"/>
    <s v="SPE"/>
    <s v="DEFAULT"/>
    <s v="DEFAULT"/>
    <m/>
    <s v="PUPSERINCOME"/>
    <s v="MONTHLY"/>
    <s v=""/>
    <s v=""/>
    <s v=""/>
    <s v=""/>
    <s v=""/>
    <s v="Pupil Premium Service Children Income"/>
    <s v="Service children pupil numbers multiplied by rate"/>
    <b v="0"/>
  </r>
  <r>
    <x v="2"/>
    <m/>
    <s v="FUNDING_SCA"/>
    <s v="SPE"/>
    <s v="DEFAULT"/>
    <s v="DEFAULT"/>
    <m/>
    <s v="UPLIFT_GAG_PUPIL"/>
    <s v="MONTHLY"/>
    <s v=""/>
    <s v=""/>
    <s v=""/>
    <s v=""/>
    <s v=""/>
    <s v="School Condition Allocation"/>
    <s v="Entered Value from EFSA Capital funding report"/>
    <b v="1"/>
  </r>
  <r>
    <x v="2"/>
    <m/>
    <s v="PAYGRANT"/>
    <s v="SPE"/>
    <s v="DEFAULT"/>
    <s v="DEFAULT"/>
    <m/>
    <s v="PAYGRANT_SPS_CALC"/>
    <s v="MONTHLY"/>
    <s v=""/>
    <s v=""/>
    <s v=""/>
    <s v=""/>
    <s v=""/>
    <s v="Teachers Pay Grant"/>
    <s v="Post 16 pupil numbers multiplied by rate"/>
    <b v="0"/>
  </r>
  <r>
    <x v="2"/>
    <m/>
    <s v="FUNDING_REC_PREM_PRI_CUR_PUPILS"/>
    <s v="PRI"/>
    <s v="DEFAULT"/>
    <s v="DEFAULT"/>
    <m/>
    <s v="FUNDING_REC_PREM_PRI_CUR_PUPILS"/>
    <s v="MONTHLY"/>
    <s v=""/>
    <s v=""/>
    <s v=""/>
    <s v=""/>
    <s v=""/>
    <s v="Recovery Premium Funding - Primary - Current Pupils"/>
    <m/>
    <b v="1"/>
  </r>
  <r>
    <x v="2"/>
    <m/>
    <s v="FUNDING_REC_PREM_PRI_PY_PUPILS"/>
    <s v="PRI"/>
    <s v="DEFAULT"/>
    <s v="DEFAULT"/>
    <m/>
    <s v="FUNDING_REC_PREM_PRI_PY_PUPILS"/>
    <s v="MONTHLY"/>
    <s v=""/>
    <s v=""/>
    <s v=""/>
    <s v=""/>
    <s v=""/>
    <s v="Recovery Premium Funding - Primary - Prior Year Pupils"/>
    <m/>
    <b v="1"/>
  </r>
  <r>
    <x v="2"/>
    <m/>
    <s v="FUNDING_REC_PREM_SEC_CUR_PUPILS"/>
    <s v="SEC"/>
    <s v="DEFAULT"/>
    <s v="DEFAULT"/>
    <m/>
    <s v="FUNDING_REC_PREM_SEC_CUR_PUPILS"/>
    <s v="MONTHLY"/>
    <s v=""/>
    <s v=""/>
    <s v=""/>
    <s v=""/>
    <s v=""/>
    <s v="Recovery Premium Funding - Secondary - Current Pupils"/>
    <m/>
    <b v="1"/>
  </r>
  <r>
    <x v="2"/>
    <m/>
    <s v="FUNDING_REC_PREM_SEC_PY_PUPILS"/>
    <s v="SEC"/>
    <s v="DEFAULT"/>
    <s v="DEFAULT"/>
    <m/>
    <s v="FUNDING_REC_PREM_SEC_PY_PUPILS"/>
    <s v="MONTHLY"/>
    <s v=""/>
    <s v=""/>
    <s v=""/>
    <s v=""/>
    <s v=""/>
    <s v="Recovery Premium Funding - Secondary - Prior Year Pupils"/>
    <m/>
    <b v="1"/>
  </r>
  <r>
    <x v="2"/>
    <m/>
    <s v="FUNDING_REC_PREM_PRI_CUR_PUPILS"/>
    <s v="ALL"/>
    <s v="DEFAULT"/>
    <s v="DEFAULT"/>
    <m/>
    <s v="FUNDING_REC_PREM_PRI_CUR_PUPILS"/>
    <s v="MONTHLY"/>
    <s v=""/>
    <s v=""/>
    <s v=""/>
    <s v=""/>
    <s v=""/>
    <s v="Recovery Premium Funding - Primary - Current Pupils"/>
    <m/>
    <b v="1"/>
  </r>
  <r>
    <x v="2"/>
    <m/>
    <s v="FUNDING_REC_PREM_PRI_PY_PUPILS"/>
    <s v="ALL"/>
    <s v="DEFAULT"/>
    <s v="DEFAULT"/>
    <m/>
    <s v="FUNDING_REC_PREM_PRI_PY_PUPILS"/>
    <s v="MONTHLY"/>
    <s v=""/>
    <s v=""/>
    <s v=""/>
    <s v=""/>
    <s v=""/>
    <s v="Recovery Premium Funding - Primary - Prior Year Pupils"/>
    <m/>
    <b v="1"/>
  </r>
  <r>
    <x v="2"/>
    <m/>
    <s v="FUNDING_REC_PREM_SEC_CUR_PUPILS"/>
    <s v="ALL"/>
    <s v="DEFAULT"/>
    <s v="DEFAULT"/>
    <m/>
    <s v="FUNDING_REC_PREM_SEC_CUR_PUPILS"/>
    <s v="MONTHLY"/>
    <s v=""/>
    <s v=""/>
    <s v=""/>
    <s v=""/>
    <s v=""/>
    <s v="Recovery Premium Funding - Secondary - Current Pupils"/>
    <m/>
    <b v="1"/>
  </r>
  <r>
    <x v="2"/>
    <m/>
    <s v="FUNDING_REC_PREM_SEC_PY_PUPILS"/>
    <s v="ALL"/>
    <s v="DEFAULT"/>
    <s v="DEFAULT"/>
    <m/>
    <s v="FUNDING_REC_PREM_SEC_PY_PUPILS"/>
    <s v="MONTHLY"/>
    <s v=""/>
    <s v=""/>
    <s v=""/>
    <s v=""/>
    <s v=""/>
    <s v="Recovery Premium Funding - Secondary - Prior Year Pupils"/>
    <m/>
    <b v="1"/>
  </r>
  <r>
    <x v="2"/>
    <m/>
    <s v="FUNDING_REC_PREM_PRI_CUR_PUPILS"/>
    <s v="SPE"/>
    <s v="DEFAULT"/>
    <s v="DEFAULT"/>
    <m/>
    <s v="FUNDING_REC_PREM_PRI_CUR_PUPILS"/>
    <s v="MONTHLY"/>
    <s v=""/>
    <s v=""/>
    <s v=""/>
    <s v=""/>
    <s v=""/>
    <s v="Recovery Premium Funding - Primary - Current Pupils"/>
    <m/>
    <b v="1"/>
  </r>
  <r>
    <x v="2"/>
    <m/>
    <s v="FUNDING_REC_PREM_PRI_PY_PUPILS"/>
    <s v="SPE"/>
    <s v="DEFAULT"/>
    <s v="DEFAULT"/>
    <m/>
    <s v="FUNDING_REC_PREM_PRI_PY_PUPILS"/>
    <s v="MONTHLY"/>
    <s v=""/>
    <s v=""/>
    <s v=""/>
    <s v=""/>
    <s v=""/>
    <s v="Recovery Premium Funding - Primary - Prior Year Pupils"/>
    <m/>
    <b v="1"/>
  </r>
  <r>
    <x v="2"/>
    <m/>
    <s v="FUNDING_REC_PREM_SEC_CUR_PUPILS"/>
    <s v="SPE"/>
    <s v="DEFAULT"/>
    <s v="DEFAULT"/>
    <m/>
    <s v="FUNDING_REC_PREM_SEC_CUR_PUPILS"/>
    <s v="MONTHLY"/>
    <s v=""/>
    <s v=""/>
    <s v=""/>
    <s v=""/>
    <s v=""/>
    <s v="Recovery Premium Funding - Secondary - Current Pupils"/>
    <m/>
    <b v="1"/>
  </r>
  <r>
    <x v="2"/>
    <m/>
    <s v="FUNDING_REC_PREM_SEC_PY_PUPILS"/>
    <s v="SPE"/>
    <s v="DEFAULT"/>
    <s v="DEFAULT"/>
    <m/>
    <s v="FUNDING_REC_PREM_SEC_PY_PUPILS"/>
    <s v="MONTHLY"/>
    <s v=""/>
    <s v=""/>
    <s v=""/>
    <s v=""/>
    <s v=""/>
    <s v="Recovery Premium Funding - Secondary - Prior Year Pupils"/>
    <m/>
    <b v="1"/>
  </r>
  <r>
    <x v="3"/>
    <m/>
    <m/>
    <s v="MAT"/>
    <m/>
    <m/>
    <m/>
    <s v="CENTRALCHG_MAT"/>
    <s v="MONTHLY"/>
    <s v=""/>
    <s v=""/>
    <s v=""/>
    <s v=""/>
    <s v=""/>
    <s v="Central Contribution from Schools"/>
    <m/>
    <b v="1"/>
  </r>
  <r>
    <x v="3"/>
    <m/>
    <m/>
    <s v="PRI"/>
    <m/>
    <m/>
    <m/>
    <s v="FUNDING_01"/>
    <s v="MONTHLY"/>
    <s v=""/>
    <s v=""/>
    <s v=""/>
    <s v=""/>
    <s v=""/>
    <s v="GAG Funding 01 (grouped at nominal level)"/>
    <m/>
    <b v="0"/>
  </r>
  <r>
    <x v="3"/>
    <m/>
    <m/>
    <s v="SEC"/>
    <m/>
    <m/>
    <m/>
    <s v="FUNDING_01"/>
    <s v="MONTHLY"/>
    <s v=""/>
    <s v=""/>
    <s v=""/>
    <s v=""/>
    <s v=""/>
    <s v="GAG Funding 01 (grouped at nominal level)"/>
    <m/>
    <b v="0"/>
  </r>
  <r>
    <x v="3"/>
    <m/>
    <m/>
    <s v="SPE"/>
    <m/>
    <m/>
    <m/>
    <s v="FUNDING_01"/>
    <s v="MONTHLY"/>
    <s v=""/>
    <s v=""/>
    <s v=""/>
    <s v=""/>
    <s v=""/>
    <s v="GAG Funding 01 (grouped at nominal level)"/>
    <m/>
    <b v="0"/>
  </r>
  <r>
    <x v="3"/>
    <m/>
    <m/>
    <s v="ALL"/>
    <m/>
    <m/>
    <m/>
    <s v="FUNDING_01"/>
    <s v="MONTHLY"/>
    <s v=""/>
    <s v=""/>
    <s v=""/>
    <s v=""/>
    <s v=""/>
    <s v="GAG Funding 01 (grouped at nominal level)"/>
    <m/>
    <b v="0"/>
  </r>
  <r>
    <x v="3"/>
    <m/>
    <m/>
    <s v="PRI"/>
    <m/>
    <m/>
    <m/>
    <s v="FUNDING_02"/>
    <s v="MONTHLY"/>
    <s v=""/>
    <s v=""/>
    <s v=""/>
    <s v=""/>
    <s v=""/>
    <s v="GAG Funding 02 (grouped at nominal level)"/>
    <m/>
    <b v="0"/>
  </r>
  <r>
    <x v="3"/>
    <m/>
    <m/>
    <s v="SEC"/>
    <m/>
    <m/>
    <m/>
    <s v="FUNDING_02"/>
    <s v="MONTHLY"/>
    <s v=""/>
    <s v=""/>
    <s v=""/>
    <s v=""/>
    <s v=""/>
    <s v="GAG Funding 02 (grouped at nominal level)"/>
    <m/>
    <b v="0"/>
  </r>
  <r>
    <x v="3"/>
    <m/>
    <m/>
    <s v="SPE"/>
    <m/>
    <m/>
    <m/>
    <s v="FUNDING_02"/>
    <s v="MONTHLY"/>
    <s v=""/>
    <s v=""/>
    <s v=""/>
    <s v=""/>
    <s v=""/>
    <s v="GAG Funding 02 (grouped at nominal level)"/>
    <m/>
    <b v="0"/>
  </r>
  <r>
    <x v="3"/>
    <m/>
    <m/>
    <s v="ALL"/>
    <m/>
    <m/>
    <m/>
    <s v="FUNDING_02"/>
    <s v="MONTHLY"/>
    <s v=""/>
    <s v=""/>
    <s v=""/>
    <s v=""/>
    <s v=""/>
    <s v="GAG Funding 02 (grouped at nominal level)"/>
    <m/>
    <b v="0"/>
  </r>
  <r>
    <x v="3"/>
    <m/>
    <m/>
    <s v="PRI"/>
    <m/>
    <m/>
    <m/>
    <s v="FUNDING_03"/>
    <s v="MONTHLY"/>
    <s v=""/>
    <s v=""/>
    <s v=""/>
    <s v=""/>
    <s v=""/>
    <s v="GAG Funding 03 (grouped at nominal level)"/>
    <m/>
    <b v="0"/>
  </r>
  <r>
    <x v="3"/>
    <m/>
    <m/>
    <s v="SEC"/>
    <m/>
    <m/>
    <m/>
    <s v="FUNDING_03"/>
    <s v="MONTHLY"/>
    <s v=""/>
    <s v=""/>
    <s v=""/>
    <s v=""/>
    <s v=""/>
    <s v="GAG Funding 03 (grouped at nominal level)"/>
    <m/>
    <b v="0"/>
  </r>
  <r>
    <x v="3"/>
    <m/>
    <m/>
    <s v="SPE"/>
    <m/>
    <m/>
    <m/>
    <s v="FUNDING_03"/>
    <s v="MONTHLY"/>
    <s v=""/>
    <s v=""/>
    <s v=""/>
    <s v=""/>
    <s v=""/>
    <s v="GAG Funding 03 (grouped at nominal level)"/>
    <m/>
    <b v="0"/>
  </r>
  <r>
    <x v="3"/>
    <m/>
    <m/>
    <s v="ALL"/>
    <m/>
    <m/>
    <m/>
    <s v="FUNDING_03"/>
    <s v="MONTHLY"/>
    <s v=""/>
    <s v=""/>
    <s v=""/>
    <s v=""/>
    <s v=""/>
    <s v="GAG Funding 03 (grouped at nominal level)"/>
    <m/>
    <b v="0"/>
  </r>
  <r>
    <x v="3"/>
    <m/>
    <m/>
    <s v="SEC"/>
    <m/>
    <m/>
    <m/>
    <s v="FUNDING_HNPOST16"/>
    <s v="MONTHLY"/>
    <s v=""/>
    <s v=""/>
    <s v=""/>
    <s v=""/>
    <s v=""/>
    <s v="GAG Total Post 16 High Needs Funding Statement"/>
    <m/>
    <b v="0"/>
  </r>
  <r>
    <x v="3"/>
    <m/>
    <m/>
    <s v="SPE"/>
    <m/>
    <m/>
    <m/>
    <s v="FUNDING_HNPOST16"/>
    <s v="MONTHLY"/>
    <s v=""/>
    <s v=""/>
    <s v=""/>
    <s v=""/>
    <s v=""/>
    <s v="GAG Total Post 16 High Needs Funding Statement"/>
    <m/>
    <b v="0"/>
  </r>
  <r>
    <x v="3"/>
    <m/>
    <m/>
    <s v="ALL"/>
    <m/>
    <m/>
    <m/>
    <s v="FUNDING_HNPOST16"/>
    <s v="MONTHLY"/>
    <s v=""/>
    <s v=""/>
    <s v=""/>
    <s v=""/>
    <s v=""/>
    <s v="GAG Total Post 16 High Needs Funding Statement"/>
    <m/>
    <b v="0"/>
  </r>
  <r>
    <x v="3"/>
    <m/>
    <m/>
    <s v="PRI"/>
    <m/>
    <m/>
    <m/>
    <s v="FUNDING_HNPRE16"/>
    <s v="MONTHLY"/>
    <s v=""/>
    <s v=""/>
    <s v=""/>
    <s v=""/>
    <s v=""/>
    <s v="GAG Total Pre 16 High Needs Funding Statement"/>
    <m/>
    <b v="0"/>
  </r>
  <r>
    <x v="3"/>
    <m/>
    <m/>
    <s v="SEC"/>
    <m/>
    <m/>
    <m/>
    <s v="FUNDING_HNPRE16"/>
    <s v="MONTHLY"/>
    <s v=""/>
    <s v=""/>
    <s v=""/>
    <s v=""/>
    <s v=""/>
    <s v="GAG Total Pre 16 High Needs Funding Statement"/>
    <m/>
    <b v="0"/>
  </r>
  <r>
    <x v="3"/>
    <m/>
    <m/>
    <s v="SPE"/>
    <m/>
    <m/>
    <m/>
    <s v="FUNDING_HNPRE16"/>
    <s v="MONTHLY"/>
    <s v=""/>
    <s v=""/>
    <s v=""/>
    <s v=""/>
    <s v=""/>
    <s v="GAG Total Pre 16 High Needs Funding Statement"/>
    <m/>
    <b v="0"/>
  </r>
  <r>
    <x v="3"/>
    <m/>
    <m/>
    <s v="ALL"/>
    <m/>
    <m/>
    <m/>
    <s v="FUNDING_HNPRE16"/>
    <s v="MONTHLY"/>
    <s v=""/>
    <s v=""/>
    <s v=""/>
    <s v=""/>
    <s v=""/>
    <s v="GAG Total Pre 16 High Needs Funding Statement"/>
    <m/>
    <b v="0"/>
  </r>
  <r>
    <x v="3"/>
    <m/>
    <m/>
    <s v="PRI"/>
    <m/>
    <m/>
    <m/>
    <s v="FUNDING_SCA"/>
    <s v="MONTHLY"/>
    <s v=""/>
    <s v=""/>
    <s v=""/>
    <s v=""/>
    <s v=""/>
    <s v="SCA Grant"/>
    <m/>
    <b v="0"/>
  </r>
  <r>
    <x v="3"/>
    <m/>
    <m/>
    <s v="SEC"/>
    <m/>
    <m/>
    <m/>
    <s v="FUNDING_SCA"/>
    <s v="MONTHLY"/>
    <s v=""/>
    <s v=""/>
    <s v=""/>
    <s v=""/>
    <s v=""/>
    <s v="SCA Grant"/>
    <m/>
    <b v="0"/>
  </r>
  <r>
    <x v="3"/>
    <m/>
    <m/>
    <s v="SPE"/>
    <m/>
    <m/>
    <m/>
    <s v="FUNDING_SCA"/>
    <s v="MONTHLY"/>
    <s v=""/>
    <s v=""/>
    <s v=""/>
    <s v=""/>
    <s v=""/>
    <s v="SCA Grant"/>
    <m/>
    <b v="0"/>
  </r>
  <r>
    <x v="3"/>
    <m/>
    <m/>
    <s v="ALL"/>
    <m/>
    <m/>
    <m/>
    <s v="FUNDING_SCA"/>
    <s v="MONTHLY"/>
    <s v=""/>
    <s v=""/>
    <s v=""/>
    <s v=""/>
    <s v=""/>
    <s v="SCA Grant"/>
    <m/>
    <b v="0"/>
  </r>
  <r>
    <x v="3"/>
    <m/>
    <m/>
    <s v="PRI"/>
    <m/>
    <m/>
    <m/>
    <s v="LEVY_ALL"/>
    <s v="MONTHLY"/>
    <s v=""/>
    <s v=""/>
    <s v=""/>
    <s v=""/>
    <s v=""/>
    <s v="Apprentice Levy Allowance"/>
    <m/>
    <b v="0"/>
  </r>
  <r>
    <x v="3"/>
    <m/>
    <m/>
    <s v="SEC"/>
    <m/>
    <m/>
    <m/>
    <s v="LEVY_ALL"/>
    <s v="MONTHLY"/>
    <s v=""/>
    <s v=""/>
    <s v=""/>
    <s v=""/>
    <s v=""/>
    <s v="Apprentice Levy Allowance"/>
    <m/>
    <b v="0"/>
  </r>
  <r>
    <x v="3"/>
    <m/>
    <m/>
    <s v="SPE"/>
    <m/>
    <m/>
    <m/>
    <s v="LEVY_ALL"/>
    <s v="MONTHLY"/>
    <s v=""/>
    <s v=""/>
    <s v=""/>
    <s v=""/>
    <s v=""/>
    <s v="Apprentice Levy Allowance"/>
    <m/>
    <b v="0"/>
  </r>
  <r>
    <x v="3"/>
    <m/>
    <m/>
    <s v="ALL"/>
    <m/>
    <m/>
    <m/>
    <s v="LEVY_ALL"/>
    <s v="MONTHLY"/>
    <s v=""/>
    <s v=""/>
    <s v=""/>
    <s v=""/>
    <s v=""/>
    <s v="Apprentice Levy Allowance"/>
    <m/>
    <b v="0"/>
  </r>
  <r>
    <x v="3"/>
    <m/>
    <m/>
    <s v="SPE"/>
    <m/>
    <m/>
    <m/>
    <s v="PAYGRANT_TOTAL"/>
    <s v="MONTHLY"/>
    <s v=""/>
    <s v=""/>
    <s v=""/>
    <s v=""/>
    <s v=""/>
    <s v="Teachers Pay Grant"/>
    <m/>
    <b v="0"/>
  </r>
  <r>
    <x v="3"/>
    <m/>
    <m/>
    <s v="SEC"/>
    <m/>
    <m/>
    <m/>
    <s v="PENSGRANT_TOTAL"/>
    <s v="MONTHLY"/>
    <s v=""/>
    <s v=""/>
    <s v=""/>
    <s v=""/>
    <s v=""/>
    <s v="Teachers Pensions Grant"/>
    <m/>
    <b v="0"/>
  </r>
  <r>
    <x v="3"/>
    <m/>
    <m/>
    <s v="SPE"/>
    <m/>
    <m/>
    <m/>
    <s v="PENSGRANT_TOTAL"/>
    <s v="MONTHLY"/>
    <s v=""/>
    <s v=""/>
    <s v=""/>
    <s v=""/>
    <s v=""/>
    <s v="Teachers Pensions Grant"/>
    <m/>
    <b v="0"/>
  </r>
  <r>
    <x v="3"/>
    <m/>
    <m/>
    <s v="ALL"/>
    <m/>
    <m/>
    <m/>
    <s v="PENSGRANT_TOTAL"/>
    <s v="MONTHLY"/>
    <s v=""/>
    <s v=""/>
    <s v=""/>
    <s v=""/>
    <s v=""/>
    <s v="Teachers Pensions Grant"/>
    <m/>
    <b v="0"/>
  </r>
  <r>
    <x v="3"/>
    <m/>
    <m/>
    <s v="PRI"/>
    <m/>
    <m/>
    <m/>
    <s v="PUP_PREM_LAC_5/12"/>
    <s v="M05_APR-AUG"/>
    <s v=""/>
    <s v=""/>
    <s v=""/>
    <s v=""/>
    <s v=""/>
    <s v="Pupil Premium LAC 5/12ths Apr-Aug"/>
    <m/>
    <b v="0"/>
  </r>
  <r>
    <x v="3"/>
    <m/>
    <m/>
    <s v="SEC"/>
    <m/>
    <m/>
    <m/>
    <s v="PUP_PREM_LAC_5/12"/>
    <s v="M05_APR-AUG"/>
    <s v=""/>
    <s v=""/>
    <s v=""/>
    <s v=""/>
    <s v=""/>
    <s v="Pupil Premium LAC 5/12ths Apr-Aug"/>
    <m/>
    <b v="0"/>
  </r>
  <r>
    <x v="3"/>
    <m/>
    <m/>
    <s v="SPE"/>
    <m/>
    <m/>
    <m/>
    <s v="PUP_PREM_LAC_5/12"/>
    <s v="M05_APR-AUG"/>
    <s v=""/>
    <s v=""/>
    <s v=""/>
    <s v=""/>
    <s v=""/>
    <s v="Pupil Premium LAC 5/12ths Apr-Aug"/>
    <m/>
    <b v="0"/>
  </r>
  <r>
    <x v="3"/>
    <m/>
    <m/>
    <s v="ALL"/>
    <m/>
    <m/>
    <m/>
    <s v="PUP_PREM_LAC_5/12"/>
    <s v="M05_APR-AUG"/>
    <s v=""/>
    <s v=""/>
    <s v=""/>
    <s v=""/>
    <s v=""/>
    <s v="Pupil Premium LAC 5/12ths Apr-Aug"/>
    <m/>
    <b v="0"/>
  </r>
  <r>
    <x v="3"/>
    <m/>
    <m/>
    <s v="PRI"/>
    <m/>
    <m/>
    <m/>
    <s v="PUP_PREM_LAC_7/12"/>
    <s v="M07_SEP-MAR"/>
    <s v=""/>
    <s v=""/>
    <s v=""/>
    <s v=""/>
    <s v=""/>
    <s v="Pupil Premium LAC 7/12ths Sep-Mar"/>
    <m/>
    <b v="0"/>
  </r>
  <r>
    <x v="3"/>
    <m/>
    <m/>
    <s v="SEC"/>
    <m/>
    <m/>
    <m/>
    <s v="PUP_PREM_LAC_7/12"/>
    <s v="M07_SEP-MAR"/>
    <s v=""/>
    <s v=""/>
    <s v=""/>
    <s v=""/>
    <s v=""/>
    <s v="Pupil Premium LAC 7/12ths Sep-Mar"/>
    <m/>
    <b v="0"/>
  </r>
  <r>
    <x v="3"/>
    <m/>
    <m/>
    <s v="SPE"/>
    <m/>
    <m/>
    <m/>
    <s v="PUP_PREM_LAC_7/12"/>
    <s v="M07_SEP-MAR"/>
    <s v=""/>
    <s v=""/>
    <s v=""/>
    <s v=""/>
    <s v=""/>
    <s v="Pupil Premium LAC 7/12ths Sep-Mar"/>
    <m/>
    <b v="0"/>
  </r>
  <r>
    <x v="3"/>
    <m/>
    <m/>
    <s v="ALL"/>
    <m/>
    <m/>
    <m/>
    <s v="PUP_PREM_LAC_7/12"/>
    <s v="M07_SEP-MAR"/>
    <s v=""/>
    <s v=""/>
    <s v=""/>
    <s v=""/>
    <s v=""/>
    <s v="Pupil Premium LAC 7/12ths Sep-Mar"/>
    <m/>
    <b v="0"/>
  </r>
  <r>
    <x v="3"/>
    <m/>
    <m/>
    <s v="PRI"/>
    <m/>
    <m/>
    <m/>
    <s v="PUP_PREM_PRI_5/12"/>
    <s v="M05_APR-AUG"/>
    <s v=""/>
    <s v=""/>
    <s v=""/>
    <s v=""/>
    <s v=""/>
    <s v="Pupil Premium Primary 5/12ths Apr-Aug"/>
    <m/>
    <b v="0"/>
  </r>
  <r>
    <x v="3"/>
    <m/>
    <m/>
    <s v="SPE"/>
    <m/>
    <m/>
    <m/>
    <s v="PUP_PREM_PRI_5/12"/>
    <s v="M05_APR-AUG"/>
    <s v=""/>
    <s v=""/>
    <s v=""/>
    <s v=""/>
    <s v=""/>
    <s v="Pupil Premium Primary 5/12ths Apr-Aug"/>
    <m/>
    <b v="0"/>
  </r>
  <r>
    <x v="3"/>
    <m/>
    <m/>
    <s v="ALL"/>
    <m/>
    <m/>
    <m/>
    <s v="PUP_PREM_PRI_5/12"/>
    <s v="M05_APR-AUG"/>
    <s v=""/>
    <s v=""/>
    <s v=""/>
    <s v=""/>
    <s v=""/>
    <s v="Pupil Premium Primary 5/12ths Apr-Aug"/>
    <m/>
    <b v="0"/>
  </r>
  <r>
    <x v="3"/>
    <m/>
    <m/>
    <s v="PRI"/>
    <m/>
    <m/>
    <m/>
    <s v="PUP_PREM_PRI_7/12"/>
    <s v="M07_SEP-MAR"/>
    <s v=""/>
    <s v=""/>
    <s v=""/>
    <s v=""/>
    <s v=""/>
    <s v="Pupil Premium Primary 7/12ths Sep-Mar"/>
    <m/>
    <b v="0"/>
  </r>
  <r>
    <x v="3"/>
    <m/>
    <m/>
    <s v="SPE"/>
    <m/>
    <m/>
    <m/>
    <s v="PUP_PREM_PRI_7/12"/>
    <s v="M07_SEP-MAR"/>
    <s v=""/>
    <s v=""/>
    <s v=""/>
    <s v=""/>
    <s v=""/>
    <s v="Pupil Premium Primary 7/12ths Sep-Mar"/>
    <m/>
    <b v="0"/>
  </r>
  <r>
    <x v="3"/>
    <m/>
    <m/>
    <s v="ALL"/>
    <m/>
    <m/>
    <m/>
    <s v="PUP_PREM_PRI_7/12"/>
    <s v="M07_SEP-MAR"/>
    <s v=""/>
    <s v=""/>
    <s v=""/>
    <s v=""/>
    <s v=""/>
    <s v="Pupil Premium Primary 7/12ths Sep-Mar"/>
    <m/>
    <b v="0"/>
  </r>
  <r>
    <x v="3"/>
    <m/>
    <m/>
    <s v="SEC"/>
    <m/>
    <m/>
    <m/>
    <s v="PUP_PREM_SEC_5/12"/>
    <s v="M05_APR-AUG"/>
    <s v=""/>
    <s v=""/>
    <s v=""/>
    <s v=""/>
    <s v=""/>
    <s v="Pupil Premium Secondary 5/12ths Apr-Aug"/>
    <m/>
    <b v="0"/>
  </r>
  <r>
    <x v="3"/>
    <m/>
    <m/>
    <s v="SPE"/>
    <m/>
    <m/>
    <m/>
    <s v="PUP_PREM_SEC_5/12"/>
    <s v="M05_APR-AUG"/>
    <s v=""/>
    <s v=""/>
    <s v=""/>
    <s v=""/>
    <s v=""/>
    <s v="Pupil Premium Secondary 5/12ths Apr-Aug"/>
    <m/>
    <b v="0"/>
  </r>
  <r>
    <x v="3"/>
    <m/>
    <m/>
    <s v="ALL"/>
    <m/>
    <m/>
    <m/>
    <s v="PUP_PREM_SEC_5/12"/>
    <s v="M05_APR-AUG"/>
    <s v=""/>
    <s v=""/>
    <s v=""/>
    <s v=""/>
    <s v=""/>
    <s v="Pupil Premium Secondary 5/12ths Apr-Aug"/>
    <m/>
    <b v="0"/>
  </r>
  <r>
    <x v="3"/>
    <m/>
    <m/>
    <s v="SEC"/>
    <m/>
    <m/>
    <m/>
    <s v="PUP_PREM_SEC_7/12"/>
    <s v="M07_SEP-MAR"/>
    <s v=""/>
    <s v=""/>
    <s v=""/>
    <s v=""/>
    <s v=""/>
    <s v="Pupil Premium Secondary 7/12ths Sep-Mar"/>
    <m/>
    <b v="0"/>
  </r>
  <r>
    <x v="3"/>
    <m/>
    <m/>
    <s v="SPE"/>
    <m/>
    <m/>
    <m/>
    <s v="PUP_PREM_SEC_7/12"/>
    <s v="M07_SEP-MAR"/>
    <s v=""/>
    <s v=""/>
    <s v=""/>
    <s v=""/>
    <s v=""/>
    <s v="Pupil Premium Secondary 7/12ths Sep-Mar"/>
    <m/>
    <b v="0"/>
  </r>
  <r>
    <x v="3"/>
    <m/>
    <m/>
    <s v="ALL"/>
    <m/>
    <m/>
    <m/>
    <s v="PUP_PREM_SEC_7/12"/>
    <s v="M07_SEP-MAR"/>
    <s v=""/>
    <s v=""/>
    <s v=""/>
    <s v=""/>
    <s v=""/>
    <s v="Pupil Premium Secondary 7/12ths Sep-Mar"/>
    <m/>
    <b v="0"/>
  </r>
  <r>
    <x v="3"/>
    <m/>
    <m/>
    <s v="PRI"/>
    <m/>
    <m/>
    <m/>
    <s v="PUP_PREM_SER_5/12"/>
    <s v="M05_APR-AUG"/>
    <s v=""/>
    <s v=""/>
    <s v=""/>
    <s v=""/>
    <s v=""/>
    <s v="Pupil Premium Service 5/12ths Apr-Aug"/>
    <m/>
    <b v="0"/>
  </r>
  <r>
    <x v="3"/>
    <m/>
    <m/>
    <s v="SEC"/>
    <m/>
    <m/>
    <m/>
    <s v="PUP_PREM_SER_5/12"/>
    <s v="M05_APR-AUG"/>
    <s v=""/>
    <s v=""/>
    <s v=""/>
    <s v=""/>
    <s v=""/>
    <s v="Pupil Premium Service 5/12ths Apr-Aug"/>
    <m/>
    <b v="0"/>
  </r>
  <r>
    <x v="3"/>
    <m/>
    <m/>
    <s v="SPE"/>
    <m/>
    <m/>
    <m/>
    <s v="PUP_PREM_SER_5/12"/>
    <s v="M05_APR-AUG"/>
    <s v=""/>
    <s v=""/>
    <s v=""/>
    <s v=""/>
    <s v=""/>
    <s v="Pupil Premium Service 5/12ths Apr-Aug"/>
    <m/>
    <b v="0"/>
  </r>
  <r>
    <x v="3"/>
    <m/>
    <m/>
    <s v="ALL"/>
    <m/>
    <m/>
    <m/>
    <s v="PUP_PREM_SER_5/12"/>
    <s v="M05_APR-AUG"/>
    <s v=""/>
    <s v=""/>
    <s v=""/>
    <s v=""/>
    <s v=""/>
    <s v="Pupil Premium Service 5/12ths Apr-Aug"/>
    <m/>
    <b v="0"/>
  </r>
  <r>
    <x v="3"/>
    <m/>
    <m/>
    <s v="PRI"/>
    <m/>
    <m/>
    <m/>
    <s v="PUP_PREM_SER_7/12"/>
    <s v="M07_SEP-MAR"/>
    <s v=""/>
    <s v=""/>
    <s v=""/>
    <s v=""/>
    <s v=""/>
    <s v="Pupil Premium Service 7/12ths Sep-Mar"/>
    <m/>
    <b v="0"/>
  </r>
  <r>
    <x v="3"/>
    <m/>
    <m/>
    <s v="SEC"/>
    <m/>
    <m/>
    <m/>
    <s v="PUP_PREM_SER_7/12"/>
    <s v="M07_SEP-MAR"/>
    <s v=""/>
    <s v=""/>
    <s v=""/>
    <s v=""/>
    <s v=""/>
    <s v="Pupil Premium Service 7/12ths Sep-Mar"/>
    <m/>
    <b v="0"/>
  </r>
  <r>
    <x v="3"/>
    <m/>
    <m/>
    <s v="SPE"/>
    <m/>
    <m/>
    <m/>
    <s v="PUP_PREM_SER_7/12"/>
    <s v="M07_SEP-MAR"/>
    <s v=""/>
    <s v=""/>
    <s v=""/>
    <s v=""/>
    <s v=""/>
    <s v="Pupil Premium Service 7/12ths Sep-Mar"/>
    <m/>
    <b v="0"/>
  </r>
  <r>
    <x v="3"/>
    <m/>
    <m/>
    <s v="ALL"/>
    <m/>
    <m/>
    <m/>
    <s v="PUP_PREM_SER_7/12"/>
    <s v="M07_SEP-MAR"/>
    <s v=""/>
    <s v=""/>
    <s v=""/>
    <s v=""/>
    <s v=""/>
    <s v="Pupil Premium Service 7/12ths Sep-Mar"/>
    <m/>
    <b v="0"/>
  </r>
  <r>
    <x v="3"/>
    <m/>
    <m/>
    <s v="PRI"/>
    <m/>
    <m/>
    <m/>
    <s v="RECOVERY_PREM_PRI_1_4_CURRYR"/>
    <s v="10.JUN"/>
    <s v=""/>
    <s v=""/>
    <s v=""/>
    <s v=""/>
    <s v=""/>
    <s v="Recovery Premium Current Year census - PRI"/>
    <m/>
    <b v="0"/>
  </r>
  <r>
    <x v="3"/>
    <m/>
    <m/>
    <s v="ALL"/>
    <m/>
    <m/>
    <m/>
    <s v="RECOVERY_PREM_PRI_1_4_CURRYR"/>
    <s v="10.JUN"/>
    <s v=""/>
    <s v=""/>
    <s v=""/>
    <s v=""/>
    <s v=""/>
    <s v="Recovery Premium Current Year census - PRI"/>
    <m/>
    <b v="0"/>
  </r>
  <r>
    <x v="3"/>
    <m/>
    <m/>
    <s v="SPE"/>
    <m/>
    <m/>
    <m/>
    <s v="RECOVERY_PREM_PRI_1_4_CURRYR"/>
    <s v="10.JUN"/>
    <s v=""/>
    <s v=""/>
    <s v=""/>
    <s v=""/>
    <s v=""/>
    <s v="Recovery Premium Current Year census - PRI"/>
    <m/>
    <b v="0"/>
  </r>
  <r>
    <x v="3"/>
    <m/>
    <m/>
    <s v="PRI"/>
    <m/>
    <m/>
    <m/>
    <s v="RECOVERY_PREM_PRI_3_4_PRIORYR"/>
    <s v="SEPT_DEC_MAR"/>
    <s v=""/>
    <s v=""/>
    <s v=""/>
    <s v=""/>
    <s v=""/>
    <s v="Recovery Premium Previous Year census - PRI"/>
    <m/>
    <b v="0"/>
  </r>
  <r>
    <x v="3"/>
    <m/>
    <m/>
    <s v="ALL"/>
    <m/>
    <m/>
    <m/>
    <s v="RECOVERY_PREM_PRI_3_4_PRIORYR"/>
    <s v="SEPT_DEC_MAR"/>
    <s v=""/>
    <s v=""/>
    <s v=""/>
    <s v=""/>
    <s v=""/>
    <s v="Recovery Premium Previous Year census - PRI"/>
    <m/>
    <b v="0"/>
  </r>
  <r>
    <x v="3"/>
    <m/>
    <m/>
    <s v="SPE"/>
    <m/>
    <m/>
    <m/>
    <s v="RECOVERY_PREM_PRI_3_4_PRIORYR"/>
    <s v="SEPT_DEC_MAR"/>
    <s v=""/>
    <s v=""/>
    <s v=""/>
    <s v=""/>
    <s v=""/>
    <s v="Recovery Premium Previous Year census - PRI"/>
    <m/>
    <b v="0"/>
  </r>
  <r>
    <x v="3"/>
    <m/>
    <m/>
    <s v="SEC"/>
    <m/>
    <m/>
    <m/>
    <s v="RECOVERY_PREM_SEC_1_4_CURRYR"/>
    <s v="10.JUN"/>
    <s v=""/>
    <s v=""/>
    <s v=""/>
    <s v=""/>
    <s v=""/>
    <s v="Recovery Premium Current Year census - SEC"/>
    <m/>
    <b v="0"/>
  </r>
  <r>
    <x v="3"/>
    <m/>
    <m/>
    <s v="ALL"/>
    <m/>
    <m/>
    <m/>
    <s v="RECOVERY_PREM_SEC_1_4_CURRYR"/>
    <s v="10.JUN"/>
    <s v=""/>
    <s v=""/>
    <s v=""/>
    <s v=""/>
    <s v=""/>
    <s v="Recovery Premium Current Year census - SEC"/>
    <m/>
    <b v="0"/>
  </r>
  <r>
    <x v="3"/>
    <m/>
    <m/>
    <s v="SPE"/>
    <m/>
    <m/>
    <m/>
    <s v="RECOVERY_PREM_SEC_1_4_CURRYR"/>
    <s v="10.JUN"/>
    <s v=""/>
    <s v=""/>
    <s v=""/>
    <s v=""/>
    <s v=""/>
    <s v="Recovery Premium Current Year census - SEC"/>
    <m/>
    <b v="0"/>
  </r>
  <r>
    <x v="3"/>
    <m/>
    <m/>
    <s v="SEC"/>
    <m/>
    <m/>
    <m/>
    <s v="RECOVERY_PREM_SEC_3_4_PRIORYR"/>
    <s v="SEPT_DEC_MAR"/>
    <s v=""/>
    <s v=""/>
    <s v=""/>
    <s v=""/>
    <s v=""/>
    <s v="Recovery Premium Previous Year census - SEC"/>
    <m/>
    <b v="0"/>
  </r>
  <r>
    <x v="3"/>
    <m/>
    <m/>
    <s v="ALL"/>
    <m/>
    <m/>
    <m/>
    <s v="RECOVERY_PREM_SEC_3_4_PRIORYR"/>
    <s v="SEPT_DEC_MAR"/>
    <s v=""/>
    <s v=""/>
    <s v=""/>
    <s v=""/>
    <s v=""/>
    <s v="Recovery Premium Previous Year census - SEC"/>
    <m/>
    <b v="0"/>
  </r>
  <r>
    <x v="3"/>
    <m/>
    <m/>
    <s v="SPE"/>
    <m/>
    <m/>
    <m/>
    <s v="RECOVERY_PREM_SEC_3_4_PRIORYR"/>
    <s v="SEPT_DEC_MAR"/>
    <s v=""/>
    <s v=""/>
    <s v=""/>
    <s v=""/>
    <s v=""/>
    <s v="Recovery Premium Previous Year census - SEC"/>
    <m/>
    <b v="0"/>
  </r>
  <r>
    <x v="3"/>
    <m/>
    <m/>
    <s v="PRI"/>
    <m/>
    <m/>
    <m/>
    <s v="TOTAL_DFC_5/12"/>
    <s v="MONTHLY"/>
    <s v=""/>
    <s v=""/>
    <s v=""/>
    <s v=""/>
    <s v=""/>
    <s v="DFC Grant - 5/12ths Apr - Aug"/>
    <m/>
    <b v="0"/>
  </r>
  <r>
    <x v="3"/>
    <m/>
    <m/>
    <s v="SEC"/>
    <m/>
    <m/>
    <m/>
    <s v="TOTAL_DFC_5/12"/>
    <s v="MONTHLY"/>
    <s v=""/>
    <s v=""/>
    <s v=""/>
    <s v=""/>
    <s v=""/>
    <s v="DFC Grant - 5/12ths Apr - Aug"/>
    <m/>
    <b v="0"/>
  </r>
  <r>
    <x v="3"/>
    <m/>
    <m/>
    <s v="SPE"/>
    <m/>
    <m/>
    <m/>
    <s v="TOTAL_DFC_5/12"/>
    <s v="MONTHLY"/>
    <s v=""/>
    <s v=""/>
    <s v=""/>
    <s v=""/>
    <s v=""/>
    <s v="DFC Grant - 5/12ths Apr - Aug"/>
    <m/>
    <b v="0"/>
  </r>
  <r>
    <x v="3"/>
    <m/>
    <m/>
    <s v="ALL"/>
    <m/>
    <m/>
    <m/>
    <s v="TOTAL_DFC_5/12"/>
    <s v="MONTHLY"/>
    <s v=""/>
    <s v=""/>
    <s v=""/>
    <s v=""/>
    <s v=""/>
    <s v="DFC Grant - 5/12ths Apr - Aug"/>
    <m/>
    <b v="0"/>
  </r>
  <r>
    <x v="3"/>
    <m/>
    <m/>
    <s v="PRI"/>
    <m/>
    <m/>
    <m/>
    <s v="TOTAL_DFC_7/12"/>
    <s v="MONTHLY"/>
    <s v=""/>
    <s v=""/>
    <s v=""/>
    <s v=""/>
    <s v=""/>
    <s v="DFC Grant - 7/12ths Sep - Mar"/>
    <m/>
    <b v="0"/>
  </r>
  <r>
    <x v="3"/>
    <m/>
    <m/>
    <s v="SEC"/>
    <m/>
    <m/>
    <m/>
    <s v="TOTAL_DFC_7/12"/>
    <s v="MONTHLY"/>
    <s v=""/>
    <s v=""/>
    <s v=""/>
    <s v=""/>
    <s v=""/>
    <s v="DFC Grant - 7/12ths Sep - Mar"/>
    <m/>
    <b v="0"/>
  </r>
  <r>
    <x v="3"/>
    <m/>
    <m/>
    <s v="SPE"/>
    <m/>
    <m/>
    <m/>
    <s v="TOTAL_DFC_7/12"/>
    <s v="MONTHLY"/>
    <s v=""/>
    <s v=""/>
    <s v=""/>
    <s v=""/>
    <s v=""/>
    <s v="DFC Grant - 7/12ths Sep - Mar"/>
    <m/>
    <b v="0"/>
  </r>
  <r>
    <x v="3"/>
    <m/>
    <m/>
    <s v="ALL"/>
    <m/>
    <m/>
    <m/>
    <s v="TOTAL_DFC_7/12"/>
    <s v="MONTHLY"/>
    <s v=""/>
    <s v=""/>
    <s v=""/>
    <s v=""/>
    <s v=""/>
    <s v="DFC Grant - 7/12ths Sep - Mar"/>
    <m/>
    <b v="0"/>
  </r>
  <r>
    <x v="3"/>
    <m/>
    <m/>
    <s v="PRI"/>
    <m/>
    <m/>
    <m/>
    <s v="TOTAL_PEG"/>
    <s v="MONTHLY"/>
    <s v=""/>
    <s v=""/>
    <s v=""/>
    <s v=""/>
    <s v=""/>
    <s v="PE Grant"/>
    <m/>
    <b v="0"/>
  </r>
  <r>
    <x v="3"/>
    <m/>
    <m/>
    <s v="SPE"/>
    <m/>
    <m/>
    <m/>
    <s v="TOTAL_PEG"/>
    <s v="MONTHLY"/>
    <s v=""/>
    <s v=""/>
    <s v=""/>
    <s v=""/>
    <s v=""/>
    <s v="PE Grant"/>
    <m/>
    <b v="0"/>
  </r>
  <r>
    <x v="3"/>
    <m/>
    <m/>
    <s v="ALL"/>
    <m/>
    <m/>
    <m/>
    <s v="TOTAL_PEG"/>
    <s v="MONTHLY"/>
    <s v=""/>
    <s v=""/>
    <s v=""/>
    <s v=""/>
    <s v=""/>
    <s v="PE Grant"/>
    <m/>
    <b v="0"/>
  </r>
  <r>
    <x v="3"/>
    <m/>
    <m/>
    <s v="PRI"/>
    <m/>
    <m/>
    <m/>
    <s v="UIFSM_TOTAL"/>
    <s v="MONTHLY"/>
    <s v=""/>
    <s v=""/>
    <s v=""/>
    <s v=""/>
    <s v=""/>
    <s v="UIFSM"/>
    <m/>
    <b v="0"/>
  </r>
  <r>
    <x v="3"/>
    <m/>
    <m/>
    <s v="SPE"/>
    <m/>
    <m/>
    <m/>
    <s v="UIFSM_TOTAL"/>
    <s v="MONTHLY"/>
    <s v=""/>
    <s v=""/>
    <s v=""/>
    <s v=""/>
    <s v=""/>
    <s v="UIFSM"/>
    <m/>
    <b v="0"/>
  </r>
  <r>
    <x v="3"/>
    <m/>
    <m/>
    <s v="ALL"/>
    <m/>
    <m/>
    <m/>
    <s v="UIFSM_TOTAL"/>
    <s v="MONTHLY"/>
    <s v=""/>
    <s v=""/>
    <s v=""/>
    <s v=""/>
    <s v=""/>
    <s v="UIFSM"/>
    <m/>
    <b v="0"/>
  </r>
  <r>
    <x v="3"/>
    <m/>
    <m/>
    <s v="PRI"/>
    <m/>
    <m/>
    <m/>
    <s v="UPLIFT_GAG_PUPIL"/>
    <s v="MONTHLY"/>
    <s v=""/>
    <s v=""/>
    <s v=""/>
    <s v=""/>
    <s v=""/>
    <s v="Mainstream Schools Additional Grant"/>
    <m/>
    <b v="0"/>
  </r>
  <r>
    <x v="3"/>
    <m/>
    <m/>
    <s v="SEC"/>
    <m/>
    <m/>
    <m/>
    <s v="UPLIFT_GAG_PUPIL"/>
    <s v="MONTHLY"/>
    <s v=""/>
    <s v=""/>
    <s v=""/>
    <s v=""/>
    <s v=""/>
    <s v="Mainstream Schools Additional Grant"/>
    <m/>
    <b v="0"/>
  </r>
  <r>
    <x v="3"/>
    <m/>
    <m/>
    <s v="SPE"/>
    <m/>
    <m/>
    <m/>
    <s v="UPLIFT_GAG_PUPIL"/>
    <s v="MONTHLY"/>
    <s v=""/>
    <s v=""/>
    <s v=""/>
    <s v=""/>
    <s v=""/>
    <s v="Mainstream Schools Additional Grant"/>
    <m/>
    <b v="0"/>
  </r>
  <r>
    <x v="3"/>
    <m/>
    <m/>
    <s v="ALL"/>
    <m/>
    <m/>
    <m/>
    <s v="UPLIFT_GAG_PUPIL"/>
    <s v="MONTHLY"/>
    <s v=""/>
    <s v=""/>
    <s v=""/>
    <s v=""/>
    <s v=""/>
    <s v="Mainstream Schools Additional Grant"/>
    <m/>
    <b v="0"/>
  </r>
  <r>
    <x v="3"/>
    <m/>
    <m/>
    <s v="PRI"/>
    <m/>
    <m/>
    <m/>
    <s v="UPLIFT_GAG_PUPIL"/>
    <s v="MONTHLY"/>
    <s v=""/>
    <s v=""/>
    <s v=""/>
    <s v=""/>
    <s v=""/>
    <s v="Total Teachers' Pay Additional Grant"/>
    <m/>
    <b v="0"/>
  </r>
  <r>
    <x v="3"/>
    <m/>
    <m/>
    <s v="SEC"/>
    <m/>
    <m/>
    <m/>
    <s v="UPLIFT_GAG_PUPIL"/>
    <s v="MONTHLY"/>
    <s v=""/>
    <s v=""/>
    <s v=""/>
    <s v=""/>
    <s v=""/>
    <s v="Total Teachers' Pay Additional Grant"/>
    <m/>
    <b v="0"/>
  </r>
  <r>
    <x v="3"/>
    <m/>
    <m/>
    <s v="ALL"/>
    <m/>
    <m/>
    <m/>
    <s v="UPLIFT_GAG_PUPIL"/>
    <s v="MONTHLY"/>
    <s v=""/>
    <s v=""/>
    <s v=""/>
    <s v=""/>
    <s v=""/>
    <s v="Total Teachers' Pay Additional Grant"/>
    <m/>
    <b v="0"/>
  </r>
  <r>
    <x v="4"/>
    <m/>
    <m/>
    <s v="PRI"/>
    <m/>
    <m/>
    <m/>
    <s v="CENTRALCHG_SCH"/>
    <s v="MONTHLY"/>
    <s v=""/>
    <s v=""/>
    <s v=""/>
    <s v=""/>
    <s v=""/>
    <s v="Central Charge School"/>
    <m/>
    <b v="1"/>
  </r>
  <r>
    <x v="4"/>
    <m/>
    <m/>
    <s v="SEC"/>
    <m/>
    <m/>
    <m/>
    <s v="CENTRALCHG_SCH"/>
    <s v="MONTHLY"/>
    <s v=""/>
    <s v=""/>
    <s v=""/>
    <s v=""/>
    <s v=""/>
    <s v="Central Charge School"/>
    <m/>
    <b v="1"/>
  </r>
  <r>
    <x v="4"/>
    <m/>
    <m/>
    <s v="SPE"/>
    <m/>
    <m/>
    <m/>
    <s v="CENTRALCHG_SCH"/>
    <s v="MONTHLY"/>
    <s v=""/>
    <s v=""/>
    <s v=""/>
    <s v=""/>
    <s v=""/>
    <s v="Central Charge School"/>
    <m/>
    <b v="1"/>
  </r>
  <r>
    <x v="4"/>
    <m/>
    <m/>
    <s v="ALL"/>
    <m/>
    <m/>
    <m/>
    <s v="CENTRALCHG_SCH"/>
    <s v="MONTHLY"/>
    <s v=""/>
    <s v=""/>
    <s v=""/>
    <s v=""/>
    <s v=""/>
    <s v="Central Charge School"/>
    <m/>
    <b v="1"/>
  </r>
  <r>
    <x v="4"/>
    <m/>
    <m/>
    <s v="PRI"/>
    <m/>
    <m/>
    <m/>
    <s v="LEVY_CALC"/>
    <s v="MONTHLY"/>
    <s v=""/>
    <s v=""/>
    <s v=""/>
    <s v=""/>
    <s v=""/>
    <s v="Apprentice Levy"/>
    <m/>
    <b v="0"/>
  </r>
  <r>
    <x v="4"/>
    <m/>
    <m/>
    <s v="SEC"/>
    <m/>
    <m/>
    <m/>
    <s v="LEVY_CALC"/>
    <s v="MONTHLY"/>
    <s v=""/>
    <s v=""/>
    <s v=""/>
    <s v=""/>
    <s v=""/>
    <s v="Apprentice Levy"/>
    <m/>
    <b v="0"/>
  </r>
  <r>
    <x v="4"/>
    <m/>
    <m/>
    <s v="SPE"/>
    <m/>
    <m/>
    <m/>
    <s v="LEVY_CALC"/>
    <s v="MONTHLY"/>
    <s v=""/>
    <s v=""/>
    <s v=""/>
    <s v=""/>
    <s v=""/>
    <s v="Apprentice Levy"/>
    <m/>
    <b v="0"/>
  </r>
  <r>
    <x v="4"/>
    <m/>
    <m/>
    <s v="ALL"/>
    <m/>
    <m/>
    <m/>
    <s v="LEVY_CALC"/>
    <s v="MONTHLY"/>
    <s v=""/>
    <s v=""/>
    <s v=""/>
    <s v=""/>
    <s v=""/>
    <s v="Apprentice Levy"/>
    <m/>
    <b v="0"/>
  </r>
  <r>
    <x v="4"/>
    <m/>
    <m/>
    <s v="PRI"/>
    <m/>
    <m/>
    <m/>
    <s v="RPA_CALC"/>
    <s v="MONTHLY"/>
    <s v=""/>
    <s v=""/>
    <s v=""/>
    <s v=""/>
    <s v=""/>
    <s v="RPA Insurance"/>
    <m/>
    <b v="0"/>
  </r>
  <r>
    <x v="4"/>
    <m/>
    <m/>
    <s v="SEC"/>
    <m/>
    <m/>
    <m/>
    <s v="RPA_CALC"/>
    <s v="MONTHLY"/>
    <s v=""/>
    <s v=""/>
    <s v=""/>
    <s v=""/>
    <s v=""/>
    <s v="RPA Insurance"/>
    <m/>
    <b v="0"/>
  </r>
  <r>
    <x v="4"/>
    <m/>
    <m/>
    <s v="ALL"/>
    <m/>
    <m/>
    <m/>
    <s v="RPA_CALC"/>
    <s v="MONTHLY"/>
    <s v=""/>
    <s v=""/>
    <s v=""/>
    <s v=""/>
    <s v=""/>
    <s v="RPA Insurance"/>
    <m/>
    <b v="0"/>
  </r>
  <r>
    <x v="4"/>
    <m/>
    <m/>
    <s v="SPE"/>
    <m/>
    <m/>
    <m/>
    <s v="RPA_SPE_CALC"/>
    <s v="MONTHLY"/>
    <s v=""/>
    <s v=""/>
    <s v=""/>
    <s v=""/>
    <s v=""/>
    <s v="RPA Insurance"/>
    <m/>
    <b v="0"/>
  </r>
  <r>
    <x v="5"/>
    <m/>
    <s v="CAP_BFWD_RES"/>
    <s v="ALL"/>
    <s v="DEFAULT"/>
    <s v="DEFAULT"/>
    <m/>
    <m/>
    <s v="MONTHLY"/>
    <s v=""/>
    <s v=""/>
    <s v=""/>
    <s v=""/>
    <s v=""/>
    <s v="Brought Forward Balance Capital"/>
    <m/>
    <b v="1"/>
  </r>
  <r>
    <x v="5"/>
    <m/>
    <s v="CAP_BFWD_RES"/>
    <s v="MAT"/>
    <s v="DEFAULT"/>
    <s v="DEFAULT"/>
    <m/>
    <m/>
    <s v="MONTHLY"/>
    <s v=""/>
    <s v=""/>
    <s v=""/>
    <s v=""/>
    <s v=""/>
    <s v="Brought Forward Balance Capital"/>
    <m/>
    <b v="1"/>
  </r>
  <r>
    <x v="5"/>
    <m/>
    <s v="CAP_BFWD_RES"/>
    <s v="PRI"/>
    <s v="DEFAULT"/>
    <s v="DEFAULT"/>
    <m/>
    <m/>
    <s v="MONTHLY"/>
    <s v=""/>
    <s v=""/>
    <s v=""/>
    <s v=""/>
    <s v=""/>
    <s v="Brought Forward Balance Capital"/>
    <m/>
    <b v="1"/>
  </r>
  <r>
    <x v="5"/>
    <m/>
    <s v="CAP_BFWD_RES"/>
    <s v="SEC"/>
    <s v="DEFAULT"/>
    <s v="DEFAULT"/>
    <m/>
    <m/>
    <s v="MONTHLY"/>
    <s v=""/>
    <s v=""/>
    <s v=""/>
    <s v=""/>
    <s v=""/>
    <s v="Brought Forward Balance Capital"/>
    <m/>
    <b v="1"/>
  </r>
  <r>
    <x v="5"/>
    <m/>
    <s v="CAP_BFWD_RES"/>
    <s v="SPE"/>
    <s v="DEFAULT"/>
    <s v="DEFAULT"/>
    <m/>
    <m/>
    <s v="MONTHLY"/>
    <s v=""/>
    <s v=""/>
    <s v=""/>
    <s v=""/>
    <s v=""/>
    <s v="Brought Forward Balance Capital"/>
    <m/>
    <b v="1"/>
  </r>
  <r>
    <x v="5"/>
    <m/>
    <s v="REV_BFWD_RES"/>
    <s v="ALL"/>
    <s v="DEFAULT"/>
    <s v="DEFAULT"/>
    <m/>
    <m/>
    <s v="MONTHLY"/>
    <s v=""/>
    <s v=""/>
    <s v=""/>
    <s v=""/>
    <s v=""/>
    <s v="Brought Forward Balance Revenue"/>
    <m/>
    <b v="1"/>
  </r>
  <r>
    <x v="5"/>
    <m/>
    <s v="REV_BFWD_RES"/>
    <s v="MAT"/>
    <s v="DEFAULT"/>
    <s v="DEFAULT"/>
    <m/>
    <m/>
    <s v="MONTHLY"/>
    <s v=""/>
    <s v=""/>
    <s v=""/>
    <s v=""/>
    <s v=""/>
    <s v="Brought Forward Balance Revenue"/>
    <m/>
    <b v="1"/>
  </r>
  <r>
    <x v="5"/>
    <m/>
    <s v="REV_BFWD_RES"/>
    <s v="PRI"/>
    <s v="DEFAULT"/>
    <s v="DEFAULT"/>
    <m/>
    <m/>
    <s v="MONTHLY"/>
    <s v=""/>
    <s v=""/>
    <s v=""/>
    <s v=""/>
    <s v=""/>
    <s v="Brought Forward Balance Revenue"/>
    <m/>
    <b v="1"/>
  </r>
  <r>
    <x v="5"/>
    <m/>
    <s v="REV_BFWD_RES"/>
    <s v="SEC"/>
    <s v="DEFAULT"/>
    <s v="DEFAULT"/>
    <m/>
    <m/>
    <s v="MONTHLY"/>
    <s v=""/>
    <s v=""/>
    <s v=""/>
    <s v=""/>
    <s v=""/>
    <s v="Brought Forward Balance Revenue"/>
    <m/>
    <b v="1"/>
  </r>
  <r>
    <x v="5"/>
    <m/>
    <s v="REV_BFWD_RES"/>
    <s v="SPE"/>
    <s v="DEFAULT"/>
    <s v="DEFAULT"/>
    <m/>
    <m/>
    <s v="MONTHLY"/>
    <s v=""/>
    <s v=""/>
    <s v=""/>
    <s v=""/>
    <s v=""/>
    <s v="Brought Forward Balance Revenue"/>
    <m/>
    <b v="1"/>
  </r>
  <r>
    <x v="6"/>
    <s v="APBUD2324"/>
    <m/>
    <s v="SEC"/>
    <m/>
    <m/>
    <m/>
    <m/>
    <m/>
    <s v=""/>
    <s v=""/>
    <s v=""/>
    <s v=""/>
    <s v=""/>
    <m/>
    <m/>
    <b v="1"/>
  </r>
  <r>
    <x v="6"/>
    <s v="MASTER_OG"/>
    <m/>
    <s v="PRI"/>
    <m/>
    <m/>
    <m/>
    <m/>
    <m/>
    <s v=""/>
    <s v=""/>
    <s v=""/>
    <s v=""/>
    <s v=""/>
    <m/>
    <m/>
    <b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7">
  <r>
    <x v="0"/>
    <m/>
    <s v="AWPU01_COR_PRI"/>
    <s v="MAT"/>
    <s v="DEFAULT"/>
    <s v="DEFAULT"/>
    <s v="AWPU Rate Primary Cornwall"/>
    <m/>
    <s v="2023/24"/>
    <b v="0"/>
    <m/>
  </r>
  <r>
    <x v="0"/>
    <m/>
    <s v="AWPU01_DEV_PRI"/>
    <s v="MAT"/>
    <s v="DEFAULT"/>
    <s v="DEFAULT"/>
    <s v="AWPU Rate Primary Devon"/>
    <m/>
    <s v="2023/24"/>
    <b v="0"/>
    <m/>
  </r>
  <r>
    <x v="0"/>
    <m/>
    <s v="AWPU02_COR_KS3"/>
    <s v="MAT"/>
    <s v="DEFAULT"/>
    <s v="DEFAULT"/>
    <s v="AWPU Rate KS3 Cornwall"/>
    <m/>
    <s v="2023/24"/>
    <b v="0"/>
    <m/>
  </r>
  <r>
    <x v="0"/>
    <m/>
    <s v="AWPU02_DEV_KS3"/>
    <s v="MAT"/>
    <s v="DEFAULT"/>
    <s v="DEFAULT"/>
    <s v="AWPU Rate KS3 Devon"/>
    <m/>
    <s v="2023/24"/>
    <b v="0"/>
    <m/>
  </r>
  <r>
    <x v="0"/>
    <m/>
    <s v="AWPU03_COR_KS4"/>
    <s v="MAT"/>
    <s v="DEFAULT"/>
    <s v="DEFAULT"/>
    <s v="AWPU Rate KS4 Cornwall"/>
    <m/>
    <s v="2023/24"/>
    <b v="0"/>
    <m/>
  </r>
  <r>
    <x v="0"/>
    <m/>
    <s v="AWPU03_DEV_KS4"/>
    <s v="MAT"/>
    <s v="DEFAULT"/>
    <s v="DEFAULT"/>
    <s v="AWPU Rate KS4 Devon"/>
    <m/>
    <s v="2023/24"/>
    <b v="0"/>
    <m/>
  </r>
  <r>
    <x v="0"/>
    <m/>
    <s v="CENCHG"/>
    <s v="MAT"/>
    <s v="DEFAULT"/>
    <s v="DEFAULT"/>
    <s v="Central Charge % Rate"/>
    <m/>
    <s v="2023/24"/>
    <b v="0"/>
    <m/>
  </r>
  <r>
    <x v="0"/>
    <m/>
    <s v="DFC_CORE"/>
    <s v="MAT"/>
    <s v="DEFAULT"/>
    <s v="DEFAULT"/>
    <s v="DFC Core"/>
    <m/>
    <s v="2021/22"/>
    <b v="0"/>
    <n v="-4000"/>
  </r>
  <r>
    <x v="0"/>
    <m/>
    <s v="DFC_PUPIL_NUR"/>
    <s v="MAT"/>
    <s v="DEFAULT"/>
    <s v="DEFAULT"/>
    <s v="DFC Nursery Pupil"/>
    <m/>
    <s v="2021/22"/>
    <b v="0"/>
    <n v="-6.75"/>
  </r>
  <r>
    <x v="0"/>
    <m/>
    <s v="DFC_PUPIL_POST16"/>
    <s v="MAT"/>
    <s v="DEFAULT"/>
    <s v="DEFAULT"/>
    <s v="DFC Post16 Pupil"/>
    <m/>
    <s v="2021/22"/>
    <b v="0"/>
    <n v="-22.5"/>
  </r>
  <r>
    <x v="0"/>
    <m/>
    <s v="DFC_PUPIL_PRI"/>
    <s v="MAT"/>
    <s v="DEFAULT"/>
    <s v="DEFAULT"/>
    <s v="DFC Primary Pupil"/>
    <m/>
    <s v="2021/22"/>
    <b v="0"/>
    <n v="-11.25"/>
  </r>
  <r>
    <x v="0"/>
    <m/>
    <s v="DFC_PUPIL_SEC"/>
    <s v="MAT"/>
    <s v="DEFAULT"/>
    <s v="DEFAULT"/>
    <s v="DFC Secondary Pupil"/>
    <m/>
    <s v="2021/22"/>
    <b v="0"/>
    <n v="-16.88"/>
  </r>
  <r>
    <x v="0"/>
    <m/>
    <s v="DFC_PUPIL_SPS"/>
    <s v="MAT"/>
    <s v="DEFAULT"/>
    <s v="DEFAULT"/>
    <s v="DFC Special Pupil"/>
    <m/>
    <s v="2022/23"/>
    <b v="0"/>
    <n v="-50.625"/>
  </r>
  <r>
    <x v="0"/>
    <m/>
    <s v="DFC_PUPIL_SPS"/>
    <s v="MAT"/>
    <s v="DEFAULT"/>
    <s v="DEFAULT"/>
    <s v="DFC Special Pupil"/>
    <m/>
    <s v="2021/22"/>
    <b v="0"/>
    <n v="-33.75"/>
  </r>
  <r>
    <x v="0"/>
    <m/>
    <s v="HNPFO_RATE"/>
    <s v="MAT"/>
    <s v="DEFAULT"/>
    <s v="DEFAULT"/>
    <s v="Occupied High Needs Place Funding Per Pupil Rate"/>
    <m/>
    <s v="2021/22"/>
    <b v="0"/>
    <n v="-6000"/>
  </r>
  <r>
    <x v="0"/>
    <m/>
    <s v="HNPF_RATE"/>
    <s v="MAT"/>
    <s v="DEFAULT"/>
    <s v="DEFAULT"/>
    <s v="High Needs Place Funding Per Pupil Rate"/>
    <m/>
    <s v="2021/22"/>
    <b v="0"/>
    <n v="-10000"/>
  </r>
  <r>
    <x v="0"/>
    <m/>
    <s v="LEVY"/>
    <s v="MAT"/>
    <s v="DEFAULT"/>
    <s v="DEFAULT"/>
    <s v="Apprentice Levy"/>
    <m/>
    <s v="2021/22"/>
    <b v="0"/>
    <n v="0.5"/>
  </r>
  <r>
    <x v="0"/>
    <m/>
    <s v="LEVY_ALL"/>
    <s v="MAT"/>
    <s v="DEFAULT"/>
    <s v="DEFAULT"/>
    <s v="Apprentice Allowance"/>
    <m/>
    <s v="2021/22"/>
    <b v="0"/>
    <n v="-15000"/>
  </r>
  <r>
    <x v="0"/>
    <m/>
    <s v="LUMP_COR_PRI"/>
    <s v="MAT"/>
    <s v="DEFAULT"/>
    <s v="DEFAULT"/>
    <s v="Lump Sum Rate Primary Cornwall"/>
    <m/>
    <s v="2023/24"/>
    <b v="0"/>
    <m/>
  </r>
  <r>
    <x v="0"/>
    <m/>
    <s v="LUMP_COR_SEC"/>
    <s v="MAT"/>
    <s v="DEFAULT"/>
    <s v="DEFAULT"/>
    <s v="Lump Sum Rate Secondary Cornwall"/>
    <m/>
    <s v="2023/24"/>
    <b v="0"/>
    <m/>
  </r>
  <r>
    <x v="0"/>
    <m/>
    <s v="LUMP_DEV_PRI"/>
    <s v="MAT"/>
    <s v="DEFAULT"/>
    <s v="DEFAULT"/>
    <s v="Lump Sum Rate Primary Devon"/>
    <m/>
    <s v="2023/24"/>
    <b v="0"/>
    <m/>
  </r>
  <r>
    <x v="0"/>
    <m/>
    <s v="LUMP_DEV_SEC"/>
    <s v="MAT"/>
    <s v="DEFAULT"/>
    <s v="DEFAULT"/>
    <s v="Lump Sum Rate Secondary Devon"/>
    <m/>
    <s v="2023/24"/>
    <b v="0"/>
    <m/>
  </r>
  <r>
    <x v="0"/>
    <m/>
    <s v="PAYGRANT_SPS"/>
    <s v="MAT"/>
    <s v="DEFAULT"/>
    <s v="DEFAULT"/>
    <s v="Teachers Pay Grant Special School"/>
    <m/>
    <s v="2019/20"/>
    <b v="0"/>
    <n v="-102.08"/>
  </r>
  <r>
    <x v="0"/>
    <m/>
    <s v="PAYGRANT_SPS"/>
    <s v="MAT"/>
    <s v="DEFAULT"/>
    <s v="DEFAULT"/>
    <s v="Teachers Pay Grant Special School"/>
    <m/>
    <s v="2023/24"/>
    <b v="0"/>
    <n v="-174.99"/>
  </r>
  <r>
    <x v="0"/>
    <m/>
    <s v="PAYGRANT_SPS_FRINGE"/>
    <s v="MAT"/>
    <s v="DEFAULT"/>
    <s v="DEFAULT"/>
    <s v="Teachers Pay Grant Special School"/>
    <m/>
    <s v="2023/24"/>
    <b v="0"/>
    <n v="-180.29"/>
  </r>
  <r>
    <x v="0"/>
    <m/>
    <s v="PAYGRANT_SPS_FRINGE"/>
    <s v="MAT"/>
    <s v="DEFAULT"/>
    <s v="DEFAULT"/>
    <s v="Teachers Pay Grant Special School"/>
    <m/>
    <s v="2019/20"/>
    <b v="0"/>
    <n v="-105.17"/>
  </r>
  <r>
    <x v="0"/>
    <m/>
    <s v="PAYGRANT_SPS_INNER"/>
    <s v="MAT"/>
    <s v="DEFAULT"/>
    <s v="DEFAULT"/>
    <s v="Teachers Pay Grant Special School"/>
    <m/>
    <s v="2023/24"/>
    <b v="0"/>
    <n v="-208.18"/>
  </r>
  <r>
    <x v="0"/>
    <m/>
    <s v="PAYGRANT_SPS_INNER"/>
    <s v="MAT"/>
    <s v="DEFAULT"/>
    <s v="DEFAULT"/>
    <s v="Teachers Pay Grant Special School"/>
    <m/>
    <s v="2019/20"/>
    <b v="0"/>
    <n v="-121.44"/>
  </r>
  <r>
    <x v="0"/>
    <m/>
    <s v="PAYGRANT_SPS_OUTER"/>
    <s v="MAT"/>
    <s v="DEFAULT"/>
    <s v="DEFAULT"/>
    <s v="Teachers Pay Grant Special School"/>
    <m/>
    <s v="2023/24"/>
    <b v="0"/>
    <n v="-192.6"/>
  </r>
  <r>
    <x v="0"/>
    <m/>
    <s v="PAYGRANT_SPS_OUTER"/>
    <s v="MAT"/>
    <s v="DEFAULT"/>
    <s v="DEFAULT"/>
    <s v="Teachers Pay Grant Special School"/>
    <m/>
    <s v="2019/20"/>
    <b v="0"/>
    <n v="-112.35"/>
  </r>
  <r>
    <x v="0"/>
    <m/>
    <s v="PEG_CORE"/>
    <s v="MAT"/>
    <s v="DEFAULT"/>
    <s v="DEFAULT"/>
    <s v="PE Grant Core Rate"/>
    <m/>
    <s v="2021/22"/>
    <b v="0"/>
    <n v="-16000"/>
  </r>
  <r>
    <x v="0"/>
    <m/>
    <s v="PEG_PUPIL"/>
    <s v="MAT"/>
    <s v="DEFAULT"/>
    <s v="DEFAULT"/>
    <s v="PE Grant Per Pupil Rate"/>
    <m/>
    <s v="2021/22"/>
    <b v="0"/>
    <n v="-10"/>
  </r>
  <r>
    <x v="0"/>
    <m/>
    <s v="PENSGRANT_POST16"/>
    <s v="MAT"/>
    <s v="DEFAULT"/>
    <s v="DEFAULT"/>
    <s v="Teachers Pensions Grant Post 16"/>
    <m/>
    <s v="2019/20"/>
    <b v="0"/>
    <n v="-195.57"/>
  </r>
  <r>
    <x v="0"/>
    <m/>
    <s v="PENSGRANT_POST16_FRINGE"/>
    <s v="MAT"/>
    <s v="DEFAULT"/>
    <s v="DEFAULT"/>
    <s v="Teachers Pensions Grant Post 16 Fringe"/>
    <m/>
    <s v="2019/20"/>
    <b v="0"/>
    <n v="-201.48"/>
  </r>
  <r>
    <x v="0"/>
    <m/>
    <s v="PENSGRANT_POST16_INNER"/>
    <s v="MAT"/>
    <s v="DEFAULT"/>
    <s v="DEFAULT"/>
    <s v="Teachers Pensions Grant Post 16 Inner"/>
    <m/>
    <s v="2019/20"/>
    <b v="0"/>
    <n v="-232.65"/>
  </r>
  <r>
    <x v="0"/>
    <m/>
    <s v="PENSGRANT_POST16_OUTER"/>
    <s v="MAT"/>
    <s v="DEFAULT"/>
    <s v="DEFAULT"/>
    <s v="Teachers Pensions Grant Post 16 Outer"/>
    <m/>
    <s v="2019/20"/>
    <b v="0"/>
    <n v="-215.23"/>
  </r>
  <r>
    <x v="0"/>
    <m/>
    <s v="PENSGRANT_SPS"/>
    <s v="MAT"/>
    <s v="DEFAULT"/>
    <s v="DEFAULT"/>
    <s v="Teachers Pensions Grant Special School"/>
    <m/>
    <s v="2019/20"/>
    <b v="0"/>
    <n v="-484.95"/>
  </r>
  <r>
    <x v="0"/>
    <m/>
    <s v="PENSGRANT_SPS_FRINGE"/>
    <s v="MAT"/>
    <s v="DEFAULT"/>
    <s v="DEFAULT"/>
    <s v="Teachers Pensions Grant Special School"/>
    <m/>
    <s v="2019/20"/>
    <b v="0"/>
    <n v="-499.61"/>
  </r>
  <r>
    <x v="0"/>
    <m/>
    <s v="PENSGRANT_SPS_INNER"/>
    <s v="MAT"/>
    <s v="DEFAULT"/>
    <s v="DEFAULT"/>
    <s v="Teachers Pensions Grant Special School"/>
    <m/>
    <s v="2019/20"/>
    <b v="0"/>
    <n v="-576.91"/>
  </r>
  <r>
    <x v="0"/>
    <m/>
    <s v="PENSGRANT_SPS_OUTER"/>
    <s v="MAT"/>
    <s v="DEFAULT"/>
    <s v="DEFAULT"/>
    <s v="Teachers Pensions Grant Special School"/>
    <m/>
    <s v="2019/20"/>
    <b v="0"/>
    <n v="-533.71"/>
  </r>
  <r>
    <x v="0"/>
    <m/>
    <s v="PUPLAC_RATE"/>
    <s v="MAT"/>
    <s v="DEFAULT"/>
    <s v="DEFAULT"/>
    <s v="Pupil Premium LAC Rate"/>
    <m/>
    <s v="2022/23"/>
    <b v="0"/>
    <n v="-2530"/>
  </r>
  <r>
    <x v="0"/>
    <m/>
    <s v="PUPLAC_RATE"/>
    <s v="MAT"/>
    <s v="DEFAULT"/>
    <s v="DEFAULT"/>
    <s v="Pupil Premium LAC Rate"/>
    <m/>
    <s v="2021/22"/>
    <b v="0"/>
    <n v="-2410"/>
  </r>
  <r>
    <x v="0"/>
    <m/>
    <s v="PUPPRI_RATE"/>
    <s v="MAT"/>
    <s v="DEFAULT"/>
    <s v="DEFAULT"/>
    <s v="Pupil Premium Rate Primary"/>
    <m/>
    <s v="2022/23"/>
    <b v="0"/>
    <n v="-1455"/>
  </r>
  <r>
    <x v="0"/>
    <m/>
    <s v="PUPPRI_RATE"/>
    <s v="MAT"/>
    <s v="DEFAULT"/>
    <s v="DEFAULT"/>
    <s v="Pupil Premium Rate Primary"/>
    <m/>
    <s v="2021/22"/>
    <b v="0"/>
    <n v="-1385"/>
  </r>
  <r>
    <x v="0"/>
    <m/>
    <s v="PUPSEC_RATE"/>
    <s v="MAT"/>
    <s v="DEFAULT"/>
    <s v="DEFAULT"/>
    <s v="Pupil Premium Rate Secondary"/>
    <m/>
    <s v="2022/23"/>
    <b v="0"/>
    <n v="-1035"/>
  </r>
  <r>
    <x v="0"/>
    <m/>
    <s v="PUPSEC_RATE"/>
    <s v="MAT"/>
    <s v="DEFAULT"/>
    <s v="DEFAULT"/>
    <s v="Pupil Premium Rate Secondary"/>
    <m/>
    <s v="2021/22"/>
    <b v="0"/>
    <n v="-985"/>
  </r>
  <r>
    <x v="0"/>
    <m/>
    <s v="PUPSER_RATE"/>
    <s v="MAT"/>
    <s v="DEFAULT"/>
    <s v="DEFAULT"/>
    <s v="Pupil Premium SER Rate"/>
    <m/>
    <s v="2022/23"/>
    <b v="0"/>
    <n v="-335"/>
  </r>
  <r>
    <x v="0"/>
    <m/>
    <s v="PUPSER_RATE"/>
    <s v="MAT"/>
    <s v="DEFAULT"/>
    <s v="DEFAULT"/>
    <s v="Pupil Premium SER Rate"/>
    <m/>
    <s v="2021/22"/>
    <b v="0"/>
    <n v="-320"/>
  </r>
  <r>
    <x v="0"/>
    <m/>
    <s v="RECOVERY_RATE_PRI"/>
    <s v="MAT"/>
    <s v="DEFAULT"/>
    <s v="DEFAULT"/>
    <s v="Recovery premium primary rate"/>
    <m/>
    <s v="2022/23"/>
    <b v="0"/>
    <n v="-145"/>
  </r>
  <r>
    <x v="0"/>
    <m/>
    <s v="RECOVERY_RATE_SEC"/>
    <s v="MAT"/>
    <s v="DEFAULT"/>
    <s v="DEFAULT"/>
    <s v="Recovery premium secondary rate"/>
    <m/>
    <s v="2022/23"/>
    <b v="0"/>
    <n v="-276"/>
  </r>
  <r>
    <x v="0"/>
    <m/>
    <s v="RPA_RATE"/>
    <s v="MAT"/>
    <s v="DEFAULT"/>
    <s v="DEFAULT"/>
    <s v="RPA Per Pupil Rate"/>
    <m/>
    <s v="2021/22"/>
    <b v="0"/>
    <n v="19"/>
  </r>
  <r>
    <x v="0"/>
    <m/>
    <s v="RPA_RATE"/>
    <s v="MAT"/>
    <s v="DEFAULT"/>
    <s v="DEFAULT"/>
    <s v="RPA Per Pupil Rate"/>
    <m/>
    <s v="2022/23"/>
    <b v="0"/>
    <n v="21"/>
  </r>
  <r>
    <x v="0"/>
    <m/>
    <s v="RPA_RATE"/>
    <s v="MAT"/>
    <s v="DEFAULT"/>
    <s v="DEFAULT"/>
    <s v="RPA Per Pupil Rate"/>
    <m/>
    <s v="2023/24"/>
    <b v="0"/>
    <n v="23"/>
  </r>
  <r>
    <x v="0"/>
    <m/>
    <s v="RPA_RATE"/>
    <s v="MAT"/>
    <s v="DEFAULT"/>
    <s v="DEFAULT"/>
    <s v="RPA Per Pupil Rate"/>
    <m/>
    <s v="2024/25"/>
    <b v="0"/>
    <n v="25"/>
  </r>
  <r>
    <x v="0"/>
    <m/>
    <s v="UIFSM_RATE"/>
    <s v="MAT"/>
    <s v="DEFAULT"/>
    <s v="DEFAULT"/>
    <s v="UIFSM Per Pupil Per Annum"/>
    <m/>
    <s v="2021/22"/>
    <b v="0"/>
    <n v="-457.9"/>
  </r>
  <r>
    <x v="0"/>
    <m/>
    <s v="UIFSM_RATE"/>
    <s v="MAT"/>
    <s v="DEFAULT"/>
    <s v="DEFAULT"/>
    <s v="UIFSM Per Pupil Per Annum"/>
    <m/>
    <s v="2023/24"/>
    <b v="0"/>
    <n v="-480.7"/>
  </r>
  <r>
    <x v="0"/>
    <m/>
    <s v="UPLIFT_ASCL"/>
    <s v="MAT"/>
    <s v="DEFAULT"/>
    <s v="DEFAULT"/>
    <s v="ASCL Guidance on non Staffing (%)"/>
    <m/>
    <s v="2023/24"/>
    <b v="0"/>
    <m/>
  </r>
  <r>
    <x v="0"/>
    <m/>
    <s v="UPLIFT_CPI"/>
    <s v="MAT"/>
    <s v="DEFAULT"/>
    <s v="DEFAULT"/>
    <s v="CPI"/>
    <m/>
    <s v="2022/23"/>
    <b v="0"/>
    <n v="117.1"/>
  </r>
  <r>
    <x v="0"/>
    <m/>
    <s v="UPLIFT_CPI"/>
    <s v="MAT"/>
    <s v="DEFAULT"/>
    <s v="DEFAULT"/>
    <s v="CPI"/>
    <m/>
    <s v="2021/22"/>
    <b v="0"/>
    <n v="109.4"/>
  </r>
  <r>
    <x v="0"/>
    <m/>
    <s v="UPLIFT_EXP"/>
    <s v="MAT"/>
    <s v="DEFAULT"/>
    <s v="DEFAULT"/>
    <s v="Expenditure Uplift %"/>
    <m/>
    <s v="2023/24"/>
    <b v="0"/>
    <m/>
  </r>
  <r>
    <x v="0"/>
    <m/>
    <s v="UPLIFT_GAG"/>
    <s v="MAT"/>
    <s v="DEFAULT"/>
    <s v="DEFAULT"/>
    <s v="GAG Uplift %"/>
    <m/>
    <s v="2023/24"/>
    <b v="0"/>
    <m/>
  </r>
  <r>
    <x v="0"/>
    <m/>
    <s v="UPLIFT_INC"/>
    <s v="MAT"/>
    <s v="DEFAULT"/>
    <s v="DEFAULT"/>
    <s v="Income Uplift %"/>
    <m/>
    <s v="2023/24"/>
    <b v="0"/>
    <m/>
  </r>
  <r>
    <x v="0"/>
    <m/>
    <s v="UPLIFT_POST16"/>
    <s v="MAT"/>
    <s v="DEFAULT"/>
    <s v="DEFAULT"/>
    <s v="Post 16 GAG Uplift %"/>
    <m/>
    <s v="2023/24"/>
    <b v="0"/>
    <m/>
  </r>
  <r>
    <x v="0"/>
    <m/>
    <s v="UPLIFT_RPI"/>
    <s v="MAT"/>
    <s v="DEFAULT"/>
    <s v="DEFAULT"/>
    <s v="RPI"/>
    <m/>
    <s v="2023/24"/>
    <b v="0"/>
    <n v="3"/>
  </r>
  <r>
    <x v="0"/>
    <m/>
    <s v="UPLIFT_RPI"/>
    <s v="MAT"/>
    <s v="DEFAULT"/>
    <s v="DEFAULT"/>
    <s v="RPI"/>
    <m/>
    <s v="2022/23"/>
    <b v="0"/>
    <n v="3.1"/>
  </r>
  <r>
    <x v="1"/>
    <m/>
    <s v="PUPIL_CEN"/>
    <s v="ALL"/>
    <s v="DEFAULT"/>
    <s v="DEFAULT"/>
    <s v="Nursery Pupil Numbers"/>
    <m/>
    <s v="2022/23"/>
    <b v="0"/>
    <m/>
  </r>
  <r>
    <x v="1"/>
    <m/>
    <s v="PUPIL_CEN_00"/>
    <s v="ALL"/>
    <s v="DEFAULT"/>
    <s v="DEFAULT"/>
    <s v="Reception Pupil Numbers"/>
    <m/>
    <s v="2022/23"/>
    <b v="0"/>
    <m/>
  </r>
  <r>
    <x v="1"/>
    <m/>
    <s v="PUPIL_CEN_01"/>
    <s v="ALL"/>
    <s v="DEFAULT"/>
    <s v="DEFAULT"/>
    <s v="Year 1 Pupil Numbers"/>
    <m/>
    <s v="2022/23"/>
    <b v="0"/>
    <m/>
  </r>
  <r>
    <x v="1"/>
    <m/>
    <s v="PUPIL_CEN_02"/>
    <s v="ALL"/>
    <s v="DEFAULT"/>
    <s v="DEFAULT"/>
    <s v="Year 2 Pupil Numbers"/>
    <m/>
    <s v="2022/23"/>
    <b v="0"/>
    <m/>
  </r>
  <r>
    <x v="1"/>
    <m/>
    <s v="PUPIL_CEN_03"/>
    <s v="ALL"/>
    <s v="DEFAULT"/>
    <s v="DEFAULT"/>
    <s v="Year 3 Pupil Numbers"/>
    <m/>
    <s v="2022/23"/>
    <b v="0"/>
    <m/>
  </r>
  <r>
    <x v="1"/>
    <m/>
    <s v="PUPIL_CEN_04"/>
    <s v="ALL"/>
    <s v="DEFAULT"/>
    <s v="DEFAULT"/>
    <s v="Year 4 Pupil Numbers"/>
    <m/>
    <s v="2022/23"/>
    <b v="0"/>
    <m/>
  </r>
  <r>
    <x v="1"/>
    <m/>
    <s v="PUPIL_CEN_05"/>
    <s v="ALL"/>
    <s v="DEFAULT"/>
    <s v="DEFAULT"/>
    <s v="Year 5 Pupil Numbers"/>
    <m/>
    <s v="2022/23"/>
    <b v="0"/>
    <m/>
  </r>
  <r>
    <x v="1"/>
    <m/>
    <s v="PUPIL_CEN_06"/>
    <s v="ALL"/>
    <s v="DEFAULT"/>
    <s v="DEFAULT"/>
    <s v="Year 6 Pupil Numbers"/>
    <m/>
    <s v="2022/23"/>
    <b v="0"/>
    <m/>
  </r>
  <r>
    <x v="1"/>
    <m/>
    <s v="PUPIL_CEN_07"/>
    <s v="ALL"/>
    <s v="DEFAULT"/>
    <s v="DEFAULT"/>
    <s v="Year 7 Pupil Numbers"/>
    <m/>
    <s v="2022/23"/>
    <b v="0"/>
    <m/>
  </r>
  <r>
    <x v="1"/>
    <m/>
    <s v="PUPIL_CEN_08"/>
    <s v="ALL"/>
    <s v="DEFAULT"/>
    <s v="DEFAULT"/>
    <s v="Year 8 Pupil Numbers"/>
    <m/>
    <s v="2022/23"/>
    <b v="0"/>
    <m/>
  </r>
  <r>
    <x v="1"/>
    <m/>
    <s v="PUPIL_CEN_09"/>
    <s v="ALL"/>
    <s v="DEFAULT"/>
    <s v="DEFAULT"/>
    <s v="Year 9 Pupil Numbers"/>
    <m/>
    <s v="2022/23"/>
    <b v="0"/>
    <m/>
  </r>
  <r>
    <x v="1"/>
    <m/>
    <s v="PUPIL_CEN_10"/>
    <s v="ALL"/>
    <s v="DEFAULT"/>
    <s v="DEFAULT"/>
    <s v="Year 10 Pupil Numbers"/>
    <m/>
    <s v="2022/23"/>
    <b v="0"/>
    <m/>
  </r>
  <r>
    <x v="1"/>
    <m/>
    <s v="PUPIL_CEN_11"/>
    <s v="ALL"/>
    <s v="DEFAULT"/>
    <s v="DEFAULT"/>
    <s v="Year 11 Pupil Numbers"/>
    <m/>
    <s v="2022/23"/>
    <b v="0"/>
    <m/>
  </r>
  <r>
    <x v="1"/>
    <m/>
    <s v="PUPIL_CEN_12"/>
    <s v="ALL"/>
    <s v="DEFAULT"/>
    <s v="DEFAULT"/>
    <s v="Year 12 Pupil Numbers"/>
    <m/>
    <s v="2022/23"/>
    <b v="0"/>
    <m/>
  </r>
  <r>
    <x v="1"/>
    <m/>
    <s v="PUPIL_CEN_13"/>
    <s v="ALL"/>
    <s v="DEFAULT"/>
    <s v="DEFAULT"/>
    <s v="Year 13 Pupil Numbers"/>
    <m/>
    <s v="2022/23"/>
    <b v="0"/>
    <m/>
  </r>
  <r>
    <x v="1"/>
    <m/>
    <s v="PUPIL_CEN_14"/>
    <s v="ALL"/>
    <s v="DEFAULT"/>
    <s v="DEFAULT"/>
    <s v="Year 14 Pupil Numbers"/>
    <m/>
    <s v="2022/23"/>
    <b v="0"/>
    <m/>
  </r>
  <r>
    <x v="1"/>
    <m/>
    <s v="PUPIL_UIFSM"/>
    <s v="ALL"/>
    <s v="DEFAULT"/>
    <s v="DEFAULT"/>
    <s v="Pupils taking UIFSM"/>
    <m/>
    <s v="2022/23"/>
    <b v="0"/>
    <m/>
  </r>
  <r>
    <x v="1"/>
    <m/>
    <s v="PUPILPREMIUM_PRI"/>
    <s v="ALL"/>
    <s v="DEFAULT"/>
    <s v="DEFAULT"/>
    <s v="Pupil Premium Numbers Primary"/>
    <m/>
    <s v="2022/23"/>
    <b v="0"/>
    <m/>
  </r>
  <r>
    <x v="1"/>
    <m/>
    <s v="PUPILPREMIUM_SEC"/>
    <s v="ALL"/>
    <s v="DEFAULT"/>
    <s v="DEFAULT"/>
    <s v="Pupil Premium Numbers Secondary"/>
    <m/>
    <s v="2022/23"/>
    <b v="0"/>
    <m/>
  </r>
  <r>
    <x v="1"/>
    <m/>
    <s v="PUPILPREMIUMLAC"/>
    <s v="ALL"/>
    <s v="DEFAULT"/>
    <s v="DEFAULT"/>
    <s v="Pupil Premium LAC Numbers"/>
    <m/>
    <s v="2022/23"/>
    <b v="0"/>
    <m/>
  </r>
  <r>
    <x v="1"/>
    <m/>
    <s v="PUPILPREMIUMSER"/>
    <s v="ALL"/>
    <s v="DEFAULT"/>
    <s v="DEFAULT"/>
    <s v="Pupil Premium Service Numbers"/>
    <m/>
    <s v="2022/23"/>
    <b v="0"/>
    <m/>
  </r>
  <r>
    <x v="1"/>
    <m/>
    <s v="FUNDED_KS3_ADJ"/>
    <s v="ALL"/>
    <s v="DEFAULT"/>
    <s v="DEFAULT"/>
    <s v="Funding Statement Adjustment KS3"/>
    <m/>
    <s v="2023/24"/>
    <b v="0"/>
    <m/>
  </r>
  <r>
    <x v="1"/>
    <m/>
    <s v="FUNDED_KS4_ADJ"/>
    <s v="ALL"/>
    <s v="DEFAULT"/>
    <s v="DEFAULT"/>
    <s v="Funding Statement Adjustment KS4"/>
    <m/>
    <s v="2023/24"/>
    <b v="0"/>
    <m/>
  </r>
  <r>
    <x v="1"/>
    <m/>
    <s v="FUNDED_KS5_ADJ"/>
    <s v="ALL"/>
    <s v="DEFAULT"/>
    <s v="DEFAULT"/>
    <s v="Funding Statement Adjustment KS5"/>
    <m/>
    <s v="2023/24"/>
    <b v="0"/>
    <m/>
  </r>
  <r>
    <x v="1"/>
    <m/>
    <s v="FUNDED_PPPOST16"/>
    <s v="ALL"/>
    <s v="DEFAULT"/>
    <s v="DEFAULT"/>
    <s v="Post 16 Pupil Places Special Provision"/>
    <m/>
    <s v="2023/24"/>
    <b v="0"/>
    <m/>
  </r>
  <r>
    <x v="1"/>
    <m/>
    <s v="FUNDED_PPPOST16O"/>
    <s v="ALL"/>
    <s v="DEFAULT"/>
    <s v="DEFAULT"/>
    <s v="Occupied Post 16 Pupil Places Special Provision"/>
    <m/>
    <s v="2023/24"/>
    <b v="0"/>
    <m/>
  </r>
  <r>
    <x v="1"/>
    <m/>
    <s v="FUNDED_PPPRE16"/>
    <s v="ALL"/>
    <s v="DEFAULT"/>
    <s v="DEFAULT"/>
    <s v="Pre 16 Pupil Places Special Provision"/>
    <m/>
    <s v="2023/24"/>
    <b v="0"/>
    <m/>
  </r>
  <r>
    <x v="1"/>
    <m/>
    <s v="FUNDED_PPPRE16O"/>
    <s v="ALL"/>
    <s v="DEFAULT"/>
    <s v="DEFAULT"/>
    <s v="Occupied Pre 16 Pupil Places Special Provision"/>
    <m/>
    <s v="2023/24"/>
    <b v="0"/>
    <m/>
  </r>
  <r>
    <x v="1"/>
    <m/>
    <s v="FUNDED_PRI_ADJ"/>
    <s v="ALL"/>
    <s v="DEFAULT"/>
    <s v="DEFAULT"/>
    <s v="Funding Statement Adjustment Primary"/>
    <m/>
    <s v="2023/24"/>
    <b v="0"/>
    <m/>
  </r>
  <r>
    <x v="1"/>
    <m/>
    <s v="PUPIL_CEN"/>
    <s v="ALL"/>
    <s v="DEFAULT"/>
    <s v="DEFAULT"/>
    <s v="Nursery Pupil Numbers"/>
    <m/>
    <s v="2023/24"/>
    <b v="0"/>
    <m/>
  </r>
  <r>
    <x v="1"/>
    <m/>
    <s v="PUPIL_CEN_00"/>
    <s v="ALL"/>
    <s v="DEFAULT"/>
    <s v="DEFAULT"/>
    <s v="Reception Pupil Numbers"/>
    <m/>
    <s v="2023/24"/>
    <b v="0"/>
    <m/>
  </r>
  <r>
    <x v="1"/>
    <m/>
    <s v="PUPIL_CEN_01"/>
    <s v="ALL"/>
    <s v="DEFAULT"/>
    <s v="DEFAULT"/>
    <s v="Year 1 Pupil Numbers"/>
    <m/>
    <s v="2023/24"/>
    <b v="0"/>
    <m/>
  </r>
  <r>
    <x v="1"/>
    <m/>
    <s v="PUPIL_CEN_02"/>
    <s v="ALL"/>
    <s v="DEFAULT"/>
    <s v="DEFAULT"/>
    <s v="Year 2 Pupil Numbers"/>
    <m/>
    <s v="2023/24"/>
    <b v="0"/>
    <m/>
  </r>
  <r>
    <x v="1"/>
    <m/>
    <s v="PUPIL_CEN_03"/>
    <s v="ALL"/>
    <s v="DEFAULT"/>
    <s v="DEFAULT"/>
    <s v="Year 3 Pupil Numbers"/>
    <m/>
    <s v="2023/24"/>
    <b v="0"/>
    <m/>
  </r>
  <r>
    <x v="1"/>
    <m/>
    <s v="PUPIL_CEN_04"/>
    <s v="ALL"/>
    <s v="DEFAULT"/>
    <s v="DEFAULT"/>
    <s v="Year 4 Pupil Numbers"/>
    <m/>
    <s v="2023/24"/>
    <b v="0"/>
    <m/>
  </r>
  <r>
    <x v="1"/>
    <m/>
    <s v="PUPIL_CEN_05"/>
    <s v="ALL"/>
    <s v="DEFAULT"/>
    <s v="DEFAULT"/>
    <s v="Year 5 Pupil Numbers"/>
    <m/>
    <s v="2023/24"/>
    <b v="0"/>
    <m/>
  </r>
  <r>
    <x v="1"/>
    <m/>
    <s v="PUPIL_CEN_06"/>
    <s v="ALL"/>
    <s v="DEFAULT"/>
    <s v="DEFAULT"/>
    <s v="Year 6 Pupil Numbers"/>
    <m/>
    <s v="2023/24"/>
    <b v="0"/>
    <m/>
  </r>
  <r>
    <x v="1"/>
    <m/>
    <s v="PUPIL_CEN_07"/>
    <s v="ALL"/>
    <s v="DEFAULT"/>
    <s v="DEFAULT"/>
    <s v="Year 7 Pupil Numbers"/>
    <m/>
    <s v="2023/24"/>
    <b v="0"/>
    <m/>
  </r>
  <r>
    <x v="1"/>
    <m/>
    <s v="PUPIL_CEN_08"/>
    <s v="ALL"/>
    <s v="DEFAULT"/>
    <s v="DEFAULT"/>
    <s v="Year 8 Pupil Numbers"/>
    <m/>
    <s v="2023/24"/>
    <b v="0"/>
    <m/>
  </r>
  <r>
    <x v="1"/>
    <m/>
    <s v="PUPIL_CEN_09"/>
    <s v="ALL"/>
    <s v="DEFAULT"/>
    <s v="DEFAULT"/>
    <s v="Year 9 Pupil Numbers"/>
    <m/>
    <s v="2023/24"/>
    <b v="0"/>
    <m/>
  </r>
  <r>
    <x v="1"/>
    <m/>
    <s v="PUPIL_CEN_10"/>
    <s v="ALL"/>
    <s v="DEFAULT"/>
    <s v="DEFAULT"/>
    <s v="Year 10 Pupil Numbers"/>
    <m/>
    <s v="2023/24"/>
    <b v="0"/>
    <m/>
  </r>
  <r>
    <x v="1"/>
    <m/>
    <s v="PUPIL_CEN_11"/>
    <s v="ALL"/>
    <s v="DEFAULT"/>
    <s v="DEFAULT"/>
    <s v="Year 11 Pupil Numbers"/>
    <m/>
    <s v="2023/24"/>
    <b v="0"/>
    <m/>
  </r>
  <r>
    <x v="1"/>
    <m/>
    <s v="PUPIL_CEN_12"/>
    <s v="ALL"/>
    <s v="DEFAULT"/>
    <s v="DEFAULT"/>
    <s v="Year 12 Pupil Numbers"/>
    <m/>
    <s v="2023/24"/>
    <b v="0"/>
    <m/>
  </r>
  <r>
    <x v="1"/>
    <m/>
    <s v="PUPIL_CEN_13"/>
    <s v="ALL"/>
    <s v="DEFAULT"/>
    <s v="DEFAULT"/>
    <s v="Year 13 Pupil Numbers"/>
    <m/>
    <s v="2023/24"/>
    <b v="0"/>
    <m/>
  </r>
  <r>
    <x v="1"/>
    <m/>
    <s v="PUPIL_CEN_14"/>
    <s v="ALL"/>
    <s v="DEFAULT"/>
    <s v="DEFAULT"/>
    <s v="Year 14 Pupil Numbers"/>
    <m/>
    <s v="2023/24"/>
    <b v="0"/>
    <m/>
  </r>
  <r>
    <x v="1"/>
    <m/>
    <s v="PUPILPREMIUM_PRI"/>
    <s v="ALL"/>
    <s v="DEFAULT"/>
    <s v="DEFAULT"/>
    <s v="Pupil Premium Numbers Primary"/>
    <m/>
    <s v="2023/24"/>
    <b v="0"/>
    <m/>
  </r>
  <r>
    <x v="1"/>
    <m/>
    <s v="PUPILPREMIUM_SEC"/>
    <s v="ALL"/>
    <s v="DEFAULT"/>
    <s v="DEFAULT"/>
    <s v="Pupil Premium Numbers Secondary"/>
    <m/>
    <s v="2023/24"/>
    <b v="0"/>
    <m/>
  </r>
  <r>
    <x v="1"/>
    <m/>
    <s v="PUPILPREMIUMLAC"/>
    <s v="ALL"/>
    <s v="DEFAULT"/>
    <s v="DEFAULT"/>
    <s v="Pupil Premium LAC Numbers"/>
    <m/>
    <s v="2023/24"/>
    <b v="0"/>
    <m/>
  </r>
  <r>
    <x v="1"/>
    <m/>
    <s v="PUPILPREMIUMSER"/>
    <s v="ALL"/>
    <s v="DEFAULT"/>
    <s v="DEFAULT"/>
    <s v="Pupil Premium Service Numbers"/>
    <m/>
    <s v="2023/24"/>
    <b v="0"/>
    <m/>
  </r>
  <r>
    <x v="1"/>
    <m/>
    <s v="PUPIL_CEN"/>
    <s v="ALL"/>
    <s v="DEFAULT"/>
    <s v="DEFAULT"/>
    <s v="Nursery Pupil Numbers"/>
    <m/>
    <s v="2024/25"/>
    <b v="0"/>
    <m/>
  </r>
  <r>
    <x v="1"/>
    <m/>
    <s v="PUPIL_CEN_00"/>
    <s v="ALL"/>
    <s v="DEFAULT"/>
    <s v="DEFAULT"/>
    <s v="Reception Pupil Numbers"/>
    <m/>
    <s v="2024/25"/>
    <b v="0"/>
    <m/>
  </r>
  <r>
    <x v="1"/>
    <m/>
    <s v="PUPIL_CEN_01"/>
    <s v="ALL"/>
    <s v="DEFAULT"/>
    <s v="DEFAULT"/>
    <s v="Year 1 Pupil Numbers"/>
    <m/>
    <s v="2024/25"/>
    <b v="0"/>
    <m/>
  </r>
  <r>
    <x v="1"/>
    <m/>
    <s v="PUPIL_CEN_02"/>
    <s v="ALL"/>
    <s v="DEFAULT"/>
    <s v="DEFAULT"/>
    <s v="Year 2 Pupil Numbers"/>
    <m/>
    <s v="2024/25"/>
    <b v="0"/>
    <m/>
  </r>
  <r>
    <x v="1"/>
    <m/>
    <s v="PUPIL_CEN_03"/>
    <s v="ALL"/>
    <s v="DEFAULT"/>
    <s v="DEFAULT"/>
    <s v="Year 3 Pupil Numbers"/>
    <m/>
    <s v="2024/25"/>
    <b v="0"/>
    <m/>
  </r>
  <r>
    <x v="1"/>
    <m/>
    <s v="PUPIL_CEN_04"/>
    <s v="ALL"/>
    <s v="DEFAULT"/>
    <s v="DEFAULT"/>
    <s v="Year 4 Pupil Numbers"/>
    <m/>
    <s v="2024/25"/>
    <b v="0"/>
    <m/>
  </r>
  <r>
    <x v="1"/>
    <m/>
    <s v="PUPIL_CEN_05"/>
    <s v="ALL"/>
    <s v="DEFAULT"/>
    <s v="DEFAULT"/>
    <s v="Year 5 Pupil Numbers"/>
    <m/>
    <s v="2024/25"/>
    <b v="0"/>
    <m/>
  </r>
  <r>
    <x v="1"/>
    <m/>
    <s v="PUPIL_CEN_06"/>
    <s v="ALL"/>
    <s v="DEFAULT"/>
    <s v="DEFAULT"/>
    <s v="Year 6 Pupil Numbers"/>
    <m/>
    <s v="2024/25"/>
    <b v="0"/>
    <m/>
  </r>
  <r>
    <x v="1"/>
    <m/>
    <s v="PUPIL_CEN_07"/>
    <s v="ALL"/>
    <s v="DEFAULT"/>
    <s v="DEFAULT"/>
    <s v="Year 7 Pupil Numbers"/>
    <m/>
    <s v="2024/25"/>
    <b v="0"/>
    <m/>
  </r>
  <r>
    <x v="1"/>
    <m/>
    <s v="PUPIL_CEN_08"/>
    <s v="ALL"/>
    <s v="DEFAULT"/>
    <s v="DEFAULT"/>
    <s v="Year 8 Pupil Numbers"/>
    <m/>
    <s v="2024/25"/>
    <b v="0"/>
    <m/>
  </r>
  <r>
    <x v="1"/>
    <m/>
    <s v="PUPIL_CEN_09"/>
    <s v="ALL"/>
    <s v="DEFAULT"/>
    <s v="DEFAULT"/>
    <s v="Year 9 Pupil Numbers"/>
    <m/>
    <s v="2024/25"/>
    <b v="0"/>
    <m/>
  </r>
  <r>
    <x v="1"/>
    <m/>
    <s v="PUPIL_CEN_10"/>
    <s v="ALL"/>
    <s v="DEFAULT"/>
    <s v="DEFAULT"/>
    <s v="Year 10 Pupil Numbers"/>
    <m/>
    <s v="2024/25"/>
    <b v="0"/>
    <m/>
  </r>
  <r>
    <x v="1"/>
    <m/>
    <s v="PUPIL_CEN_11"/>
    <s v="ALL"/>
    <s v="DEFAULT"/>
    <s v="DEFAULT"/>
    <s v="Year 11 Pupil Numbers"/>
    <m/>
    <s v="2024/25"/>
    <b v="0"/>
    <m/>
  </r>
  <r>
    <x v="1"/>
    <m/>
    <s v="PUPIL_CEN_12"/>
    <s v="ALL"/>
    <s v="DEFAULT"/>
    <s v="DEFAULT"/>
    <s v="Year 12 Pupil Numbers"/>
    <m/>
    <s v="2024/25"/>
    <b v="0"/>
    <m/>
  </r>
  <r>
    <x v="1"/>
    <m/>
    <s v="PUPIL_CEN_13"/>
    <s v="ALL"/>
    <s v="DEFAULT"/>
    <s v="DEFAULT"/>
    <s v="Year 13 Pupil Numbers"/>
    <m/>
    <s v="2024/25"/>
    <b v="0"/>
    <m/>
  </r>
  <r>
    <x v="1"/>
    <m/>
    <s v="PUPIL_CEN_14"/>
    <s v="ALL"/>
    <s v="DEFAULT"/>
    <s v="DEFAULT"/>
    <s v="Year 14 Pupil Numbers"/>
    <m/>
    <s v="2024/25"/>
    <b v="0"/>
    <m/>
  </r>
  <r>
    <x v="1"/>
    <m/>
    <s v="PUPIL_CEN"/>
    <s v="ALL"/>
    <s v="DEFAULT"/>
    <s v="DEFAULT"/>
    <s v="Nursery Pupil Numbers"/>
    <m/>
    <s v="2025/26"/>
    <b v="0"/>
    <m/>
  </r>
  <r>
    <x v="1"/>
    <m/>
    <s v="PUPIL_CEN_00"/>
    <s v="ALL"/>
    <s v="DEFAULT"/>
    <s v="DEFAULT"/>
    <s v="Reception Pupil Numbers"/>
    <m/>
    <s v="2025/26"/>
    <b v="0"/>
    <m/>
  </r>
  <r>
    <x v="1"/>
    <m/>
    <s v="PUPIL_CEN_01"/>
    <s v="ALL"/>
    <s v="DEFAULT"/>
    <s v="DEFAULT"/>
    <s v="Year 1 Pupil Numbers"/>
    <m/>
    <s v="2025/26"/>
    <b v="0"/>
    <m/>
  </r>
  <r>
    <x v="1"/>
    <m/>
    <s v="PUPIL_CEN_02"/>
    <s v="ALL"/>
    <s v="DEFAULT"/>
    <s v="DEFAULT"/>
    <s v="Year 2 Pupil Numbers"/>
    <m/>
    <s v="2025/26"/>
    <b v="0"/>
    <m/>
  </r>
  <r>
    <x v="1"/>
    <m/>
    <s v="PUPIL_CEN_03"/>
    <s v="ALL"/>
    <s v="DEFAULT"/>
    <s v="DEFAULT"/>
    <s v="Year 3 Pupil Numbers"/>
    <m/>
    <s v="2025/26"/>
    <b v="0"/>
    <m/>
  </r>
  <r>
    <x v="1"/>
    <m/>
    <s v="PUPIL_CEN_04"/>
    <s v="ALL"/>
    <s v="DEFAULT"/>
    <s v="DEFAULT"/>
    <s v="Year 4 Pupil Numbers"/>
    <m/>
    <s v="2025/26"/>
    <b v="0"/>
    <m/>
  </r>
  <r>
    <x v="1"/>
    <m/>
    <s v="PUPIL_CEN_05"/>
    <s v="ALL"/>
    <s v="DEFAULT"/>
    <s v="DEFAULT"/>
    <s v="Year 5 Pupil Numbers"/>
    <m/>
    <s v="2025/26"/>
    <b v="0"/>
    <m/>
  </r>
  <r>
    <x v="1"/>
    <m/>
    <s v="PUPIL_CEN_06"/>
    <s v="ALL"/>
    <s v="DEFAULT"/>
    <s v="DEFAULT"/>
    <s v="Year 6 Pupil Numbers"/>
    <m/>
    <s v="2025/26"/>
    <b v="0"/>
    <m/>
  </r>
  <r>
    <x v="1"/>
    <m/>
    <s v="PUPIL_CEN_07"/>
    <s v="ALL"/>
    <s v="DEFAULT"/>
    <s v="DEFAULT"/>
    <s v="Year 7 Pupil Numbers"/>
    <m/>
    <s v="2025/26"/>
    <b v="0"/>
    <m/>
  </r>
  <r>
    <x v="1"/>
    <m/>
    <s v="PUPIL_CEN_08"/>
    <s v="ALL"/>
    <s v="DEFAULT"/>
    <s v="DEFAULT"/>
    <s v="Year 8 Pupil Numbers"/>
    <m/>
    <s v="2025/26"/>
    <b v="0"/>
    <m/>
  </r>
  <r>
    <x v="1"/>
    <m/>
    <s v="PUPIL_CEN_09"/>
    <s v="ALL"/>
    <s v="DEFAULT"/>
    <s v="DEFAULT"/>
    <s v="Year 9 Pupil Numbers"/>
    <m/>
    <s v="2025/26"/>
    <b v="0"/>
    <m/>
  </r>
  <r>
    <x v="1"/>
    <m/>
    <s v="PUPIL_CEN_10"/>
    <s v="ALL"/>
    <s v="DEFAULT"/>
    <s v="DEFAULT"/>
    <s v="Year 10 Pupil Numbers"/>
    <m/>
    <s v="2025/26"/>
    <b v="0"/>
    <m/>
  </r>
  <r>
    <x v="1"/>
    <m/>
    <s v="PUPIL_CEN_11"/>
    <s v="ALL"/>
    <s v="DEFAULT"/>
    <s v="DEFAULT"/>
    <s v="Year 11 Pupil Numbers"/>
    <m/>
    <s v="2025/26"/>
    <b v="0"/>
    <m/>
  </r>
  <r>
    <x v="1"/>
    <m/>
    <s v="PUPIL_CEN_12"/>
    <s v="ALL"/>
    <s v="DEFAULT"/>
    <s v="DEFAULT"/>
    <s v="Year 12 Pupil Numbers"/>
    <m/>
    <s v="2025/26"/>
    <b v="0"/>
    <m/>
  </r>
  <r>
    <x v="1"/>
    <m/>
    <s v="PUPIL_CEN_13"/>
    <s v="ALL"/>
    <s v="DEFAULT"/>
    <s v="DEFAULT"/>
    <s v="Year 13 Pupil Numbers"/>
    <m/>
    <s v="2025/26"/>
    <b v="0"/>
    <m/>
  </r>
  <r>
    <x v="1"/>
    <m/>
    <s v="PUPIL_CEN_14"/>
    <s v="ALL"/>
    <s v="DEFAULT"/>
    <s v="DEFAULT"/>
    <s v="Year 14 Pupil Numbers"/>
    <m/>
    <s v="2025/26"/>
    <b v="0"/>
    <m/>
  </r>
  <r>
    <x v="1"/>
    <m/>
    <s v="PUPIL_CEN"/>
    <s v="ALL"/>
    <s v="DEFAULT"/>
    <s v="DEFAULT"/>
    <s v="Nursery Pupil Numbers"/>
    <m/>
    <s v="2026/27"/>
    <b v="0"/>
    <m/>
  </r>
  <r>
    <x v="1"/>
    <m/>
    <s v="PUPIL_CEN_00"/>
    <s v="ALL"/>
    <s v="DEFAULT"/>
    <s v="DEFAULT"/>
    <s v="Reception Pupil Numbers"/>
    <m/>
    <s v="2026/27"/>
    <b v="0"/>
    <m/>
  </r>
  <r>
    <x v="1"/>
    <m/>
    <s v="PUPIL_CEN_01"/>
    <s v="ALL"/>
    <s v="DEFAULT"/>
    <s v="DEFAULT"/>
    <s v="Year 1 Pupil Numbers"/>
    <m/>
    <s v="2026/27"/>
    <b v="0"/>
    <m/>
  </r>
  <r>
    <x v="1"/>
    <m/>
    <s v="PUPIL_CEN_02"/>
    <s v="ALL"/>
    <s v="DEFAULT"/>
    <s v="DEFAULT"/>
    <s v="Year 2 Pupil Numbers"/>
    <m/>
    <s v="2026/27"/>
    <b v="0"/>
    <m/>
  </r>
  <r>
    <x v="1"/>
    <m/>
    <s v="PUPIL_CEN_03"/>
    <s v="ALL"/>
    <s v="DEFAULT"/>
    <s v="DEFAULT"/>
    <s v="Year 3 Pupil Numbers"/>
    <m/>
    <s v="2026/27"/>
    <b v="0"/>
    <m/>
  </r>
  <r>
    <x v="1"/>
    <m/>
    <s v="PUPIL_CEN_04"/>
    <s v="ALL"/>
    <s v="DEFAULT"/>
    <s v="DEFAULT"/>
    <s v="Year 4 Pupil Numbers"/>
    <m/>
    <s v="2026/27"/>
    <b v="0"/>
    <m/>
  </r>
  <r>
    <x v="1"/>
    <m/>
    <s v="PUPIL_CEN_05"/>
    <s v="ALL"/>
    <s v="DEFAULT"/>
    <s v="DEFAULT"/>
    <s v="Year 5 Pupil Numbers"/>
    <m/>
    <s v="2026/27"/>
    <b v="0"/>
    <m/>
  </r>
  <r>
    <x v="1"/>
    <m/>
    <s v="PUPIL_CEN_06"/>
    <s v="ALL"/>
    <s v="DEFAULT"/>
    <s v="DEFAULT"/>
    <s v="Year 6 Pupil Numbers"/>
    <m/>
    <s v="2026/27"/>
    <b v="0"/>
    <m/>
  </r>
  <r>
    <x v="1"/>
    <m/>
    <s v="PUPIL_CEN_07"/>
    <s v="ALL"/>
    <s v="DEFAULT"/>
    <s v="DEFAULT"/>
    <s v="Year 7 Pupil Numbers"/>
    <m/>
    <s v="2026/27"/>
    <b v="0"/>
    <m/>
  </r>
  <r>
    <x v="1"/>
    <m/>
    <s v="PUPIL_CEN_08"/>
    <s v="ALL"/>
    <s v="DEFAULT"/>
    <s v="DEFAULT"/>
    <s v="Year 8 Pupil Numbers"/>
    <m/>
    <s v="2026/27"/>
    <b v="0"/>
    <m/>
  </r>
  <r>
    <x v="1"/>
    <m/>
    <s v="PUPIL_CEN_09"/>
    <s v="ALL"/>
    <s v="DEFAULT"/>
    <s v="DEFAULT"/>
    <s v="Year 9 Pupil Numbers"/>
    <m/>
    <s v="2026/27"/>
    <b v="0"/>
    <m/>
  </r>
  <r>
    <x v="1"/>
    <m/>
    <s v="PUPIL_CEN_10"/>
    <s v="ALL"/>
    <s v="DEFAULT"/>
    <s v="DEFAULT"/>
    <s v="Year 10 Pupil Numbers"/>
    <m/>
    <s v="2026/27"/>
    <b v="0"/>
    <m/>
  </r>
  <r>
    <x v="1"/>
    <m/>
    <s v="PUPIL_CEN_11"/>
    <s v="ALL"/>
    <s v="DEFAULT"/>
    <s v="DEFAULT"/>
    <s v="Year 11 Pupil Numbers"/>
    <m/>
    <s v="2026/27"/>
    <b v="0"/>
    <m/>
  </r>
  <r>
    <x v="1"/>
    <m/>
    <s v="PUPIL_CEN_12"/>
    <s v="ALL"/>
    <s v="DEFAULT"/>
    <s v="DEFAULT"/>
    <s v="Year 12 Pupil Numbers"/>
    <m/>
    <s v="2026/27"/>
    <b v="0"/>
    <m/>
  </r>
  <r>
    <x v="1"/>
    <m/>
    <s v="PUPIL_CEN_13"/>
    <s v="ALL"/>
    <s v="DEFAULT"/>
    <s v="DEFAULT"/>
    <s v="Year 13 Pupil Numbers"/>
    <m/>
    <s v="2026/27"/>
    <b v="0"/>
    <m/>
  </r>
  <r>
    <x v="1"/>
    <m/>
    <s v="PUPIL_CEN_14"/>
    <s v="ALL"/>
    <s v="DEFAULT"/>
    <s v="DEFAULT"/>
    <s v="Year 14 Pupil Numbers"/>
    <m/>
    <s v="2026/27"/>
    <b v="0"/>
    <m/>
  </r>
  <r>
    <x v="1"/>
    <m/>
    <s v="PUPIL_CEN"/>
    <s v="PRI"/>
    <s v="DEFAULT"/>
    <s v="DEFAULT"/>
    <s v="Nursery Pupil Numbers"/>
    <m/>
    <s v="2022/23"/>
    <b v="0"/>
    <m/>
  </r>
  <r>
    <x v="1"/>
    <m/>
    <s v="PUPIL_CEN_00"/>
    <s v="PRI"/>
    <s v="DEFAULT"/>
    <s v="DEFAULT"/>
    <s v="Reception Pupil Numbers"/>
    <m/>
    <s v="2022/23"/>
    <b v="0"/>
    <m/>
  </r>
  <r>
    <x v="1"/>
    <m/>
    <s v="PUPIL_CEN_01"/>
    <s v="PRI"/>
    <s v="DEFAULT"/>
    <s v="DEFAULT"/>
    <s v="Year 1 Pupil Numbers"/>
    <m/>
    <s v="2022/23"/>
    <b v="0"/>
    <m/>
  </r>
  <r>
    <x v="1"/>
    <m/>
    <s v="PUPIL_CEN_02"/>
    <s v="PRI"/>
    <s v="DEFAULT"/>
    <s v="DEFAULT"/>
    <s v="Year 2 Pupil Numbers"/>
    <m/>
    <s v="2022/23"/>
    <b v="0"/>
    <m/>
  </r>
  <r>
    <x v="1"/>
    <m/>
    <s v="PUPIL_CEN_03"/>
    <s v="PRI"/>
    <s v="DEFAULT"/>
    <s v="DEFAULT"/>
    <s v="Year 3 Pupil Numbers"/>
    <m/>
    <s v="2022/23"/>
    <b v="0"/>
    <m/>
  </r>
  <r>
    <x v="1"/>
    <m/>
    <s v="PUPIL_CEN_04"/>
    <s v="PRI"/>
    <s v="DEFAULT"/>
    <s v="DEFAULT"/>
    <s v="Year 4 Pupil Numbers"/>
    <m/>
    <s v="2022/23"/>
    <b v="0"/>
    <m/>
  </r>
  <r>
    <x v="1"/>
    <m/>
    <s v="PUPIL_CEN_05"/>
    <s v="PRI"/>
    <s v="DEFAULT"/>
    <s v="DEFAULT"/>
    <s v="Year 5 Pupil Numbers"/>
    <m/>
    <s v="2022/23"/>
    <b v="0"/>
    <m/>
  </r>
  <r>
    <x v="1"/>
    <m/>
    <s v="PUPIL_CEN_06"/>
    <s v="PRI"/>
    <s v="DEFAULT"/>
    <s v="DEFAULT"/>
    <s v="Year 6 Pupil Numbers"/>
    <m/>
    <s v="2022/23"/>
    <b v="0"/>
    <m/>
  </r>
  <r>
    <x v="1"/>
    <m/>
    <s v="PUPIL_UIFSM"/>
    <s v="PRI"/>
    <s v="DEFAULT"/>
    <s v="DEFAULT"/>
    <s v="Pupils taking UIFSM"/>
    <m/>
    <s v="2022/23"/>
    <b v="0"/>
    <m/>
  </r>
  <r>
    <x v="1"/>
    <m/>
    <s v="PUPILPREMIUM_PRI"/>
    <s v="PRI"/>
    <s v="DEFAULT"/>
    <s v="DEFAULT"/>
    <s v="Pupil Premium Numbers Primary"/>
    <m/>
    <s v="2022/23"/>
    <b v="0"/>
    <m/>
  </r>
  <r>
    <x v="1"/>
    <m/>
    <s v="PUPILPREMIUMLAC"/>
    <s v="PRI"/>
    <s v="DEFAULT"/>
    <s v="DEFAULT"/>
    <s v="Pupil Premium LAC Numbers"/>
    <m/>
    <s v="2022/23"/>
    <b v="0"/>
    <m/>
  </r>
  <r>
    <x v="1"/>
    <m/>
    <s v="PUPILPREMIUMSER"/>
    <s v="PRI"/>
    <s v="DEFAULT"/>
    <s v="DEFAULT"/>
    <s v="Pupil Premium Service Numbers"/>
    <m/>
    <s v="2022/23"/>
    <b v="0"/>
    <m/>
  </r>
  <r>
    <x v="1"/>
    <m/>
    <s v="FUNDED_PPPRE16"/>
    <s v="PRI"/>
    <s v="DEFAULT"/>
    <s v="DEFAULT"/>
    <s v="Pre 16 Pupil Places Special Provision"/>
    <m/>
    <s v="2023/24"/>
    <b v="0"/>
    <m/>
  </r>
  <r>
    <x v="1"/>
    <m/>
    <s v="FUNDED_PPPRE16O"/>
    <s v="PRI"/>
    <s v="DEFAULT"/>
    <s v="DEFAULT"/>
    <s v="Occupied Pre 16 Pupil Places Special Provision"/>
    <m/>
    <s v="2023/24"/>
    <b v="0"/>
    <m/>
  </r>
  <r>
    <x v="1"/>
    <m/>
    <s v="FUNDED_PRI_ADJ"/>
    <s v="PRI"/>
    <s v="DEFAULT"/>
    <s v="DEFAULT"/>
    <s v="Funding Statement Adjustment Primary"/>
    <m/>
    <s v="2023/24"/>
    <b v="0"/>
    <m/>
  </r>
  <r>
    <x v="1"/>
    <m/>
    <s v="PUPIL_CEN"/>
    <s v="PRI"/>
    <s v="DEFAULT"/>
    <s v="DEFAULT"/>
    <s v="Nursery Pupil Numbers"/>
    <m/>
    <s v="2023/24"/>
    <b v="0"/>
    <m/>
  </r>
  <r>
    <x v="1"/>
    <m/>
    <s v="PUPIL_CEN_00"/>
    <s v="PRI"/>
    <s v="DEFAULT"/>
    <s v="DEFAULT"/>
    <s v="Reception Pupil Numbers"/>
    <m/>
    <s v="2023/24"/>
    <b v="0"/>
    <m/>
  </r>
  <r>
    <x v="1"/>
    <m/>
    <s v="PUPIL_CEN_01"/>
    <s v="PRI"/>
    <s v="DEFAULT"/>
    <s v="DEFAULT"/>
    <s v="Year 1 Pupil Numbers"/>
    <m/>
    <s v="2023/24"/>
    <b v="0"/>
    <m/>
  </r>
  <r>
    <x v="1"/>
    <m/>
    <s v="PUPIL_CEN_02"/>
    <s v="PRI"/>
    <s v="DEFAULT"/>
    <s v="DEFAULT"/>
    <s v="Year 2 Pupil Numbers"/>
    <m/>
    <s v="2023/24"/>
    <b v="0"/>
    <m/>
  </r>
  <r>
    <x v="1"/>
    <m/>
    <s v="PUPIL_CEN_03"/>
    <s v="PRI"/>
    <s v="DEFAULT"/>
    <s v="DEFAULT"/>
    <s v="Year 3 Pupil Numbers"/>
    <m/>
    <s v="2023/24"/>
    <b v="0"/>
    <m/>
  </r>
  <r>
    <x v="1"/>
    <m/>
    <s v="PUPIL_CEN_04"/>
    <s v="PRI"/>
    <s v="DEFAULT"/>
    <s v="DEFAULT"/>
    <s v="Year 4 Pupil Numbers"/>
    <m/>
    <s v="2023/24"/>
    <b v="0"/>
    <m/>
  </r>
  <r>
    <x v="1"/>
    <m/>
    <s v="PUPIL_CEN_05"/>
    <s v="PRI"/>
    <s v="DEFAULT"/>
    <s v="DEFAULT"/>
    <s v="Year 5 Pupil Numbers"/>
    <m/>
    <s v="2023/24"/>
    <b v="0"/>
    <m/>
  </r>
  <r>
    <x v="1"/>
    <m/>
    <s v="PUPIL_CEN_06"/>
    <s v="PRI"/>
    <s v="DEFAULT"/>
    <s v="DEFAULT"/>
    <s v="Year 6 Pupil Numbers"/>
    <m/>
    <s v="2023/24"/>
    <b v="0"/>
    <m/>
  </r>
  <r>
    <x v="1"/>
    <m/>
    <s v="PUPILPREMIUM_PRI"/>
    <s v="PRI"/>
    <s v="DEFAULT"/>
    <s v="DEFAULT"/>
    <s v="Pupil Premium Numbers Primary"/>
    <m/>
    <s v="2023/24"/>
    <b v="0"/>
    <m/>
  </r>
  <r>
    <x v="1"/>
    <m/>
    <s v="PUPILPREMIUMLAC"/>
    <s v="PRI"/>
    <s v="DEFAULT"/>
    <s v="DEFAULT"/>
    <s v="Pupil Premium LAC Numbers"/>
    <m/>
    <s v="2023/24"/>
    <b v="0"/>
    <m/>
  </r>
  <r>
    <x v="1"/>
    <m/>
    <s v="PUPILPREMIUMSER"/>
    <s v="PRI"/>
    <s v="DEFAULT"/>
    <s v="DEFAULT"/>
    <s v="Pupil Premium Service Numbers"/>
    <m/>
    <s v="2023/24"/>
    <b v="0"/>
    <m/>
  </r>
  <r>
    <x v="1"/>
    <m/>
    <s v="PUPIL_CEN"/>
    <s v="PRI"/>
    <s v="DEFAULT"/>
    <s v="DEFAULT"/>
    <s v="Nursery Pupil Numbers"/>
    <m/>
    <s v="2024/25"/>
    <b v="0"/>
    <m/>
  </r>
  <r>
    <x v="1"/>
    <m/>
    <s v="PUPIL_CEN_00"/>
    <s v="PRI"/>
    <s v="DEFAULT"/>
    <s v="DEFAULT"/>
    <s v="Reception Pupil Numbers"/>
    <m/>
    <s v="2024/25"/>
    <b v="0"/>
    <m/>
  </r>
  <r>
    <x v="1"/>
    <m/>
    <s v="PUPIL_CEN_01"/>
    <s v="PRI"/>
    <s v="DEFAULT"/>
    <s v="DEFAULT"/>
    <s v="Year 1 Pupil Numbers"/>
    <m/>
    <s v="2024/25"/>
    <b v="0"/>
    <m/>
  </r>
  <r>
    <x v="1"/>
    <m/>
    <s v="PUPIL_CEN_02"/>
    <s v="PRI"/>
    <s v="DEFAULT"/>
    <s v="DEFAULT"/>
    <s v="Year 2 Pupil Numbers"/>
    <m/>
    <s v="2024/25"/>
    <b v="0"/>
    <m/>
  </r>
  <r>
    <x v="1"/>
    <m/>
    <s v="PUPIL_CEN_03"/>
    <s v="PRI"/>
    <s v="DEFAULT"/>
    <s v="DEFAULT"/>
    <s v="Year 3 Pupil Numbers"/>
    <m/>
    <s v="2024/25"/>
    <b v="0"/>
    <m/>
  </r>
  <r>
    <x v="1"/>
    <m/>
    <s v="PUPIL_CEN_04"/>
    <s v="PRI"/>
    <s v="DEFAULT"/>
    <s v="DEFAULT"/>
    <s v="Year 4 Pupil Numbers"/>
    <m/>
    <s v="2024/25"/>
    <b v="0"/>
    <m/>
  </r>
  <r>
    <x v="1"/>
    <m/>
    <s v="PUPIL_CEN_05"/>
    <s v="PRI"/>
    <s v="DEFAULT"/>
    <s v="DEFAULT"/>
    <s v="Year 5 Pupil Numbers"/>
    <m/>
    <s v="2024/25"/>
    <b v="0"/>
    <m/>
  </r>
  <r>
    <x v="1"/>
    <m/>
    <s v="PUPIL_CEN_06"/>
    <s v="PRI"/>
    <s v="DEFAULT"/>
    <s v="DEFAULT"/>
    <s v="Year 6 Pupil Numbers"/>
    <m/>
    <s v="2024/25"/>
    <b v="0"/>
    <m/>
  </r>
  <r>
    <x v="1"/>
    <m/>
    <s v="PUPIL_CEN"/>
    <s v="PRI"/>
    <s v="DEFAULT"/>
    <s v="DEFAULT"/>
    <s v="Nursery Pupil Numbers"/>
    <m/>
    <s v="2025/26"/>
    <b v="0"/>
    <m/>
  </r>
  <r>
    <x v="1"/>
    <m/>
    <s v="PUPIL_CEN_00"/>
    <s v="PRI"/>
    <s v="DEFAULT"/>
    <s v="DEFAULT"/>
    <s v="Reception Pupil Numbers"/>
    <m/>
    <s v="2025/26"/>
    <b v="0"/>
    <m/>
  </r>
  <r>
    <x v="1"/>
    <m/>
    <s v="PUPIL_CEN_01"/>
    <s v="PRI"/>
    <s v="DEFAULT"/>
    <s v="DEFAULT"/>
    <s v="Year 1 Pupil Numbers"/>
    <m/>
    <s v="2025/26"/>
    <b v="0"/>
    <m/>
  </r>
  <r>
    <x v="1"/>
    <m/>
    <s v="PUPIL_CEN_02"/>
    <s v="PRI"/>
    <s v="DEFAULT"/>
    <s v="DEFAULT"/>
    <s v="Year 2 Pupil Numbers"/>
    <m/>
    <s v="2025/26"/>
    <b v="0"/>
    <m/>
  </r>
  <r>
    <x v="1"/>
    <m/>
    <s v="PUPIL_CEN_03"/>
    <s v="PRI"/>
    <s v="DEFAULT"/>
    <s v="DEFAULT"/>
    <s v="Year 3 Pupil Numbers"/>
    <m/>
    <s v="2025/26"/>
    <b v="0"/>
    <m/>
  </r>
  <r>
    <x v="1"/>
    <m/>
    <s v="PUPIL_CEN_04"/>
    <s v="PRI"/>
    <s v="DEFAULT"/>
    <s v="DEFAULT"/>
    <s v="Year 4 Pupil Numbers"/>
    <m/>
    <s v="2025/26"/>
    <b v="0"/>
    <m/>
  </r>
  <r>
    <x v="1"/>
    <m/>
    <s v="PUPIL_CEN_05"/>
    <s v="PRI"/>
    <s v="DEFAULT"/>
    <s v="DEFAULT"/>
    <s v="Year 5 Pupil Numbers"/>
    <m/>
    <s v="2025/26"/>
    <b v="0"/>
    <m/>
  </r>
  <r>
    <x v="1"/>
    <m/>
    <s v="PUPIL_CEN_06"/>
    <s v="PRI"/>
    <s v="DEFAULT"/>
    <s v="DEFAULT"/>
    <s v="Year 6 Pupil Numbers"/>
    <m/>
    <s v="2025/26"/>
    <b v="0"/>
    <m/>
  </r>
  <r>
    <x v="1"/>
    <m/>
    <s v="PUPIL_CEN"/>
    <s v="PRI"/>
    <s v="DEFAULT"/>
    <s v="DEFAULT"/>
    <s v="Nursery Pupil Numbers"/>
    <m/>
    <s v="2026/27"/>
    <b v="0"/>
    <m/>
  </r>
  <r>
    <x v="1"/>
    <m/>
    <s v="PUPIL_CEN_00"/>
    <s v="PRI"/>
    <s v="DEFAULT"/>
    <s v="DEFAULT"/>
    <s v="Reception Pupil Numbers"/>
    <m/>
    <s v="2026/27"/>
    <b v="0"/>
    <m/>
  </r>
  <r>
    <x v="1"/>
    <m/>
    <s v="PUPIL_CEN_01"/>
    <s v="PRI"/>
    <s v="DEFAULT"/>
    <s v="DEFAULT"/>
    <s v="Year 1 Pupil Numbers"/>
    <m/>
    <s v="2026/27"/>
    <b v="0"/>
    <m/>
  </r>
  <r>
    <x v="1"/>
    <m/>
    <s v="PUPIL_CEN_02"/>
    <s v="PRI"/>
    <s v="DEFAULT"/>
    <s v="DEFAULT"/>
    <s v="Year 2 Pupil Numbers"/>
    <m/>
    <s v="2026/27"/>
    <b v="0"/>
    <m/>
  </r>
  <r>
    <x v="1"/>
    <m/>
    <s v="PUPIL_CEN_03"/>
    <s v="PRI"/>
    <s v="DEFAULT"/>
    <s v="DEFAULT"/>
    <s v="Year 3 Pupil Numbers"/>
    <m/>
    <s v="2026/27"/>
    <b v="0"/>
    <m/>
  </r>
  <r>
    <x v="1"/>
    <m/>
    <s v="PUPIL_CEN_04"/>
    <s v="PRI"/>
    <s v="DEFAULT"/>
    <s v="DEFAULT"/>
    <s v="Year 4 Pupil Numbers"/>
    <m/>
    <s v="2026/27"/>
    <b v="0"/>
    <m/>
  </r>
  <r>
    <x v="1"/>
    <m/>
    <s v="PUPIL_CEN_05"/>
    <s v="PRI"/>
    <s v="DEFAULT"/>
    <s v="DEFAULT"/>
    <s v="Year 5 Pupil Numbers"/>
    <m/>
    <s v="2026/27"/>
    <b v="0"/>
    <m/>
  </r>
  <r>
    <x v="1"/>
    <m/>
    <s v="PUPIL_CEN_06"/>
    <s v="PRI"/>
    <s v="DEFAULT"/>
    <s v="DEFAULT"/>
    <s v="Year 6 Pupil Numbers"/>
    <m/>
    <s v="2026/27"/>
    <b v="0"/>
    <m/>
  </r>
  <r>
    <x v="1"/>
    <m/>
    <s v="PUPIL_CEN_07"/>
    <s v="SEC"/>
    <s v="DEFAULT"/>
    <s v="DEFAULT"/>
    <s v="Year 7 Pupil Numbers"/>
    <m/>
    <s v="2022/23"/>
    <b v="0"/>
    <m/>
  </r>
  <r>
    <x v="1"/>
    <m/>
    <s v="PUPIL_CEN_08"/>
    <s v="SEC"/>
    <s v="DEFAULT"/>
    <s v="DEFAULT"/>
    <s v="Year 8 Pupil Numbers"/>
    <m/>
    <s v="2022/23"/>
    <b v="0"/>
    <m/>
  </r>
  <r>
    <x v="1"/>
    <m/>
    <s v="PUPIL_CEN_09"/>
    <s v="SEC"/>
    <s v="DEFAULT"/>
    <s v="DEFAULT"/>
    <s v="Year 9 Pupil Numbers"/>
    <m/>
    <s v="2022/23"/>
    <b v="0"/>
    <m/>
  </r>
  <r>
    <x v="1"/>
    <m/>
    <s v="PUPIL_CEN_10"/>
    <s v="SEC"/>
    <s v="DEFAULT"/>
    <s v="DEFAULT"/>
    <s v="Year 10 Pupil Numbers"/>
    <m/>
    <s v="2022/23"/>
    <b v="0"/>
    <m/>
  </r>
  <r>
    <x v="1"/>
    <m/>
    <s v="PUPIL_CEN_11"/>
    <s v="SEC"/>
    <s v="DEFAULT"/>
    <s v="DEFAULT"/>
    <s v="Year 11 Pupil Numbers"/>
    <m/>
    <s v="2022/23"/>
    <b v="0"/>
    <m/>
  </r>
  <r>
    <x v="1"/>
    <m/>
    <s v="PUPIL_CEN_12"/>
    <s v="SEC"/>
    <s v="DEFAULT"/>
    <s v="DEFAULT"/>
    <s v="Year 12 Pupil Numbers"/>
    <m/>
    <s v="2022/23"/>
    <b v="0"/>
    <m/>
  </r>
  <r>
    <x v="1"/>
    <m/>
    <s v="PUPIL_CEN_13"/>
    <s v="SEC"/>
    <s v="DEFAULT"/>
    <s v="DEFAULT"/>
    <s v="Year 13 Pupil Numbers"/>
    <m/>
    <s v="2022/23"/>
    <b v="0"/>
    <m/>
  </r>
  <r>
    <x v="1"/>
    <m/>
    <s v="PUPIL_CEN_14"/>
    <s v="SEC"/>
    <s v="DEFAULT"/>
    <s v="DEFAULT"/>
    <s v="Year 14 Pupil Numbers"/>
    <m/>
    <s v="2022/23"/>
    <b v="0"/>
    <m/>
  </r>
  <r>
    <x v="1"/>
    <m/>
    <s v="PUPILPREMIUM_SEC"/>
    <s v="SEC"/>
    <s v="DEFAULT"/>
    <s v="DEFAULT"/>
    <s v="Pupil Premium Numbers Secondary"/>
    <m/>
    <s v="2022/23"/>
    <b v="0"/>
    <m/>
  </r>
  <r>
    <x v="1"/>
    <m/>
    <s v="PUPILPREMIUMLAC"/>
    <s v="SEC"/>
    <s v="DEFAULT"/>
    <s v="DEFAULT"/>
    <s v="Pupil Premium LAC Numbers"/>
    <m/>
    <s v="2022/23"/>
    <b v="0"/>
    <m/>
  </r>
  <r>
    <x v="1"/>
    <m/>
    <s v="PUPILPREMIUMSER"/>
    <s v="SEC"/>
    <s v="DEFAULT"/>
    <s v="DEFAULT"/>
    <s v="Pupil Premium Service Numbers"/>
    <m/>
    <s v="2022/23"/>
    <b v="0"/>
    <m/>
  </r>
  <r>
    <x v="1"/>
    <m/>
    <s v="FUNDED_KS3_ADJ"/>
    <s v="SEC"/>
    <s v="DEFAULT"/>
    <s v="DEFAULT"/>
    <s v="Funding Statement Adjustment KS3"/>
    <m/>
    <s v="2023/24"/>
    <b v="0"/>
    <m/>
  </r>
  <r>
    <x v="1"/>
    <m/>
    <s v="FUNDED_KS4_ADJ"/>
    <s v="SEC"/>
    <s v="DEFAULT"/>
    <s v="DEFAULT"/>
    <s v="Funding Statement Adjustment KS4"/>
    <m/>
    <s v="2023/24"/>
    <b v="0"/>
    <m/>
  </r>
  <r>
    <x v="1"/>
    <m/>
    <s v="FUNDED_KS5_ADJ"/>
    <s v="SEC"/>
    <s v="DEFAULT"/>
    <s v="DEFAULT"/>
    <s v="Funding Statement Adjustment KS5"/>
    <m/>
    <s v="2023/24"/>
    <b v="0"/>
    <m/>
  </r>
  <r>
    <x v="1"/>
    <m/>
    <s v="FUNDED_PPPOST16"/>
    <s v="SEC"/>
    <s v="DEFAULT"/>
    <s v="DEFAULT"/>
    <s v="Post 16 Pupil Places Special Provision"/>
    <m/>
    <s v="2023/24"/>
    <b v="0"/>
    <m/>
  </r>
  <r>
    <x v="1"/>
    <m/>
    <s v="FUNDED_PPPOST16O"/>
    <s v="SEC"/>
    <s v="DEFAULT"/>
    <s v="DEFAULT"/>
    <s v="Occupied Post 16 Pupil Places Special Provision"/>
    <m/>
    <s v="2023/24"/>
    <b v="0"/>
    <m/>
  </r>
  <r>
    <x v="1"/>
    <m/>
    <s v="FUNDED_PPPRE16"/>
    <s v="SEC"/>
    <s v="DEFAULT"/>
    <s v="DEFAULT"/>
    <s v="Pre 16 Pupil Places Special Provision"/>
    <m/>
    <s v="2023/24"/>
    <b v="0"/>
    <m/>
  </r>
  <r>
    <x v="1"/>
    <m/>
    <s v="FUNDED_PPPRE16O"/>
    <s v="SEC"/>
    <s v="DEFAULT"/>
    <s v="DEFAULT"/>
    <s v="Occupied Pre 16 Pupil Places Special Provision"/>
    <m/>
    <s v="2023/24"/>
    <b v="0"/>
    <m/>
  </r>
  <r>
    <x v="1"/>
    <m/>
    <s v="PUPIL_CEN_07"/>
    <s v="SEC"/>
    <s v="DEFAULT"/>
    <s v="DEFAULT"/>
    <s v="Year 7 Pupil Numbers"/>
    <m/>
    <s v="2023/24"/>
    <b v="0"/>
    <m/>
  </r>
  <r>
    <x v="1"/>
    <m/>
    <s v="PUPIL_CEN_08"/>
    <s v="SEC"/>
    <s v="DEFAULT"/>
    <s v="DEFAULT"/>
    <s v="Year 8 Pupil Numbers"/>
    <m/>
    <s v="2023/24"/>
    <b v="0"/>
    <m/>
  </r>
  <r>
    <x v="1"/>
    <m/>
    <s v="PUPIL_CEN_09"/>
    <s v="SEC"/>
    <s v="DEFAULT"/>
    <s v="DEFAULT"/>
    <s v="Year 9 Pupil Numbers"/>
    <m/>
    <s v="2023/24"/>
    <b v="0"/>
    <m/>
  </r>
  <r>
    <x v="1"/>
    <m/>
    <s v="PUPIL_CEN_10"/>
    <s v="SEC"/>
    <s v="DEFAULT"/>
    <s v="DEFAULT"/>
    <s v="Year 10 Pupil Numbers"/>
    <m/>
    <s v="2023/24"/>
    <b v="0"/>
    <m/>
  </r>
  <r>
    <x v="1"/>
    <m/>
    <s v="PUPIL_CEN_11"/>
    <s v="SEC"/>
    <s v="DEFAULT"/>
    <s v="DEFAULT"/>
    <s v="Year 11 Pupil Numbers"/>
    <m/>
    <s v="2023/24"/>
    <b v="0"/>
    <m/>
  </r>
  <r>
    <x v="1"/>
    <m/>
    <s v="PUPIL_CEN_12"/>
    <s v="SEC"/>
    <s v="DEFAULT"/>
    <s v="DEFAULT"/>
    <s v="Year 12 Pupil Numbers"/>
    <m/>
    <s v="2023/24"/>
    <b v="0"/>
    <m/>
  </r>
  <r>
    <x v="1"/>
    <m/>
    <s v="PUPIL_CEN_13"/>
    <s v="SEC"/>
    <s v="DEFAULT"/>
    <s v="DEFAULT"/>
    <s v="Year 13 Pupil Numbers"/>
    <m/>
    <s v="2023/24"/>
    <b v="0"/>
    <m/>
  </r>
  <r>
    <x v="1"/>
    <m/>
    <s v="PUPIL_CEN_14"/>
    <s v="SEC"/>
    <s v="DEFAULT"/>
    <s v="DEFAULT"/>
    <s v="Year 14 Pupil Numbers"/>
    <m/>
    <s v="2023/24"/>
    <b v="0"/>
    <m/>
  </r>
  <r>
    <x v="1"/>
    <m/>
    <s v="PUPILPREMIUM_SEC"/>
    <s v="SEC"/>
    <s v="DEFAULT"/>
    <s v="DEFAULT"/>
    <s v="Pupil Premium Numbers Secondary"/>
    <m/>
    <s v="2023/24"/>
    <b v="0"/>
    <m/>
  </r>
  <r>
    <x v="1"/>
    <m/>
    <s v="PUPILPREMIUMLAC"/>
    <s v="SEC"/>
    <s v="DEFAULT"/>
    <s v="DEFAULT"/>
    <s v="Pupil Premium LAC Numbers"/>
    <m/>
    <s v="2023/24"/>
    <b v="0"/>
    <m/>
  </r>
  <r>
    <x v="1"/>
    <m/>
    <s v="PUPILPREMIUMSER"/>
    <s v="SEC"/>
    <s v="DEFAULT"/>
    <s v="DEFAULT"/>
    <s v="Pupil Premium Service Numbers"/>
    <m/>
    <s v="2023/24"/>
    <b v="0"/>
    <m/>
  </r>
  <r>
    <x v="1"/>
    <m/>
    <s v="PUPIL_CEN_07"/>
    <s v="SEC"/>
    <s v="DEFAULT"/>
    <s v="DEFAULT"/>
    <s v="Year 7 Pupil Numbers"/>
    <m/>
    <s v="2024/25"/>
    <b v="0"/>
    <m/>
  </r>
  <r>
    <x v="1"/>
    <m/>
    <s v="PUPIL_CEN_08"/>
    <s v="SEC"/>
    <s v="DEFAULT"/>
    <s v="DEFAULT"/>
    <s v="Year 8 Pupil Numbers"/>
    <m/>
    <s v="2024/25"/>
    <b v="0"/>
    <m/>
  </r>
  <r>
    <x v="1"/>
    <m/>
    <s v="PUPIL_CEN_09"/>
    <s v="SEC"/>
    <s v="DEFAULT"/>
    <s v="DEFAULT"/>
    <s v="Year 9 Pupil Numbers"/>
    <m/>
    <s v="2024/25"/>
    <b v="0"/>
    <m/>
  </r>
  <r>
    <x v="1"/>
    <m/>
    <s v="PUPIL_CEN_10"/>
    <s v="SEC"/>
    <s v="DEFAULT"/>
    <s v="DEFAULT"/>
    <s v="Year 10 Pupil Numbers"/>
    <m/>
    <s v="2024/25"/>
    <b v="0"/>
    <m/>
  </r>
  <r>
    <x v="1"/>
    <m/>
    <s v="PUPIL_CEN_11"/>
    <s v="SEC"/>
    <s v="DEFAULT"/>
    <s v="DEFAULT"/>
    <s v="Year 11 Pupil Numbers"/>
    <m/>
    <s v="2024/25"/>
    <b v="0"/>
    <m/>
  </r>
  <r>
    <x v="1"/>
    <m/>
    <s v="PUPIL_CEN_12"/>
    <s v="SEC"/>
    <s v="DEFAULT"/>
    <s v="DEFAULT"/>
    <s v="Year 12 Pupil Numbers"/>
    <m/>
    <s v="2024/25"/>
    <b v="0"/>
    <m/>
  </r>
  <r>
    <x v="1"/>
    <m/>
    <s v="PUPIL_CEN_13"/>
    <s v="SEC"/>
    <s v="DEFAULT"/>
    <s v="DEFAULT"/>
    <s v="Year 13 Pupil Numbers"/>
    <m/>
    <s v="2024/25"/>
    <b v="0"/>
    <m/>
  </r>
  <r>
    <x v="1"/>
    <m/>
    <s v="PUPIL_CEN_14"/>
    <s v="SEC"/>
    <s v="DEFAULT"/>
    <s v="DEFAULT"/>
    <s v="Year 14 Pupil Numbers"/>
    <m/>
    <s v="2024/25"/>
    <b v="0"/>
    <m/>
  </r>
  <r>
    <x v="1"/>
    <m/>
    <s v="PUPIL_CEN_07"/>
    <s v="SEC"/>
    <s v="DEFAULT"/>
    <s v="DEFAULT"/>
    <s v="Year 7 Pupil Numbers"/>
    <m/>
    <s v="2025/26"/>
    <b v="0"/>
    <m/>
  </r>
  <r>
    <x v="1"/>
    <m/>
    <s v="PUPIL_CEN_08"/>
    <s v="SEC"/>
    <s v="DEFAULT"/>
    <s v="DEFAULT"/>
    <s v="Year 8 Pupil Numbers"/>
    <m/>
    <s v="2025/26"/>
    <b v="0"/>
    <m/>
  </r>
  <r>
    <x v="1"/>
    <m/>
    <s v="PUPIL_CEN_09"/>
    <s v="SEC"/>
    <s v="DEFAULT"/>
    <s v="DEFAULT"/>
    <s v="Year 9 Pupil Numbers"/>
    <m/>
    <s v="2025/26"/>
    <b v="0"/>
    <m/>
  </r>
  <r>
    <x v="1"/>
    <m/>
    <s v="PUPIL_CEN_10"/>
    <s v="SEC"/>
    <s v="DEFAULT"/>
    <s v="DEFAULT"/>
    <s v="Year 10 Pupil Numbers"/>
    <m/>
    <s v="2025/26"/>
    <b v="0"/>
    <m/>
  </r>
  <r>
    <x v="1"/>
    <m/>
    <s v="PUPIL_CEN_11"/>
    <s v="SEC"/>
    <s v="DEFAULT"/>
    <s v="DEFAULT"/>
    <s v="Year 11 Pupil Numbers"/>
    <m/>
    <s v="2025/26"/>
    <b v="0"/>
    <m/>
  </r>
  <r>
    <x v="1"/>
    <m/>
    <s v="PUPIL_CEN_12"/>
    <s v="SEC"/>
    <s v="DEFAULT"/>
    <s v="DEFAULT"/>
    <s v="Year 12 Pupil Numbers"/>
    <m/>
    <s v="2025/26"/>
    <b v="0"/>
    <m/>
  </r>
  <r>
    <x v="1"/>
    <m/>
    <s v="PUPIL_CEN_13"/>
    <s v="SEC"/>
    <s v="DEFAULT"/>
    <s v="DEFAULT"/>
    <s v="Year 13 Pupil Numbers"/>
    <m/>
    <s v="2025/26"/>
    <b v="0"/>
    <m/>
  </r>
  <r>
    <x v="1"/>
    <m/>
    <s v="PUPIL_CEN_14"/>
    <s v="SEC"/>
    <s v="DEFAULT"/>
    <s v="DEFAULT"/>
    <s v="Year 14 Pupil Numbers"/>
    <m/>
    <s v="2025/26"/>
    <b v="0"/>
    <m/>
  </r>
  <r>
    <x v="1"/>
    <m/>
    <s v="PUPIL_CEN_07"/>
    <s v="SEC"/>
    <s v="DEFAULT"/>
    <s v="DEFAULT"/>
    <s v="Year 7 Pupil Numbers"/>
    <m/>
    <s v="2026/27"/>
    <b v="0"/>
    <m/>
  </r>
  <r>
    <x v="1"/>
    <m/>
    <s v="PUPIL_CEN_08"/>
    <s v="SEC"/>
    <s v="DEFAULT"/>
    <s v="DEFAULT"/>
    <s v="Year 8 Pupil Numbers"/>
    <m/>
    <s v="2026/27"/>
    <b v="0"/>
    <m/>
  </r>
  <r>
    <x v="1"/>
    <m/>
    <s v="PUPIL_CEN_09"/>
    <s v="SEC"/>
    <s v="DEFAULT"/>
    <s v="DEFAULT"/>
    <s v="Year 9 Pupil Numbers"/>
    <m/>
    <s v="2026/27"/>
    <b v="0"/>
    <m/>
  </r>
  <r>
    <x v="1"/>
    <m/>
    <s v="PUPIL_CEN_10"/>
    <s v="SEC"/>
    <s v="DEFAULT"/>
    <s v="DEFAULT"/>
    <s v="Year 10 Pupil Numbers"/>
    <m/>
    <s v="2026/27"/>
    <b v="0"/>
    <m/>
  </r>
  <r>
    <x v="1"/>
    <m/>
    <s v="PUPIL_CEN_11"/>
    <s v="SEC"/>
    <s v="DEFAULT"/>
    <s v="DEFAULT"/>
    <s v="Year 11 Pupil Numbers"/>
    <m/>
    <s v="2026/27"/>
    <b v="0"/>
    <m/>
  </r>
  <r>
    <x v="1"/>
    <m/>
    <s v="PUPIL_CEN_12"/>
    <s v="SEC"/>
    <s v="DEFAULT"/>
    <s v="DEFAULT"/>
    <s v="Year 12 Pupil Numbers"/>
    <m/>
    <s v="2026/27"/>
    <b v="0"/>
    <m/>
  </r>
  <r>
    <x v="1"/>
    <m/>
    <s v="PUPIL_CEN_13"/>
    <s v="SEC"/>
    <s v="DEFAULT"/>
    <s v="DEFAULT"/>
    <s v="Year 13 Pupil Numbers"/>
    <m/>
    <s v="2026/27"/>
    <b v="0"/>
    <m/>
  </r>
  <r>
    <x v="1"/>
    <m/>
    <s v="PUPIL_CEN_14"/>
    <s v="SEC"/>
    <s v="DEFAULT"/>
    <s v="DEFAULT"/>
    <s v="Year 14 Pupil Numbers"/>
    <m/>
    <s v="2026/27"/>
    <b v="0"/>
    <m/>
  </r>
  <r>
    <x v="1"/>
    <m/>
    <s v="PUPIL_CEN"/>
    <s v="SPE"/>
    <s v="DEFAULT"/>
    <s v="DEFAULT"/>
    <s v="Nursery Pupil Numbers"/>
    <m/>
    <s v="2022/23"/>
    <b v="0"/>
    <m/>
  </r>
  <r>
    <x v="1"/>
    <m/>
    <s v="PUPIL_CEN_00"/>
    <s v="SPE"/>
    <s v="DEFAULT"/>
    <s v="DEFAULT"/>
    <s v="Reception Pupil Numbers"/>
    <m/>
    <s v="2022/23"/>
    <b v="0"/>
    <m/>
  </r>
  <r>
    <x v="1"/>
    <m/>
    <s v="PUPIL_CEN_01"/>
    <s v="SPE"/>
    <s v="DEFAULT"/>
    <s v="DEFAULT"/>
    <s v="Year 1 Pupil Numbers"/>
    <m/>
    <s v="2022/23"/>
    <b v="0"/>
    <m/>
  </r>
  <r>
    <x v="1"/>
    <m/>
    <s v="PUPIL_CEN_02"/>
    <s v="SPE"/>
    <s v="DEFAULT"/>
    <s v="DEFAULT"/>
    <s v="Year 2 Pupil Numbers"/>
    <m/>
    <s v="2022/23"/>
    <b v="0"/>
    <m/>
  </r>
  <r>
    <x v="1"/>
    <m/>
    <s v="PUPIL_CEN_03"/>
    <s v="SPE"/>
    <s v="DEFAULT"/>
    <s v="DEFAULT"/>
    <s v="Year 3 Pupil Numbers"/>
    <m/>
    <s v="2022/23"/>
    <b v="0"/>
    <m/>
  </r>
  <r>
    <x v="1"/>
    <m/>
    <s v="PUPIL_CEN_04"/>
    <s v="SPE"/>
    <s v="DEFAULT"/>
    <s v="DEFAULT"/>
    <s v="Year 4 Pupil Numbers"/>
    <m/>
    <s v="2022/23"/>
    <b v="0"/>
    <m/>
  </r>
  <r>
    <x v="1"/>
    <m/>
    <s v="PUPIL_CEN_05"/>
    <s v="SPE"/>
    <s v="DEFAULT"/>
    <s v="DEFAULT"/>
    <s v="Year 5 Pupil Numbers"/>
    <m/>
    <s v="2022/23"/>
    <b v="0"/>
    <m/>
  </r>
  <r>
    <x v="1"/>
    <m/>
    <s v="PUPIL_CEN_06"/>
    <s v="SPE"/>
    <s v="DEFAULT"/>
    <s v="DEFAULT"/>
    <s v="Year 6 Pupil Numbers"/>
    <m/>
    <s v="2022/23"/>
    <b v="0"/>
    <m/>
  </r>
  <r>
    <x v="1"/>
    <m/>
    <s v="PUPIL_CEN_07"/>
    <s v="SPE"/>
    <s v="DEFAULT"/>
    <s v="DEFAULT"/>
    <s v="Year 7 Pupil Numbers"/>
    <m/>
    <s v="2022/23"/>
    <b v="0"/>
    <m/>
  </r>
  <r>
    <x v="1"/>
    <m/>
    <s v="PUPIL_CEN_08"/>
    <s v="SPE"/>
    <s v="DEFAULT"/>
    <s v="DEFAULT"/>
    <s v="Year 8 Pupil Numbers"/>
    <m/>
    <s v="2022/23"/>
    <b v="0"/>
    <m/>
  </r>
  <r>
    <x v="1"/>
    <m/>
    <s v="PUPIL_CEN_09"/>
    <s v="SPE"/>
    <s v="DEFAULT"/>
    <s v="DEFAULT"/>
    <s v="Year 9 Pupil Numbers"/>
    <m/>
    <s v="2022/23"/>
    <b v="0"/>
    <m/>
  </r>
  <r>
    <x v="1"/>
    <m/>
    <s v="PUPIL_CEN_10"/>
    <s v="SPE"/>
    <s v="DEFAULT"/>
    <s v="DEFAULT"/>
    <s v="Year 10 Pupil Numbers"/>
    <m/>
    <s v="2022/23"/>
    <b v="0"/>
    <m/>
  </r>
  <r>
    <x v="1"/>
    <m/>
    <s v="PUPIL_CEN_11"/>
    <s v="SPE"/>
    <s v="DEFAULT"/>
    <s v="DEFAULT"/>
    <s v="Year 11 Pupil Numbers"/>
    <m/>
    <s v="2022/23"/>
    <b v="0"/>
    <m/>
  </r>
  <r>
    <x v="1"/>
    <m/>
    <s v="PUPIL_CEN_12"/>
    <s v="SPE"/>
    <s v="DEFAULT"/>
    <s v="DEFAULT"/>
    <s v="Year 12 Pupil Numbers"/>
    <m/>
    <s v="2022/23"/>
    <b v="0"/>
    <m/>
  </r>
  <r>
    <x v="1"/>
    <m/>
    <s v="PUPIL_CEN_13"/>
    <s v="SPE"/>
    <s v="DEFAULT"/>
    <s v="DEFAULT"/>
    <s v="Year 13 Pupil Numbers"/>
    <m/>
    <s v="2022/23"/>
    <b v="0"/>
    <m/>
  </r>
  <r>
    <x v="1"/>
    <m/>
    <s v="PUPIL_CEN_14"/>
    <s v="SPE"/>
    <s v="DEFAULT"/>
    <s v="DEFAULT"/>
    <s v="Year 14 Pupil Numbers"/>
    <m/>
    <s v="2022/23"/>
    <b v="0"/>
    <m/>
  </r>
  <r>
    <x v="1"/>
    <m/>
    <s v="PUPIL_UIFSM"/>
    <s v="SPE"/>
    <s v="DEFAULT"/>
    <s v="DEFAULT"/>
    <s v="Pupils taking UIFSM"/>
    <m/>
    <s v="2022/23"/>
    <b v="0"/>
    <m/>
  </r>
  <r>
    <x v="1"/>
    <m/>
    <s v="PUPILPREMIUM_PRI"/>
    <s v="SPE"/>
    <s v="DEFAULT"/>
    <s v="DEFAULT"/>
    <s v="Pupil Premium Numbers Primary"/>
    <m/>
    <s v="2022/23"/>
    <b v="0"/>
    <m/>
  </r>
  <r>
    <x v="1"/>
    <m/>
    <s v="PUPILPREMIUM_SEC"/>
    <s v="SPE"/>
    <s v="DEFAULT"/>
    <s v="DEFAULT"/>
    <s v="Pupil Premium Numbers Secondary"/>
    <m/>
    <s v="2022/23"/>
    <b v="0"/>
    <m/>
  </r>
  <r>
    <x v="1"/>
    <m/>
    <s v="PUPILPREMIUMLAC"/>
    <s v="SPE"/>
    <s v="DEFAULT"/>
    <s v="DEFAULT"/>
    <s v="Pupil Premium LAC Numbers"/>
    <m/>
    <s v="2022/23"/>
    <b v="0"/>
    <m/>
  </r>
  <r>
    <x v="1"/>
    <m/>
    <s v="PUPILPREMIUMSER"/>
    <s v="SPE"/>
    <s v="DEFAULT"/>
    <s v="DEFAULT"/>
    <s v="Pupil Premium Service Numbers"/>
    <m/>
    <s v="2022/23"/>
    <b v="0"/>
    <m/>
  </r>
  <r>
    <x v="1"/>
    <m/>
    <s v="FUNDED_PPPOST16"/>
    <s v="SPE"/>
    <s v="DEFAULT"/>
    <s v="DEFAULT"/>
    <s v="Post 16 Pupil Places Special Provision"/>
    <m/>
    <s v="2023/24"/>
    <b v="0"/>
    <m/>
  </r>
  <r>
    <x v="1"/>
    <m/>
    <s v="FUNDED_PPPRE16"/>
    <s v="SPE"/>
    <s v="DEFAULT"/>
    <s v="DEFAULT"/>
    <s v="Pre 16 Pupil Places Special Provision"/>
    <m/>
    <s v="2023/24"/>
    <b v="0"/>
    <m/>
  </r>
  <r>
    <x v="1"/>
    <m/>
    <s v="PUPIL_CEN"/>
    <s v="SPE"/>
    <s v="DEFAULT"/>
    <s v="DEFAULT"/>
    <s v="Nursery Pupil Numbers"/>
    <m/>
    <s v="2023/24"/>
    <b v="0"/>
    <m/>
  </r>
  <r>
    <x v="1"/>
    <m/>
    <s v="PUPIL_CEN_00"/>
    <s v="SPE"/>
    <s v="DEFAULT"/>
    <s v="DEFAULT"/>
    <s v="Reception Pupil Numbers"/>
    <m/>
    <s v="2023/24"/>
    <b v="0"/>
    <m/>
  </r>
  <r>
    <x v="1"/>
    <m/>
    <s v="PUPIL_CEN_01"/>
    <s v="SPE"/>
    <s v="DEFAULT"/>
    <s v="DEFAULT"/>
    <s v="Year 1 Pupil Numbers"/>
    <m/>
    <s v="2023/24"/>
    <b v="0"/>
    <m/>
  </r>
  <r>
    <x v="1"/>
    <m/>
    <s v="PUPIL_CEN_02"/>
    <s v="SPE"/>
    <s v="DEFAULT"/>
    <s v="DEFAULT"/>
    <s v="Year 2 Pupil Numbers"/>
    <m/>
    <s v="2023/24"/>
    <b v="0"/>
    <m/>
  </r>
  <r>
    <x v="1"/>
    <m/>
    <s v="PUPIL_CEN_03"/>
    <s v="SPE"/>
    <s v="DEFAULT"/>
    <s v="DEFAULT"/>
    <s v="Year 3 Pupil Numbers"/>
    <m/>
    <s v="2023/24"/>
    <b v="0"/>
    <m/>
  </r>
  <r>
    <x v="1"/>
    <m/>
    <s v="PUPIL_CEN_04"/>
    <s v="SPE"/>
    <s v="DEFAULT"/>
    <s v="DEFAULT"/>
    <s v="Year 4 Pupil Numbers"/>
    <m/>
    <s v="2023/24"/>
    <b v="0"/>
    <m/>
  </r>
  <r>
    <x v="1"/>
    <m/>
    <s v="PUPIL_CEN_05"/>
    <s v="SPE"/>
    <s v="DEFAULT"/>
    <s v="DEFAULT"/>
    <s v="Year 5 Pupil Numbers"/>
    <m/>
    <s v="2023/24"/>
    <b v="0"/>
    <m/>
  </r>
  <r>
    <x v="1"/>
    <m/>
    <s v="PUPIL_CEN_06"/>
    <s v="SPE"/>
    <s v="DEFAULT"/>
    <s v="DEFAULT"/>
    <s v="Year 6 Pupil Numbers"/>
    <m/>
    <s v="2023/24"/>
    <b v="0"/>
    <m/>
  </r>
  <r>
    <x v="1"/>
    <m/>
    <s v="PUPIL_CEN_07"/>
    <s v="SPE"/>
    <s v="DEFAULT"/>
    <s v="DEFAULT"/>
    <s v="Year 7 Pupil Numbers"/>
    <m/>
    <s v="2023/24"/>
    <b v="0"/>
    <m/>
  </r>
  <r>
    <x v="1"/>
    <m/>
    <s v="PUPIL_CEN_08"/>
    <s v="SPE"/>
    <s v="DEFAULT"/>
    <s v="DEFAULT"/>
    <s v="Year 8 Pupil Numbers"/>
    <m/>
    <s v="2023/24"/>
    <b v="0"/>
    <m/>
  </r>
  <r>
    <x v="1"/>
    <m/>
    <s v="PUPIL_CEN_09"/>
    <s v="SPE"/>
    <s v="DEFAULT"/>
    <s v="DEFAULT"/>
    <s v="Year 9 Pupil Numbers"/>
    <m/>
    <s v="2023/24"/>
    <b v="0"/>
    <m/>
  </r>
  <r>
    <x v="1"/>
    <m/>
    <s v="PUPIL_CEN_10"/>
    <s v="SPE"/>
    <s v="DEFAULT"/>
    <s v="DEFAULT"/>
    <s v="Year 10 Pupil Numbers"/>
    <m/>
    <s v="2023/24"/>
    <b v="0"/>
    <m/>
  </r>
  <r>
    <x v="1"/>
    <m/>
    <s v="PUPIL_CEN_11"/>
    <s v="SPE"/>
    <s v="DEFAULT"/>
    <s v="DEFAULT"/>
    <s v="Year 11 Pupil Numbers"/>
    <m/>
    <s v="2023/24"/>
    <b v="0"/>
    <m/>
  </r>
  <r>
    <x v="1"/>
    <m/>
    <s v="PUPIL_CEN_12"/>
    <s v="SPE"/>
    <s v="DEFAULT"/>
    <s v="DEFAULT"/>
    <s v="Year 12 Pupil Numbers"/>
    <m/>
    <s v="2023/24"/>
    <b v="0"/>
    <m/>
  </r>
  <r>
    <x v="1"/>
    <m/>
    <s v="PUPIL_CEN_13"/>
    <s v="SPE"/>
    <s v="DEFAULT"/>
    <s v="DEFAULT"/>
    <s v="Year 13 Pupil Numbers"/>
    <m/>
    <s v="2023/24"/>
    <b v="0"/>
    <m/>
  </r>
  <r>
    <x v="1"/>
    <m/>
    <s v="PUPIL_CEN_14"/>
    <s v="SPE"/>
    <s v="DEFAULT"/>
    <s v="DEFAULT"/>
    <s v="Year 14 Pupil Numbers"/>
    <m/>
    <s v="2023/24"/>
    <b v="0"/>
    <m/>
  </r>
  <r>
    <x v="1"/>
    <m/>
    <s v="PUPILPREMIUM_PRI"/>
    <s v="SPE"/>
    <s v="DEFAULT"/>
    <s v="DEFAULT"/>
    <s v="Pupil Premium Numbers Primary"/>
    <m/>
    <s v="2023/24"/>
    <b v="0"/>
    <m/>
  </r>
  <r>
    <x v="1"/>
    <m/>
    <s v="PUPILPREMIUM_SEC"/>
    <s v="SPE"/>
    <s v="DEFAULT"/>
    <s v="DEFAULT"/>
    <s v="Pupil Premium Numbers Secondary"/>
    <m/>
    <s v="2023/24"/>
    <b v="0"/>
    <m/>
  </r>
  <r>
    <x v="1"/>
    <m/>
    <s v="PUPILPREMIUMLAC"/>
    <s v="SPE"/>
    <s v="DEFAULT"/>
    <s v="DEFAULT"/>
    <s v="Pupil Premium LAC Numbers"/>
    <m/>
    <s v="2023/24"/>
    <b v="0"/>
    <m/>
  </r>
  <r>
    <x v="1"/>
    <m/>
    <s v="PUPILPREMIUMSER"/>
    <s v="SPE"/>
    <s v="DEFAULT"/>
    <s v="DEFAULT"/>
    <s v="Pupil Premium Service Numbers"/>
    <m/>
    <s v="2023/24"/>
    <b v="0"/>
    <m/>
  </r>
  <r>
    <x v="1"/>
    <m/>
    <s v="PUPIL_CEN"/>
    <s v="SPE"/>
    <s v="DEFAULT"/>
    <s v="DEFAULT"/>
    <s v="Nursery Pupil Numbers"/>
    <m/>
    <s v="2024/25"/>
    <b v="0"/>
    <m/>
  </r>
  <r>
    <x v="1"/>
    <m/>
    <s v="PUPIL_CEN_00"/>
    <s v="SPE"/>
    <s v="DEFAULT"/>
    <s v="DEFAULT"/>
    <s v="Reception Pupil Numbers"/>
    <m/>
    <s v="2024/25"/>
    <b v="0"/>
    <m/>
  </r>
  <r>
    <x v="1"/>
    <m/>
    <s v="PUPIL_CEN_01"/>
    <s v="SPE"/>
    <s v="DEFAULT"/>
    <s v="DEFAULT"/>
    <s v="Year 1 Pupil Numbers"/>
    <m/>
    <s v="2024/25"/>
    <b v="0"/>
    <m/>
  </r>
  <r>
    <x v="1"/>
    <m/>
    <s v="PUPIL_CEN_02"/>
    <s v="SPE"/>
    <s v="DEFAULT"/>
    <s v="DEFAULT"/>
    <s v="Year 2 Pupil Numbers"/>
    <m/>
    <s v="2024/25"/>
    <b v="0"/>
    <m/>
  </r>
  <r>
    <x v="1"/>
    <m/>
    <s v="PUPIL_CEN_03"/>
    <s v="SPE"/>
    <s v="DEFAULT"/>
    <s v="DEFAULT"/>
    <s v="Year 3 Pupil Numbers"/>
    <m/>
    <s v="2024/25"/>
    <b v="0"/>
    <m/>
  </r>
  <r>
    <x v="1"/>
    <m/>
    <s v="PUPIL_CEN_04"/>
    <s v="SPE"/>
    <s v="DEFAULT"/>
    <s v="DEFAULT"/>
    <s v="Year 4 Pupil Numbers"/>
    <m/>
    <s v="2024/25"/>
    <b v="0"/>
    <m/>
  </r>
  <r>
    <x v="1"/>
    <m/>
    <s v="PUPIL_CEN_05"/>
    <s v="SPE"/>
    <s v="DEFAULT"/>
    <s v="DEFAULT"/>
    <s v="Year 5 Pupil Numbers"/>
    <m/>
    <s v="2024/25"/>
    <b v="0"/>
    <m/>
  </r>
  <r>
    <x v="1"/>
    <m/>
    <s v="PUPIL_CEN_06"/>
    <s v="SPE"/>
    <s v="DEFAULT"/>
    <s v="DEFAULT"/>
    <s v="Year 6 Pupil Numbers"/>
    <m/>
    <s v="2024/25"/>
    <b v="0"/>
    <m/>
  </r>
  <r>
    <x v="1"/>
    <m/>
    <s v="PUPIL_CEN_07"/>
    <s v="SPE"/>
    <s v="DEFAULT"/>
    <s v="DEFAULT"/>
    <s v="Year 7 Pupil Numbers"/>
    <m/>
    <s v="2024/25"/>
    <b v="0"/>
    <m/>
  </r>
  <r>
    <x v="1"/>
    <m/>
    <s v="PUPIL_CEN_08"/>
    <s v="SPE"/>
    <s v="DEFAULT"/>
    <s v="DEFAULT"/>
    <s v="Year 8 Pupil Numbers"/>
    <m/>
    <s v="2024/25"/>
    <b v="0"/>
    <m/>
  </r>
  <r>
    <x v="1"/>
    <m/>
    <s v="PUPIL_CEN_09"/>
    <s v="SPE"/>
    <s v="DEFAULT"/>
    <s v="DEFAULT"/>
    <s v="Year 9 Pupil Numbers"/>
    <m/>
    <s v="2024/25"/>
    <b v="0"/>
    <m/>
  </r>
  <r>
    <x v="1"/>
    <m/>
    <s v="PUPIL_CEN_10"/>
    <s v="SPE"/>
    <s v="DEFAULT"/>
    <s v="DEFAULT"/>
    <s v="Year 10 Pupil Numbers"/>
    <m/>
    <s v="2024/25"/>
    <b v="0"/>
    <m/>
  </r>
  <r>
    <x v="1"/>
    <m/>
    <s v="PUPIL_CEN_11"/>
    <s v="SPE"/>
    <s v="DEFAULT"/>
    <s v="DEFAULT"/>
    <s v="Year 11 Pupil Numbers"/>
    <m/>
    <s v="2024/25"/>
    <b v="0"/>
    <m/>
  </r>
  <r>
    <x v="1"/>
    <m/>
    <s v="PUPIL_CEN_12"/>
    <s v="SPE"/>
    <s v="DEFAULT"/>
    <s v="DEFAULT"/>
    <s v="Year 12 Pupil Numbers"/>
    <m/>
    <s v="2024/25"/>
    <b v="0"/>
    <m/>
  </r>
  <r>
    <x v="1"/>
    <m/>
    <s v="PUPIL_CEN_13"/>
    <s v="SPE"/>
    <s v="DEFAULT"/>
    <s v="DEFAULT"/>
    <s v="Year 13 Pupil Numbers"/>
    <m/>
    <s v="2024/25"/>
    <b v="0"/>
    <m/>
  </r>
  <r>
    <x v="1"/>
    <m/>
    <s v="PUPIL_CEN_14"/>
    <s v="SPE"/>
    <s v="DEFAULT"/>
    <s v="DEFAULT"/>
    <s v="Year 14 Pupil Numbers"/>
    <m/>
    <s v="2024/25"/>
    <b v="0"/>
    <m/>
  </r>
  <r>
    <x v="1"/>
    <m/>
    <s v="PUPIL_CEN"/>
    <s v="SPE"/>
    <s v="DEFAULT"/>
    <s v="DEFAULT"/>
    <s v="Nursery Pupil Numbers"/>
    <m/>
    <s v="2025/26"/>
    <b v="0"/>
    <m/>
  </r>
  <r>
    <x v="1"/>
    <m/>
    <s v="PUPIL_CEN_00"/>
    <s v="SPE"/>
    <s v="DEFAULT"/>
    <s v="DEFAULT"/>
    <s v="Reception Pupil Numbers"/>
    <m/>
    <s v="2025/26"/>
    <b v="0"/>
    <m/>
  </r>
  <r>
    <x v="1"/>
    <m/>
    <s v="PUPIL_CEN_01"/>
    <s v="SPE"/>
    <s v="DEFAULT"/>
    <s v="DEFAULT"/>
    <s v="Year 1 Pupil Numbers"/>
    <m/>
    <s v="2025/26"/>
    <b v="0"/>
    <m/>
  </r>
  <r>
    <x v="1"/>
    <m/>
    <s v="PUPIL_CEN_02"/>
    <s v="SPE"/>
    <s v="DEFAULT"/>
    <s v="DEFAULT"/>
    <s v="Year 2 Pupil Numbers"/>
    <m/>
    <s v="2025/26"/>
    <b v="0"/>
    <m/>
  </r>
  <r>
    <x v="1"/>
    <m/>
    <s v="PUPIL_CEN_03"/>
    <s v="SPE"/>
    <s v="DEFAULT"/>
    <s v="DEFAULT"/>
    <s v="Year 3 Pupil Numbers"/>
    <m/>
    <s v="2025/26"/>
    <b v="0"/>
    <m/>
  </r>
  <r>
    <x v="1"/>
    <m/>
    <s v="PUPIL_CEN_04"/>
    <s v="SPE"/>
    <s v="DEFAULT"/>
    <s v="DEFAULT"/>
    <s v="Year 4 Pupil Numbers"/>
    <m/>
    <s v="2025/26"/>
    <b v="0"/>
    <m/>
  </r>
  <r>
    <x v="1"/>
    <m/>
    <s v="PUPIL_CEN_05"/>
    <s v="SPE"/>
    <s v="DEFAULT"/>
    <s v="DEFAULT"/>
    <s v="Year 5 Pupil Numbers"/>
    <m/>
    <s v="2025/26"/>
    <b v="0"/>
    <m/>
  </r>
  <r>
    <x v="1"/>
    <m/>
    <s v="PUPIL_CEN_06"/>
    <s v="SPE"/>
    <s v="DEFAULT"/>
    <s v="DEFAULT"/>
    <s v="Year 6 Pupil Numbers"/>
    <m/>
    <s v="2025/26"/>
    <b v="0"/>
    <m/>
  </r>
  <r>
    <x v="1"/>
    <m/>
    <s v="PUPIL_CEN_07"/>
    <s v="SPE"/>
    <s v="DEFAULT"/>
    <s v="DEFAULT"/>
    <s v="Year 7 Pupil Numbers"/>
    <m/>
    <s v="2025/26"/>
    <b v="0"/>
    <m/>
  </r>
  <r>
    <x v="1"/>
    <m/>
    <s v="PUPIL_CEN_08"/>
    <s v="SPE"/>
    <s v="DEFAULT"/>
    <s v="DEFAULT"/>
    <s v="Year 8 Pupil Numbers"/>
    <m/>
    <s v="2025/26"/>
    <b v="0"/>
    <m/>
  </r>
  <r>
    <x v="1"/>
    <m/>
    <s v="PUPIL_CEN_09"/>
    <s v="SPE"/>
    <s v="DEFAULT"/>
    <s v="DEFAULT"/>
    <s v="Year 9 Pupil Numbers"/>
    <m/>
    <s v="2025/26"/>
    <b v="0"/>
    <m/>
  </r>
  <r>
    <x v="1"/>
    <m/>
    <s v="PUPIL_CEN_10"/>
    <s v="SPE"/>
    <s v="DEFAULT"/>
    <s v="DEFAULT"/>
    <s v="Year 10 Pupil Numbers"/>
    <m/>
    <s v="2025/26"/>
    <b v="0"/>
    <m/>
  </r>
  <r>
    <x v="1"/>
    <m/>
    <s v="PUPIL_CEN_11"/>
    <s v="SPE"/>
    <s v="DEFAULT"/>
    <s v="DEFAULT"/>
    <s v="Year 11 Pupil Numbers"/>
    <m/>
    <s v="2025/26"/>
    <b v="0"/>
    <m/>
  </r>
  <r>
    <x v="1"/>
    <m/>
    <s v="PUPIL_CEN_12"/>
    <s v="SPE"/>
    <s v="DEFAULT"/>
    <s v="DEFAULT"/>
    <s v="Year 12 Pupil Numbers"/>
    <m/>
    <s v="2025/26"/>
    <b v="0"/>
    <m/>
  </r>
  <r>
    <x v="1"/>
    <m/>
    <s v="PUPIL_CEN_13"/>
    <s v="SPE"/>
    <s v="DEFAULT"/>
    <s v="DEFAULT"/>
    <s v="Year 13 Pupil Numbers"/>
    <m/>
    <s v="2025/26"/>
    <b v="0"/>
    <m/>
  </r>
  <r>
    <x v="1"/>
    <m/>
    <s v="PUPIL_CEN_14"/>
    <s v="SPE"/>
    <s v="DEFAULT"/>
    <s v="DEFAULT"/>
    <s v="Year 14 Pupil Numbers"/>
    <m/>
    <s v="2025/26"/>
    <b v="0"/>
    <m/>
  </r>
  <r>
    <x v="1"/>
    <m/>
    <s v="PUPIL_CEN"/>
    <s v="SPE"/>
    <s v="DEFAULT"/>
    <s v="DEFAULT"/>
    <s v="Nursery Pupil Numbers"/>
    <m/>
    <s v="2026/27"/>
    <b v="0"/>
    <m/>
  </r>
  <r>
    <x v="1"/>
    <m/>
    <s v="PUPIL_CEN_00"/>
    <s v="SPE"/>
    <s v="DEFAULT"/>
    <s v="DEFAULT"/>
    <s v="Reception Pupil Numbers"/>
    <m/>
    <s v="2026/27"/>
    <b v="0"/>
    <m/>
  </r>
  <r>
    <x v="1"/>
    <m/>
    <s v="PUPIL_CEN_01"/>
    <s v="SPE"/>
    <s v="DEFAULT"/>
    <s v="DEFAULT"/>
    <s v="Year 1 Pupil Numbers"/>
    <m/>
    <s v="2026/27"/>
    <b v="0"/>
    <m/>
  </r>
  <r>
    <x v="1"/>
    <m/>
    <s v="PUPIL_CEN_02"/>
    <s v="SPE"/>
    <s v="DEFAULT"/>
    <s v="DEFAULT"/>
    <s v="Year 2 Pupil Numbers"/>
    <m/>
    <s v="2026/27"/>
    <b v="0"/>
    <m/>
  </r>
  <r>
    <x v="1"/>
    <m/>
    <s v="PUPIL_CEN_03"/>
    <s v="SPE"/>
    <s v="DEFAULT"/>
    <s v="DEFAULT"/>
    <s v="Year 3 Pupil Numbers"/>
    <m/>
    <s v="2026/27"/>
    <b v="0"/>
    <m/>
  </r>
  <r>
    <x v="1"/>
    <m/>
    <s v="PUPIL_CEN_04"/>
    <s v="SPE"/>
    <s v="DEFAULT"/>
    <s v="DEFAULT"/>
    <s v="Year 4 Pupil Numbers"/>
    <m/>
    <s v="2026/27"/>
    <b v="0"/>
    <m/>
  </r>
  <r>
    <x v="1"/>
    <m/>
    <s v="PUPIL_CEN_05"/>
    <s v="SPE"/>
    <s v="DEFAULT"/>
    <s v="DEFAULT"/>
    <s v="Year 5 Pupil Numbers"/>
    <m/>
    <s v="2026/27"/>
    <b v="0"/>
    <m/>
  </r>
  <r>
    <x v="1"/>
    <m/>
    <s v="PUPIL_CEN_06"/>
    <s v="SPE"/>
    <s v="DEFAULT"/>
    <s v="DEFAULT"/>
    <s v="Year 6 Pupil Numbers"/>
    <m/>
    <s v="2026/27"/>
    <b v="0"/>
    <m/>
  </r>
  <r>
    <x v="1"/>
    <m/>
    <s v="PUPIL_CEN_07"/>
    <s v="SPE"/>
    <s v="DEFAULT"/>
    <s v="DEFAULT"/>
    <s v="Year 7 Pupil Numbers"/>
    <m/>
    <s v="2026/27"/>
    <b v="0"/>
    <m/>
  </r>
  <r>
    <x v="1"/>
    <m/>
    <s v="PUPIL_CEN_08"/>
    <s v="SPE"/>
    <s v="DEFAULT"/>
    <s v="DEFAULT"/>
    <s v="Year 8 Pupil Numbers"/>
    <m/>
    <s v="2026/27"/>
    <b v="0"/>
    <m/>
  </r>
  <r>
    <x v="1"/>
    <m/>
    <s v="PUPIL_CEN_09"/>
    <s v="SPE"/>
    <s v="DEFAULT"/>
    <s v="DEFAULT"/>
    <s v="Year 9 Pupil Numbers"/>
    <m/>
    <s v="2026/27"/>
    <b v="0"/>
    <m/>
  </r>
  <r>
    <x v="1"/>
    <m/>
    <s v="PUPIL_CEN_10"/>
    <s v="SPE"/>
    <s v="DEFAULT"/>
    <s v="DEFAULT"/>
    <s v="Year 10 Pupil Numbers"/>
    <m/>
    <s v="2026/27"/>
    <b v="0"/>
    <m/>
  </r>
  <r>
    <x v="1"/>
    <m/>
    <s v="PUPIL_CEN_11"/>
    <s v="SPE"/>
    <s v="DEFAULT"/>
    <s v="DEFAULT"/>
    <s v="Year 11 Pupil Numbers"/>
    <m/>
    <s v="2026/27"/>
    <b v="0"/>
    <m/>
  </r>
  <r>
    <x v="1"/>
    <m/>
    <s v="PUPIL_CEN_12"/>
    <s v="SPE"/>
    <s v="DEFAULT"/>
    <s v="DEFAULT"/>
    <s v="Year 12 Pupil Numbers"/>
    <m/>
    <s v="2026/27"/>
    <b v="0"/>
    <m/>
  </r>
  <r>
    <x v="1"/>
    <m/>
    <s v="PUPIL_CEN_13"/>
    <s v="SPE"/>
    <s v="DEFAULT"/>
    <s v="DEFAULT"/>
    <s v="Year 13 Pupil Numbers"/>
    <m/>
    <s v="2026/27"/>
    <b v="0"/>
    <m/>
  </r>
  <r>
    <x v="1"/>
    <m/>
    <s v="PUPIL_CEN_14"/>
    <s v="SPE"/>
    <s v="DEFAULT"/>
    <s v="DEFAULT"/>
    <s v="Year 14 Pupil Numbers"/>
    <m/>
    <s v="2026/27"/>
    <b v="0"/>
    <m/>
  </r>
  <r>
    <x v="2"/>
    <m/>
    <s v="FUNDING_01"/>
    <s v="ALL"/>
    <s v="DEFAULT"/>
    <s v="DEFAULT"/>
    <s v="GAG Deprivation Primary IDACI Band F"/>
    <m/>
    <s v="2023/24"/>
    <b v="0"/>
    <m/>
  </r>
  <r>
    <x v="2"/>
    <m/>
    <s v="FUNDING_01"/>
    <s v="ALL"/>
    <s v="DEFAULT"/>
    <s v="DEFAULT"/>
    <s v="GAG Deprivation Primary IDACI Band E"/>
    <m/>
    <s v="2023/24"/>
    <b v="0"/>
    <m/>
  </r>
  <r>
    <x v="2"/>
    <m/>
    <s v="FUNDING_01"/>
    <s v="ALL"/>
    <s v="DEFAULT"/>
    <s v="DEFAULT"/>
    <s v="GAG Deprivation Primary IDACI Band D"/>
    <m/>
    <s v="2023/24"/>
    <b v="0"/>
    <m/>
  </r>
  <r>
    <x v="2"/>
    <m/>
    <s v="FUNDING_01"/>
    <s v="ALL"/>
    <s v="DEFAULT"/>
    <s v="DEFAULT"/>
    <s v="GAG Deprivation Primary IDACI Band C"/>
    <m/>
    <s v="2023/24"/>
    <b v="0"/>
    <m/>
  </r>
  <r>
    <x v="2"/>
    <m/>
    <s v="FUNDING_01"/>
    <s v="ALL"/>
    <s v="DEFAULT"/>
    <s v="DEFAULT"/>
    <s v="GAG Deprivation Primary IDACI Band B"/>
    <m/>
    <s v="2023/24"/>
    <b v="0"/>
    <m/>
  </r>
  <r>
    <x v="2"/>
    <m/>
    <s v="FUNDING_01"/>
    <s v="ALL"/>
    <s v="DEFAULT"/>
    <s v="DEFAULT"/>
    <s v="GAG Deprivation Primary IDACI Band A"/>
    <m/>
    <s v="2023/24"/>
    <b v="0"/>
    <m/>
  </r>
  <r>
    <x v="2"/>
    <m/>
    <s v="FUNDING_01"/>
    <s v="ALL"/>
    <s v="DEFAULT"/>
    <s v="DEFAULT"/>
    <s v="GAG Deprivation Primary FSM"/>
    <m/>
    <s v="2023/24"/>
    <b v="0"/>
    <m/>
  </r>
  <r>
    <x v="2"/>
    <m/>
    <s v="FUNDING_01"/>
    <s v="ALL"/>
    <s v="DEFAULT"/>
    <s v="DEFAULT"/>
    <s v="GAG Deprivation Primary FSM6"/>
    <m/>
    <s v="2023/24"/>
    <b v="0"/>
    <m/>
  </r>
  <r>
    <x v="2"/>
    <m/>
    <s v="FUNDING_01"/>
    <s v="ALL"/>
    <s v="DEFAULT"/>
    <s v="DEFAULT"/>
    <s v="GAG Prior Attainment Primary"/>
    <m/>
    <s v="2023/24"/>
    <b v="0"/>
    <m/>
  </r>
  <r>
    <x v="2"/>
    <m/>
    <s v="FUNDING_01"/>
    <s v="ALL"/>
    <s v="DEFAULT"/>
    <s v="DEFAULT"/>
    <s v="GAG EAL Primary"/>
    <m/>
    <s v="2023/24"/>
    <b v="0"/>
    <m/>
  </r>
  <r>
    <x v="2"/>
    <m/>
    <s v="FUNDING_01"/>
    <s v="ALL"/>
    <s v="DEFAULT"/>
    <s v="DEFAULT"/>
    <s v="GAG Mobility Primary"/>
    <m/>
    <s v="2023/24"/>
    <b v="0"/>
    <m/>
  </r>
  <r>
    <x v="2"/>
    <m/>
    <s v="FUNDING_01"/>
    <s v="ALL"/>
    <s v="DEFAULT"/>
    <s v="DEFAULT"/>
    <s v="GAG Sparsity"/>
    <m/>
    <s v="2023/24"/>
    <b v="0"/>
    <m/>
  </r>
  <r>
    <x v="2"/>
    <m/>
    <s v="FUNDING_01"/>
    <s v="ALL"/>
    <s v="DEFAULT"/>
    <s v="DEFAULT"/>
    <s v="GAG PFI"/>
    <m/>
    <s v="2023/24"/>
    <b v="0"/>
    <m/>
  </r>
  <r>
    <x v="2"/>
    <m/>
    <s v="FUNDING_01"/>
    <s v="ALL"/>
    <s v="DEFAULT"/>
    <s v="DEFAULT"/>
    <s v="GAG London Fringe"/>
    <m/>
    <s v="2023/24"/>
    <b v="0"/>
    <m/>
  </r>
  <r>
    <x v="2"/>
    <m/>
    <s v="FUNDING_01"/>
    <s v="ALL"/>
    <s v="DEFAULT"/>
    <s v="DEFAULT"/>
    <s v="GAG Minimum Funding Guarantee"/>
    <m/>
    <s v="2023/24"/>
    <b v="0"/>
    <m/>
  </r>
  <r>
    <x v="2"/>
    <m/>
    <s v="FUNDING_01"/>
    <s v="ALL"/>
    <s v="DEFAULT"/>
    <s v="DEFAULT"/>
    <s v="GAG Deprivation Secondary IDACI Band F"/>
    <m/>
    <s v="2023/24"/>
    <b v="0"/>
    <m/>
  </r>
  <r>
    <x v="2"/>
    <m/>
    <s v="FUNDING_01"/>
    <s v="ALL"/>
    <s v="DEFAULT"/>
    <s v="DEFAULT"/>
    <s v="GAG Deprivation Secondary IDACI Band E"/>
    <m/>
    <s v="2023/24"/>
    <b v="0"/>
    <m/>
  </r>
  <r>
    <x v="2"/>
    <m/>
    <s v="FUNDING_01"/>
    <s v="ALL"/>
    <s v="DEFAULT"/>
    <s v="DEFAULT"/>
    <s v="GAG Deprivation Secondary IDACI Band D"/>
    <m/>
    <s v="2023/24"/>
    <b v="0"/>
    <m/>
  </r>
  <r>
    <x v="2"/>
    <m/>
    <s v="FUNDING_01"/>
    <s v="ALL"/>
    <s v="DEFAULT"/>
    <s v="DEFAULT"/>
    <s v="GAG Deprivation Secondary IDACI Band C"/>
    <m/>
    <s v="2023/24"/>
    <b v="0"/>
    <m/>
  </r>
  <r>
    <x v="2"/>
    <m/>
    <s v="FUNDING_01"/>
    <s v="ALL"/>
    <s v="DEFAULT"/>
    <s v="DEFAULT"/>
    <s v="GAG Deprivation Secondary IDACI Band B"/>
    <m/>
    <s v="2023/24"/>
    <b v="0"/>
    <m/>
  </r>
  <r>
    <x v="2"/>
    <m/>
    <s v="FUNDING_01"/>
    <s v="ALL"/>
    <s v="DEFAULT"/>
    <s v="DEFAULT"/>
    <s v="GAG Deprivation Secondary IDACI Band A"/>
    <m/>
    <s v="2023/24"/>
    <b v="0"/>
    <m/>
  </r>
  <r>
    <x v="2"/>
    <m/>
    <s v="FUNDING_01"/>
    <s v="ALL"/>
    <s v="DEFAULT"/>
    <s v="DEFAULT"/>
    <s v="GAG Deprivation Secondary FSM"/>
    <m/>
    <s v="2023/24"/>
    <b v="0"/>
    <m/>
  </r>
  <r>
    <x v="2"/>
    <m/>
    <s v="FUNDING_01"/>
    <s v="ALL"/>
    <s v="DEFAULT"/>
    <s v="DEFAULT"/>
    <s v="GAG Deprivation Secondary FSM6"/>
    <m/>
    <s v="2023/24"/>
    <b v="0"/>
    <m/>
  </r>
  <r>
    <x v="2"/>
    <m/>
    <s v="FUNDING_01"/>
    <s v="ALL"/>
    <s v="DEFAULT"/>
    <s v="DEFAULT"/>
    <s v="GAG Prior Attainment Secondary"/>
    <m/>
    <s v="2023/24"/>
    <b v="0"/>
    <m/>
  </r>
  <r>
    <x v="2"/>
    <m/>
    <s v="FUNDING_01"/>
    <s v="ALL"/>
    <s v="DEFAULT"/>
    <s v="DEFAULT"/>
    <s v="GAG EAL Secondary"/>
    <m/>
    <s v="2023/24"/>
    <b v="0"/>
    <m/>
  </r>
  <r>
    <x v="2"/>
    <m/>
    <s v="FUNDING_01"/>
    <s v="ALL"/>
    <s v="DEFAULT"/>
    <s v="DEFAULT"/>
    <s v="GAG Mobility Secondary"/>
    <m/>
    <s v="2023/24"/>
    <b v="0"/>
    <m/>
  </r>
  <r>
    <x v="2"/>
    <m/>
    <s v="FUNDING_01"/>
    <s v="ALL"/>
    <s v="DEFAULT"/>
    <s v="DEFAULT"/>
    <s v="GAG Split Sites"/>
    <m/>
    <s v="2023/24"/>
    <b v="0"/>
    <m/>
  </r>
  <r>
    <x v="2"/>
    <m/>
    <s v="FUNDING_01"/>
    <s v="ALL"/>
    <s v="DEFAULT"/>
    <s v="DEFAULT"/>
    <s v="GAG Minimum per pupil Funding Level"/>
    <m/>
    <s v="2023/24"/>
    <b v="0"/>
    <m/>
  </r>
  <r>
    <x v="2"/>
    <m/>
    <s v="FUNDING_01"/>
    <s v="ALL"/>
    <s v="DEFAULT"/>
    <s v="DEFAULT"/>
    <s v="GAG Funding statement adjustment"/>
    <m/>
    <s v="2023/24"/>
    <b v="0"/>
    <m/>
  </r>
  <r>
    <x v="2"/>
    <m/>
    <s v="FUNDING_01"/>
    <s v="ALL"/>
    <s v="DEFAULT"/>
    <s v="DEFAULT"/>
    <s v="GAG Post 16 Core Programme Funding"/>
    <m/>
    <s v="2023/24"/>
    <b v="0"/>
    <m/>
  </r>
  <r>
    <x v="2"/>
    <m/>
    <s v="FUNDING_01"/>
    <s v="ALL"/>
    <s v="DEFAULT"/>
    <s v="DEFAULT"/>
    <s v="GAG Post 16 Condition of funding Adjustment"/>
    <m/>
    <s v="2023/24"/>
    <b v="0"/>
    <m/>
  </r>
  <r>
    <x v="2"/>
    <m/>
    <s v="FUNDING_01"/>
    <s v="ALL"/>
    <s v="DEFAULT"/>
    <s v="DEFAULT"/>
    <s v="GAG Post 16 Advanced Maths premium"/>
    <m/>
    <s v="2023/24"/>
    <b v="0"/>
    <m/>
  </r>
  <r>
    <x v="2"/>
    <m/>
    <s v="FUNDING_01"/>
    <s v="ALL"/>
    <s v="DEFAULT"/>
    <s v="DEFAULT"/>
    <s v="GAG Post 16 High value courses premium"/>
    <m/>
    <s v="2023/24"/>
    <b v="0"/>
    <m/>
  </r>
  <r>
    <x v="2"/>
    <m/>
    <s v="FUNDING_01"/>
    <s v="ALL"/>
    <s v="DEFAULT"/>
    <s v="DEFAULT"/>
    <s v="GAG Post 16 Industry placements"/>
    <m/>
    <s v="2023/24"/>
    <b v="0"/>
    <m/>
  </r>
  <r>
    <x v="2"/>
    <m/>
    <s v="FUNDING_01"/>
    <s v="ALL"/>
    <s v="DEFAULT"/>
    <s v="DEFAULT"/>
    <s v="GAG Post 16 Student financial support"/>
    <m/>
    <s v="2023/24"/>
    <b v="0"/>
    <m/>
  </r>
  <r>
    <x v="2"/>
    <m/>
    <s v="FUNDING_01"/>
    <s v="ALL"/>
    <s v="DEFAULT"/>
    <s v="DEFAULT"/>
    <s v="GAG Post 16 Tuition Funding"/>
    <m/>
    <s v="2023/24"/>
    <b v="0"/>
    <m/>
  </r>
  <r>
    <x v="2"/>
    <m/>
    <s v="FUNDING_SCA"/>
    <s v="ALL"/>
    <s v="DEFAULT"/>
    <s v="DEFAULT"/>
    <s v="School Condition Allocation"/>
    <m/>
    <s v="2023/24"/>
    <b v="0"/>
    <m/>
  </r>
  <r>
    <x v="2"/>
    <m/>
    <s v="FUNDING_01"/>
    <s v="PRI"/>
    <s v="DEFAULT"/>
    <s v="DEFAULT"/>
    <s v="GAG Deprivation Primary IDACI Band F"/>
    <m/>
    <s v="2023/24"/>
    <b v="0"/>
    <m/>
  </r>
  <r>
    <x v="2"/>
    <m/>
    <s v="FUNDING_01"/>
    <s v="PRI"/>
    <s v="DEFAULT"/>
    <s v="DEFAULT"/>
    <s v="GAG Deprivation Primary IDACI Band E"/>
    <m/>
    <s v="2023/24"/>
    <b v="0"/>
    <m/>
  </r>
  <r>
    <x v="2"/>
    <m/>
    <s v="FUNDING_01"/>
    <s v="PRI"/>
    <s v="DEFAULT"/>
    <s v="DEFAULT"/>
    <s v="GAG Deprivation Primary IDACI Band D"/>
    <m/>
    <s v="2023/24"/>
    <b v="0"/>
    <m/>
  </r>
  <r>
    <x v="2"/>
    <m/>
    <s v="FUNDING_01"/>
    <s v="PRI"/>
    <s v="DEFAULT"/>
    <s v="DEFAULT"/>
    <s v="GAG Deprivation Primary IDACI Band C"/>
    <m/>
    <s v="2023/24"/>
    <b v="0"/>
    <m/>
  </r>
  <r>
    <x v="2"/>
    <m/>
    <s v="FUNDING_01"/>
    <s v="PRI"/>
    <s v="DEFAULT"/>
    <s v="DEFAULT"/>
    <s v="GAG Deprivation Primary IDACI Band B"/>
    <m/>
    <s v="2023/24"/>
    <b v="0"/>
    <m/>
  </r>
  <r>
    <x v="2"/>
    <m/>
    <s v="FUNDING_01"/>
    <s v="PRI"/>
    <s v="DEFAULT"/>
    <s v="DEFAULT"/>
    <s v="GAG Deprivation Primary IDACI Band A"/>
    <m/>
    <s v="2023/24"/>
    <b v="0"/>
    <m/>
  </r>
  <r>
    <x v="2"/>
    <m/>
    <s v="FUNDING_01"/>
    <s v="PRI"/>
    <s v="DEFAULT"/>
    <s v="DEFAULT"/>
    <s v="GAG Deprivation Primary FSM"/>
    <m/>
    <s v="2023/24"/>
    <b v="0"/>
    <m/>
  </r>
  <r>
    <x v="2"/>
    <m/>
    <s v="FUNDING_01"/>
    <s v="PRI"/>
    <s v="DEFAULT"/>
    <s v="DEFAULT"/>
    <s v="GAG Deprivation Primary FSM6"/>
    <m/>
    <s v="2023/24"/>
    <b v="0"/>
    <m/>
  </r>
  <r>
    <x v="2"/>
    <m/>
    <s v="FUNDING_01"/>
    <s v="PRI"/>
    <s v="DEFAULT"/>
    <s v="DEFAULT"/>
    <s v="GAG Prior Attainment Primary"/>
    <m/>
    <s v="2023/24"/>
    <b v="0"/>
    <m/>
  </r>
  <r>
    <x v="2"/>
    <m/>
    <s v="FUNDING_01"/>
    <s v="PRI"/>
    <s v="DEFAULT"/>
    <s v="DEFAULT"/>
    <s v="GAG EAL Primary"/>
    <m/>
    <s v="2023/24"/>
    <b v="0"/>
    <m/>
  </r>
  <r>
    <x v="2"/>
    <m/>
    <s v="FUNDING_01"/>
    <s v="PRI"/>
    <s v="DEFAULT"/>
    <s v="DEFAULT"/>
    <s v="GAG Mobility Primary"/>
    <m/>
    <s v="2023/24"/>
    <b v="0"/>
    <m/>
  </r>
  <r>
    <x v="2"/>
    <m/>
    <s v="FUNDING_01"/>
    <s v="PRI"/>
    <s v="DEFAULT"/>
    <s v="DEFAULT"/>
    <s v="GAG Sparsity"/>
    <m/>
    <s v="2023/24"/>
    <b v="0"/>
    <m/>
  </r>
  <r>
    <x v="2"/>
    <m/>
    <s v="FUNDING_01"/>
    <s v="PRI"/>
    <s v="DEFAULT"/>
    <s v="DEFAULT"/>
    <s v="GAG Split Sites"/>
    <m/>
    <s v="2023/24"/>
    <b v="0"/>
    <m/>
  </r>
  <r>
    <x v="2"/>
    <m/>
    <s v="FUNDING_01"/>
    <s v="PRI"/>
    <s v="DEFAULT"/>
    <s v="DEFAULT"/>
    <s v="GAG PFI"/>
    <m/>
    <s v="2023/24"/>
    <b v="0"/>
    <m/>
  </r>
  <r>
    <x v="2"/>
    <m/>
    <s v="FUNDING_01"/>
    <s v="PRI"/>
    <s v="DEFAULT"/>
    <s v="DEFAULT"/>
    <s v="GAG London Fringe"/>
    <m/>
    <s v="2023/24"/>
    <b v="0"/>
    <m/>
  </r>
  <r>
    <x v="2"/>
    <m/>
    <s v="FUNDING_01"/>
    <s v="PRI"/>
    <s v="DEFAULT"/>
    <s v="DEFAULT"/>
    <s v="GAG Minimum Funding Guarantee"/>
    <m/>
    <s v="2023/24"/>
    <b v="0"/>
    <m/>
  </r>
  <r>
    <x v="2"/>
    <m/>
    <s v="FUNDING_01"/>
    <s v="PRI"/>
    <s v="DEFAULT"/>
    <s v="DEFAULT"/>
    <s v="GAG Minimum per pupil Funding Level"/>
    <m/>
    <s v="2023/24"/>
    <b v="0"/>
    <m/>
  </r>
  <r>
    <x v="2"/>
    <m/>
    <s v="FUNDING_01"/>
    <s v="PRI"/>
    <s v="DEFAULT"/>
    <s v="DEFAULT"/>
    <s v="GAG Funding statement adjustment"/>
    <m/>
    <s v="2023/24"/>
    <b v="0"/>
    <m/>
  </r>
  <r>
    <x v="2"/>
    <m/>
    <s v="FUNDING_SCA"/>
    <s v="PRI"/>
    <s v="DEFAULT"/>
    <s v="DEFAULT"/>
    <s v="School Condition Allocation"/>
    <m/>
    <s v="2023/24"/>
    <b v="0"/>
    <m/>
  </r>
  <r>
    <x v="2"/>
    <m/>
    <s v="FUNDING_01"/>
    <s v="SEC"/>
    <s v="DEFAULT"/>
    <s v="DEFAULT"/>
    <s v="GAG Deprivation Secondary IDACI Band F"/>
    <m/>
    <s v="2023/24"/>
    <b v="0"/>
    <m/>
  </r>
  <r>
    <x v="2"/>
    <m/>
    <s v="FUNDING_01"/>
    <s v="SEC"/>
    <s v="DEFAULT"/>
    <s v="DEFAULT"/>
    <s v="GAG Deprivation Secondary IDACI Band E"/>
    <m/>
    <s v="2023/24"/>
    <b v="0"/>
    <m/>
  </r>
  <r>
    <x v="2"/>
    <m/>
    <s v="FUNDING_01"/>
    <s v="SEC"/>
    <s v="DEFAULT"/>
    <s v="DEFAULT"/>
    <s v="GAG Deprivation Secondary IDACI Band D"/>
    <m/>
    <s v="2023/24"/>
    <b v="0"/>
    <m/>
  </r>
  <r>
    <x v="2"/>
    <m/>
    <s v="FUNDING_01"/>
    <s v="SEC"/>
    <s v="DEFAULT"/>
    <s v="DEFAULT"/>
    <s v="GAG Deprivation Secondary IDACI Band C"/>
    <m/>
    <s v="2023/24"/>
    <b v="0"/>
    <m/>
  </r>
  <r>
    <x v="2"/>
    <m/>
    <s v="FUNDING_01"/>
    <s v="SEC"/>
    <s v="DEFAULT"/>
    <s v="DEFAULT"/>
    <s v="GAG Deprivation Secondary IDACI Band B"/>
    <m/>
    <s v="2023/24"/>
    <b v="0"/>
    <m/>
  </r>
  <r>
    <x v="2"/>
    <m/>
    <s v="FUNDING_01"/>
    <s v="SEC"/>
    <s v="DEFAULT"/>
    <s v="DEFAULT"/>
    <s v="GAG Deprivation Secondary IDACI Band A"/>
    <m/>
    <s v="2023/24"/>
    <b v="0"/>
    <m/>
  </r>
  <r>
    <x v="2"/>
    <m/>
    <s v="FUNDING_01"/>
    <s v="SEC"/>
    <s v="DEFAULT"/>
    <s v="DEFAULT"/>
    <s v="GAG Deprivation Secondary FSM"/>
    <m/>
    <s v="2023/24"/>
    <b v="0"/>
    <m/>
  </r>
  <r>
    <x v="2"/>
    <m/>
    <s v="FUNDING_01"/>
    <s v="SEC"/>
    <s v="DEFAULT"/>
    <s v="DEFAULT"/>
    <s v="GAG Deprivation Secondary FSM6"/>
    <m/>
    <s v="2023/24"/>
    <b v="0"/>
    <m/>
  </r>
  <r>
    <x v="2"/>
    <m/>
    <s v="FUNDING_01"/>
    <s v="SEC"/>
    <s v="DEFAULT"/>
    <s v="DEFAULT"/>
    <s v="GAG Prior Attainment Secondary"/>
    <m/>
    <s v="2023/24"/>
    <b v="0"/>
    <m/>
  </r>
  <r>
    <x v="2"/>
    <m/>
    <s v="FUNDING_01"/>
    <s v="SEC"/>
    <s v="DEFAULT"/>
    <s v="DEFAULT"/>
    <s v="GAG EAL Secondary"/>
    <m/>
    <s v="2023/24"/>
    <b v="0"/>
    <m/>
  </r>
  <r>
    <x v="2"/>
    <m/>
    <s v="FUNDING_01"/>
    <s v="SEC"/>
    <s v="DEFAULT"/>
    <s v="DEFAULT"/>
    <s v="GAG Mobility Secondary"/>
    <m/>
    <s v="2023/24"/>
    <b v="0"/>
    <m/>
  </r>
  <r>
    <x v="2"/>
    <m/>
    <s v="FUNDING_01"/>
    <s v="SEC"/>
    <s v="DEFAULT"/>
    <s v="DEFAULT"/>
    <s v="GAG Sparsity"/>
    <m/>
    <s v="2023/24"/>
    <b v="0"/>
    <m/>
  </r>
  <r>
    <x v="2"/>
    <m/>
    <s v="FUNDING_01"/>
    <s v="SEC"/>
    <s v="DEFAULT"/>
    <s v="DEFAULT"/>
    <s v="GAG Split Sites"/>
    <m/>
    <s v="2023/24"/>
    <b v="0"/>
    <m/>
  </r>
  <r>
    <x v="2"/>
    <m/>
    <s v="FUNDING_01"/>
    <s v="SEC"/>
    <s v="DEFAULT"/>
    <s v="DEFAULT"/>
    <s v="GAG PFI"/>
    <m/>
    <s v="2023/24"/>
    <b v="0"/>
    <m/>
  </r>
  <r>
    <x v="2"/>
    <m/>
    <s v="FUNDING_01"/>
    <s v="SEC"/>
    <s v="DEFAULT"/>
    <s v="DEFAULT"/>
    <s v="GAG London Fringe"/>
    <m/>
    <s v="2023/24"/>
    <b v="0"/>
    <m/>
  </r>
  <r>
    <x v="2"/>
    <m/>
    <s v="FUNDING_01"/>
    <s v="SEC"/>
    <s v="DEFAULT"/>
    <s v="DEFAULT"/>
    <s v="GAG Minimum Funding Guarantee"/>
    <m/>
    <s v="2023/24"/>
    <b v="0"/>
    <m/>
  </r>
  <r>
    <x v="2"/>
    <m/>
    <s v="FUNDING_01"/>
    <s v="SEC"/>
    <s v="DEFAULT"/>
    <s v="DEFAULT"/>
    <s v="GAG Minimum per pupil Funding Level"/>
    <m/>
    <s v="2023/24"/>
    <b v="0"/>
    <m/>
  </r>
  <r>
    <x v="2"/>
    <m/>
    <s v="FUNDING_01"/>
    <s v="SEC"/>
    <s v="DEFAULT"/>
    <s v="DEFAULT"/>
    <s v="GAG Funding statement adjustment"/>
    <m/>
    <s v="2023/24"/>
    <b v="0"/>
    <m/>
  </r>
  <r>
    <x v="2"/>
    <m/>
    <s v="FUNDING_01"/>
    <s v="SEC"/>
    <s v="DEFAULT"/>
    <s v="DEFAULT"/>
    <s v="GAG Post 16 Core Programme Funding"/>
    <m/>
    <s v="2023/24"/>
    <b v="0"/>
    <m/>
  </r>
  <r>
    <x v="2"/>
    <m/>
    <s v="FUNDING_01"/>
    <s v="SEC"/>
    <s v="DEFAULT"/>
    <s v="DEFAULT"/>
    <s v="GAG Post 16 Condition of funding Adjustment"/>
    <m/>
    <s v="2023/24"/>
    <b v="0"/>
    <m/>
  </r>
  <r>
    <x v="2"/>
    <m/>
    <s v="FUNDING_01"/>
    <s v="SEC"/>
    <s v="DEFAULT"/>
    <s v="DEFAULT"/>
    <s v="GAG Post 16 Advanced Maths premium"/>
    <m/>
    <s v="2023/24"/>
    <b v="0"/>
    <m/>
  </r>
  <r>
    <x v="2"/>
    <m/>
    <s v="FUNDING_01"/>
    <s v="SEC"/>
    <s v="DEFAULT"/>
    <s v="DEFAULT"/>
    <s v="GAG Post 16 High value courses premium"/>
    <m/>
    <s v="2023/24"/>
    <b v="0"/>
    <m/>
  </r>
  <r>
    <x v="2"/>
    <m/>
    <s v="FUNDING_01"/>
    <s v="SEC"/>
    <s v="DEFAULT"/>
    <s v="DEFAULT"/>
    <s v="GAG Post 16 Industry placements"/>
    <m/>
    <s v="2023/24"/>
    <b v="0"/>
    <m/>
  </r>
  <r>
    <x v="2"/>
    <m/>
    <s v="FUNDING_01"/>
    <s v="SEC"/>
    <s v="DEFAULT"/>
    <s v="DEFAULT"/>
    <s v="GAG Post 16 Student financial support"/>
    <m/>
    <s v="2023/24"/>
    <b v="0"/>
    <m/>
  </r>
  <r>
    <x v="2"/>
    <m/>
    <s v="FUNDING_SCA"/>
    <s v="SEC"/>
    <s v="DEFAULT"/>
    <s v="DEFAULT"/>
    <s v="School Condition Allocation"/>
    <m/>
    <s v="2023/24"/>
    <b v="0"/>
    <m/>
  </r>
  <r>
    <x v="2"/>
    <m/>
    <s v="FUNDING_SCA"/>
    <s v="SPE"/>
    <s v="DEFAULT"/>
    <s v="DEFAULT"/>
    <s v="School Condition Allocation"/>
    <m/>
    <s v="2023/24"/>
    <b v="0"/>
    <m/>
  </r>
  <r>
    <x v="3"/>
    <m/>
    <m/>
    <s v="PRI"/>
    <m/>
    <m/>
    <s v="Mainstream Schools Additional Grant"/>
    <m/>
    <s v="2023/24"/>
    <b v="0"/>
    <m/>
  </r>
  <r>
    <x v="3"/>
    <m/>
    <m/>
    <s v="SEC"/>
    <m/>
    <m/>
    <s v="Mainstream Schools Additional Grant"/>
    <m/>
    <s v="2023/24"/>
    <b v="0"/>
    <m/>
  </r>
  <r>
    <x v="3"/>
    <m/>
    <m/>
    <s v="SPE"/>
    <m/>
    <m/>
    <s v="Mainstream Schools Additional Grant"/>
    <m/>
    <s v="2023/24"/>
    <b v="0"/>
    <m/>
  </r>
  <r>
    <x v="3"/>
    <m/>
    <m/>
    <s v="ALL"/>
    <m/>
    <m/>
    <s v="Mainstream Schools Additional Grant"/>
    <m/>
    <s v="2023/24"/>
    <b v="0"/>
    <m/>
  </r>
  <r>
    <x v="3"/>
    <m/>
    <m/>
    <s v="PRI"/>
    <m/>
    <m/>
    <s v="Total Teachers' Pay Additional Grant"/>
    <m/>
    <s v="2023/24"/>
    <b v="0"/>
    <m/>
  </r>
  <r>
    <x v="3"/>
    <m/>
    <m/>
    <s v="SEC"/>
    <m/>
    <m/>
    <s v="Total Teachers' Pay Additional Grant"/>
    <m/>
    <s v="2023/24"/>
    <b v="0"/>
    <m/>
  </r>
  <r>
    <x v="3"/>
    <m/>
    <m/>
    <s v="ALL"/>
    <m/>
    <m/>
    <s v="Total Teachers' Pay Additional Grant"/>
    <m/>
    <s v="2023/24"/>
    <b v="0"/>
    <m/>
  </r>
  <r>
    <x v="4"/>
    <m/>
    <s v="CAP_BFWD_RES"/>
    <s v="ALL"/>
    <s v="DEFAULT"/>
    <s v="DEFAULT"/>
    <s v="Brought Forward Balance Capital"/>
    <m/>
    <s v="2023/24"/>
    <b v="0"/>
    <m/>
  </r>
  <r>
    <x v="4"/>
    <m/>
    <s v="CAP_BFWD_RES"/>
    <s v="MAT"/>
    <s v="DEFAULT"/>
    <s v="DEFAULT"/>
    <s v="Brought Forward Balance Capital"/>
    <m/>
    <s v="2023/24"/>
    <b v="0"/>
    <m/>
  </r>
  <r>
    <x v="4"/>
    <m/>
    <s v="CAP_BFWD_RES"/>
    <s v="PRI"/>
    <s v="DEFAULT"/>
    <s v="DEFAULT"/>
    <s v="Brought Forward Balance Capital"/>
    <m/>
    <s v="2023/24"/>
    <b v="0"/>
    <m/>
  </r>
  <r>
    <x v="4"/>
    <m/>
    <s v="CAP_BFWD_RES"/>
    <s v="SEC"/>
    <s v="DEFAULT"/>
    <s v="DEFAULT"/>
    <s v="Brought Forward Balance Capital"/>
    <m/>
    <s v="2023/24"/>
    <b v="0"/>
    <m/>
  </r>
  <r>
    <x v="4"/>
    <m/>
    <s v="CAP_BFWD_RES"/>
    <s v="SPE"/>
    <s v="DEFAULT"/>
    <s v="DEFAULT"/>
    <s v="Brought Forward Balance Capital"/>
    <m/>
    <s v="2023/24"/>
    <b v="0"/>
    <m/>
  </r>
  <r>
    <x v="4"/>
    <m/>
    <s v="REV_BFWD_RES"/>
    <s v="ALL"/>
    <s v="DEFAULT"/>
    <s v="DEFAULT"/>
    <s v="Brought Forward Balance Revenue"/>
    <m/>
    <s v="2023/24"/>
    <b v="0"/>
    <m/>
  </r>
  <r>
    <x v="4"/>
    <m/>
    <s v="REV_BFWD_RES"/>
    <s v="MAT"/>
    <s v="DEFAULT"/>
    <s v="DEFAULT"/>
    <s v="Brought Forward Balance Revenue"/>
    <m/>
    <s v="2023/24"/>
    <b v="0"/>
    <m/>
  </r>
  <r>
    <x v="4"/>
    <m/>
    <s v="REV_BFWD_RES"/>
    <s v="PRI"/>
    <s v="DEFAULT"/>
    <s v="DEFAULT"/>
    <s v="Brought Forward Balance Revenue"/>
    <m/>
    <s v="2023/24"/>
    <b v="0"/>
    <m/>
  </r>
  <r>
    <x v="4"/>
    <m/>
    <s v="REV_BFWD_RES"/>
    <s v="SEC"/>
    <s v="DEFAULT"/>
    <s v="DEFAULT"/>
    <s v="Brought Forward Balance Revenue"/>
    <m/>
    <s v="2023/24"/>
    <b v="0"/>
    <m/>
  </r>
  <r>
    <x v="4"/>
    <m/>
    <s v="REV_BFWD_RES"/>
    <s v="SPE"/>
    <s v="DEFAULT"/>
    <s v="DEFAULT"/>
    <s v="Brought Forward Balance Revenue"/>
    <m/>
    <s v="2023/24"/>
    <b v="0"/>
    <m/>
  </r>
  <r>
    <x v="5"/>
    <s v="APBUD2324"/>
    <m/>
    <s v="SEC"/>
    <m/>
    <m/>
    <m/>
    <m/>
    <s v="2023/24"/>
    <b v="0"/>
    <m/>
  </r>
  <r>
    <x v="5"/>
    <s v="MASTER_OG"/>
    <m/>
    <s v="PRI"/>
    <m/>
    <m/>
    <m/>
    <m/>
    <s v="2023/24"/>
    <b v="0"/>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3">
  <r>
    <n v="0"/>
    <x v="0"/>
    <m/>
    <x v="0"/>
    <s v="ALL"/>
    <s v="DEFAULT"/>
    <s v="DEFAULT"/>
    <m/>
    <x v="0"/>
    <s v="MONTHLY"/>
    <s v=""/>
    <s v=""/>
    <s v=""/>
    <s v=""/>
    <s v=""/>
    <s v="Pupil ASCL Uplift %"/>
    <s v="Percentage change of pupil numbers from previous year to current year combined with ASCL Uplift %"/>
    <m/>
    <m/>
    <m/>
    <b v="1"/>
    <x v="0"/>
    <b v="1"/>
    <m/>
  </r>
  <r>
    <n v="0"/>
    <x v="0"/>
    <m/>
    <x v="1"/>
    <s v="ALL"/>
    <s v="DEFAULT"/>
    <s v="DEFAULT"/>
    <m/>
    <x v="1"/>
    <s v="MONTHLY"/>
    <s v=""/>
    <s v=""/>
    <s v=""/>
    <s v=""/>
    <s v=""/>
    <s v="Pupil Expenditure Uplift %"/>
    <s v="Percentage change of pupil numbers from previous year to current year combined with Expenditure Uplift %"/>
    <m/>
    <m/>
    <m/>
    <b v="1"/>
    <x v="0"/>
    <b v="1"/>
    <m/>
  </r>
  <r>
    <n v="0"/>
    <x v="0"/>
    <m/>
    <x v="2"/>
    <s v="ALL"/>
    <s v="DEFAULT"/>
    <s v="DEFAULT"/>
    <m/>
    <x v="2"/>
    <s v="MONTHLY"/>
    <s v=""/>
    <s v=""/>
    <s v=""/>
    <s v=""/>
    <s v=""/>
    <s v="Pupil GAG Uplift %"/>
    <s v="Percentage change of pupil numbers from previous year to current year combined with GAG Uplift %"/>
    <m/>
    <m/>
    <m/>
    <b v="1"/>
    <x v="0"/>
    <b v="1"/>
    <m/>
  </r>
  <r>
    <n v="0"/>
    <x v="0"/>
    <m/>
    <x v="3"/>
    <s v="ALL"/>
    <s v="DEFAULT"/>
    <s v="DEFAULT"/>
    <m/>
    <x v="3"/>
    <s v="MONTHLY"/>
    <s v=""/>
    <s v=""/>
    <s v=""/>
    <s v=""/>
    <s v=""/>
    <s v="Pupil Income Uplift %"/>
    <s v="Percentage change of pupil numbers from previous year to current year combined with Income Uplift %"/>
    <m/>
    <m/>
    <m/>
    <b v="1"/>
    <x v="0"/>
    <b v="1"/>
    <m/>
  </r>
  <r>
    <n v="0"/>
    <x v="0"/>
    <m/>
    <x v="4"/>
    <s v="ALL"/>
    <s v="DEFAULT"/>
    <s v="DEFAULT"/>
    <m/>
    <x v="4"/>
    <s v="MONTHLY"/>
    <s v=""/>
    <s v=""/>
    <s v=""/>
    <s v=""/>
    <s v=""/>
    <s v="Pupil Post 16 GAG Uplift %"/>
    <s v="Percentage change of pupil numbers from previous year to current year combined with Post 16 GAG Uplift %"/>
    <m/>
    <m/>
    <m/>
    <b v="1"/>
    <x v="0"/>
    <b v="1"/>
    <m/>
  </r>
  <r>
    <n v="0"/>
    <x v="0"/>
    <m/>
    <x v="5"/>
    <s v="ALL"/>
    <s v="DEFAULT"/>
    <s v="DEFAULT"/>
    <m/>
    <x v="5"/>
    <s v="MONTHLY"/>
    <s v=""/>
    <s v=""/>
    <s v=""/>
    <s v=""/>
    <s v=""/>
    <s v="Pupil RPI Uplift %"/>
    <s v="Percentage change of pupil numbers from previous year to current year combined with RPI Uplift %"/>
    <m/>
    <m/>
    <m/>
    <b v="1"/>
    <x v="0"/>
    <b v="1"/>
    <m/>
  </r>
  <r>
    <n v="1"/>
    <x v="0"/>
    <m/>
    <x v="6"/>
    <s v="MAT"/>
    <s v="DEFAULT"/>
    <s v="DEFAULT"/>
    <m/>
    <x v="6"/>
    <s v="MONTHLY"/>
    <s v=""/>
    <s v=""/>
    <s v=""/>
    <s v=""/>
    <s v=""/>
    <s v="AWPU Rate Primary Cornwall"/>
    <s v="Basic Entitlement Primary rate from Factor 1 of Funding statement"/>
    <m/>
    <m/>
    <m/>
    <b v="1"/>
    <x v="0"/>
    <b v="0"/>
    <m/>
  </r>
  <r>
    <n v="1"/>
    <x v="0"/>
    <m/>
    <x v="7"/>
    <s v="MAT"/>
    <s v="DEFAULT"/>
    <s v="DEFAULT"/>
    <m/>
    <x v="6"/>
    <s v="MONTHLY"/>
    <s v=""/>
    <s v=""/>
    <s v=""/>
    <s v=""/>
    <s v=""/>
    <s v="AWPU Rate Primary Devon"/>
    <s v="Basic Entitlement Primary rate from Factor 1 of Funding statement"/>
    <m/>
    <m/>
    <m/>
    <b v="1"/>
    <x v="0"/>
    <b v="0"/>
    <m/>
  </r>
  <r>
    <n v="1"/>
    <x v="0"/>
    <m/>
    <x v="8"/>
    <s v="MAT"/>
    <s v="DEFAULT"/>
    <s v="DEFAULT"/>
    <m/>
    <x v="6"/>
    <s v="MONTHLY"/>
    <s v=""/>
    <s v=""/>
    <s v=""/>
    <s v=""/>
    <s v=""/>
    <s v="AWPU Rate KS3 Cornwall"/>
    <s v="Basic Entitlement KS3 rate from Factor 1 of Funding statement"/>
    <m/>
    <m/>
    <m/>
    <b v="1"/>
    <x v="0"/>
    <b v="0"/>
    <m/>
  </r>
  <r>
    <n v="1"/>
    <x v="0"/>
    <m/>
    <x v="9"/>
    <s v="MAT"/>
    <s v="DEFAULT"/>
    <s v="DEFAULT"/>
    <m/>
    <x v="6"/>
    <s v="MONTHLY"/>
    <s v=""/>
    <s v=""/>
    <s v=""/>
    <s v=""/>
    <s v=""/>
    <s v="AWPU Rate KS3 Devon"/>
    <s v="Basic Entitlement KS3 rate from Factor 1 of Funding statement"/>
    <m/>
    <m/>
    <m/>
    <b v="1"/>
    <x v="0"/>
    <b v="0"/>
    <m/>
  </r>
  <r>
    <n v="1"/>
    <x v="0"/>
    <m/>
    <x v="10"/>
    <s v="MAT"/>
    <s v="DEFAULT"/>
    <s v="DEFAULT"/>
    <m/>
    <x v="6"/>
    <s v="MONTHLY"/>
    <s v=""/>
    <s v=""/>
    <s v=""/>
    <s v=""/>
    <s v=""/>
    <s v="AWPU Rate KS4 Cornwall"/>
    <s v="Basic Entitlement KS4 rate from Factor 1 of Funding statement"/>
    <m/>
    <m/>
    <m/>
    <b v="1"/>
    <x v="0"/>
    <b v="0"/>
    <m/>
  </r>
  <r>
    <n v="1"/>
    <x v="0"/>
    <m/>
    <x v="11"/>
    <s v="MAT"/>
    <s v="DEFAULT"/>
    <s v="DEFAULT"/>
    <m/>
    <x v="6"/>
    <s v="MONTHLY"/>
    <s v=""/>
    <s v=""/>
    <s v=""/>
    <s v=""/>
    <s v=""/>
    <s v="AWPU Rate KS4 Devon"/>
    <s v="Basic Entitlement KS4 rate from Factor 1 of Funding statement"/>
    <m/>
    <m/>
    <m/>
    <b v="1"/>
    <x v="0"/>
    <b v="0"/>
    <m/>
  </r>
  <r>
    <n v="1"/>
    <x v="0"/>
    <m/>
    <x v="12"/>
    <s v="MAT"/>
    <s v="DEFAULT"/>
    <s v="DEFAULT"/>
    <m/>
    <x v="7"/>
    <s v="MONTHLY"/>
    <s v=""/>
    <s v=""/>
    <s v=""/>
    <s v=""/>
    <s v=""/>
    <s v="Central Charge % Rate"/>
    <s v="Percentage used in Topslice calculation"/>
    <m/>
    <m/>
    <m/>
    <b v="1"/>
    <x v="0"/>
    <b v="0"/>
    <m/>
  </r>
  <r>
    <n v="0"/>
    <x v="0"/>
    <m/>
    <x v="13"/>
    <s v="MAT"/>
    <s v="DEFAULT"/>
    <s v="DEFAULT"/>
    <m/>
    <x v="7"/>
    <s v="MONTHLY"/>
    <s v=""/>
    <s v=""/>
    <s v=""/>
    <s v=""/>
    <s v=""/>
    <s v="DFC Core"/>
    <s v="Lump Sum value which makes up part of the DFC funding"/>
    <m/>
    <m/>
    <m/>
    <b v="1"/>
    <x v="1"/>
    <b v="0"/>
    <n v="-4000"/>
  </r>
  <r>
    <n v="0"/>
    <x v="0"/>
    <m/>
    <x v="14"/>
    <s v="MAT"/>
    <s v="DEFAULT"/>
    <s v="DEFAULT"/>
    <m/>
    <x v="7"/>
    <s v="MONTHLY"/>
    <s v=""/>
    <s v=""/>
    <s v=""/>
    <s v=""/>
    <s v=""/>
    <s v="DFC Nursery Pupil"/>
    <s v="Nursery Per pupil rate for DFC funding"/>
    <m/>
    <m/>
    <m/>
    <b v="1"/>
    <x v="1"/>
    <b v="0"/>
    <n v="-6.75"/>
  </r>
  <r>
    <n v="0"/>
    <x v="0"/>
    <m/>
    <x v="15"/>
    <s v="MAT"/>
    <s v="DEFAULT"/>
    <s v="DEFAULT"/>
    <m/>
    <x v="7"/>
    <s v="MONTHLY"/>
    <s v=""/>
    <s v=""/>
    <s v=""/>
    <s v=""/>
    <s v=""/>
    <s v="DFC Post16 Pupil"/>
    <s v="Post 16 Per pupil rate for DFC funding"/>
    <m/>
    <m/>
    <m/>
    <b v="1"/>
    <x v="1"/>
    <b v="0"/>
    <n v="-22.5"/>
  </r>
  <r>
    <n v="0"/>
    <x v="0"/>
    <m/>
    <x v="16"/>
    <s v="MAT"/>
    <s v="DEFAULT"/>
    <s v="DEFAULT"/>
    <m/>
    <x v="7"/>
    <s v="MONTHLY"/>
    <s v=""/>
    <s v=""/>
    <s v=""/>
    <s v=""/>
    <s v=""/>
    <s v="DFC Primary Pupil"/>
    <s v="Primary Per pupil rate for DFC funding"/>
    <m/>
    <m/>
    <m/>
    <b v="1"/>
    <x v="1"/>
    <b v="0"/>
    <n v="-11.25"/>
  </r>
  <r>
    <n v="0"/>
    <x v="0"/>
    <m/>
    <x v="17"/>
    <s v="MAT"/>
    <s v="DEFAULT"/>
    <s v="DEFAULT"/>
    <m/>
    <x v="7"/>
    <s v="MONTHLY"/>
    <s v=""/>
    <s v=""/>
    <s v=""/>
    <s v=""/>
    <s v=""/>
    <s v="DFC Secondary Pupil"/>
    <s v="Secondary Per pupil rate for DFC funding"/>
    <m/>
    <m/>
    <m/>
    <b v="1"/>
    <x v="1"/>
    <b v="0"/>
    <n v="-16.88"/>
  </r>
  <r>
    <n v="0"/>
    <x v="0"/>
    <m/>
    <x v="18"/>
    <s v="MAT"/>
    <s v="DEFAULT"/>
    <s v="DEFAULT"/>
    <m/>
    <x v="7"/>
    <s v="MONTHLY"/>
    <s v=""/>
    <s v=""/>
    <s v=""/>
    <s v=""/>
    <s v=""/>
    <s v="DFC Special Pupil"/>
    <s v="Special School Per pupil rate for DFC funding"/>
    <m/>
    <m/>
    <m/>
    <b v="1"/>
    <x v="2"/>
    <b v="0"/>
    <n v="-50.625"/>
  </r>
  <r>
    <n v="0"/>
    <x v="0"/>
    <m/>
    <x v="18"/>
    <s v="MAT"/>
    <s v="DEFAULT"/>
    <s v="DEFAULT"/>
    <m/>
    <x v="7"/>
    <s v="MONTHLY"/>
    <s v=""/>
    <s v=""/>
    <s v=""/>
    <s v=""/>
    <s v=""/>
    <s v="DFC Special Pupil"/>
    <s v="Special School Per pupil rate for DFC funding"/>
    <m/>
    <m/>
    <m/>
    <b v="1"/>
    <x v="1"/>
    <b v="0"/>
    <n v="-33.75"/>
  </r>
  <r>
    <n v="0"/>
    <x v="0"/>
    <m/>
    <x v="19"/>
    <s v="MAT"/>
    <s v="DEFAULT"/>
    <s v="DEFAULT"/>
    <m/>
    <x v="7"/>
    <s v="MONTHLY"/>
    <s v=""/>
    <s v=""/>
    <s v=""/>
    <s v=""/>
    <s v=""/>
    <s v="Occupied High Needs Place Funding Per Pupil Rate"/>
    <s v="Per place value for special occupied."/>
    <m/>
    <m/>
    <m/>
    <b v="1"/>
    <x v="1"/>
    <b v="0"/>
    <n v="-6000"/>
  </r>
  <r>
    <n v="0"/>
    <x v="0"/>
    <m/>
    <x v="20"/>
    <s v="MAT"/>
    <s v="DEFAULT"/>
    <s v="DEFAULT"/>
    <m/>
    <x v="7"/>
    <s v="MONTHLY"/>
    <s v=""/>
    <s v=""/>
    <s v=""/>
    <s v=""/>
    <s v=""/>
    <s v="High Needs Place Funding Per Pupil Rate"/>
    <s v="Per place value for special unoccupied."/>
    <m/>
    <m/>
    <m/>
    <b v="1"/>
    <x v="1"/>
    <b v="0"/>
    <n v="-10000"/>
  </r>
  <r>
    <n v="0"/>
    <x v="0"/>
    <m/>
    <x v="21"/>
    <s v="MAT"/>
    <s v="DEFAULT"/>
    <s v="DEFAULT"/>
    <m/>
    <x v="7"/>
    <s v="MONTHLY"/>
    <s v=""/>
    <s v=""/>
    <s v=""/>
    <s v=""/>
    <s v=""/>
    <s v="Apprentice Levy"/>
    <s v="Percentage used in Apprentice levy calculation"/>
    <m/>
    <m/>
    <m/>
    <b v="1"/>
    <x v="1"/>
    <b v="0"/>
    <n v="0.5"/>
  </r>
  <r>
    <n v="0"/>
    <x v="0"/>
    <m/>
    <x v="22"/>
    <s v="MAT"/>
    <s v="DEFAULT"/>
    <s v="DEFAULT"/>
    <m/>
    <x v="7"/>
    <s v="MONTHLY"/>
    <s v=""/>
    <s v=""/>
    <s v=""/>
    <s v=""/>
    <s v=""/>
    <s v="Apprentice Allowance"/>
    <s v="Total Apprentice Allowance value used in calculation."/>
    <m/>
    <m/>
    <m/>
    <b v="1"/>
    <x v="1"/>
    <b v="0"/>
    <n v="-15000"/>
  </r>
  <r>
    <n v="1"/>
    <x v="0"/>
    <m/>
    <x v="23"/>
    <s v="MAT"/>
    <s v="DEFAULT"/>
    <s v="DEFAULT"/>
    <m/>
    <x v="6"/>
    <s v="MONTHLY"/>
    <s v=""/>
    <s v=""/>
    <s v=""/>
    <s v=""/>
    <s v=""/>
    <s v="Lump Sum Rate Primary Cornwall"/>
    <s v="Primary Lump Sum value from funding statement factor 8"/>
    <m/>
    <m/>
    <m/>
    <b v="1"/>
    <x v="0"/>
    <b v="0"/>
    <m/>
  </r>
  <r>
    <n v="1"/>
    <x v="0"/>
    <m/>
    <x v="24"/>
    <s v="MAT"/>
    <s v="DEFAULT"/>
    <s v="DEFAULT"/>
    <m/>
    <x v="6"/>
    <s v="MONTHLY"/>
    <s v=""/>
    <s v=""/>
    <s v=""/>
    <s v=""/>
    <s v=""/>
    <s v="Lump Sum Rate Secondary Cornwall"/>
    <s v="Secondary Lump Sum value from funding statement factor 8"/>
    <m/>
    <m/>
    <m/>
    <b v="1"/>
    <x v="0"/>
    <b v="0"/>
    <m/>
  </r>
  <r>
    <n v="1"/>
    <x v="0"/>
    <m/>
    <x v="25"/>
    <s v="MAT"/>
    <s v="DEFAULT"/>
    <s v="DEFAULT"/>
    <m/>
    <x v="6"/>
    <s v="MONTHLY"/>
    <s v=""/>
    <s v=""/>
    <s v=""/>
    <s v=""/>
    <s v=""/>
    <s v="Lump Sum Rate Primary Devon"/>
    <s v="Primary Lump Sum value from funding statement factor 8"/>
    <m/>
    <m/>
    <m/>
    <b v="1"/>
    <x v="0"/>
    <b v="0"/>
    <m/>
  </r>
  <r>
    <n v="1"/>
    <x v="0"/>
    <m/>
    <x v="26"/>
    <s v="MAT"/>
    <s v="DEFAULT"/>
    <s v="DEFAULT"/>
    <m/>
    <x v="6"/>
    <s v="MONTHLY"/>
    <s v=""/>
    <s v=""/>
    <s v=""/>
    <s v=""/>
    <s v=""/>
    <s v="Lump Sum Rate Secondary Devon"/>
    <s v="Secondary Lump Sum value from funding statement factor 8"/>
    <m/>
    <m/>
    <m/>
    <b v="1"/>
    <x v="0"/>
    <b v="0"/>
    <m/>
  </r>
  <r>
    <n v="0"/>
    <x v="0"/>
    <m/>
    <x v="27"/>
    <s v="MAT"/>
    <s v="DEFAULT"/>
    <s v="DEFAULT"/>
    <m/>
    <x v="7"/>
    <s v="MONTHLY"/>
    <s v=""/>
    <s v=""/>
    <s v=""/>
    <s v=""/>
    <s v=""/>
    <s v="Teachers Pay Grant Special School"/>
    <s v="England and Wales rate"/>
    <m/>
    <m/>
    <m/>
    <b v="1"/>
    <x v="3"/>
    <b v="0"/>
    <n v="-102.08"/>
  </r>
  <r>
    <n v="0"/>
    <x v="0"/>
    <m/>
    <x v="27"/>
    <s v="MAT"/>
    <s v="DEFAULT"/>
    <s v="DEFAULT"/>
    <m/>
    <x v="7"/>
    <s v="MONTHLY"/>
    <s v=""/>
    <s v=""/>
    <s v=""/>
    <s v=""/>
    <s v=""/>
    <s v="Teachers Pay Grant Special School"/>
    <s v="England and Wales rate"/>
    <m/>
    <m/>
    <m/>
    <b v="1"/>
    <x v="0"/>
    <b v="0"/>
    <n v="-174.99"/>
  </r>
  <r>
    <n v="0"/>
    <x v="0"/>
    <m/>
    <x v="28"/>
    <s v="MAT"/>
    <s v="DEFAULT"/>
    <s v="DEFAULT"/>
    <m/>
    <x v="7"/>
    <s v="MONTHLY"/>
    <s v=""/>
    <s v=""/>
    <s v=""/>
    <s v=""/>
    <s v=""/>
    <s v="Teachers Pay Grant Special School"/>
    <s v="London Fringe rate"/>
    <m/>
    <m/>
    <m/>
    <b v="1"/>
    <x v="0"/>
    <b v="0"/>
    <n v="-180.29000000000002"/>
  </r>
  <r>
    <n v="0"/>
    <x v="0"/>
    <m/>
    <x v="28"/>
    <s v="MAT"/>
    <s v="DEFAULT"/>
    <s v="DEFAULT"/>
    <m/>
    <x v="7"/>
    <s v="MONTHLY"/>
    <s v=""/>
    <s v=""/>
    <s v=""/>
    <s v=""/>
    <s v=""/>
    <s v="Teachers Pay Grant Special School"/>
    <s v="London Fringe rate"/>
    <m/>
    <m/>
    <m/>
    <b v="1"/>
    <x v="3"/>
    <b v="0"/>
    <n v="-105.17"/>
  </r>
  <r>
    <n v="0"/>
    <x v="0"/>
    <m/>
    <x v="29"/>
    <s v="MAT"/>
    <s v="DEFAULT"/>
    <s v="DEFAULT"/>
    <m/>
    <x v="7"/>
    <s v="MONTHLY"/>
    <s v=""/>
    <s v=""/>
    <s v=""/>
    <s v=""/>
    <s v=""/>
    <s v="Teachers Pay Grant Special School"/>
    <s v="London Inner rate"/>
    <m/>
    <m/>
    <m/>
    <b v="1"/>
    <x v="0"/>
    <b v="0"/>
    <n v="-208.18"/>
  </r>
  <r>
    <n v="0"/>
    <x v="0"/>
    <m/>
    <x v="29"/>
    <s v="MAT"/>
    <s v="DEFAULT"/>
    <s v="DEFAULT"/>
    <m/>
    <x v="7"/>
    <s v="MONTHLY"/>
    <s v=""/>
    <s v=""/>
    <s v=""/>
    <s v=""/>
    <s v=""/>
    <s v="Teachers Pay Grant Special School"/>
    <s v="London Inner rate"/>
    <m/>
    <m/>
    <m/>
    <b v="1"/>
    <x v="3"/>
    <b v="0"/>
    <n v="-121.44"/>
  </r>
  <r>
    <n v="0"/>
    <x v="0"/>
    <m/>
    <x v="30"/>
    <s v="MAT"/>
    <s v="DEFAULT"/>
    <s v="DEFAULT"/>
    <m/>
    <x v="7"/>
    <s v="MONTHLY"/>
    <s v=""/>
    <s v=""/>
    <s v=""/>
    <s v=""/>
    <s v=""/>
    <s v="Teachers Pay Grant Special School"/>
    <s v="London Outer rate"/>
    <m/>
    <m/>
    <m/>
    <b v="1"/>
    <x v="0"/>
    <b v="0"/>
    <n v="-192.6"/>
  </r>
  <r>
    <n v="0"/>
    <x v="0"/>
    <m/>
    <x v="30"/>
    <s v="MAT"/>
    <s v="DEFAULT"/>
    <s v="DEFAULT"/>
    <m/>
    <x v="7"/>
    <s v="MONTHLY"/>
    <s v=""/>
    <s v=""/>
    <s v=""/>
    <s v=""/>
    <s v=""/>
    <s v="Teachers Pay Grant Special School"/>
    <s v="London Outer rate"/>
    <m/>
    <m/>
    <m/>
    <b v="1"/>
    <x v="3"/>
    <b v="0"/>
    <n v="-112.35"/>
  </r>
  <r>
    <n v="0"/>
    <x v="0"/>
    <m/>
    <x v="31"/>
    <s v="MAT"/>
    <s v="DEFAULT"/>
    <s v="DEFAULT"/>
    <m/>
    <x v="7"/>
    <s v="MONTHLY"/>
    <s v=""/>
    <s v=""/>
    <s v=""/>
    <s v=""/>
    <s v=""/>
    <s v="PE Grant Core Rate"/>
    <s v="Lump Sum value which makes up part of the PE funding"/>
    <m/>
    <m/>
    <m/>
    <b v="1"/>
    <x v="1"/>
    <b v="0"/>
    <n v="-16000"/>
  </r>
  <r>
    <n v="0"/>
    <x v="0"/>
    <m/>
    <x v="32"/>
    <s v="MAT"/>
    <s v="DEFAULT"/>
    <s v="DEFAULT"/>
    <m/>
    <x v="7"/>
    <s v="MONTHLY"/>
    <s v=""/>
    <s v=""/>
    <s v=""/>
    <s v=""/>
    <s v=""/>
    <s v="PE Grant Per Pupil Rate"/>
    <m/>
    <m/>
    <m/>
    <m/>
    <b v="1"/>
    <x v="1"/>
    <b v="0"/>
    <n v="-10"/>
  </r>
  <r>
    <n v="0"/>
    <x v="0"/>
    <m/>
    <x v="33"/>
    <s v="MAT"/>
    <s v="DEFAULT"/>
    <s v="DEFAULT"/>
    <m/>
    <x v="7"/>
    <s v="MONTHLY"/>
    <s v=""/>
    <s v=""/>
    <s v=""/>
    <s v=""/>
    <s v=""/>
    <s v="Teachers Pensions Grant Post 16"/>
    <s v="England and Wales rate"/>
    <m/>
    <m/>
    <m/>
    <b v="1"/>
    <x v="3"/>
    <b v="0"/>
    <n v="-195.57"/>
  </r>
  <r>
    <n v="0"/>
    <x v="0"/>
    <m/>
    <x v="34"/>
    <s v="MAT"/>
    <s v="DEFAULT"/>
    <s v="DEFAULT"/>
    <m/>
    <x v="7"/>
    <s v="MONTHLY"/>
    <s v=""/>
    <s v=""/>
    <s v=""/>
    <s v=""/>
    <s v=""/>
    <s v="Teachers Pensions Grant Post 16 Fringe"/>
    <s v="London Fringe rate"/>
    <m/>
    <m/>
    <m/>
    <b v="1"/>
    <x v="3"/>
    <b v="0"/>
    <n v="-201.48"/>
  </r>
  <r>
    <n v="0"/>
    <x v="0"/>
    <m/>
    <x v="35"/>
    <s v="MAT"/>
    <s v="DEFAULT"/>
    <s v="DEFAULT"/>
    <m/>
    <x v="7"/>
    <s v="MONTHLY"/>
    <s v=""/>
    <s v=""/>
    <s v=""/>
    <s v=""/>
    <s v=""/>
    <s v="Teachers Pensions Grant Post 16 Inner"/>
    <s v="London Inner rate"/>
    <m/>
    <m/>
    <m/>
    <b v="1"/>
    <x v="3"/>
    <b v="0"/>
    <n v="-232.65"/>
  </r>
  <r>
    <n v="0"/>
    <x v="0"/>
    <m/>
    <x v="36"/>
    <s v="MAT"/>
    <s v="DEFAULT"/>
    <s v="DEFAULT"/>
    <m/>
    <x v="7"/>
    <s v="MONTHLY"/>
    <s v=""/>
    <s v=""/>
    <s v=""/>
    <s v=""/>
    <s v=""/>
    <s v="Teachers Pensions Grant Post 16 Outer"/>
    <s v="London Outer rate"/>
    <m/>
    <m/>
    <m/>
    <b v="1"/>
    <x v="3"/>
    <b v="0"/>
    <n v="-215.23"/>
  </r>
  <r>
    <n v="0"/>
    <x v="0"/>
    <m/>
    <x v="37"/>
    <s v="MAT"/>
    <s v="DEFAULT"/>
    <s v="DEFAULT"/>
    <m/>
    <x v="7"/>
    <s v="MONTHLY"/>
    <s v=""/>
    <s v=""/>
    <s v=""/>
    <s v=""/>
    <s v=""/>
    <s v="Teachers Pensions Grant Special School"/>
    <s v="England and Wales rate"/>
    <m/>
    <m/>
    <m/>
    <b v="1"/>
    <x v="3"/>
    <b v="0"/>
    <n v="-484.95"/>
  </r>
  <r>
    <n v="0"/>
    <x v="0"/>
    <m/>
    <x v="38"/>
    <s v="MAT"/>
    <s v="DEFAULT"/>
    <s v="DEFAULT"/>
    <m/>
    <x v="7"/>
    <s v="MONTHLY"/>
    <s v=""/>
    <s v=""/>
    <s v=""/>
    <s v=""/>
    <s v=""/>
    <s v="Teachers Pensions Grant Special School"/>
    <s v="London Fringe rate"/>
    <m/>
    <m/>
    <m/>
    <b v="1"/>
    <x v="3"/>
    <b v="0"/>
    <n v="-499.61"/>
  </r>
  <r>
    <n v="0"/>
    <x v="0"/>
    <m/>
    <x v="39"/>
    <s v="MAT"/>
    <s v="DEFAULT"/>
    <s v="DEFAULT"/>
    <m/>
    <x v="7"/>
    <s v="MONTHLY"/>
    <s v=""/>
    <s v=""/>
    <s v=""/>
    <s v=""/>
    <s v=""/>
    <s v="Teachers Pensions Grant Special School"/>
    <s v="London Inner rate"/>
    <m/>
    <m/>
    <m/>
    <b v="1"/>
    <x v="3"/>
    <b v="0"/>
    <n v="-576.91"/>
  </r>
  <r>
    <n v="0"/>
    <x v="0"/>
    <m/>
    <x v="40"/>
    <s v="MAT"/>
    <s v="DEFAULT"/>
    <s v="DEFAULT"/>
    <m/>
    <x v="7"/>
    <s v="MONTHLY"/>
    <s v=""/>
    <s v=""/>
    <s v=""/>
    <s v=""/>
    <s v=""/>
    <s v="Teachers Pensions Grant Special School"/>
    <s v="London Outer rate"/>
    <m/>
    <m/>
    <m/>
    <b v="1"/>
    <x v="3"/>
    <b v="0"/>
    <n v="-533.71"/>
  </r>
  <r>
    <n v="0"/>
    <x v="0"/>
    <m/>
    <x v="41"/>
    <s v="MAT"/>
    <s v="DEFAULT"/>
    <s v="DEFAULT"/>
    <m/>
    <x v="7"/>
    <s v="MONTHLY"/>
    <s v=""/>
    <s v=""/>
    <s v=""/>
    <s v=""/>
    <s v=""/>
    <s v="Pupil Premium LAC Rate"/>
    <s v="Looked After Children Per pupil rate"/>
    <m/>
    <m/>
    <m/>
    <b v="1"/>
    <x v="2"/>
    <b v="0"/>
    <n v="-2530"/>
  </r>
  <r>
    <n v="0"/>
    <x v="0"/>
    <m/>
    <x v="41"/>
    <s v="MAT"/>
    <s v="DEFAULT"/>
    <s v="DEFAULT"/>
    <m/>
    <x v="7"/>
    <s v="MONTHLY"/>
    <s v=""/>
    <s v=""/>
    <s v=""/>
    <s v=""/>
    <s v=""/>
    <s v="Pupil Premium LAC Rate"/>
    <s v="Looked After Children Per pupil rate"/>
    <m/>
    <m/>
    <m/>
    <b v="1"/>
    <x v="1"/>
    <b v="0"/>
    <n v="-2410"/>
  </r>
  <r>
    <n v="0"/>
    <x v="0"/>
    <m/>
    <x v="42"/>
    <s v="MAT"/>
    <s v="DEFAULT"/>
    <s v="DEFAULT"/>
    <m/>
    <x v="7"/>
    <s v="MONTHLY"/>
    <s v=""/>
    <s v=""/>
    <s v=""/>
    <s v=""/>
    <s v=""/>
    <s v="Pupil Premium Rate Primary"/>
    <s v="Primary Pupil premium Per pupil rate"/>
    <m/>
    <m/>
    <m/>
    <b v="1"/>
    <x v="2"/>
    <b v="0"/>
    <n v="-1455"/>
  </r>
  <r>
    <n v="0"/>
    <x v="0"/>
    <m/>
    <x v="42"/>
    <s v="MAT"/>
    <s v="DEFAULT"/>
    <s v="DEFAULT"/>
    <m/>
    <x v="7"/>
    <s v="MONTHLY"/>
    <s v=""/>
    <s v=""/>
    <s v=""/>
    <s v=""/>
    <s v=""/>
    <s v="Pupil Premium Rate Primary"/>
    <s v="Primary Pupil premium Per pupil rate"/>
    <m/>
    <m/>
    <m/>
    <b v="1"/>
    <x v="1"/>
    <b v="0"/>
    <n v="-1385"/>
  </r>
  <r>
    <n v="0"/>
    <x v="0"/>
    <m/>
    <x v="43"/>
    <s v="MAT"/>
    <s v="DEFAULT"/>
    <s v="DEFAULT"/>
    <m/>
    <x v="7"/>
    <s v="MONTHLY"/>
    <s v=""/>
    <s v=""/>
    <s v=""/>
    <s v=""/>
    <s v=""/>
    <s v="Pupil Premium Rate Secondary"/>
    <s v="Secondary Pupil premium Per pupil rate"/>
    <m/>
    <m/>
    <m/>
    <b v="1"/>
    <x v="2"/>
    <b v="0"/>
    <n v="-1035"/>
  </r>
  <r>
    <n v="0"/>
    <x v="0"/>
    <m/>
    <x v="43"/>
    <s v="MAT"/>
    <s v="DEFAULT"/>
    <s v="DEFAULT"/>
    <m/>
    <x v="7"/>
    <s v="MONTHLY"/>
    <s v=""/>
    <s v=""/>
    <s v=""/>
    <s v=""/>
    <s v=""/>
    <s v="Pupil Premium Rate Secondary"/>
    <s v="Secondary Pupil premium Per pupil rate"/>
    <m/>
    <m/>
    <m/>
    <b v="1"/>
    <x v="1"/>
    <b v="0"/>
    <n v="-985"/>
  </r>
  <r>
    <n v="0"/>
    <x v="0"/>
    <m/>
    <x v="44"/>
    <s v="MAT"/>
    <s v="DEFAULT"/>
    <s v="DEFAULT"/>
    <m/>
    <x v="7"/>
    <s v="MONTHLY"/>
    <s v=""/>
    <s v=""/>
    <s v=""/>
    <s v=""/>
    <s v=""/>
    <s v="Pupil Premium SER Rate"/>
    <s v="Service Children Per pupil rate"/>
    <m/>
    <m/>
    <m/>
    <b v="1"/>
    <x v="2"/>
    <b v="0"/>
    <n v="-335"/>
  </r>
  <r>
    <n v="0"/>
    <x v="0"/>
    <m/>
    <x v="44"/>
    <s v="MAT"/>
    <s v="DEFAULT"/>
    <s v="DEFAULT"/>
    <m/>
    <x v="7"/>
    <s v="MONTHLY"/>
    <s v=""/>
    <s v=""/>
    <s v=""/>
    <s v=""/>
    <s v=""/>
    <s v="Pupil Premium SER Rate"/>
    <s v="Service Children Per pupil rate"/>
    <m/>
    <m/>
    <m/>
    <b v="1"/>
    <x v="1"/>
    <b v="0"/>
    <n v="-320"/>
  </r>
  <r>
    <n v="0"/>
    <x v="0"/>
    <m/>
    <x v="45"/>
    <s v="MAT"/>
    <s v="DEFAULT"/>
    <s v="DEFAULT"/>
    <m/>
    <x v="7"/>
    <s v="MONTHLY"/>
    <s v=""/>
    <s v=""/>
    <s v=""/>
    <s v=""/>
    <s v=""/>
    <s v="Recovery premium primary rate"/>
    <m/>
    <m/>
    <m/>
    <m/>
    <b v="1"/>
    <x v="2"/>
    <b v="0"/>
    <n v="-145"/>
  </r>
  <r>
    <n v="0"/>
    <x v="0"/>
    <m/>
    <x v="46"/>
    <s v="MAT"/>
    <s v="DEFAULT"/>
    <s v="DEFAULT"/>
    <m/>
    <x v="7"/>
    <s v="MONTHLY"/>
    <s v=""/>
    <s v=""/>
    <s v=""/>
    <s v=""/>
    <s v=""/>
    <s v="Recovery premium secondary rate"/>
    <m/>
    <m/>
    <m/>
    <m/>
    <b v="1"/>
    <x v="2"/>
    <b v="0"/>
    <n v="-276"/>
  </r>
  <r>
    <n v="0"/>
    <x v="0"/>
    <m/>
    <x v="47"/>
    <s v="MAT"/>
    <s v="DEFAULT"/>
    <s v="DEFAULT"/>
    <m/>
    <x v="7"/>
    <s v="MONTHLY"/>
    <s v=""/>
    <s v=""/>
    <s v=""/>
    <s v=""/>
    <s v=""/>
    <s v="RPA Per Pupil Rate"/>
    <m/>
    <m/>
    <m/>
    <m/>
    <b v="1"/>
    <x v="1"/>
    <b v="0"/>
    <n v="19"/>
  </r>
  <r>
    <n v="0"/>
    <x v="0"/>
    <m/>
    <x v="47"/>
    <s v="MAT"/>
    <s v="DEFAULT"/>
    <s v="DEFAULT"/>
    <m/>
    <x v="7"/>
    <s v="MONTHLY"/>
    <s v=""/>
    <s v=""/>
    <s v=""/>
    <s v=""/>
    <s v=""/>
    <s v="RPA Per Pupil Rate"/>
    <m/>
    <m/>
    <m/>
    <m/>
    <b v="1"/>
    <x v="2"/>
    <b v="0"/>
    <n v="21"/>
  </r>
  <r>
    <n v="0"/>
    <x v="0"/>
    <m/>
    <x v="47"/>
    <s v="MAT"/>
    <s v="DEFAULT"/>
    <s v="DEFAULT"/>
    <m/>
    <x v="7"/>
    <s v="MONTHLY"/>
    <s v=""/>
    <s v=""/>
    <s v=""/>
    <s v=""/>
    <s v=""/>
    <s v="RPA Per Pupil Rate"/>
    <m/>
    <m/>
    <m/>
    <m/>
    <b v="1"/>
    <x v="0"/>
    <b v="0"/>
    <n v="23"/>
  </r>
  <r>
    <n v="0"/>
    <x v="0"/>
    <m/>
    <x v="47"/>
    <s v="MAT"/>
    <s v="DEFAULT"/>
    <s v="DEFAULT"/>
    <m/>
    <x v="7"/>
    <s v="MONTHLY"/>
    <s v=""/>
    <s v=""/>
    <s v=""/>
    <s v=""/>
    <s v=""/>
    <s v="RPA Per Pupil Rate"/>
    <m/>
    <m/>
    <m/>
    <m/>
    <b v="1"/>
    <x v="4"/>
    <b v="0"/>
    <n v="25"/>
  </r>
  <r>
    <n v="0"/>
    <x v="0"/>
    <m/>
    <x v="48"/>
    <s v="MAT"/>
    <s v="DEFAULT"/>
    <s v="DEFAULT"/>
    <m/>
    <x v="7"/>
    <s v="MONTHLY"/>
    <s v=""/>
    <s v=""/>
    <s v=""/>
    <s v=""/>
    <s v=""/>
    <s v="UIFSM Per Pupil Per Annum"/>
    <m/>
    <m/>
    <m/>
    <m/>
    <b v="1"/>
    <x v="1"/>
    <b v="0"/>
    <n v="-457.9"/>
  </r>
  <r>
    <n v="0"/>
    <x v="0"/>
    <m/>
    <x v="48"/>
    <s v="MAT"/>
    <s v="DEFAULT"/>
    <s v="DEFAULT"/>
    <m/>
    <x v="7"/>
    <s v="MONTHLY"/>
    <s v=""/>
    <s v=""/>
    <s v=""/>
    <s v=""/>
    <s v=""/>
    <s v="UIFSM Per Pupil Per Annum"/>
    <m/>
    <m/>
    <m/>
    <m/>
    <b v="1"/>
    <x v="0"/>
    <b v="0"/>
    <n v="-480.7"/>
  </r>
  <r>
    <n v="1"/>
    <x v="0"/>
    <m/>
    <x v="49"/>
    <s v="MAT"/>
    <s v="DEFAULT"/>
    <s v="DEFAULT"/>
    <m/>
    <x v="7"/>
    <s v="MONTHLY"/>
    <s v=""/>
    <s v=""/>
    <s v=""/>
    <s v=""/>
    <s v=""/>
    <s v="ASCL Guidance on non Staffing (%)"/>
    <m/>
    <m/>
    <m/>
    <m/>
    <b v="1"/>
    <x v="0"/>
    <b v="0"/>
    <m/>
  </r>
  <r>
    <n v="0"/>
    <x v="0"/>
    <m/>
    <x v="50"/>
    <s v="MAT"/>
    <s v="DEFAULT"/>
    <s v="DEFAULT"/>
    <m/>
    <x v="8"/>
    <s v="MONTHLY"/>
    <s v=""/>
    <s v=""/>
    <s v=""/>
    <s v=""/>
    <s v=""/>
    <s v="CPI"/>
    <s v="Consumer price index"/>
    <m/>
    <m/>
    <m/>
    <b v="1"/>
    <x v="2"/>
    <b v="0"/>
    <n v="117.1"/>
  </r>
  <r>
    <n v="0"/>
    <x v="0"/>
    <m/>
    <x v="50"/>
    <s v="MAT"/>
    <s v="DEFAULT"/>
    <s v="DEFAULT"/>
    <m/>
    <x v="8"/>
    <s v="MONTHLY"/>
    <s v=""/>
    <s v=""/>
    <s v=""/>
    <s v=""/>
    <s v=""/>
    <s v="CPI"/>
    <s v="Consumer price index"/>
    <m/>
    <m/>
    <m/>
    <b v="1"/>
    <x v="1"/>
    <b v="0"/>
    <n v="109.4"/>
  </r>
  <r>
    <n v="1"/>
    <x v="0"/>
    <m/>
    <x v="51"/>
    <s v="MAT"/>
    <s v="DEFAULT"/>
    <s v="DEFAULT"/>
    <m/>
    <x v="7"/>
    <s v="MONTHLY"/>
    <s v=""/>
    <s v=""/>
    <s v=""/>
    <s v=""/>
    <s v=""/>
    <s v="Expenditure Uplift %"/>
    <m/>
    <m/>
    <m/>
    <m/>
    <b v="1"/>
    <x v="0"/>
    <b v="0"/>
    <m/>
  </r>
  <r>
    <n v="1"/>
    <x v="0"/>
    <m/>
    <x v="52"/>
    <s v="MAT"/>
    <s v="DEFAULT"/>
    <s v="DEFAULT"/>
    <m/>
    <x v="7"/>
    <s v="MONTHLY"/>
    <s v=""/>
    <s v=""/>
    <s v=""/>
    <s v=""/>
    <s v=""/>
    <s v="GAG Uplift %"/>
    <m/>
    <m/>
    <m/>
    <m/>
    <b v="1"/>
    <x v="0"/>
    <b v="0"/>
    <m/>
  </r>
  <r>
    <n v="1"/>
    <x v="0"/>
    <m/>
    <x v="53"/>
    <s v="MAT"/>
    <s v="DEFAULT"/>
    <s v="DEFAULT"/>
    <m/>
    <x v="7"/>
    <s v="MONTHLY"/>
    <s v=""/>
    <s v=""/>
    <s v=""/>
    <s v=""/>
    <s v=""/>
    <s v="Income Uplift %"/>
    <m/>
    <m/>
    <m/>
    <m/>
    <b v="1"/>
    <x v="0"/>
    <b v="0"/>
    <m/>
  </r>
  <r>
    <n v="1"/>
    <x v="0"/>
    <m/>
    <x v="54"/>
    <s v="MAT"/>
    <s v="DEFAULT"/>
    <s v="DEFAULT"/>
    <m/>
    <x v="7"/>
    <s v="MONTHLY"/>
    <s v=""/>
    <s v=""/>
    <s v=""/>
    <s v=""/>
    <s v=""/>
    <s v="Post 16 GAG Uplift %"/>
    <m/>
    <m/>
    <m/>
    <m/>
    <b v="1"/>
    <x v="0"/>
    <b v="0"/>
    <m/>
  </r>
  <r>
    <n v="0"/>
    <x v="0"/>
    <m/>
    <x v="55"/>
    <s v="MAT"/>
    <s v="DEFAULT"/>
    <s v="DEFAULT"/>
    <m/>
    <x v="8"/>
    <s v="MONTHLY"/>
    <s v=""/>
    <s v=""/>
    <s v=""/>
    <s v=""/>
    <s v=""/>
    <s v="RPI"/>
    <s v="Retail Price Index"/>
    <m/>
    <m/>
    <m/>
    <b v="1"/>
    <x v="0"/>
    <b v="0"/>
    <n v="3"/>
  </r>
  <r>
    <n v="0"/>
    <x v="0"/>
    <m/>
    <x v="55"/>
    <s v="MAT"/>
    <s v="DEFAULT"/>
    <s v="DEFAULT"/>
    <m/>
    <x v="8"/>
    <s v="MONTHLY"/>
    <s v=""/>
    <s v=""/>
    <s v=""/>
    <s v=""/>
    <s v=""/>
    <s v="RPI"/>
    <s v="Retail Price Index"/>
    <m/>
    <m/>
    <m/>
    <b v="1"/>
    <x v="2"/>
    <b v="0"/>
    <n v="3.1"/>
  </r>
  <r>
    <n v="0"/>
    <x v="0"/>
    <m/>
    <x v="0"/>
    <s v="PRI"/>
    <s v="DEFAULT"/>
    <s v="DEFAULT"/>
    <m/>
    <x v="0"/>
    <s v="MONTHLY"/>
    <s v=""/>
    <s v=""/>
    <s v=""/>
    <s v=""/>
    <s v=""/>
    <s v="Pupil ASCL Uplift %"/>
    <s v="Percentage change of pupil numbers from previous year to current year combined with ASCL Uplift %"/>
    <m/>
    <m/>
    <m/>
    <b v="1"/>
    <x v="0"/>
    <b v="1"/>
    <m/>
  </r>
  <r>
    <n v="0"/>
    <x v="0"/>
    <m/>
    <x v="1"/>
    <s v="PRI"/>
    <s v="DEFAULT"/>
    <s v="DEFAULT"/>
    <m/>
    <x v="1"/>
    <s v="MONTHLY"/>
    <s v=""/>
    <s v=""/>
    <s v=""/>
    <s v=""/>
    <s v=""/>
    <s v="Pupil Expenditure Uplift %"/>
    <s v="Percentage change of pupil numbers from previous year to current year combined with Expenditure Uplift %"/>
    <m/>
    <m/>
    <m/>
    <b v="1"/>
    <x v="0"/>
    <b v="1"/>
    <m/>
  </r>
  <r>
    <n v="0"/>
    <x v="0"/>
    <m/>
    <x v="2"/>
    <s v="PRI"/>
    <s v="DEFAULT"/>
    <s v="DEFAULT"/>
    <m/>
    <x v="2"/>
    <s v="MONTHLY"/>
    <s v=""/>
    <s v=""/>
    <s v=""/>
    <s v=""/>
    <s v=""/>
    <s v="Pupil GAG Uplift %"/>
    <s v="Percentage change of pupil numbers from previous year to current year combined with GAG Uplift %"/>
    <m/>
    <m/>
    <m/>
    <b v="1"/>
    <x v="0"/>
    <b v="1"/>
    <m/>
  </r>
  <r>
    <n v="0"/>
    <x v="0"/>
    <m/>
    <x v="3"/>
    <s v="PRI"/>
    <s v="DEFAULT"/>
    <s v="DEFAULT"/>
    <m/>
    <x v="3"/>
    <s v="MONTHLY"/>
    <s v=""/>
    <s v=""/>
    <s v=""/>
    <s v=""/>
    <s v=""/>
    <s v="Pupil Income Uplift %"/>
    <s v="Percentage change of pupil numbers from previous year to current year combined with Income Uplift %"/>
    <m/>
    <m/>
    <m/>
    <b v="1"/>
    <x v="0"/>
    <b v="1"/>
    <m/>
  </r>
  <r>
    <n v="0"/>
    <x v="0"/>
    <m/>
    <x v="5"/>
    <s v="PRI"/>
    <s v="DEFAULT"/>
    <s v="DEFAULT"/>
    <m/>
    <x v="5"/>
    <s v="MONTHLY"/>
    <s v=""/>
    <s v=""/>
    <s v=""/>
    <s v=""/>
    <s v=""/>
    <s v="Pupil RPI Uplift %"/>
    <s v="Percentage change of pupil numbers from previous year to current year combined with RPI Uplift %"/>
    <m/>
    <m/>
    <m/>
    <b v="1"/>
    <x v="0"/>
    <b v="1"/>
    <m/>
  </r>
  <r>
    <n v="0"/>
    <x v="0"/>
    <m/>
    <x v="0"/>
    <s v="SEC"/>
    <s v="DEFAULT"/>
    <s v="DEFAULT"/>
    <m/>
    <x v="0"/>
    <s v="MONTHLY"/>
    <s v=""/>
    <s v=""/>
    <s v=""/>
    <s v=""/>
    <s v=""/>
    <s v="Pupil ASCL Uplift %"/>
    <s v="Percentage change of pupil numbers from previous year to current year combined with ASCL Uplift %"/>
    <m/>
    <m/>
    <m/>
    <b v="1"/>
    <x v="0"/>
    <b v="1"/>
    <m/>
  </r>
  <r>
    <n v="0"/>
    <x v="0"/>
    <m/>
    <x v="1"/>
    <s v="SEC"/>
    <s v="DEFAULT"/>
    <s v="DEFAULT"/>
    <m/>
    <x v="1"/>
    <s v="MONTHLY"/>
    <s v=""/>
    <s v=""/>
    <s v=""/>
    <s v=""/>
    <s v=""/>
    <s v="Pupil Expenditure Uplift %"/>
    <s v="Percentage change of pupil numbers from previous year to current year combined with Expenditure Uplift %"/>
    <m/>
    <m/>
    <m/>
    <b v="1"/>
    <x v="0"/>
    <b v="1"/>
    <m/>
  </r>
  <r>
    <n v="0"/>
    <x v="0"/>
    <m/>
    <x v="2"/>
    <s v="SEC"/>
    <s v="DEFAULT"/>
    <s v="DEFAULT"/>
    <m/>
    <x v="2"/>
    <s v="MONTHLY"/>
    <s v=""/>
    <s v=""/>
    <s v=""/>
    <s v=""/>
    <s v=""/>
    <s v="Pupil GAG Uplift %"/>
    <s v="Percentage change of pupil numbers from previous year to current year combined with GAG Uplift %"/>
    <m/>
    <m/>
    <m/>
    <b v="1"/>
    <x v="0"/>
    <b v="1"/>
    <m/>
  </r>
  <r>
    <n v="0"/>
    <x v="0"/>
    <m/>
    <x v="3"/>
    <s v="SEC"/>
    <s v="DEFAULT"/>
    <s v="DEFAULT"/>
    <m/>
    <x v="3"/>
    <s v="MONTHLY"/>
    <s v=""/>
    <s v=""/>
    <s v=""/>
    <s v=""/>
    <s v=""/>
    <s v="Pupil Income Uplift %"/>
    <s v="Percentage change of pupil numbers from previous year to current year combined with Income Uplift %"/>
    <m/>
    <m/>
    <m/>
    <b v="1"/>
    <x v="0"/>
    <b v="1"/>
    <m/>
  </r>
  <r>
    <n v="0"/>
    <x v="0"/>
    <m/>
    <x v="4"/>
    <s v="SEC"/>
    <s v="DEFAULT"/>
    <s v="DEFAULT"/>
    <m/>
    <x v="4"/>
    <s v="MONTHLY"/>
    <s v=""/>
    <s v=""/>
    <s v=""/>
    <s v=""/>
    <s v=""/>
    <s v="Pupil Post 16 GAG Uplift %"/>
    <s v="Percentage change of pupil numbers from previous year to current year combined with Post 16 GAG Uplift %"/>
    <m/>
    <m/>
    <m/>
    <b v="1"/>
    <x v="0"/>
    <b v="1"/>
    <m/>
  </r>
  <r>
    <n v="0"/>
    <x v="0"/>
    <m/>
    <x v="5"/>
    <s v="SEC"/>
    <s v="DEFAULT"/>
    <s v="DEFAULT"/>
    <m/>
    <x v="5"/>
    <s v="MONTHLY"/>
    <s v=""/>
    <s v=""/>
    <s v=""/>
    <s v=""/>
    <s v=""/>
    <s v="Pupil RPI Uplift %"/>
    <s v="Percentage change of pupil numbers from previous year to current year combined with RPI Uplift %"/>
    <m/>
    <m/>
    <m/>
    <b v="1"/>
    <x v="0"/>
    <b v="1"/>
    <m/>
  </r>
  <r>
    <n v="0"/>
    <x v="0"/>
    <m/>
    <x v="0"/>
    <s v="SPE"/>
    <s v="DEFAULT"/>
    <s v="DEFAULT"/>
    <m/>
    <x v="0"/>
    <s v="MONTHLY"/>
    <s v=""/>
    <s v=""/>
    <s v=""/>
    <s v=""/>
    <s v=""/>
    <s v="Pupil ASCL Uplift %"/>
    <s v="Percentage change of pupil numbers from previous year to current year combined with ASCL Uplift %"/>
    <m/>
    <m/>
    <m/>
    <b v="1"/>
    <x v="0"/>
    <b v="1"/>
    <m/>
  </r>
  <r>
    <n v="0"/>
    <x v="0"/>
    <m/>
    <x v="1"/>
    <s v="SPE"/>
    <s v="DEFAULT"/>
    <s v="DEFAULT"/>
    <m/>
    <x v="1"/>
    <s v="MONTHLY"/>
    <s v=""/>
    <s v=""/>
    <s v=""/>
    <s v=""/>
    <s v=""/>
    <s v="Pupil Expenditure Uplift %"/>
    <s v="Percentage change of pupil numbers from previous year to current year combined with Expenditure Uplift %"/>
    <m/>
    <m/>
    <m/>
    <b v="1"/>
    <x v="0"/>
    <b v="1"/>
    <m/>
  </r>
  <r>
    <n v="0"/>
    <x v="0"/>
    <m/>
    <x v="2"/>
    <s v="SPE"/>
    <s v="DEFAULT"/>
    <s v="DEFAULT"/>
    <m/>
    <x v="2"/>
    <s v="MONTHLY"/>
    <s v=""/>
    <s v=""/>
    <s v=""/>
    <s v=""/>
    <s v=""/>
    <s v="Pupil GAG Uplift %"/>
    <s v="Percentage change of pupil numbers from previous year to current year combined with GAG Uplift %"/>
    <m/>
    <m/>
    <m/>
    <b v="1"/>
    <x v="0"/>
    <b v="1"/>
    <m/>
  </r>
  <r>
    <n v="0"/>
    <x v="0"/>
    <m/>
    <x v="3"/>
    <s v="SPE"/>
    <s v="DEFAULT"/>
    <s v="DEFAULT"/>
    <m/>
    <x v="3"/>
    <s v="MONTHLY"/>
    <s v=""/>
    <s v=""/>
    <s v=""/>
    <s v=""/>
    <s v=""/>
    <s v="Pupil Income Uplift %"/>
    <s v="Percentage change of pupil numbers from previous year to current year combined with Income Uplift %"/>
    <m/>
    <m/>
    <m/>
    <b v="1"/>
    <x v="0"/>
    <b v="1"/>
    <m/>
  </r>
  <r>
    <n v="0"/>
    <x v="0"/>
    <m/>
    <x v="5"/>
    <s v="SPE"/>
    <s v="DEFAULT"/>
    <s v="DEFAULT"/>
    <m/>
    <x v="5"/>
    <s v="MONTHLY"/>
    <s v=""/>
    <s v=""/>
    <s v=""/>
    <s v=""/>
    <s v=""/>
    <s v="Pupil RPI Uplift %"/>
    <s v="Percentage change of pupil numbers from previous year to current year combined with RPI Uplift %"/>
    <m/>
    <m/>
    <m/>
    <b v="1"/>
    <x v="0"/>
    <b v="1"/>
    <m/>
  </r>
  <r>
    <n v="1"/>
    <x v="1"/>
    <m/>
    <x v="56"/>
    <s v="ALL"/>
    <s v="DEFAULT"/>
    <s v="DEFAULT"/>
    <m/>
    <x v="7"/>
    <s v="MONTHLY"/>
    <s v=""/>
    <s v=""/>
    <s v=""/>
    <s v=""/>
    <s v=""/>
    <s v="Nursery Pupil Numbers"/>
    <s v="N1 &amp; N2 from Table 3 of School census collection: Autumn"/>
    <n v="0"/>
    <m/>
    <m/>
    <b v="0"/>
    <x v="2"/>
    <b v="0"/>
    <m/>
  </r>
  <r>
    <n v="1"/>
    <x v="1"/>
    <m/>
    <x v="57"/>
    <s v="ALL"/>
    <s v="DEFAULT"/>
    <s v="DEFAULT"/>
    <m/>
    <x v="7"/>
    <s v="MONTHLY"/>
    <s v=""/>
    <s v=""/>
    <s v=""/>
    <s v=""/>
    <s v=""/>
    <s v="Reception Pupil Numbers"/>
    <s v="From Table 3 of School census collection: Autumn"/>
    <n v="0"/>
    <m/>
    <m/>
    <b v="0"/>
    <x v="2"/>
    <b v="0"/>
    <m/>
  </r>
  <r>
    <n v="1"/>
    <x v="1"/>
    <m/>
    <x v="58"/>
    <s v="ALL"/>
    <s v="DEFAULT"/>
    <s v="DEFAULT"/>
    <m/>
    <x v="9"/>
    <s v="MONTHLY"/>
    <s v=""/>
    <s v=""/>
    <s v=""/>
    <s v=""/>
    <s v=""/>
    <s v="Year 1 Pupil Numbers"/>
    <s v="From Table 3 of School census collection: Autumn"/>
    <n v="0"/>
    <m/>
    <m/>
    <b v="0"/>
    <x v="2"/>
    <b v="0"/>
    <m/>
  </r>
  <r>
    <n v="1"/>
    <x v="1"/>
    <m/>
    <x v="59"/>
    <s v="ALL"/>
    <s v="DEFAULT"/>
    <s v="DEFAULT"/>
    <m/>
    <x v="10"/>
    <s v="MONTHLY"/>
    <s v=""/>
    <s v=""/>
    <s v=""/>
    <s v=""/>
    <s v=""/>
    <s v="Year 2 Pupil Numbers"/>
    <s v="From Table 3 of School census collection: Autumn"/>
    <n v="0"/>
    <m/>
    <m/>
    <b v="0"/>
    <x v="2"/>
    <b v="0"/>
    <m/>
  </r>
  <r>
    <n v="1"/>
    <x v="1"/>
    <m/>
    <x v="60"/>
    <s v="ALL"/>
    <s v="DEFAULT"/>
    <s v="DEFAULT"/>
    <m/>
    <x v="11"/>
    <s v="MONTHLY"/>
    <s v=""/>
    <s v=""/>
    <s v=""/>
    <s v=""/>
    <s v=""/>
    <s v="Year 3 Pupil Numbers"/>
    <s v="From Table 3 of School census collection: Autumn"/>
    <n v="0"/>
    <m/>
    <m/>
    <b v="0"/>
    <x v="2"/>
    <b v="0"/>
    <m/>
  </r>
  <r>
    <n v="1"/>
    <x v="1"/>
    <m/>
    <x v="61"/>
    <s v="ALL"/>
    <s v="DEFAULT"/>
    <s v="DEFAULT"/>
    <m/>
    <x v="12"/>
    <s v="MONTHLY"/>
    <s v=""/>
    <s v=""/>
    <s v=""/>
    <s v=""/>
    <s v=""/>
    <s v="Year 4 Pupil Numbers"/>
    <s v="From Table 3 of School census collection: Autumn"/>
    <n v="0"/>
    <m/>
    <m/>
    <b v="0"/>
    <x v="2"/>
    <b v="0"/>
    <m/>
  </r>
  <r>
    <n v="1"/>
    <x v="1"/>
    <m/>
    <x v="62"/>
    <s v="ALL"/>
    <s v="DEFAULT"/>
    <s v="DEFAULT"/>
    <m/>
    <x v="13"/>
    <s v="MONTHLY"/>
    <s v=""/>
    <s v=""/>
    <s v=""/>
    <s v=""/>
    <s v=""/>
    <s v="Year 5 Pupil Numbers"/>
    <s v="From Table 3 of School census collection: Autumn"/>
    <n v="0"/>
    <m/>
    <m/>
    <b v="0"/>
    <x v="2"/>
    <b v="0"/>
    <m/>
  </r>
  <r>
    <n v="1"/>
    <x v="1"/>
    <m/>
    <x v="63"/>
    <s v="ALL"/>
    <s v="DEFAULT"/>
    <s v="DEFAULT"/>
    <m/>
    <x v="14"/>
    <s v="MONTHLY"/>
    <s v=""/>
    <s v=""/>
    <s v=""/>
    <s v=""/>
    <s v=""/>
    <s v="Year 6 Pupil Numbers"/>
    <s v="From Table 3 of School census collection: Autumn"/>
    <n v="0"/>
    <m/>
    <m/>
    <b v="0"/>
    <x v="2"/>
    <b v="0"/>
    <m/>
  </r>
  <r>
    <n v="1"/>
    <x v="1"/>
    <m/>
    <x v="64"/>
    <s v="ALL"/>
    <s v="DEFAULT"/>
    <s v="DEFAULT"/>
    <m/>
    <x v="7"/>
    <s v="MONTHLY"/>
    <s v=""/>
    <s v=""/>
    <s v=""/>
    <s v=""/>
    <s v=""/>
    <s v="Year 7 Pupil Numbers"/>
    <s v="From Table 3 of School census collection: Autumn"/>
    <n v="0"/>
    <m/>
    <m/>
    <b v="0"/>
    <x v="2"/>
    <b v="0"/>
    <m/>
  </r>
  <r>
    <n v="1"/>
    <x v="1"/>
    <m/>
    <x v="65"/>
    <s v="ALL"/>
    <s v="DEFAULT"/>
    <s v="DEFAULT"/>
    <m/>
    <x v="15"/>
    <s v="MONTHLY"/>
    <s v=""/>
    <s v=""/>
    <s v=""/>
    <s v=""/>
    <s v=""/>
    <s v="Year 8 Pupil Numbers"/>
    <s v="From Table 3 of School census collection: Autumn"/>
    <n v="0"/>
    <m/>
    <m/>
    <b v="0"/>
    <x v="2"/>
    <b v="0"/>
    <m/>
  </r>
  <r>
    <n v="1"/>
    <x v="1"/>
    <m/>
    <x v="66"/>
    <s v="ALL"/>
    <s v="DEFAULT"/>
    <s v="DEFAULT"/>
    <m/>
    <x v="16"/>
    <s v="MONTHLY"/>
    <s v=""/>
    <s v=""/>
    <s v=""/>
    <s v=""/>
    <s v=""/>
    <s v="Year 9 Pupil Numbers"/>
    <s v="From Table 3 of School census collection: Autumn"/>
    <n v="0"/>
    <m/>
    <m/>
    <b v="0"/>
    <x v="2"/>
    <b v="0"/>
    <m/>
  </r>
  <r>
    <n v="1"/>
    <x v="1"/>
    <m/>
    <x v="67"/>
    <s v="ALL"/>
    <s v="DEFAULT"/>
    <s v="DEFAULT"/>
    <m/>
    <x v="17"/>
    <s v="MONTHLY"/>
    <s v=""/>
    <s v=""/>
    <s v=""/>
    <s v=""/>
    <s v=""/>
    <s v="Year 10 Pupil Numbers"/>
    <s v="From Table 3 of School census collection: Autumn"/>
    <n v="0"/>
    <m/>
    <m/>
    <b v="0"/>
    <x v="2"/>
    <b v="0"/>
    <m/>
  </r>
  <r>
    <n v="1"/>
    <x v="1"/>
    <m/>
    <x v="68"/>
    <s v="ALL"/>
    <s v="DEFAULT"/>
    <s v="DEFAULT"/>
    <m/>
    <x v="18"/>
    <s v="MONTHLY"/>
    <s v=""/>
    <s v=""/>
    <s v=""/>
    <s v=""/>
    <s v=""/>
    <s v="Year 11 Pupil Numbers"/>
    <s v="From Table 3 of School census collection: Autumn"/>
    <n v="0"/>
    <m/>
    <m/>
    <b v="0"/>
    <x v="2"/>
    <b v="0"/>
    <m/>
  </r>
  <r>
    <n v="1"/>
    <x v="1"/>
    <m/>
    <x v="69"/>
    <s v="ALL"/>
    <s v="DEFAULT"/>
    <s v="DEFAULT"/>
    <m/>
    <x v="7"/>
    <s v="MONTHLY"/>
    <s v=""/>
    <s v=""/>
    <s v=""/>
    <s v=""/>
    <s v=""/>
    <s v="Year 12 Pupil Numbers"/>
    <s v="From Table 3 of School census collection: Autumn"/>
    <n v="0"/>
    <m/>
    <m/>
    <b v="0"/>
    <x v="2"/>
    <b v="0"/>
    <m/>
  </r>
  <r>
    <n v="1"/>
    <x v="1"/>
    <m/>
    <x v="70"/>
    <s v="ALL"/>
    <s v="DEFAULT"/>
    <s v="DEFAULT"/>
    <m/>
    <x v="19"/>
    <s v="MONTHLY"/>
    <s v=""/>
    <s v=""/>
    <s v=""/>
    <s v=""/>
    <s v=""/>
    <s v="Year 13 Pupil Numbers"/>
    <s v="From Table 3 of School census collection: Autumn"/>
    <n v="0"/>
    <m/>
    <m/>
    <b v="0"/>
    <x v="2"/>
    <b v="0"/>
    <m/>
  </r>
  <r>
    <n v="1"/>
    <x v="1"/>
    <m/>
    <x v="71"/>
    <s v="ALL"/>
    <s v="DEFAULT"/>
    <s v="DEFAULT"/>
    <m/>
    <x v="20"/>
    <s v="MONTHLY"/>
    <s v=""/>
    <s v=""/>
    <s v=""/>
    <s v=""/>
    <s v=""/>
    <s v="Year 14 Pupil Numbers"/>
    <s v="From Table 3 of School census collection: Autumn"/>
    <n v="0"/>
    <m/>
    <m/>
    <b v="0"/>
    <x v="2"/>
    <b v="0"/>
    <m/>
  </r>
  <r>
    <n v="0"/>
    <x v="1"/>
    <m/>
    <x v="72"/>
    <s v="ALL"/>
    <s v="DEFAULT"/>
    <s v="DEFAULT"/>
    <m/>
    <x v="21"/>
    <s v="MONTHLY"/>
    <s v=""/>
    <s v=""/>
    <s v=""/>
    <s v=""/>
    <s v=""/>
    <s v="Foundation Spring Census Pupil Numbers"/>
    <s v="Reception Students From Table 3 of School census collection: Spring"/>
    <n v="0"/>
    <m/>
    <m/>
    <b v="0"/>
    <x v="2"/>
    <b v="1"/>
    <m/>
  </r>
  <r>
    <n v="0"/>
    <x v="1"/>
    <m/>
    <x v="73"/>
    <s v="ALL"/>
    <s v="DEFAULT"/>
    <s v="DEFAULT"/>
    <m/>
    <x v="22"/>
    <s v="MONTHLY"/>
    <s v=""/>
    <s v=""/>
    <s v=""/>
    <s v=""/>
    <s v=""/>
    <s v="KS1 Spring Census Pupil Numbers"/>
    <s v="Year 1 &amp; 2 Students From Table 3 of School census collection: Spring"/>
    <n v="0"/>
    <m/>
    <m/>
    <b v="0"/>
    <x v="2"/>
    <b v="1"/>
    <m/>
  </r>
  <r>
    <n v="0"/>
    <x v="1"/>
    <m/>
    <x v="74"/>
    <s v="ALL"/>
    <s v="DEFAULT"/>
    <s v="DEFAULT"/>
    <m/>
    <x v="23"/>
    <s v="MONTHLY"/>
    <s v=""/>
    <s v=""/>
    <s v=""/>
    <s v=""/>
    <s v=""/>
    <s v="KS2 Spring Census Pupil Numbers"/>
    <s v="Year 3, 4, 5, and 6 Students From Table 3 of School census collection: Spring"/>
    <n v="0"/>
    <m/>
    <m/>
    <b v="0"/>
    <x v="2"/>
    <b v="1"/>
    <m/>
  </r>
  <r>
    <n v="0"/>
    <x v="1"/>
    <m/>
    <x v="75"/>
    <s v="ALL"/>
    <s v="DEFAULT"/>
    <s v="DEFAULT"/>
    <m/>
    <x v="24"/>
    <s v="MONTHLY"/>
    <s v=""/>
    <s v=""/>
    <s v=""/>
    <s v=""/>
    <s v=""/>
    <s v="KS3 Spring Census Pupil Numbers"/>
    <s v="Year 7, 8, and 9 Students From Table 3 of School census collection: Spring"/>
    <n v="0"/>
    <m/>
    <m/>
    <b v="0"/>
    <x v="2"/>
    <b v="1"/>
    <m/>
  </r>
  <r>
    <n v="0"/>
    <x v="1"/>
    <m/>
    <x v="76"/>
    <s v="ALL"/>
    <s v="DEFAULT"/>
    <s v="DEFAULT"/>
    <m/>
    <x v="25"/>
    <s v="MONTHLY"/>
    <s v=""/>
    <s v=""/>
    <s v=""/>
    <s v=""/>
    <s v=""/>
    <s v="KS4 Spring Census Pupil Numbers"/>
    <s v="Year 10 &amp; 11 Students From Table 3 of School census collection: Spring"/>
    <n v="0"/>
    <m/>
    <m/>
    <b v="0"/>
    <x v="2"/>
    <b v="1"/>
    <m/>
  </r>
  <r>
    <n v="0"/>
    <x v="1"/>
    <m/>
    <x v="77"/>
    <s v="ALL"/>
    <s v="DEFAULT"/>
    <s v="DEFAULT"/>
    <m/>
    <x v="26"/>
    <s v="MONTHLY"/>
    <s v=""/>
    <s v=""/>
    <s v=""/>
    <s v=""/>
    <s v=""/>
    <s v="KS5 Spring Census Pupil Numbers"/>
    <s v="Year 12, 13, and 14 Students From Table 3 of School census collection: Spring"/>
    <n v="0"/>
    <m/>
    <m/>
    <b v="0"/>
    <x v="2"/>
    <b v="1"/>
    <m/>
  </r>
  <r>
    <n v="0"/>
    <x v="1"/>
    <m/>
    <x v="78"/>
    <s v="ALL"/>
    <s v="DEFAULT"/>
    <s v="DEFAULT"/>
    <m/>
    <x v="27"/>
    <s v="MONTHLY"/>
    <s v=""/>
    <s v=""/>
    <s v=""/>
    <s v=""/>
    <s v=""/>
    <s v="Nursery Spring Census Pupil Numbers"/>
    <s v="N1 &amp; N2 Students From Table 3 of School census collection: Spring"/>
    <n v="0"/>
    <m/>
    <m/>
    <b v="0"/>
    <x v="2"/>
    <b v="1"/>
    <m/>
  </r>
  <r>
    <n v="1"/>
    <x v="1"/>
    <m/>
    <x v="79"/>
    <s v="ALL"/>
    <s v="DEFAULT"/>
    <s v="DEFAULT"/>
    <m/>
    <x v="28"/>
    <s v="MONTHLY"/>
    <s v=""/>
    <s v=""/>
    <s v=""/>
    <s v=""/>
    <s v=""/>
    <s v="Pupils taking UIFSM"/>
    <s v="Total Eligible Meals taken by pupils."/>
    <n v="0"/>
    <m/>
    <m/>
    <b v="0"/>
    <x v="2"/>
    <b v="0"/>
    <m/>
  </r>
  <r>
    <n v="1"/>
    <x v="1"/>
    <m/>
    <x v="80"/>
    <s v="ALL"/>
    <s v="DEFAULT"/>
    <s v="DEFAULT"/>
    <m/>
    <x v="29"/>
    <s v="MONTHLY"/>
    <s v=""/>
    <s v=""/>
    <s v=""/>
    <s v=""/>
    <s v=""/>
    <s v="Pupil Premium Numbers Primary"/>
    <s v="Taken from ESFA Pupil Premium spreadsheet, column &quot;Number of Primary pupils eligible for the Deprivation Pupil Premium&quot;"/>
    <n v="0"/>
    <m/>
    <m/>
    <b v="0"/>
    <x v="2"/>
    <b v="0"/>
    <m/>
  </r>
  <r>
    <n v="1"/>
    <x v="1"/>
    <m/>
    <x v="81"/>
    <s v="ALL"/>
    <s v="DEFAULT"/>
    <s v="DEFAULT"/>
    <m/>
    <x v="29"/>
    <s v="MONTHLY"/>
    <s v=""/>
    <s v=""/>
    <s v=""/>
    <s v=""/>
    <s v=""/>
    <s v="Pupil Premium Numbers Secondary"/>
    <s v="Taken from ESFA Pupil Premium spreadsheet, column &quot;Number of Secondary pupils eligible for the Deprivation Pupil Premium&quot;"/>
    <n v="0"/>
    <m/>
    <m/>
    <b v="0"/>
    <x v="2"/>
    <b v="0"/>
    <m/>
  </r>
  <r>
    <n v="1"/>
    <x v="1"/>
    <m/>
    <x v="82"/>
    <s v="ALL"/>
    <s v="DEFAULT"/>
    <s v="DEFAULT"/>
    <m/>
    <x v="29"/>
    <s v="MONTHLY"/>
    <s v=""/>
    <s v=""/>
    <s v=""/>
    <s v=""/>
    <s v=""/>
    <s v="Pupil Premium LAC Numbers"/>
    <s v="Post Looked After Children number From Table 5 of School census collection: Autumn"/>
    <n v="0"/>
    <m/>
    <m/>
    <b v="0"/>
    <x v="2"/>
    <b v="0"/>
    <m/>
  </r>
  <r>
    <n v="1"/>
    <x v="1"/>
    <m/>
    <x v="83"/>
    <s v="ALL"/>
    <s v="DEFAULT"/>
    <s v="DEFAULT"/>
    <m/>
    <x v="29"/>
    <s v="MONTHLY"/>
    <s v=""/>
    <s v=""/>
    <s v=""/>
    <s v=""/>
    <s v=""/>
    <s v="Pupil Premium Service Numbers"/>
    <s v="Service Children number From Table 5 of School census collection: Autumn"/>
    <n v="0"/>
    <m/>
    <m/>
    <b v="0"/>
    <x v="2"/>
    <b v="0"/>
    <m/>
  </r>
  <r>
    <n v="0"/>
    <x v="1"/>
    <m/>
    <x v="84"/>
    <s v="ALL"/>
    <s v="DEFAULT"/>
    <s v="DEFAULT"/>
    <m/>
    <x v="30"/>
    <s v="MONTHLY"/>
    <s v=""/>
    <s v=""/>
    <s v=""/>
    <s v=""/>
    <s v=""/>
    <s v="Funded Pupil Numbers Foundation"/>
    <s v="Previous Year Reception Numbers (PUPIL_CEN_00)"/>
    <n v="0"/>
    <m/>
    <m/>
    <b v="0"/>
    <x v="0"/>
    <b v="1"/>
    <m/>
  </r>
  <r>
    <n v="0"/>
    <x v="1"/>
    <m/>
    <x v="85"/>
    <s v="ALL"/>
    <s v="DEFAULT"/>
    <s v="DEFAULT"/>
    <m/>
    <x v="31"/>
    <s v="MONTHLY"/>
    <s v=""/>
    <s v=""/>
    <s v=""/>
    <s v=""/>
    <s v=""/>
    <s v="Funded Pupil Numbers KS1"/>
    <s v="Previous Year KS1 Numbers (PUPIL_CEN_01,PUPIL_CEN_02)"/>
    <n v="0"/>
    <m/>
    <m/>
    <b v="0"/>
    <x v="0"/>
    <b v="1"/>
    <m/>
  </r>
  <r>
    <n v="0"/>
    <x v="1"/>
    <m/>
    <x v="86"/>
    <s v="ALL"/>
    <s v="DEFAULT"/>
    <s v="DEFAULT"/>
    <m/>
    <x v="32"/>
    <s v="MONTHLY"/>
    <s v=""/>
    <s v=""/>
    <s v=""/>
    <s v=""/>
    <s v=""/>
    <s v="Funded Pupil Numbers KS2"/>
    <s v="Previous Year KS2 Numbers (PUPIL_CEN_03,PUPIL_CEN_04,PUPIL_CEN_05,PUPIL_CEN_06)"/>
    <n v="0"/>
    <m/>
    <m/>
    <b v="0"/>
    <x v="0"/>
    <b v="1"/>
    <m/>
  </r>
  <r>
    <n v="0"/>
    <x v="1"/>
    <m/>
    <x v="87"/>
    <s v="ALL"/>
    <s v="DEFAULT"/>
    <s v="DEFAULT"/>
    <m/>
    <x v="33"/>
    <s v="MONTHLY"/>
    <s v=""/>
    <s v=""/>
    <s v=""/>
    <s v=""/>
    <s v=""/>
    <s v="Funded Pupil Numbers KS3"/>
    <s v="Previous Year KS3 Numbers (PUPIL_CEN_07,PUPIL_CEN_08,PUPIL_CEN_09)"/>
    <n v="0"/>
    <m/>
    <m/>
    <b v="0"/>
    <x v="0"/>
    <b v="1"/>
    <m/>
  </r>
  <r>
    <n v="1"/>
    <x v="1"/>
    <m/>
    <x v="88"/>
    <s v="ALL"/>
    <s v="DEFAULT"/>
    <s v="DEFAULT"/>
    <m/>
    <x v="8"/>
    <s v="MONTHLY"/>
    <s v=""/>
    <s v=""/>
    <s v=""/>
    <s v=""/>
    <s v=""/>
    <s v="Funding Statement Adjustment KS3"/>
    <s v="KS3 Adjustment to match Key stage 3 value in Factor 1 of the Funding statement."/>
    <n v="0"/>
    <m/>
    <m/>
    <b v="0"/>
    <x v="0"/>
    <b v="0"/>
    <m/>
  </r>
  <r>
    <n v="0"/>
    <x v="1"/>
    <m/>
    <x v="89"/>
    <s v="ALL"/>
    <s v="DEFAULT"/>
    <s v="DEFAULT"/>
    <m/>
    <x v="34"/>
    <s v="MONTHLY"/>
    <s v=""/>
    <s v=""/>
    <s v=""/>
    <s v=""/>
    <s v=""/>
    <s v="Funded Pupil Numbers KS4"/>
    <s v="Previous Year KS4 Numbers (PUPIL_CEN_10,PUPIL_CEN_11)"/>
    <n v="0"/>
    <m/>
    <m/>
    <b v="0"/>
    <x v="0"/>
    <b v="1"/>
    <m/>
  </r>
  <r>
    <n v="1"/>
    <x v="1"/>
    <m/>
    <x v="90"/>
    <s v="ALL"/>
    <s v="DEFAULT"/>
    <s v="DEFAULT"/>
    <m/>
    <x v="8"/>
    <s v="MONTHLY"/>
    <s v=""/>
    <s v=""/>
    <s v=""/>
    <s v=""/>
    <s v=""/>
    <s v="Funding Statement Adjustment KS4"/>
    <s v="KS4 Adjustment to match Key stage 4 value in Factor 1 of the Funding statement."/>
    <n v="0"/>
    <m/>
    <m/>
    <b v="0"/>
    <x v="0"/>
    <b v="0"/>
    <m/>
  </r>
  <r>
    <n v="0"/>
    <x v="1"/>
    <m/>
    <x v="91"/>
    <s v="ALL"/>
    <s v="DEFAULT"/>
    <s v="DEFAULT"/>
    <m/>
    <x v="35"/>
    <s v="MONTHLY"/>
    <s v=""/>
    <s v=""/>
    <s v=""/>
    <s v=""/>
    <s v=""/>
    <s v="Funded Pupil Numbers KS5"/>
    <s v="Previous Year KS5 Numbers (PUPIL_CEN_12,PUPIL_CEN_13,PUPIL_CEN_14)"/>
    <n v="0"/>
    <m/>
    <m/>
    <b v="0"/>
    <x v="0"/>
    <b v="1"/>
    <m/>
  </r>
  <r>
    <n v="1"/>
    <x v="1"/>
    <m/>
    <x v="92"/>
    <s v="ALL"/>
    <s v="DEFAULT"/>
    <s v="DEFAULT"/>
    <m/>
    <x v="8"/>
    <s v="MONTHLY"/>
    <s v=""/>
    <s v=""/>
    <s v=""/>
    <s v=""/>
    <s v=""/>
    <s v="Funding Statement Adjustment KS5"/>
    <s v="KS5 Adjustment to match funding statement student numbers (Page 1)"/>
    <n v="0"/>
    <m/>
    <m/>
    <b v="0"/>
    <x v="0"/>
    <b v="0"/>
    <m/>
  </r>
  <r>
    <n v="1"/>
    <x v="1"/>
    <m/>
    <x v="93"/>
    <s v="ALL"/>
    <s v="DEFAULT"/>
    <s v="DEFAULT"/>
    <m/>
    <x v="7"/>
    <s v="MONTHLY"/>
    <s v=""/>
    <s v=""/>
    <s v=""/>
    <s v=""/>
    <s v=""/>
    <s v="Post 16 Pupil Places Special Provision"/>
    <s v="Post 16 Special/Alternative Provision Places from Funding Statement High needs funding"/>
    <n v="0"/>
    <m/>
    <m/>
    <b v="0"/>
    <x v="0"/>
    <b v="0"/>
    <m/>
  </r>
  <r>
    <n v="1"/>
    <x v="1"/>
    <m/>
    <x v="94"/>
    <s v="ALL"/>
    <s v="DEFAULT"/>
    <s v="DEFAULT"/>
    <m/>
    <x v="7"/>
    <s v="MONTHLY"/>
    <s v=""/>
    <s v=""/>
    <s v=""/>
    <s v=""/>
    <s v=""/>
    <s v="Occupied Post 16 Pupil Places Special Provision"/>
    <s v="Post 16 Special/Alternative Provision Places from Funding Statement High needs funding"/>
    <n v="0"/>
    <m/>
    <m/>
    <b v="0"/>
    <x v="0"/>
    <b v="0"/>
    <m/>
  </r>
  <r>
    <n v="1"/>
    <x v="1"/>
    <m/>
    <x v="95"/>
    <s v="ALL"/>
    <s v="DEFAULT"/>
    <s v="DEFAULT"/>
    <m/>
    <x v="7"/>
    <s v="MONTHLY"/>
    <s v=""/>
    <s v=""/>
    <s v=""/>
    <s v=""/>
    <s v=""/>
    <s v="Pre 16 Pupil Places Special Provision"/>
    <s v="Pre 16 Special/Alternative Provision Places From Table D of Funding Statement"/>
    <n v="0"/>
    <m/>
    <m/>
    <b v="0"/>
    <x v="0"/>
    <b v="0"/>
    <m/>
  </r>
  <r>
    <n v="1"/>
    <x v="1"/>
    <m/>
    <x v="96"/>
    <s v="ALL"/>
    <s v="DEFAULT"/>
    <s v="DEFAULT"/>
    <m/>
    <x v="7"/>
    <s v="MONTHLY"/>
    <s v=""/>
    <s v=""/>
    <s v=""/>
    <s v=""/>
    <s v=""/>
    <s v="Occupied Pre 16 Pupil Places Special Provision"/>
    <s v="Pre 16 Special/Alternative Provision Places From Table D of Funding Statement"/>
    <n v="0"/>
    <m/>
    <m/>
    <b v="0"/>
    <x v="0"/>
    <b v="0"/>
    <m/>
  </r>
  <r>
    <n v="0"/>
    <x v="1"/>
    <m/>
    <x v="97"/>
    <s v="ALL"/>
    <s v="DEFAULT"/>
    <s v="DEFAULT"/>
    <m/>
    <x v="36"/>
    <s v="MONTHLY"/>
    <s v=""/>
    <s v=""/>
    <s v=""/>
    <s v=""/>
    <s v=""/>
    <s v="Funded Pupil Numbers Primary Total"/>
    <s v="Total Primary Pupil Numbers from previous year (PUPIL_CEN_00, PUPIL_CEN_01, PUPIL_CEN_02, PUPIL_CEN_03, PUPIL_CEN_04, PUPIL_CEN_05, PUPIL_CEN_06)"/>
    <n v="0"/>
    <m/>
    <m/>
    <b v="0"/>
    <x v="0"/>
    <b v="1"/>
    <m/>
  </r>
  <r>
    <n v="1"/>
    <x v="1"/>
    <m/>
    <x v="98"/>
    <s v="ALL"/>
    <s v="DEFAULT"/>
    <s v="DEFAULT"/>
    <m/>
    <x v="8"/>
    <s v="MONTHLY"/>
    <s v=""/>
    <s v=""/>
    <s v=""/>
    <s v=""/>
    <s v=""/>
    <s v="Funding Statement Adjustment Primary"/>
    <s v="Primary Adjustment to match Primary value in Factor 1 of the Funding statement."/>
    <n v="0"/>
    <m/>
    <m/>
    <b v="0"/>
    <x v="0"/>
    <b v="0"/>
    <m/>
  </r>
  <r>
    <n v="1"/>
    <x v="1"/>
    <m/>
    <x v="56"/>
    <s v="ALL"/>
    <s v="DEFAULT"/>
    <s v="DEFAULT"/>
    <m/>
    <x v="7"/>
    <s v="MONTHLY"/>
    <s v=""/>
    <s v=""/>
    <s v=""/>
    <s v=""/>
    <s v=""/>
    <s v="Nursery Pupil Numbers"/>
    <s v="N1 &amp; N2 from Table 3 of School census collection: Autumn"/>
    <n v="0"/>
    <m/>
    <m/>
    <b v="0"/>
    <x v="0"/>
    <b v="0"/>
    <m/>
  </r>
  <r>
    <n v="1"/>
    <x v="1"/>
    <m/>
    <x v="57"/>
    <s v="ALL"/>
    <s v="DEFAULT"/>
    <s v="DEFAULT"/>
    <m/>
    <x v="7"/>
    <s v="MONTHLY"/>
    <s v=""/>
    <s v=""/>
    <s v=""/>
    <s v=""/>
    <s v=""/>
    <s v="Reception Pupil Numbers"/>
    <s v="From Table 3 of School census collection: Autumn"/>
    <n v="0"/>
    <m/>
    <m/>
    <b v="0"/>
    <x v="0"/>
    <b v="0"/>
    <m/>
  </r>
  <r>
    <n v="1"/>
    <x v="1"/>
    <m/>
    <x v="58"/>
    <s v="ALL"/>
    <s v="DEFAULT"/>
    <s v="DEFAULT"/>
    <m/>
    <x v="9"/>
    <s v="MONTHLY"/>
    <s v=""/>
    <s v=""/>
    <s v=""/>
    <s v=""/>
    <s v=""/>
    <s v="Year 1 Pupil Numbers"/>
    <s v="From Table 3 of School census collection: Autumn"/>
    <n v="0"/>
    <m/>
    <m/>
    <b v="0"/>
    <x v="0"/>
    <b v="0"/>
    <m/>
  </r>
  <r>
    <n v="1"/>
    <x v="1"/>
    <m/>
    <x v="59"/>
    <s v="ALL"/>
    <s v="DEFAULT"/>
    <s v="DEFAULT"/>
    <m/>
    <x v="10"/>
    <s v="MONTHLY"/>
    <s v=""/>
    <s v=""/>
    <s v=""/>
    <s v=""/>
    <s v=""/>
    <s v="Year 2 Pupil Numbers"/>
    <s v="From Table 3 of School census collection: Autumn"/>
    <n v="0"/>
    <m/>
    <m/>
    <b v="0"/>
    <x v="0"/>
    <b v="0"/>
    <m/>
  </r>
  <r>
    <n v="1"/>
    <x v="1"/>
    <m/>
    <x v="60"/>
    <s v="ALL"/>
    <s v="DEFAULT"/>
    <s v="DEFAULT"/>
    <m/>
    <x v="11"/>
    <s v="MONTHLY"/>
    <s v=""/>
    <s v=""/>
    <s v=""/>
    <s v=""/>
    <s v=""/>
    <s v="Year 3 Pupil Numbers"/>
    <s v="From Table 3 of School census collection: Autumn"/>
    <n v="0"/>
    <m/>
    <m/>
    <b v="0"/>
    <x v="0"/>
    <b v="0"/>
    <m/>
  </r>
  <r>
    <n v="1"/>
    <x v="1"/>
    <m/>
    <x v="61"/>
    <s v="ALL"/>
    <s v="DEFAULT"/>
    <s v="DEFAULT"/>
    <m/>
    <x v="12"/>
    <s v="MONTHLY"/>
    <s v=""/>
    <s v=""/>
    <s v=""/>
    <s v=""/>
    <s v=""/>
    <s v="Year 4 Pupil Numbers"/>
    <s v="From Table 3 of School census collection: Autumn"/>
    <n v="0"/>
    <m/>
    <m/>
    <b v="0"/>
    <x v="0"/>
    <b v="0"/>
    <m/>
  </r>
  <r>
    <n v="1"/>
    <x v="1"/>
    <m/>
    <x v="62"/>
    <s v="ALL"/>
    <s v="DEFAULT"/>
    <s v="DEFAULT"/>
    <m/>
    <x v="13"/>
    <s v="MONTHLY"/>
    <s v=""/>
    <s v=""/>
    <s v=""/>
    <s v=""/>
    <s v=""/>
    <s v="Year 5 Pupil Numbers"/>
    <s v="From Table 3 of School census collection: Autumn"/>
    <n v="0"/>
    <m/>
    <m/>
    <b v="0"/>
    <x v="0"/>
    <b v="0"/>
    <m/>
  </r>
  <r>
    <n v="1"/>
    <x v="1"/>
    <m/>
    <x v="63"/>
    <s v="ALL"/>
    <s v="DEFAULT"/>
    <s v="DEFAULT"/>
    <m/>
    <x v="14"/>
    <s v="MONTHLY"/>
    <s v=""/>
    <s v=""/>
    <s v=""/>
    <s v=""/>
    <s v=""/>
    <s v="Year 6 Pupil Numbers"/>
    <s v="From Table 3 of School census collection: Autumn"/>
    <n v="0"/>
    <m/>
    <m/>
    <b v="0"/>
    <x v="0"/>
    <b v="0"/>
    <m/>
  </r>
  <r>
    <n v="1"/>
    <x v="1"/>
    <m/>
    <x v="64"/>
    <s v="ALL"/>
    <s v="DEFAULT"/>
    <s v="DEFAULT"/>
    <m/>
    <x v="7"/>
    <s v="MONTHLY"/>
    <s v=""/>
    <s v=""/>
    <s v=""/>
    <s v=""/>
    <s v=""/>
    <s v="Year 7 Pupil Numbers"/>
    <s v="From Table 3 of School census collection: Autumn"/>
    <n v="0"/>
    <m/>
    <m/>
    <b v="0"/>
    <x v="0"/>
    <b v="0"/>
    <m/>
  </r>
  <r>
    <n v="1"/>
    <x v="1"/>
    <m/>
    <x v="65"/>
    <s v="ALL"/>
    <s v="DEFAULT"/>
    <s v="DEFAULT"/>
    <m/>
    <x v="15"/>
    <s v="MONTHLY"/>
    <s v=""/>
    <s v=""/>
    <s v=""/>
    <s v=""/>
    <s v=""/>
    <s v="Year 8 Pupil Numbers"/>
    <s v="From Table 3 of School census collection: Autumn"/>
    <n v="0"/>
    <m/>
    <m/>
    <b v="0"/>
    <x v="0"/>
    <b v="0"/>
    <m/>
  </r>
  <r>
    <n v="1"/>
    <x v="1"/>
    <m/>
    <x v="66"/>
    <s v="ALL"/>
    <s v="DEFAULT"/>
    <s v="DEFAULT"/>
    <m/>
    <x v="16"/>
    <s v="MONTHLY"/>
    <s v=""/>
    <s v=""/>
    <s v=""/>
    <s v=""/>
    <s v=""/>
    <s v="Year 9 Pupil Numbers"/>
    <s v="From Table 3 of School census collection: Autumn"/>
    <n v="0"/>
    <m/>
    <m/>
    <b v="0"/>
    <x v="0"/>
    <b v="0"/>
    <m/>
  </r>
  <r>
    <n v="1"/>
    <x v="1"/>
    <m/>
    <x v="67"/>
    <s v="ALL"/>
    <s v="DEFAULT"/>
    <s v="DEFAULT"/>
    <m/>
    <x v="17"/>
    <s v="MONTHLY"/>
    <s v=""/>
    <s v=""/>
    <s v=""/>
    <s v=""/>
    <s v=""/>
    <s v="Year 10 Pupil Numbers"/>
    <s v="From Table 3 of School census collection: Autumn"/>
    <n v="0"/>
    <m/>
    <m/>
    <b v="0"/>
    <x v="0"/>
    <b v="0"/>
    <m/>
  </r>
  <r>
    <n v="1"/>
    <x v="1"/>
    <m/>
    <x v="68"/>
    <s v="ALL"/>
    <s v="DEFAULT"/>
    <s v="DEFAULT"/>
    <m/>
    <x v="18"/>
    <s v="MONTHLY"/>
    <s v=""/>
    <s v=""/>
    <s v=""/>
    <s v=""/>
    <s v=""/>
    <s v="Year 11 Pupil Numbers"/>
    <s v="From Table 3 of School census collection: Autumn"/>
    <n v="0"/>
    <m/>
    <m/>
    <b v="0"/>
    <x v="0"/>
    <b v="0"/>
    <m/>
  </r>
  <r>
    <n v="1"/>
    <x v="1"/>
    <m/>
    <x v="69"/>
    <s v="ALL"/>
    <s v="DEFAULT"/>
    <s v="DEFAULT"/>
    <m/>
    <x v="7"/>
    <s v="MONTHLY"/>
    <s v=""/>
    <s v=""/>
    <s v=""/>
    <s v=""/>
    <s v=""/>
    <s v="Year 12 Pupil Numbers"/>
    <s v="From Table 3 of School census collection: Autumn"/>
    <n v="0"/>
    <m/>
    <m/>
    <b v="0"/>
    <x v="0"/>
    <b v="0"/>
    <m/>
  </r>
  <r>
    <n v="1"/>
    <x v="1"/>
    <m/>
    <x v="70"/>
    <s v="ALL"/>
    <s v="DEFAULT"/>
    <s v="DEFAULT"/>
    <m/>
    <x v="19"/>
    <s v="MONTHLY"/>
    <s v=""/>
    <s v=""/>
    <s v=""/>
    <s v=""/>
    <s v=""/>
    <s v="Year 13 Pupil Numbers"/>
    <s v="From Table 3 of School census collection: Autumn"/>
    <n v="0"/>
    <m/>
    <m/>
    <b v="0"/>
    <x v="0"/>
    <b v="0"/>
    <m/>
  </r>
  <r>
    <n v="1"/>
    <x v="1"/>
    <m/>
    <x v="71"/>
    <s v="ALL"/>
    <s v="DEFAULT"/>
    <s v="DEFAULT"/>
    <m/>
    <x v="20"/>
    <s v="MONTHLY"/>
    <s v=""/>
    <s v=""/>
    <s v=""/>
    <s v=""/>
    <s v=""/>
    <s v="Year 14 Pupil Numbers"/>
    <s v="From Table 3 of School census collection: Autumn"/>
    <n v="0"/>
    <m/>
    <m/>
    <b v="0"/>
    <x v="0"/>
    <b v="0"/>
    <m/>
  </r>
  <r>
    <n v="1"/>
    <x v="1"/>
    <m/>
    <x v="80"/>
    <s v="ALL"/>
    <s v="DEFAULT"/>
    <s v="DEFAULT"/>
    <m/>
    <x v="29"/>
    <s v="MONTHLY"/>
    <s v=""/>
    <s v=""/>
    <s v=""/>
    <s v=""/>
    <s v=""/>
    <s v="Pupil Premium Numbers Primary"/>
    <s v="Taken from ESFA Pupil Premium spreadsheet, column &quot;Number of Primary pupils eligible for the Deprivation Pupil Premium&quot;"/>
    <n v="0"/>
    <m/>
    <m/>
    <b v="0"/>
    <x v="0"/>
    <b v="0"/>
    <m/>
  </r>
  <r>
    <n v="1"/>
    <x v="1"/>
    <m/>
    <x v="81"/>
    <s v="ALL"/>
    <s v="DEFAULT"/>
    <s v="DEFAULT"/>
    <m/>
    <x v="29"/>
    <s v="MONTHLY"/>
    <s v=""/>
    <s v=""/>
    <s v=""/>
    <s v=""/>
    <s v=""/>
    <s v="Pupil Premium Numbers Secondary"/>
    <s v="Taken from ESFA Pupil Premium spreadsheet, column &quot;Number of Secondary pupils eligible for the Deprivation Pupil Premium&quot;"/>
    <n v="0"/>
    <m/>
    <m/>
    <b v="0"/>
    <x v="0"/>
    <b v="0"/>
    <m/>
  </r>
  <r>
    <n v="1"/>
    <x v="1"/>
    <m/>
    <x v="82"/>
    <s v="ALL"/>
    <s v="DEFAULT"/>
    <s v="DEFAULT"/>
    <m/>
    <x v="29"/>
    <s v="MONTHLY"/>
    <s v=""/>
    <s v=""/>
    <s v=""/>
    <s v=""/>
    <s v=""/>
    <s v="Pupil Premium LAC Numbers"/>
    <s v="Post Looked After Children number From Table 5 of School census collection: Autumn"/>
    <n v="0"/>
    <m/>
    <m/>
    <b v="0"/>
    <x v="0"/>
    <b v="0"/>
    <m/>
  </r>
  <r>
    <n v="1"/>
    <x v="1"/>
    <m/>
    <x v="83"/>
    <s v="ALL"/>
    <s v="DEFAULT"/>
    <s v="DEFAULT"/>
    <m/>
    <x v="29"/>
    <s v="MONTHLY"/>
    <s v=""/>
    <s v=""/>
    <s v=""/>
    <s v=""/>
    <s v=""/>
    <s v="Pupil Premium Service Numbers"/>
    <s v="Service Children number From Table 5 of School census collection: Autumn"/>
    <n v="0"/>
    <m/>
    <m/>
    <b v="0"/>
    <x v="0"/>
    <b v="0"/>
    <m/>
  </r>
  <r>
    <n v="1"/>
    <x v="1"/>
    <m/>
    <x v="56"/>
    <s v="ALL"/>
    <s v="DEFAULT"/>
    <s v="DEFAULT"/>
    <m/>
    <x v="7"/>
    <s v="MONTHLY"/>
    <s v=""/>
    <s v=""/>
    <s v=""/>
    <s v=""/>
    <s v=""/>
    <s v="Nursery Pupil Numbers"/>
    <s v="N1 &amp; N2 from Table 3 of School census collection: Autumn"/>
    <n v="0"/>
    <m/>
    <m/>
    <b v="0"/>
    <x v="4"/>
    <b v="0"/>
    <m/>
  </r>
  <r>
    <n v="1"/>
    <x v="1"/>
    <m/>
    <x v="57"/>
    <s v="ALL"/>
    <s v="DEFAULT"/>
    <s v="DEFAULT"/>
    <m/>
    <x v="7"/>
    <s v="MONTHLY"/>
    <s v=""/>
    <s v=""/>
    <s v=""/>
    <s v=""/>
    <s v=""/>
    <s v="Reception Pupil Numbers"/>
    <s v="From Table 3 of School census collection: Autumn"/>
    <n v="0"/>
    <m/>
    <m/>
    <b v="0"/>
    <x v="4"/>
    <b v="0"/>
    <m/>
  </r>
  <r>
    <n v="1"/>
    <x v="1"/>
    <m/>
    <x v="58"/>
    <s v="ALL"/>
    <s v="DEFAULT"/>
    <s v="DEFAULT"/>
    <m/>
    <x v="9"/>
    <s v="MONTHLY"/>
    <s v=""/>
    <s v=""/>
    <s v=""/>
    <s v=""/>
    <s v=""/>
    <s v="Year 1 Pupil Numbers"/>
    <s v="From Table 3 of School census collection: Autumn"/>
    <n v="0"/>
    <m/>
    <m/>
    <b v="0"/>
    <x v="4"/>
    <b v="0"/>
    <m/>
  </r>
  <r>
    <n v="1"/>
    <x v="1"/>
    <m/>
    <x v="59"/>
    <s v="ALL"/>
    <s v="DEFAULT"/>
    <s v="DEFAULT"/>
    <m/>
    <x v="10"/>
    <s v="MONTHLY"/>
    <s v=""/>
    <s v=""/>
    <s v=""/>
    <s v=""/>
    <s v=""/>
    <s v="Year 2 Pupil Numbers"/>
    <s v="From Table 3 of School census collection: Autumn"/>
    <n v="0"/>
    <m/>
    <m/>
    <b v="0"/>
    <x v="4"/>
    <b v="0"/>
    <m/>
  </r>
  <r>
    <n v="1"/>
    <x v="1"/>
    <m/>
    <x v="60"/>
    <s v="ALL"/>
    <s v="DEFAULT"/>
    <s v="DEFAULT"/>
    <m/>
    <x v="11"/>
    <s v="MONTHLY"/>
    <s v=""/>
    <s v=""/>
    <s v=""/>
    <s v=""/>
    <s v=""/>
    <s v="Year 3 Pupil Numbers"/>
    <s v="From Table 3 of School census collection: Autumn"/>
    <n v="0"/>
    <m/>
    <m/>
    <b v="0"/>
    <x v="4"/>
    <b v="0"/>
    <m/>
  </r>
  <r>
    <n v="1"/>
    <x v="1"/>
    <m/>
    <x v="61"/>
    <s v="ALL"/>
    <s v="DEFAULT"/>
    <s v="DEFAULT"/>
    <m/>
    <x v="12"/>
    <s v="MONTHLY"/>
    <s v=""/>
    <s v=""/>
    <s v=""/>
    <s v=""/>
    <s v=""/>
    <s v="Year 4 Pupil Numbers"/>
    <s v="From Table 3 of School census collection: Autumn"/>
    <n v="0"/>
    <m/>
    <m/>
    <b v="0"/>
    <x v="4"/>
    <b v="0"/>
    <m/>
  </r>
  <r>
    <n v="1"/>
    <x v="1"/>
    <m/>
    <x v="62"/>
    <s v="ALL"/>
    <s v="DEFAULT"/>
    <s v="DEFAULT"/>
    <m/>
    <x v="13"/>
    <s v="MONTHLY"/>
    <s v=""/>
    <s v=""/>
    <s v=""/>
    <s v=""/>
    <s v=""/>
    <s v="Year 5 Pupil Numbers"/>
    <s v="From Table 3 of School census collection: Autumn"/>
    <n v="0"/>
    <m/>
    <m/>
    <b v="0"/>
    <x v="4"/>
    <b v="0"/>
    <m/>
  </r>
  <r>
    <n v="1"/>
    <x v="1"/>
    <m/>
    <x v="63"/>
    <s v="ALL"/>
    <s v="DEFAULT"/>
    <s v="DEFAULT"/>
    <m/>
    <x v="14"/>
    <s v="MONTHLY"/>
    <s v=""/>
    <s v=""/>
    <s v=""/>
    <s v=""/>
    <s v=""/>
    <s v="Year 6 Pupil Numbers"/>
    <s v="From Table 3 of School census collection: Autumn"/>
    <n v="0"/>
    <m/>
    <m/>
    <b v="0"/>
    <x v="4"/>
    <b v="0"/>
    <m/>
  </r>
  <r>
    <n v="1"/>
    <x v="1"/>
    <m/>
    <x v="64"/>
    <s v="ALL"/>
    <s v="DEFAULT"/>
    <s v="DEFAULT"/>
    <m/>
    <x v="7"/>
    <s v="MONTHLY"/>
    <s v=""/>
    <s v=""/>
    <s v=""/>
    <s v=""/>
    <s v=""/>
    <s v="Year 7 Pupil Numbers"/>
    <s v="From Table 3 of School census collection: Autumn"/>
    <n v="0"/>
    <m/>
    <m/>
    <b v="0"/>
    <x v="4"/>
    <b v="0"/>
    <m/>
  </r>
  <r>
    <n v="1"/>
    <x v="1"/>
    <m/>
    <x v="65"/>
    <s v="ALL"/>
    <s v="DEFAULT"/>
    <s v="DEFAULT"/>
    <m/>
    <x v="15"/>
    <s v="MONTHLY"/>
    <s v=""/>
    <s v=""/>
    <s v=""/>
    <s v=""/>
    <s v=""/>
    <s v="Year 8 Pupil Numbers"/>
    <s v="From Table 3 of School census collection: Autumn"/>
    <n v="0"/>
    <m/>
    <m/>
    <b v="0"/>
    <x v="4"/>
    <b v="0"/>
    <m/>
  </r>
  <r>
    <n v="1"/>
    <x v="1"/>
    <m/>
    <x v="66"/>
    <s v="ALL"/>
    <s v="DEFAULT"/>
    <s v="DEFAULT"/>
    <m/>
    <x v="16"/>
    <s v="MONTHLY"/>
    <s v=""/>
    <s v=""/>
    <s v=""/>
    <s v=""/>
    <s v=""/>
    <s v="Year 9 Pupil Numbers"/>
    <s v="From Table 3 of School census collection: Autumn"/>
    <n v="0"/>
    <m/>
    <m/>
    <b v="0"/>
    <x v="4"/>
    <b v="0"/>
    <m/>
  </r>
  <r>
    <n v="1"/>
    <x v="1"/>
    <m/>
    <x v="67"/>
    <s v="ALL"/>
    <s v="DEFAULT"/>
    <s v="DEFAULT"/>
    <m/>
    <x v="17"/>
    <s v="MONTHLY"/>
    <s v=""/>
    <s v=""/>
    <s v=""/>
    <s v=""/>
    <s v=""/>
    <s v="Year 10 Pupil Numbers"/>
    <s v="From Table 3 of School census collection: Autumn"/>
    <n v="0"/>
    <m/>
    <m/>
    <b v="0"/>
    <x v="4"/>
    <b v="0"/>
    <m/>
  </r>
  <r>
    <n v="1"/>
    <x v="1"/>
    <m/>
    <x v="68"/>
    <s v="ALL"/>
    <s v="DEFAULT"/>
    <s v="DEFAULT"/>
    <m/>
    <x v="18"/>
    <s v="MONTHLY"/>
    <s v=""/>
    <s v=""/>
    <s v=""/>
    <s v=""/>
    <s v=""/>
    <s v="Year 11 Pupil Numbers"/>
    <s v="From Table 3 of School census collection: Autumn"/>
    <n v="0"/>
    <m/>
    <m/>
    <b v="0"/>
    <x v="4"/>
    <b v="0"/>
    <m/>
  </r>
  <r>
    <n v="1"/>
    <x v="1"/>
    <m/>
    <x v="69"/>
    <s v="ALL"/>
    <s v="DEFAULT"/>
    <s v="DEFAULT"/>
    <m/>
    <x v="7"/>
    <s v="MONTHLY"/>
    <s v=""/>
    <s v=""/>
    <s v=""/>
    <s v=""/>
    <s v=""/>
    <s v="Year 12 Pupil Numbers"/>
    <s v="From Table 3 of School census collection: Autumn"/>
    <n v="0"/>
    <m/>
    <m/>
    <b v="0"/>
    <x v="4"/>
    <b v="0"/>
    <m/>
  </r>
  <r>
    <n v="1"/>
    <x v="1"/>
    <m/>
    <x v="70"/>
    <s v="ALL"/>
    <s v="DEFAULT"/>
    <s v="DEFAULT"/>
    <m/>
    <x v="19"/>
    <s v="MONTHLY"/>
    <s v=""/>
    <s v=""/>
    <s v=""/>
    <s v=""/>
    <s v=""/>
    <s v="Year 13 Pupil Numbers"/>
    <s v="From Table 3 of School census collection: Autumn"/>
    <n v="0"/>
    <m/>
    <m/>
    <b v="0"/>
    <x v="4"/>
    <b v="0"/>
    <m/>
  </r>
  <r>
    <n v="1"/>
    <x v="1"/>
    <m/>
    <x v="71"/>
    <s v="ALL"/>
    <s v="DEFAULT"/>
    <s v="DEFAULT"/>
    <m/>
    <x v="20"/>
    <s v="MONTHLY"/>
    <s v=""/>
    <s v=""/>
    <s v=""/>
    <s v=""/>
    <s v=""/>
    <s v="Year 14 Pupil Numbers"/>
    <s v="From Table 3 of School census collection: Autumn"/>
    <n v="0"/>
    <m/>
    <m/>
    <b v="0"/>
    <x v="4"/>
    <b v="0"/>
    <m/>
  </r>
  <r>
    <n v="1"/>
    <x v="1"/>
    <m/>
    <x v="56"/>
    <s v="ALL"/>
    <s v="DEFAULT"/>
    <s v="DEFAULT"/>
    <m/>
    <x v="7"/>
    <s v="MONTHLY"/>
    <s v=""/>
    <s v=""/>
    <s v=""/>
    <s v=""/>
    <s v=""/>
    <s v="Nursery Pupil Numbers"/>
    <s v="N1 &amp; N2 from Table 3 of School census collection: Autumn"/>
    <n v="0"/>
    <m/>
    <m/>
    <b v="0"/>
    <x v="5"/>
    <b v="0"/>
    <m/>
  </r>
  <r>
    <n v="1"/>
    <x v="1"/>
    <m/>
    <x v="57"/>
    <s v="ALL"/>
    <s v="DEFAULT"/>
    <s v="DEFAULT"/>
    <m/>
    <x v="7"/>
    <s v="MONTHLY"/>
    <s v=""/>
    <s v=""/>
    <s v=""/>
    <s v=""/>
    <s v=""/>
    <s v="Reception Pupil Numbers"/>
    <s v="From Table 3 of School census collection: Autumn"/>
    <n v="0"/>
    <m/>
    <m/>
    <b v="0"/>
    <x v="5"/>
    <b v="0"/>
    <m/>
  </r>
  <r>
    <n v="1"/>
    <x v="1"/>
    <m/>
    <x v="58"/>
    <s v="ALL"/>
    <s v="DEFAULT"/>
    <s v="DEFAULT"/>
    <m/>
    <x v="9"/>
    <s v="MONTHLY"/>
    <s v=""/>
    <s v=""/>
    <s v=""/>
    <s v=""/>
    <s v=""/>
    <s v="Year 1 Pupil Numbers"/>
    <s v="From Table 3 of School census collection: Autumn"/>
    <n v="0"/>
    <m/>
    <m/>
    <b v="0"/>
    <x v="5"/>
    <b v="0"/>
    <m/>
  </r>
  <r>
    <n v="1"/>
    <x v="1"/>
    <m/>
    <x v="59"/>
    <s v="ALL"/>
    <s v="DEFAULT"/>
    <s v="DEFAULT"/>
    <m/>
    <x v="10"/>
    <s v="MONTHLY"/>
    <s v=""/>
    <s v=""/>
    <s v=""/>
    <s v=""/>
    <s v=""/>
    <s v="Year 2 Pupil Numbers"/>
    <s v="From Table 3 of School census collection: Autumn"/>
    <n v="0"/>
    <m/>
    <m/>
    <b v="0"/>
    <x v="5"/>
    <b v="0"/>
    <m/>
  </r>
  <r>
    <n v="1"/>
    <x v="1"/>
    <m/>
    <x v="60"/>
    <s v="ALL"/>
    <s v="DEFAULT"/>
    <s v="DEFAULT"/>
    <m/>
    <x v="11"/>
    <s v="MONTHLY"/>
    <s v=""/>
    <s v=""/>
    <s v=""/>
    <s v=""/>
    <s v=""/>
    <s v="Year 3 Pupil Numbers"/>
    <s v="From Table 3 of School census collection: Autumn"/>
    <n v="0"/>
    <m/>
    <m/>
    <b v="0"/>
    <x v="5"/>
    <b v="0"/>
    <m/>
  </r>
  <r>
    <n v="1"/>
    <x v="1"/>
    <m/>
    <x v="61"/>
    <s v="ALL"/>
    <s v="DEFAULT"/>
    <s v="DEFAULT"/>
    <m/>
    <x v="12"/>
    <s v="MONTHLY"/>
    <s v=""/>
    <s v=""/>
    <s v=""/>
    <s v=""/>
    <s v=""/>
    <s v="Year 4 Pupil Numbers"/>
    <s v="From Table 3 of School census collection: Autumn"/>
    <n v="0"/>
    <m/>
    <m/>
    <b v="0"/>
    <x v="5"/>
    <b v="0"/>
    <m/>
  </r>
  <r>
    <n v="1"/>
    <x v="1"/>
    <m/>
    <x v="62"/>
    <s v="ALL"/>
    <s v="DEFAULT"/>
    <s v="DEFAULT"/>
    <m/>
    <x v="13"/>
    <s v="MONTHLY"/>
    <s v=""/>
    <s v=""/>
    <s v=""/>
    <s v=""/>
    <s v=""/>
    <s v="Year 5 Pupil Numbers"/>
    <s v="From Table 3 of School census collection: Autumn"/>
    <n v="0"/>
    <m/>
    <m/>
    <b v="0"/>
    <x v="5"/>
    <b v="0"/>
    <m/>
  </r>
  <r>
    <n v="1"/>
    <x v="1"/>
    <m/>
    <x v="63"/>
    <s v="ALL"/>
    <s v="DEFAULT"/>
    <s v="DEFAULT"/>
    <m/>
    <x v="14"/>
    <s v="MONTHLY"/>
    <s v=""/>
    <s v=""/>
    <s v=""/>
    <s v=""/>
    <s v=""/>
    <s v="Year 6 Pupil Numbers"/>
    <s v="From Table 3 of School census collection: Autumn"/>
    <n v="0"/>
    <m/>
    <m/>
    <b v="0"/>
    <x v="5"/>
    <b v="0"/>
    <m/>
  </r>
  <r>
    <n v="1"/>
    <x v="1"/>
    <m/>
    <x v="64"/>
    <s v="ALL"/>
    <s v="DEFAULT"/>
    <s v="DEFAULT"/>
    <m/>
    <x v="7"/>
    <s v="MONTHLY"/>
    <s v=""/>
    <s v=""/>
    <s v=""/>
    <s v=""/>
    <s v=""/>
    <s v="Year 7 Pupil Numbers"/>
    <s v="From Table 3 of School census collection: Autumn"/>
    <n v="0"/>
    <m/>
    <m/>
    <b v="0"/>
    <x v="5"/>
    <b v="0"/>
    <m/>
  </r>
  <r>
    <n v="1"/>
    <x v="1"/>
    <m/>
    <x v="65"/>
    <s v="ALL"/>
    <s v="DEFAULT"/>
    <s v="DEFAULT"/>
    <m/>
    <x v="15"/>
    <s v="MONTHLY"/>
    <s v=""/>
    <s v=""/>
    <s v=""/>
    <s v=""/>
    <s v=""/>
    <s v="Year 8 Pupil Numbers"/>
    <s v="From Table 3 of School census collection: Autumn"/>
    <n v="0"/>
    <m/>
    <m/>
    <b v="0"/>
    <x v="5"/>
    <b v="0"/>
    <m/>
  </r>
  <r>
    <n v="1"/>
    <x v="1"/>
    <m/>
    <x v="66"/>
    <s v="ALL"/>
    <s v="DEFAULT"/>
    <s v="DEFAULT"/>
    <m/>
    <x v="16"/>
    <s v="MONTHLY"/>
    <s v=""/>
    <s v=""/>
    <s v=""/>
    <s v=""/>
    <s v=""/>
    <s v="Year 9 Pupil Numbers"/>
    <s v="From Table 3 of School census collection: Autumn"/>
    <n v="0"/>
    <m/>
    <m/>
    <b v="0"/>
    <x v="5"/>
    <b v="0"/>
    <m/>
  </r>
  <r>
    <n v="1"/>
    <x v="1"/>
    <m/>
    <x v="67"/>
    <s v="ALL"/>
    <s v="DEFAULT"/>
    <s v="DEFAULT"/>
    <m/>
    <x v="17"/>
    <s v="MONTHLY"/>
    <s v=""/>
    <s v=""/>
    <s v=""/>
    <s v=""/>
    <s v=""/>
    <s v="Year 10 Pupil Numbers"/>
    <s v="From Table 3 of School census collection: Autumn"/>
    <n v="0"/>
    <m/>
    <m/>
    <b v="0"/>
    <x v="5"/>
    <b v="0"/>
    <m/>
  </r>
  <r>
    <n v="1"/>
    <x v="1"/>
    <m/>
    <x v="68"/>
    <s v="ALL"/>
    <s v="DEFAULT"/>
    <s v="DEFAULT"/>
    <m/>
    <x v="18"/>
    <s v="MONTHLY"/>
    <s v=""/>
    <s v=""/>
    <s v=""/>
    <s v=""/>
    <s v=""/>
    <s v="Year 11 Pupil Numbers"/>
    <s v="From Table 3 of School census collection: Autumn"/>
    <n v="0"/>
    <m/>
    <m/>
    <b v="0"/>
    <x v="5"/>
    <b v="0"/>
    <m/>
  </r>
  <r>
    <n v="1"/>
    <x v="1"/>
    <m/>
    <x v="69"/>
    <s v="ALL"/>
    <s v="DEFAULT"/>
    <s v="DEFAULT"/>
    <m/>
    <x v="7"/>
    <s v="MONTHLY"/>
    <s v=""/>
    <s v=""/>
    <s v=""/>
    <s v=""/>
    <s v=""/>
    <s v="Year 12 Pupil Numbers"/>
    <s v="From Table 3 of School census collection: Autumn"/>
    <n v="0"/>
    <m/>
    <m/>
    <b v="0"/>
    <x v="5"/>
    <b v="0"/>
    <m/>
  </r>
  <r>
    <n v="1"/>
    <x v="1"/>
    <m/>
    <x v="70"/>
    <s v="ALL"/>
    <s v="DEFAULT"/>
    <s v="DEFAULT"/>
    <m/>
    <x v="19"/>
    <s v="MONTHLY"/>
    <s v=""/>
    <s v=""/>
    <s v=""/>
    <s v=""/>
    <s v=""/>
    <s v="Year 13 Pupil Numbers"/>
    <s v="From Table 3 of School census collection: Autumn"/>
    <n v="0"/>
    <m/>
    <m/>
    <b v="0"/>
    <x v="5"/>
    <b v="0"/>
    <m/>
  </r>
  <r>
    <n v="1"/>
    <x v="1"/>
    <m/>
    <x v="71"/>
    <s v="ALL"/>
    <s v="DEFAULT"/>
    <s v="DEFAULT"/>
    <m/>
    <x v="20"/>
    <s v="MONTHLY"/>
    <s v=""/>
    <s v=""/>
    <s v=""/>
    <s v=""/>
    <s v=""/>
    <s v="Year 14 Pupil Numbers"/>
    <s v="From Table 3 of School census collection: Autumn"/>
    <n v="0"/>
    <m/>
    <m/>
    <b v="0"/>
    <x v="5"/>
    <b v="0"/>
    <m/>
  </r>
  <r>
    <n v="1"/>
    <x v="1"/>
    <m/>
    <x v="56"/>
    <s v="ALL"/>
    <s v="DEFAULT"/>
    <s v="DEFAULT"/>
    <m/>
    <x v="7"/>
    <s v="MONTHLY"/>
    <s v=""/>
    <s v=""/>
    <s v=""/>
    <s v=""/>
    <s v=""/>
    <s v="Nursery Pupil Numbers"/>
    <s v="N1 &amp; N2 from Table 3 of School census collection: Autumn"/>
    <n v="0"/>
    <m/>
    <m/>
    <b v="0"/>
    <x v="6"/>
    <b v="0"/>
    <m/>
  </r>
  <r>
    <n v="1"/>
    <x v="1"/>
    <m/>
    <x v="57"/>
    <s v="ALL"/>
    <s v="DEFAULT"/>
    <s v="DEFAULT"/>
    <m/>
    <x v="7"/>
    <s v="MONTHLY"/>
    <s v=""/>
    <s v=""/>
    <s v=""/>
    <s v=""/>
    <s v=""/>
    <s v="Reception Pupil Numbers"/>
    <s v="From Table 3 of School census collection: Autumn"/>
    <n v="0"/>
    <m/>
    <m/>
    <b v="0"/>
    <x v="6"/>
    <b v="0"/>
    <m/>
  </r>
  <r>
    <n v="1"/>
    <x v="1"/>
    <m/>
    <x v="58"/>
    <s v="ALL"/>
    <s v="DEFAULT"/>
    <s v="DEFAULT"/>
    <m/>
    <x v="9"/>
    <s v="MONTHLY"/>
    <s v=""/>
    <s v=""/>
    <s v=""/>
    <s v=""/>
    <s v=""/>
    <s v="Year 1 Pupil Numbers"/>
    <s v="From Table 3 of School census collection: Autumn"/>
    <n v="0"/>
    <m/>
    <m/>
    <b v="0"/>
    <x v="6"/>
    <b v="0"/>
    <m/>
  </r>
  <r>
    <n v="1"/>
    <x v="1"/>
    <m/>
    <x v="59"/>
    <s v="ALL"/>
    <s v="DEFAULT"/>
    <s v="DEFAULT"/>
    <m/>
    <x v="10"/>
    <s v="MONTHLY"/>
    <s v=""/>
    <s v=""/>
    <s v=""/>
    <s v=""/>
    <s v=""/>
    <s v="Year 2 Pupil Numbers"/>
    <s v="From Table 3 of School census collection: Autumn"/>
    <n v="0"/>
    <m/>
    <m/>
    <b v="0"/>
    <x v="6"/>
    <b v="0"/>
    <m/>
  </r>
  <r>
    <n v="1"/>
    <x v="1"/>
    <m/>
    <x v="60"/>
    <s v="ALL"/>
    <s v="DEFAULT"/>
    <s v="DEFAULT"/>
    <m/>
    <x v="11"/>
    <s v="MONTHLY"/>
    <s v=""/>
    <s v=""/>
    <s v=""/>
    <s v=""/>
    <s v=""/>
    <s v="Year 3 Pupil Numbers"/>
    <s v="From Table 3 of School census collection: Autumn"/>
    <n v="0"/>
    <m/>
    <m/>
    <b v="0"/>
    <x v="6"/>
    <b v="0"/>
    <m/>
  </r>
  <r>
    <n v="1"/>
    <x v="1"/>
    <m/>
    <x v="61"/>
    <s v="ALL"/>
    <s v="DEFAULT"/>
    <s v="DEFAULT"/>
    <m/>
    <x v="12"/>
    <s v="MONTHLY"/>
    <s v=""/>
    <s v=""/>
    <s v=""/>
    <s v=""/>
    <s v=""/>
    <s v="Year 4 Pupil Numbers"/>
    <s v="From Table 3 of School census collection: Autumn"/>
    <n v="0"/>
    <m/>
    <m/>
    <b v="0"/>
    <x v="6"/>
    <b v="0"/>
    <m/>
  </r>
  <r>
    <n v="1"/>
    <x v="1"/>
    <m/>
    <x v="62"/>
    <s v="ALL"/>
    <s v="DEFAULT"/>
    <s v="DEFAULT"/>
    <m/>
    <x v="13"/>
    <s v="MONTHLY"/>
    <s v=""/>
    <s v=""/>
    <s v=""/>
    <s v=""/>
    <s v=""/>
    <s v="Year 5 Pupil Numbers"/>
    <s v="From Table 3 of School census collection: Autumn"/>
    <n v="0"/>
    <m/>
    <m/>
    <b v="0"/>
    <x v="6"/>
    <b v="0"/>
    <m/>
  </r>
  <r>
    <n v="1"/>
    <x v="1"/>
    <m/>
    <x v="63"/>
    <s v="ALL"/>
    <s v="DEFAULT"/>
    <s v="DEFAULT"/>
    <m/>
    <x v="14"/>
    <s v="MONTHLY"/>
    <s v=""/>
    <s v=""/>
    <s v=""/>
    <s v=""/>
    <s v=""/>
    <s v="Year 6 Pupil Numbers"/>
    <s v="From Table 3 of School census collection: Autumn"/>
    <n v="0"/>
    <m/>
    <m/>
    <b v="0"/>
    <x v="6"/>
    <b v="0"/>
    <m/>
  </r>
  <r>
    <n v="1"/>
    <x v="1"/>
    <m/>
    <x v="64"/>
    <s v="ALL"/>
    <s v="DEFAULT"/>
    <s v="DEFAULT"/>
    <m/>
    <x v="7"/>
    <s v="MONTHLY"/>
    <s v=""/>
    <s v=""/>
    <s v=""/>
    <s v=""/>
    <s v=""/>
    <s v="Year 7 Pupil Numbers"/>
    <s v="From Table 3 of School census collection: Autumn"/>
    <n v="0"/>
    <m/>
    <m/>
    <b v="0"/>
    <x v="6"/>
    <b v="0"/>
    <m/>
  </r>
  <r>
    <n v="1"/>
    <x v="1"/>
    <m/>
    <x v="65"/>
    <s v="ALL"/>
    <s v="DEFAULT"/>
    <s v="DEFAULT"/>
    <m/>
    <x v="15"/>
    <s v="MONTHLY"/>
    <s v=""/>
    <s v=""/>
    <s v=""/>
    <s v=""/>
    <s v=""/>
    <s v="Year 8 Pupil Numbers"/>
    <s v="From Table 3 of School census collection: Autumn"/>
    <n v="0"/>
    <m/>
    <m/>
    <b v="0"/>
    <x v="6"/>
    <b v="0"/>
    <m/>
  </r>
  <r>
    <n v="1"/>
    <x v="1"/>
    <m/>
    <x v="66"/>
    <s v="ALL"/>
    <s v="DEFAULT"/>
    <s v="DEFAULT"/>
    <m/>
    <x v="16"/>
    <s v="MONTHLY"/>
    <s v=""/>
    <s v=""/>
    <s v=""/>
    <s v=""/>
    <s v=""/>
    <s v="Year 9 Pupil Numbers"/>
    <s v="From Table 3 of School census collection: Autumn"/>
    <n v="0"/>
    <m/>
    <m/>
    <b v="0"/>
    <x v="6"/>
    <b v="0"/>
    <m/>
  </r>
  <r>
    <n v="1"/>
    <x v="1"/>
    <m/>
    <x v="67"/>
    <s v="ALL"/>
    <s v="DEFAULT"/>
    <s v="DEFAULT"/>
    <m/>
    <x v="17"/>
    <s v="MONTHLY"/>
    <s v=""/>
    <s v=""/>
    <s v=""/>
    <s v=""/>
    <s v=""/>
    <s v="Year 10 Pupil Numbers"/>
    <s v="From Table 3 of School census collection: Autumn"/>
    <n v="0"/>
    <m/>
    <m/>
    <b v="0"/>
    <x v="6"/>
    <b v="0"/>
    <m/>
  </r>
  <r>
    <n v="1"/>
    <x v="1"/>
    <m/>
    <x v="68"/>
    <s v="ALL"/>
    <s v="DEFAULT"/>
    <s v="DEFAULT"/>
    <m/>
    <x v="18"/>
    <s v="MONTHLY"/>
    <s v=""/>
    <s v=""/>
    <s v=""/>
    <s v=""/>
    <s v=""/>
    <s v="Year 11 Pupil Numbers"/>
    <s v="From Table 3 of School census collection: Autumn"/>
    <n v="0"/>
    <m/>
    <m/>
    <b v="0"/>
    <x v="6"/>
    <b v="0"/>
    <m/>
  </r>
  <r>
    <n v="1"/>
    <x v="1"/>
    <m/>
    <x v="69"/>
    <s v="ALL"/>
    <s v="DEFAULT"/>
    <s v="DEFAULT"/>
    <m/>
    <x v="7"/>
    <s v="MONTHLY"/>
    <s v=""/>
    <s v=""/>
    <s v=""/>
    <s v=""/>
    <s v=""/>
    <s v="Year 12 Pupil Numbers"/>
    <s v="From Table 3 of School census collection: Autumn"/>
    <n v="0"/>
    <m/>
    <m/>
    <b v="0"/>
    <x v="6"/>
    <b v="0"/>
    <m/>
  </r>
  <r>
    <n v="1"/>
    <x v="1"/>
    <m/>
    <x v="70"/>
    <s v="ALL"/>
    <s v="DEFAULT"/>
    <s v="DEFAULT"/>
    <m/>
    <x v="19"/>
    <s v="MONTHLY"/>
    <s v=""/>
    <s v=""/>
    <s v=""/>
    <s v=""/>
    <s v=""/>
    <s v="Year 13 Pupil Numbers"/>
    <s v="From Table 3 of School census collection: Autumn"/>
    <n v="0"/>
    <m/>
    <m/>
    <b v="0"/>
    <x v="6"/>
    <b v="0"/>
    <m/>
  </r>
  <r>
    <n v="1"/>
    <x v="1"/>
    <m/>
    <x v="71"/>
    <s v="ALL"/>
    <s v="DEFAULT"/>
    <s v="DEFAULT"/>
    <m/>
    <x v="20"/>
    <s v="MONTHLY"/>
    <s v=""/>
    <s v=""/>
    <s v=""/>
    <s v=""/>
    <s v=""/>
    <s v="Year 14 Pupil Numbers"/>
    <s v="From Table 3 of School census collection: Autumn"/>
    <n v="0"/>
    <m/>
    <m/>
    <b v="0"/>
    <x v="6"/>
    <b v="0"/>
    <m/>
  </r>
  <r>
    <n v="1"/>
    <x v="1"/>
    <m/>
    <x v="56"/>
    <s v="PRI"/>
    <s v="DEFAULT"/>
    <s v="DEFAULT"/>
    <m/>
    <x v="7"/>
    <s v="MONTHLY"/>
    <s v=""/>
    <s v=""/>
    <s v=""/>
    <s v=""/>
    <s v=""/>
    <s v="Nursery Pupil Numbers"/>
    <s v="N1 &amp; N2 from Table 3 of School census collection: Autumn"/>
    <n v="0"/>
    <m/>
    <m/>
    <b v="0"/>
    <x v="2"/>
    <b v="0"/>
    <m/>
  </r>
  <r>
    <n v="1"/>
    <x v="1"/>
    <m/>
    <x v="57"/>
    <s v="PRI"/>
    <s v="DEFAULT"/>
    <s v="DEFAULT"/>
    <m/>
    <x v="7"/>
    <s v="MONTHLY"/>
    <s v=""/>
    <s v=""/>
    <s v=""/>
    <s v=""/>
    <s v=""/>
    <s v="Reception Pupil Numbers"/>
    <s v="From Table 3 of School census collection: Autumn"/>
    <n v="0"/>
    <m/>
    <m/>
    <b v="0"/>
    <x v="2"/>
    <b v="0"/>
    <m/>
  </r>
  <r>
    <n v="1"/>
    <x v="1"/>
    <m/>
    <x v="58"/>
    <s v="PRI"/>
    <s v="DEFAULT"/>
    <s v="DEFAULT"/>
    <m/>
    <x v="9"/>
    <s v="MONTHLY"/>
    <s v=""/>
    <s v=""/>
    <s v=""/>
    <s v=""/>
    <s v=""/>
    <s v="Year 1 Pupil Numbers"/>
    <s v="From Table 3 of School census collection: Autumn"/>
    <n v="0"/>
    <m/>
    <m/>
    <b v="0"/>
    <x v="2"/>
    <b v="0"/>
    <m/>
  </r>
  <r>
    <n v="1"/>
    <x v="1"/>
    <m/>
    <x v="59"/>
    <s v="PRI"/>
    <s v="DEFAULT"/>
    <s v="DEFAULT"/>
    <m/>
    <x v="10"/>
    <s v="MONTHLY"/>
    <s v=""/>
    <s v=""/>
    <s v=""/>
    <s v=""/>
    <s v=""/>
    <s v="Year 2 Pupil Numbers"/>
    <s v="From Table 3 of School census collection: Autumn"/>
    <n v="0"/>
    <m/>
    <m/>
    <b v="0"/>
    <x v="2"/>
    <b v="0"/>
    <m/>
  </r>
  <r>
    <n v="1"/>
    <x v="1"/>
    <m/>
    <x v="60"/>
    <s v="PRI"/>
    <s v="DEFAULT"/>
    <s v="DEFAULT"/>
    <m/>
    <x v="11"/>
    <s v="MONTHLY"/>
    <s v=""/>
    <s v=""/>
    <s v=""/>
    <s v=""/>
    <s v=""/>
    <s v="Year 3 Pupil Numbers"/>
    <s v="From Table 3 of School census collection: Autumn"/>
    <n v="0"/>
    <m/>
    <m/>
    <b v="0"/>
    <x v="2"/>
    <b v="0"/>
    <m/>
  </r>
  <r>
    <n v="1"/>
    <x v="1"/>
    <m/>
    <x v="61"/>
    <s v="PRI"/>
    <s v="DEFAULT"/>
    <s v="DEFAULT"/>
    <m/>
    <x v="12"/>
    <s v="MONTHLY"/>
    <s v=""/>
    <s v=""/>
    <s v=""/>
    <s v=""/>
    <s v=""/>
    <s v="Year 4 Pupil Numbers"/>
    <s v="From Table 3 of School census collection: Autumn"/>
    <n v="0"/>
    <m/>
    <m/>
    <b v="0"/>
    <x v="2"/>
    <b v="0"/>
    <m/>
  </r>
  <r>
    <n v="1"/>
    <x v="1"/>
    <m/>
    <x v="62"/>
    <s v="PRI"/>
    <s v="DEFAULT"/>
    <s v="DEFAULT"/>
    <m/>
    <x v="13"/>
    <s v="MONTHLY"/>
    <s v=""/>
    <s v=""/>
    <s v=""/>
    <s v=""/>
    <s v=""/>
    <s v="Year 5 Pupil Numbers"/>
    <s v="From Table 3 of School census collection: Autumn"/>
    <n v="0"/>
    <m/>
    <m/>
    <b v="0"/>
    <x v="2"/>
    <b v="0"/>
    <m/>
  </r>
  <r>
    <n v="1"/>
    <x v="1"/>
    <m/>
    <x v="63"/>
    <s v="PRI"/>
    <s v="DEFAULT"/>
    <s v="DEFAULT"/>
    <m/>
    <x v="14"/>
    <s v="MONTHLY"/>
    <s v=""/>
    <s v=""/>
    <s v=""/>
    <s v=""/>
    <s v=""/>
    <s v="Year 6 Pupil Numbers"/>
    <s v="From Table 3 of School census collection: Autumn"/>
    <n v="0"/>
    <m/>
    <m/>
    <b v="0"/>
    <x v="2"/>
    <b v="0"/>
    <m/>
  </r>
  <r>
    <n v="0"/>
    <x v="1"/>
    <m/>
    <x v="72"/>
    <s v="PRI"/>
    <s v="DEFAULT"/>
    <s v="DEFAULT"/>
    <m/>
    <x v="21"/>
    <s v="MONTHLY"/>
    <s v=""/>
    <s v=""/>
    <s v=""/>
    <s v=""/>
    <s v=""/>
    <s v="Foundation Spring Census Pupil Numbers"/>
    <s v="Reception Students From Table 3 of School census collection: Spring"/>
    <n v="0"/>
    <m/>
    <m/>
    <b v="0"/>
    <x v="2"/>
    <b v="1"/>
    <m/>
  </r>
  <r>
    <n v="0"/>
    <x v="1"/>
    <m/>
    <x v="73"/>
    <s v="PRI"/>
    <s v="DEFAULT"/>
    <s v="DEFAULT"/>
    <m/>
    <x v="22"/>
    <s v="MONTHLY"/>
    <s v=""/>
    <s v=""/>
    <s v=""/>
    <s v=""/>
    <s v=""/>
    <s v="KS1 Spring Census Pupil Numbers"/>
    <s v="Year 1 &amp; 2 Students From Table 3 of School census collection: Spring"/>
    <n v="0"/>
    <m/>
    <m/>
    <b v="0"/>
    <x v="2"/>
    <b v="1"/>
    <m/>
  </r>
  <r>
    <n v="0"/>
    <x v="1"/>
    <m/>
    <x v="74"/>
    <s v="PRI"/>
    <s v="DEFAULT"/>
    <s v="DEFAULT"/>
    <m/>
    <x v="23"/>
    <s v="MONTHLY"/>
    <s v=""/>
    <s v=""/>
    <s v=""/>
    <s v=""/>
    <s v=""/>
    <s v="KS2 Spring Census Pupil Numbers"/>
    <s v="Year 3, 4, 5, and 6 Students From Table 3 of School census collection: Spring"/>
    <n v="0"/>
    <m/>
    <m/>
    <b v="0"/>
    <x v="2"/>
    <b v="1"/>
    <m/>
  </r>
  <r>
    <n v="0"/>
    <x v="1"/>
    <m/>
    <x v="78"/>
    <s v="PRI"/>
    <s v="DEFAULT"/>
    <s v="DEFAULT"/>
    <m/>
    <x v="27"/>
    <s v="MONTHLY"/>
    <s v=""/>
    <s v=""/>
    <s v=""/>
    <s v=""/>
    <s v=""/>
    <s v="Nursery Spring Census Pupil Numbers"/>
    <s v="N1 &amp; N2 Students From Table 3 of School census collection: Spring"/>
    <n v="0"/>
    <m/>
    <m/>
    <b v="0"/>
    <x v="2"/>
    <b v="1"/>
    <m/>
  </r>
  <r>
    <n v="1"/>
    <x v="1"/>
    <m/>
    <x v="79"/>
    <s v="PRI"/>
    <s v="DEFAULT"/>
    <s v="DEFAULT"/>
    <m/>
    <x v="28"/>
    <s v="MONTHLY"/>
    <s v=""/>
    <s v=""/>
    <s v=""/>
    <s v=""/>
    <s v=""/>
    <s v="Pupils taking UIFSM"/>
    <s v="Total Eligible Meals taken by pupils."/>
    <n v="0"/>
    <m/>
    <m/>
    <b v="0"/>
    <x v="2"/>
    <b v="0"/>
    <m/>
  </r>
  <r>
    <n v="1"/>
    <x v="1"/>
    <m/>
    <x v="80"/>
    <s v="PRI"/>
    <s v="DEFAULT"/>
    <s v="DEFAULT"/>
    <m/>
    <x v="29"/>
    <s v="MONTHLY"/>
    <s v=""/>
    <s v=""/>
    <s v=""/>
    <s v=""/>
    <s v=""/>
    <s v="Pupil Premium Numbers Primary"/>
    <s v="Taken from ESFA Pupil Premium spreadsheet, column &quot;Number of Primary pupils eligible for the Deprivation Pupil Premium&quot;"/>
    <n v="0"/>
    <m/>
    <m/>
    <b v="0"/>
    <x v="2"/>
    <b v="0"/>
    <m/>
  </r>
  <r>
    <n v="1"/>
    <x v="1"/>
    <m/>
    <x v="82"/>
    <s v="PRI"/>
    <s v="DEFAULT"/>
    <s v="DEFAULT"/>
    <m/>
    <x v="29"/>
    <s v="MONTHLY"/>
    <s v=""/>
    <s v=""/>
    <s v=""/>
    <s v=""/>
    <s v=""/>
    <s v="Pupil Premium LAC Numbers"/>
    <s v="Post Looked After Children number From Table 5 of School census collection: Autumn"/>
    <n v="0"/>
    <m/>
    <m/>
    <b v="0"/>
    <x v="2"/>
    <b v="0"/>
    <m/>
  </r>
  <r>
    <n v="1"/>
    <x v="1"/>
    <m/>
    <x v="83"/>
    <s v="PRI"/>
    <s v="DEFAULT"/>
    <s v="DEFAULT"/>
    <m/>
    <x v="29"/>
    <s v="MONTHLY"/>
    <s v=""/>
    <s v=""/>
    <s v=""/>
    <s v=""/>
    <s v=""/>
    <s v="Pupil Premium Service Numbers"/>
    <s v="Service Children number From Table 5 of School census collection: Autumn"/>
    <n v="0"/>
    <m/>
    <m/>
    <b v="0"/>
    <x v="2"/>
    <b v="0"/>
    <m/>
  </r>
  <r>
    <n v="0"/>
    <x v="1"/>
    <m/>
    <x v="84"/>
    <s v="PRI"/>
    <s v="DEFAULT"/>
    <s v="DEFAULT"/>
    <m/>
    <x v="30"/>
    <s v="MONTHLY"/>
    <s v=""/>
    <s v=""/>
    <s v=""/>
    <s v=""/>
    <s v=""/>
    <s v="Funded Pupil Numbers Foundation"/>
    <s v="Previous Year Reception Numbers (PUPIL_CEN_00)"/>
    <n v="0"/>
    <m/>
    <m/>
    <b v="0"/>
    <x v="0"/>
    <b v="1"/>
    <m/>
  </r>
  <r>
    <n v="0"/>
    <x v="1"/>
    <m/>
    <x v="85"/>
    <s v="PRI"/>
    <s v="DEFAULT"/>
    <s v="DEFAULT"/>
    <m/>
    <x v="31"/>
    <s v="MONTHLY"/>
    <s v=""/>
    <s v=""/>
    <s v=""/>
    <s v=""/>
    <s v=""/>
    <s v="Funded Pupil Numbers KS1"/>
    <s v="Previous Year KS1 Numbers (PUPIL_CEN_01,PUPIL_CEN_02)"/>
    <n v="0"/>
    <m/>
    <m/>
    <b v="0"/>
    <x v="0"/>
    <b v="1"/>
    <m/>
  </r>
  <r>
    <n v="0"/>
    <x v="1"/>
    <m/>
    <x v="86"/>
    <s v="PRI"/>
    <s v="DEFAULT"/>
    <s v="DEFAULT"/>
    <m/>
    <x v="32"/>
    <s v="MONTHLY"/>
    <s v=""/>
    <s v=""/>
    <s v=""/>
    <s v=""/>
    <s v=""/>
    <s v="Funded Pupil Numbers KS2"/>
    <s v="Previous Year KS2 Numbers (PUPIL_CEN_03,PUPIL_CEN_04,PUPIL_CEN_05,PUPIL_CEN_06)"/>
    <n v="0"/>
    <m/>
    <m/>
    <b v="0"/>
    <x v="0"/>
    <b v="1"/>
    <m/>
  </r>
  <r>
    <n v="1"/>
    <x v="1"/>
    <m/>
    <x v="95"/>
    <s v="PRI"/>
    <s v="DEFAULT"/>
    <s v="DEFAULT"/>
    <m/>
    <x v="7"/>
    <s v="MONTHLY"/>
    <s v=""/>
    <s v=""/>
    <s v=""/>
    <s v=""/>
    <s v=""/>
    <s v="Pre 16 Pupil Places Special Provision"/>
    <s v="Pre 16 Special/Alternative Provision Places From Table D of Funding Statement"/>
    <n v="0"/>
    <m/>
    <m/>
    <b v="0"/>
    <x v="0"/>
    <b v="0"/>
    <m/>
  </r>
  <r>
    <n v="1"/>
    <x v="1"/>
    <m/>
    <x v="96"/>
    <s v="PRI"/>
    <s v="DEFAULT"/>
    <s v="DEFAULT"/>
    <m/>
    <x v="7"/>
    <s v="MONTHLY"/>
    <s v=""/>
    <s v=""/>
    <s v=""/>
    <s v=""/>
    <s v=""/>
    <s v="Occupied Pre 16 Pupil Places Special Provision"/>
    <s v="Pre 16 Special/Alternative Provision Places From Table D of Funding Statement"/>
    <n v="0"/>
    <m/>
    <m/>
    <b v="0"/>
    <x v="0"/>
    <b v="0"/>
    <m/>
  </r>
  <r>
    <n v="0"/>
    <x v="1"/>
    <m/>
    <x v="97"/>
    <s v="PRI"/>
    <s v="DEFAULT"/>
    <s v="DEFAULT"/>
    <m/>
    <x v="36"/>
    <s v="MONTHLY"/>
    <s v=""/>
    <s v=""/>
    <s v=""/>
    <s v=""/>
    <s v=""/>
    <s v="Funded Pupil Numbers Primary Total"/>
    <s v="Total Primary Pupil Numbers from previous year (PUPIL_CEN_00, PUPIL_CEN_01, PUPIL_CEN_02, PUPIL_CEN_03, PUPIL_CEN_04, PUPIL_CEN_05, PUPIL_CEN_06)"/>
    <n v="0"/>
    <m/>
    <m/>
    <b v="0"/>
    <x v="0"/>
    <b v="1"/>
    <m/>
  </r>
  <r>
    <n v="1"/>
    <x v="1"/>
    <m/>
    <x v="98"/>
    <s v="PRI"/>
    <s v="DEFAULT"/>
    <s v="DEFAULT"/>
    <m/>
    <x v="8"/>
    <s v="MONTHLY"/>
    <s v=""/>
    <s v=""/>
    <s v=""/>
    <s v=""/>
    <s v=""/>
    <s v="Funding Statement Adjustment Primary"/>
    <s v="Primary Adjustment to match Primary value in Factor 1 of the Funding statement."/>
    <n v="0"/>
    <m/>
    <m/>
    <b v="0"/>
    <x v="0"/>
    <b v="0"/>
    <m/>
  </r>
  <r>
    <n v="1"/>
    <x v="1"/>
    <m/>
    <x v="56"/>
    <s v="PRI"/>
    <s v="DEFAULT"/>
    <s v="DEFAULT"/>
    <m/>
    <x v="7"/>
    <s v="MONTHLY"/>
    <s v=""/>
    <s v=""/>
    <s v=""/>
    <s v=""/>
    <s v=""/>
    <s v="Nursery Pupil Numbers"/>
    <s v="N1 &amp; N2 from Table 3 of School census collection: Autumn"/>
    <n v="0"/>
    <m/>
    <m/>
    <b v="0"/>
    <x v="0"/>
    <b v="0"/>
    <m/>
  </r>
  <r>
    <n v="1"/>
    <x v="1"/>
    <m/>
    <x v="57"/>
    <s v="PRI"/>
    <s v="DEFAULT"/>
    <s v="DEFAULT"/>
    <m/>
    <x v="7"/>
    <s v="MONTHLY"/>
    <s v=""/>
    <s v=""/>
    <s v=""/>
    <s v=""/>
    <s v=""/>
    <s v="Reception Pupil Numbers"/>
    <s v="From Table 3 of School census collection: Autumn"/>
    <n v="0"/>
    <m/>
    <m/>
    <b v="0"/>
    <x v="0"/>
    <b v="0"/>
    <m/>
  </r>
  <r>
    <n v="1"/>
    <x v="1"/>
    <m/>
    <x v="58"/>
    <s v="PRI"/>
    <s v="DEFAULT"/>
    <s v="DEFAULT"/>
    <m/>
    <x v="9"/>
    <s v="MONTHLY"/>
    <s v=""/>
    <s v=""/>
    <s v=""/>
    <s v=""/>
    <s v=""/>
    <s v="Year 1 Pupil Numbers"/>
    <s v="From Table 3 of School census collection: Autumn"/>
    <n v="0"/>
    <m/>
    <m/>
    <b v="0"/>
    <x v="0"/>
    <b v="0"/>
    <m/>
  </r>
  <r>
    <n v="1"/>
    <x v="1"/>
    <m/>
    <x v="59"/>
    <s v="PRI"/>
    <s v="DEFAULT"/>
    <s v="DEFAULT"/>
    <m/>
    <x v="10"/>
    <s v="MONTHLY"/>
    <s v=""/>
    <s v=""/>
    <s v=""/>
    <s v=""/>
    <s v=""/>
    <s v="Year 2 Pupil Numbers"/>
    <s v="From Table 3 of School census collection: Autumn"/>
    <n v="0"/>
    <m/>
    <m/>
    <b v="0"/>
    <x v="0"/>
    <b v="0"/>
    <m/>
  </r>
  <r>
    <n v="1"/>
    <x v="1"/>
    <m/>
    <x v="60"/>
    <s v="PRI"/>
    <s v="DEFAULT"/>
    <s v="DEFAULT"/>
    <m/>
    <x v="11"/>
    <s v="MONTHLY"/>
    <s v=""/>
    <s v=""/>
    <s v=""/>
    <s v=""/>
    <s v=""/>
    <s v="Year 3 Pupil Numbers"/>
    <s v="From Table 3 of School census collection: Autumn"/>
    <n v="0"/>
    <m/>
    <m/>
    <b v="0"/>
    <x v="0"/>
    <b v="0"/>
    <m/>
  </r>
  <r>
    <n v="1"/>
    <x v="1"/>
    <m/>
    <x v="61"/>
    <s v="PRI"/>
    <s v="DEFAULT"/>
    <s v="DEFAULT"/>
    <m/>
    <x v="12"/>
    <s v="MONTHLY"/>
    <s v=""/>
    <s v=""/>
    <s v=""/>
    <s v=""/>
    <s v=""/>
    <s v="Year 4 Pupil Numbers"/>
    <s v="From Table 3 of School census collection: Autumn"/>
    <n v="0"/>
    <m/>
    <m/>
    <b v="0"/>
    <x v="0"/>
    <b v="0"/>
    <m/>
  </r>
  <r>
    <n v="1"/>
    <x v="1"/>
    <m/>
    <x v="62"/>
    <s v="PRI"/>
    <s v="DEFAULT"/>
    <s v="DEFAULT"/>
    <m/>
    <x v="13"/>
    <s v="MONTHLY"/>
    <s v=""/>
    <s v=""/>
    <s v=""/>
    <s v=""/>
    <s v=""/>
    <s v="Year 5 Pupil Numbers"/>
    <s v="From Table 3 of School census collection: Autumn"/>
    <n v="0"/>
    <m/>
    <m/>
    <b v="0"/>
    <x v="0"/>
    <b v="0"/>
    <m/>
  </r>
  <r>
    <n v="1"/>
    <x v="1"/>
    <m/>
    <x v="63"/>
    <s v="PRI"/>
    <s v="DEFAULT"/>
    <s v="DEFAULT"/>
    <m/>
    <x v="14"/>
    <s v="MONTHLY"/>
    <s v=""/>
    <s v=""/>
    <s v=""/>
    <s v=""/>
    <s v=""/>
    <s v="Year 6 Pupil Numbers"/>
    <s v="From Table 3 of School census collection: Autumn"/>
    <n v="0"/>
    <m/>
    <m/>
    <b v="0"/>
    <x v="0"/>
    <b v="0"/>
    <m/>
  </r>
  <r>
    <n v="1"/>
    <x v="1"/>
    <m/>
    <x v="80"/>
    <s v="PRI"/>
    <s v="DEFAULT"/>
    <s v="DEFAULT"/>
    <m/>
    <x v="29"/>
    <s v="MONTHLY"/>
    <s v=""/>
    <s v=""/>
    <s v=""/>
    <s v=""/>
    <s v=""/>
    <s v="Pupil Premium Numbers Primary"/>
    <s v="Taken from ESFA Pupil Premium spreadsheet, column &quot;Number of Primary pupils eligible for the Deprivation Pupil Premium&quot;"/>
    <n v="0"/>
    <m/>
    <m/>
    <b v="0"/>
    <x v="0"/>
    <b v="0"/>
    <m/>
  </r>
  <r>
    <n v="1"/>
    <x v="1"/>
    <m/>
    <x v="82"/>
    <s v="PRI"/>
    <s v="DEFAULT"/>
    <s v="DEFAULT"/>
    <m/>
    <x v="29"/>
    <s v="MONTHLY"/>
    <s v=""/>
    <s v=""/>
    <s v=""/>
    <s v=""/>
    <s v=""/>
    <s v="Pupil Premium LAC Numbers"/>
    <s v="Post Looked After Children number From Table 5 of School census collection: Autumn"/>
    <n v="0"/>
    <m/>
    <m/>
    <b v="0"/>
    <x v="0"/>
    <b v="0"/>
    <m/>
  </r>
  <r>
    <n v="1"/>
    <x v="1"/>
    <m/>
    <x v="83"/>
    <s v="PRI"/>
    <s v="DEFAULT"/>
    <s v="DEFAULT"/>
    <m/>
    <x v="29"/>
    <s v="MONTHLY"/>
    <s v=""/>
    <s v=""/>
    <s v=""/>
    <s v=""/>
    <s v=""/>
    <s v="Pupil Premium Service Numbers"/>
    <s v="Service Children number From Table 5 of School census collection: Autumn"/>
    <n v="0"/>
    <m/>
    <m/>
    <b v="0"/>
    <x v="0"/>
    <b v="0"/>
    <m/>
  </r>
  <r>
    <n v="1"/>
    <x v="1"/>
    <m/>
    <x v="56"/>
    <s v="PRI"/>
    <s v="DEFAULT"/>
    <s v="DEFAULT"/>
    <m/>
    <x v="7"/>
    <s v="MONTHLY"/>
    <s v=""/>
    <s v=""/>
    <s v=""/>
    <s v=""/>
    <s v=""/>
    <s v="Nursery Pupil Numbers"/>
    <s v="N1 &amp; N2 from Table 3 of School census collection: Autumn"/>
    <n v="0"/>
    <m/>
    <m/>
    <b v="0"/>
    <x v="4"/>
    <b v="0"/>
    <m/>
  </r>
  <r>
    <n v="1"/>
    <x v="1"/>
    <m/>
    <x v="57"/>
    <s v="PRI"/>
    <s v="DEFAULT"/>
    <s v="DEFAULT"/>
    <m/>
    <x v="7"/>
    <s v="MONTHLY"/>
    <s v=""/>
    <s v=""/>
    <s v=""/>
    <s v=""/>
    <s v=""/>
    <s v="Reception Pupil Numbers"/>
    <s v="From Table 3 of School census collection: Autumn"/>
    <n v="0"/>
    <m/>
    <m/>
    <b v="0"/>
    <x v="4"/>
    <b v="0"/>
    <m/>
  </r>
  <r>
    <n v="1"/>
    <x v="1"/>
    <m/>
    <x v="58"/>
    <s v="PRI"/>
    <s v="DEFAULT"/>
    <s v="DEFAULT"/>
    <m/>
    <x v="9"/>
    <s v="MONTHLY"/>
    <s v=""/>
    <s v=""/>
    <s v=""/>
    <s v=""/>
    <s v=""/>
    <s v="Year 1 Pupil Numbers"/>
    <s v="From Table 3 of School census collection: Autumn"/>
    <n v="0"/>
    <m/>
    <m/>
    <b v="0"/>
    <x v="4"/>
    <b v="0"/>
    <m/>
  </r>
  <r>
    <n v="1"/>
    <x v="1"/>
    <m/>
    <x v="59"/>
    <s v="PRI"/>
    <s v="DEFAULT"/>
    <s v="DEFAULT"/>
    <m/>
    <x v="10"/>
    <s v="MONTHLY"/>
    <s v=""/>
    <s v=""/>
    <s v=""/>
    <s v=""/>
    <s v=""/>
    <s v="Year 2 Pupil Numbers"/>
    <s v="From Table 3 of School census collection: Autumn"/>
    <n v="0"/>
    <m/>
    <m/>
    <b v="0"/>
    <x v="4"/>
    <b v="0"/>
    <m/>
  </r>
  <r>
    <n v="1"/>
    <x v="1"/>
    <m/>
    <x v="60"/>
    <s v="PRI"/>
    <s v="DEFAULT"/>
    <s v="DEFAULT"/>
    <m/>
    <x v="11"/>
    <s v="MONTHLY"/>
    <s v=""/>
    <s v=""/>
    <s v=""/>
    <s v=""/>
    <s v=""/>
    <s v="Year 3 Pupil Numbers"/>
    <s v="From Table 3 of School census collection: Autumn"/>
    <n v="0"/>
    <m/>
    <m/>
    <b v="0"/>
    <x v="4"/>
    <b v="0"/>
    <m/>
  </r>
  <r>
    <n v="1"/>
    <x v="1"/>
    <m/>
    <x v="61"/>
    <s v="PRI"/>
    <s v="DEFAULT"/>
    <s v="DEFAULT"/>
    <m/>
    <x v="12"/>
    <s v="MONTHLY"/>
    <s v=""/>
    <s v=""/>
    <s v=""/>
    <s v=""/>
    <s v=""/>
    <s v="Year 4 Pupil Numbers"/>
    <s v="From Table 3 of School census collection: Autumn"/>
    <n v="0"/>
    <m/>
    <m/>
    <b v="0"/>
    <x v="4"/>
    <b v="0"/>
    <m/>
  </r>
  <r>
    <n v="1"/>
    <x v="1"/>
    <m/>
    <x v="62"/>
    <s v="PRI"/>
    <s v="DEFAULT"/>
    <s v="DEFAULT"/>
    <m/>
    <x v="13"/>
    <s v="MONTHLY"/>
    <s v=""/>
    <s v=""/>
    <s v=""/>
    <s v=""/>
    <s v=""/>
    <s v="Year 5 Pupil Numbers"/>
    <s v="From Table 3 of School census collection: Autumn"/>
    <n v="0"/>
    <m/>
    <m/>
    <b v="0"/>
    <x v="4"/>
    <b v="0"/>
    <m/>
  </r>
  <r>
    <n v="1"/>
    <x v="1"/>
    <m/>
    <x v="63"/>
    <s v="PRI"/>
    <s v="DEFAULT"/>
    <s v="DEFAULT"/>
    <m/>
    <x v="14"/>
    <s v="MONTHLY"/>
    <s v=""/>
    <s v=""/>
    <s v=""/>
    <s v=""/>
    <s v=""/>
    <s v="Year 6 Pupil Numbers"/>
    <s v="From Table 3 of School census collection: Autumn"/>
    <n v="0"/>
    <m/>
    <m/>
    <b v="0"/>
    <x v="4"/>
    <b v="0"/>
    <m/>
  </r>
  <r>
    <n v="1"/>
    <x v="1"/>
    <m/>
    <x v="56"/>
    <s v="PRI"/>
    <s v="DEFAULT"/>
    <s v="DEFAULT"/>
    <m/>
    <x v="7"/>
    <s v="MONTHLY"/>
    <s v=""/>
    <s v=""/>
    <s v=""/>
    <s v=""/>
    <s v=""/>
    <s v="Nursery Pupil Numbers"/>
    <s v="N1 &amp; N2 from Table 3 of School census collection: Autumn"/>
    <n v="0"/>
    <m/>
    <m/>
    <b v="0"/>
    <x v="5"/>
    <b v="0"/>
    <m/>
  </r>
  <r>
    <n v="1"/>
    <x v="1"/>
    <m/>
    <x v="57"/>
    <s v="PRI"/>
    <s v="DEFAULT"/>
    <s v="DEFAULT"/>
    <m/>
    <x v="7"/>
    <s v="MONTHLY"/>
    <s v=""/>
    <s v=""/>
    <s v=""/>
    <s v=""/>
    <s v=""/>
    <s v="Reception Pupil Numbers"/>
    <s v="From Table 3 of School census collection: Autumn"/>
    <n v="0"/>
    <m/>
    <m/>
    <b v="0"/>
    <x v="5"/>
    <b v="0"/>
    <m/>
  </r>
  <r>
    <n v="1"/>
    <x v="1"/>
    <m/>
    <x v="58"/>
    <s v="PRI"/>
    <s v="DEFAULT"/>
    <s v="DEFAULT"/>
    <m/>
    <x v="9"/>
    <s v="MONTHLY"/>
    <s v=""/>
    <s v=""/>
    <s v=""/>
    <s v=""/>
    <s v=""/>
    <s v="Year 1 Pupil Numbers"/>
    <s v="From Table 3 of School census collection: Autumn"/>
    <n v="0"/>
    <m/>
    <m/>
    <b v="0"/>
    <x v="5"/>
    <b v="0"/>
    <m/>
  </r>
  <r>
    <n v="1"/>
    <x v="1"/>
    <m/>
    <x v="59"/>
    <s v="PRI"/>
    <s v="DEFAULT"/>
    <s v="DEFAULT"/>
    <m/>
    <x v="10"/>
    <s v="MONTHLY"/>
    <s v=""/>
    <s v=""/>
    <s v=""/>
    <s v=""/>
    <s v=""/>
    <s v="Year 2 Pupil Numbers"/>
    <s v="From Table 3 of School census collection: Autumn"/>
    <n v="0"/>
    <m/>
    <m/>
    <b v="0"/>
    <x v="5"/>
    <b v="0"/>
    <m/>
  </r>
  <r>
    <n v="1"/>
    <x v="1"/>
    <m/>
    <x v="60"/>
    <s v="PRI"/>
    <s v="DEFAULT"/>
    <s v="DEFAULT"/>
    <m/>
    <x v="11"/>
    <s v="MONTHLY"/>
    <s v=""/>
    <s v=""/>
    <s v=""/>
    <s v=""/>
    <s v=""/>
    <s v="Year 3 Pupil Numbers"/>
    <s v="From Table 3 of School census collection: Autumn"/>
    <n v="0"/>
    <m/>
    <m/>
    <b v="0"/>
    <x v="5"/>
    <b v="0"/>
    <m/>
  </r>
  <r>
    <n v="1"/>
    <x v="1"/>
    <m/>
    <x v="61"/>
    <s v="PRI"/>
    <s v="DEFAULT"/>
    <s v="DEFAULT"/>
    <m/>
    <x v="12"/>
    <s v="MONTHLY"/>
    <s v=""/>
    <s v=""/>
    <s v=""/>
    <s v=""/>
    <s v=""/>
    <s v="Year 4 Pupil Numbers"/>
    <s v="From Table 3 of School census collection: Autumn"/>
    <n v="0"/>
    <m/>
    <m/>
    <b v="0"/>
    <x v="5"/>
    <b v="0"/>
    <m/>
  </r>
  <r>
    <n v="1"/>
    <x v="1"/>
    <m/>
    <x v="62"/>
    <s v="PRI"/>
    <s v="DEFAULT"/>
    <s v="DEFAULT"/>
    <m/>
    <x v="13"/>
    <s v="MONTHLY"/>
    <s v=""/>
    <s v=""/>
    <s v=""/>
    <s v=""/>
    <s v=""/>
    <s v="Year 5 Pupil Numbers"/>
    <s v="From Table 3 of School census collection: Autumn"/>
    <n v="0"/>
    <m/>
    <m/>
    <b v="0"/>
    <x v="5"/>
    <b v="0"/>
    <m/>
  </r>
  <r>
    <n v="1"/>
    <x v="1"/>
    <m/>
    <x v="63"/>
    <s v="PRI"/>
    <s v="DEFAULT"/>
    <s v="DEFAULT"/>
    <m/>
    <x v="14"/>
    <s v="MONTHLY"/>
    <s v=""/>
    <s v=""/>
    <s v=""/>
    <s v=""/>
    <s v=""/>
    <s v="Year 6 Pupil Numbers"/>
    <s v="From Table 3 of School census collection: Autumn"/>
    <n v="0"/>
    <m/>
    <m/>
    <b v="0"/>
    <x v="5"/>
    <b v="0"/>
    <m/>
  </r>
  <r>
    <n v="1"/>
    <x v="1"/>
    <m/>
    <x v="56"/>
    <s v="PRI"/>
    <s v="DEFAULT"/>
    <s v="DEFAULT"/>
    <m/>
    <x v="7"/>
    <s v="MONTHLY"/>
    <s v=""/>
    <s v=""/>
    <s v=""/>
    <s v=""/>
    <s v=""/>
    <s v="Nursery Pupil Numbers"/>
    <s v="N1 &amp; N2 from Table 3 of School census collection: Autumn"/>
    <n v="0"/>
    <m/>
    <m/>
    <b v="0"/>
    <x v="6"/>
    <b v="0"/>
    <m/>
  </r>
  <r>
    <n v="1"/>
    <x v="1"/>
    <m/>
    <x v="57"/>
    <s v="PRI"/>
    <s v="DEFAULT"/>
    <s v="DEFAULT"/>
    <m/>
    <x v="7"/>
    <s v="MONTHLY"/>
    <s v=""/>
    <s v=""/>
    <s v=""/>
    <s v=""/>
    <s v=""/>
    <s v="Reception Pupil Numbers"/>
    <s v="From Table 3 of School census collection: Autumn"/>
    <n v="0"/>
    <m/>
    <m/>
    <b v="0"/>
    <x v="6"/>
    <b v="0"/>
    <m/>
  </r>
  <r>
    <n v="1"/>
    <x v="1"/>
    <m/>
    <x v="58"/>
    <s v="PRI"/>
    <s v="DEFAULT"/>
    <s v="DEFAULT"/>
    <m/>
    <x v="9"/>
    <s v="MONTHLY"/>
    <s v=""/>
    <s v=""/>
    <s v=""/>
    <s v=""/>
    <s v=""/>
    <s v="Year 1 Pupil Numbers"/>
    <s v="From Table 3 of School census collection: Autumn"/>
    <n v="0"/>
    <m/>
    <m/>
    <b v="0"/>
    <x v="6"/>
    <b v="0"/>
    <m/>
  </r>
  <r>
    <n v="1"/>
    <x v="1"/>
    <m/>
    <x v="59"/>
    <s v="PRI"/>
    <s v="DEFAULT"/>
    <s v="DEFAULT"/>
    <m/>
    <x v="10"/>
    <s v="MONTHLY"/>
    <s v=""/>
    <s v=""/>
    <s v=""/>
    <s v=""/>
    <s v=""/>
    <s v="Year 2 Pupil Numbers"/>
    <s v="From Table 3 of School census collection: Autumn"/>
    <n v="0"/>
    <m/>
    <m/>
    <b v="0"/>
    <x v="6"/>
    <b v="0"/>
    <m/>
  </r>
  <r>
    <n v="1"/>
    <x v="1"/>
    <m/>
    <x v="60"/>
    <s v="PRI"/>
    <s v="DEFAULT"/>
    <s v="DEFAULT"/>
    <m/>
    <x v="11"/>
    <s v="MONTHLY"/>
    <s v=""/>
    <s v=""/>
    <s v=""/>
    <s v=""/>
    <s v=""/>
    <s v="Year 3 Pupil Numbers"/>
    <s v="From Table 3 of School census collection: Autumn"/>
    <n v="0"/>
    <m/>
    <m/>
    <b v="0"/>
    <x v="6"/>
    <b v="0"/>
    <m/>
  </r>
  <r>
    <n v="1"/>
    <x v="1"/>
    <m/>
    <x v="61"/>
    <s v="PRI"/>
    <s v="DEFAULT"/>
    <s v="DEFAULT"/>
    <m/>
    <x v="12"/>
    <s v="MONTHLY"/>
    <s v=""/>
    <s v=""/>
    <s v=""/>
    <s v=""/>
    <s v=""/>
    <s v="Year 4 Pupil Numbers"/>
    <s v="From Table 3 of School census collection: Autumn"/>
    <n v="0"/>
    <m/>
    <m/>
    <b v="0"/>
    <x v="6"/>
    <b v="0"/>
    <m/>
  </r>
  <r>
    <n v="1"/>
    <x v="1"/>
    <m/>
    <x v="62"/>
    <s v="PRI"/>
    <s v="DEFAULT"/>
    <s v="DEFAULT"/>
    <m/>
    <x v="13"/>
    <s v="MONTHLY"/>
    <s v=""/>
    <s v=""/>
    <s v=""/>
    <s v=""/>
    <s v=""/>
    <s v="Year 5 Pupil Numbers"/>
    <s v="From Table 3 of School census collection: Autumn"/>
    <n v="0"/>
    <m/>
    <m/>
    <b v="0"/>
    <x v="6"/>
    <b v="0"/>
    <m/>
  </r>
  <r>
    <n v="1"/>
    <x v="1"/>
    <m/>
    <x v="63"/>
    <s v="PRI"/>
    <s v="DEFAULT"/>
    <s v="DEFAULT"/>
    <m/>
    <x v="14"/>
    <s v="MONTHLY"/>
    <s v=""/>
    <s v=""/>
    <s v=""/>
    <s v=""/>
    <s v=""/>
    <s v="Year 6 Pupil Numbers"/>
    <s v="From Table 3 of School census collection: Autumn"/>
    <n v="0"/>
    <m/>
    <m/>
    <b v="0"/>
    <x v="6"/>
    <b v="0"/>
    <m/>
  </r>
  <r>
    <n v="1"/>
    <x v="1"/>
    <m/>
    <x v="64"/>
    <s v="SEC"/>
    <s v="DEFAULT"/>
    <s v="DEFAULT"/>
    <m/>
    <x v="7"/>
    <s v="MONTHLY"/>
    <s v=""/>
    <s v=""/>
    <s v=""/>
    <s v=""/>
    <s v=""/>
    <s v="Year 7 Pupil Numbers"/>
    <s v="From Table 3 of School census collection: Autumn"/>
    <n v="0"/>
    <m/>
    <m/>
    <b v="0"/>
    <x v="2"/>
    <b v="0"/>
    <m/>
  </r>
  <r>
    <n v="1"/>
    <x v="1"/>
    <m/>
    <x v="65"/>
    <s v="SEC"/>
    <s v="DEFAULT"/>
    <s v="DEFAULT"/>
    <m/>
    <x v="15"/>
    <s v="MONTHLY"/>
    <s v=""/>
    <s v=""/>
    <s v=""/>
    <s v=""/>
    <s v=""/>
    <s v="Year 8 Pupil Numbers"/>
    <s v="From Table 3 of School census collection: Autumn"/>
    <n v="0"/>
    <m/>
    <m/>
    <b v="0"/>
    <x v="2"/>
    <b v="0"/>
    <m/>
  </r>
  <r>
    <n v="1"/>
    <x v="1"/>
    <m/>
    <x v="66"/>
    <s v="SEC"/>
    <s v="DEFAULT"/>
    <s v="DEFAULT"/>
    <m/>
    <x v="16"/>
    <s v="MONTHLY"/>
    <s v=""/>
    <s v=""/>
    <s v=""/>
    <s v=""/>
    <s v=""/>
    <s v="Year 9 Pupil Numbers"/>
    <s v="From Table 3 of School census collection: Autumn"/>
    <n v="0"/>
    <m/>
    <m/>
    <b v="0"/>
    <x v="2"/>
    <b v="0"/>
    <m/>
  </r>
  <r>
    <n v="1"/>
    <x v="1"/>
    <m/>
    <x v="67"/>
    <s v="SEC"/>
    <s v="DEFAULT"/>
    <s v="DEFAULT"/>
    <m/>
    <x v="17"/>
    <s v="MONTHLY"/>
    <s v=""/>
    <s v=""/>
    <s v=""/>
    <s v=""/>
    <s v=""/>
    <s v="Year 10 Pupil Numbers"/>
    <s v="From Table 3 of School census collection: Autumn"/>
    <n v="0"/>
    <m/>
    <m/>
    <b v="0"/>
    <x v="2"/>
    <b v="0"/>
    <m/>
  </r>
  <r>
    <n v="1"/>
    <x v="1"/>
    <m/>
    <x v="68"/>
    <s v="SEC"/>
    <s v="DEFAULT"/>
    <s v="DEFAULT"/>
    <m/>
    <x v="18"/>
    <s v="MONTHLY"/>
    <s v=""/>
    <s v=""/>
    <s v=""/>
    <s v=""/>
    <s v=""/>
    <s v="Year 11 Pupil Numbers"/>
    <s v="From Table 3 of School census collection: Autumn"/>
    <n v="0"/>
    <m/>
    <m/>
    <b v="0"/>
    <x v="2"/>
    <b v="0"/>
    <m/>
  </r>
  <r>
    <n v="1"/>
    <x v="1"/>
    <m/>
    <x v="69"/>
    <s v="SEC"/>
    <s v="DEFAULT"/>
    <s v="DEFAULT"/>
    <m/>
    <x v="7"/>
    <s v="MONTHLY"/>
    <s v=""/>
    <s v=""/>
    <s v=""/>
    <s v=""/>
    <s v=""/>
    <s v="Year 12 Pupil Numbers"/>
    <s v="From Table 3 of School census collection: Autumn"/>
    <n v="0"/>
    <m/>
    <m/>
    <b v="0"/>
    <x v="2"/>
    <b v="0"/>
    <m/>
  </r>
  <r>
    <n v="1"/>
    <x v="1"/>
    <m/>
    <x v="70"/>
    <s v="SEC"/>
    <s v="DEFAULT"/>
    <s v="DEFAULT"/>
    <m/>
    <x v="19"/>
    <s v="MONTHLY"/>
    <s v=""/>
    <s v=""/>
    <s v=""/>
    <s v=""/>
    <s v=""/>
    <s v="Year 13 Pupil Numbers"/>
    <s v="From Table 3 of School census collection: Autumn"/>
    <n v="0"/>
    <m/>
    <m/>
    <b v="0"/>
    <x v="2"/>
    <b v="0"/>
    <m/>
  </r>
  <r>
    <n v="1"/>
    <x v="1"/>
    <m/>
    <x v="71"/>
    <s v="SEC"/>
    <s v="DEFAULT"/>
    <s v="DEFAULT"/>
    <m/>
    <x v="20"/>
    <s v="MONTHLY"/>
    <s v=""/>
    <s v=""/>
    <s v=""/>
    <s v=""/>
    <s v=""/>
    <s v="Year 14 Pupil Numbers"/>
    <s v="From Table 3 of School census collection: Autumn"/>
    <n v="0"/>
    <m/>
    <m/>
    <b v="0"/>
    <x v="2"/>
    <b v="0"/>
    <m/>
  </r>
  <r>
    <n v="0"/>
    <x v="1"/>
    <m/>
    <x v="75"/>
    <s v="SEC"/>
    <s v="DEFAULT"/>
    <s v="DEFAULT"/>
    <m/>
    <x v="24"/>
    <s v="MONTHLY"/>
    <s v=""/>
    <s v=""/>
    <s v=""/>
    <s v=""/>
    <s v=""/>
    <s v="KS3 Spring Census Pupil Numbers"/>
    <s v="Year 7, 8, and 9 Students From Table 3 of School census collection: Spring"/>
    <n v="0"/>
    <m/>
    <m/>
    <b v="0"/>
    <x v="2"/>
    <b v="1"/>
    <m/>
  </r>
  <r>
    <n v="0"/>
    <x v="1"/>
    <m/>
    <x v="76"/>
    <s v="SEC"/>
    <s v="DEFAULT"/>
    <s v="DEFAULT"/>
    <m/>
    <x v="25"/>
    <s v="MONTHLY"/>
    <s v=""/>
    <s v=""/>
    <s v=""/>
    <s v=""/>
    <s v=""/>
    <s v="KS4 Spring Census Pupil Numbers"/>
    <s v="Year 10 &amp; 11 Students From Table 3 of School census collection: Spring"/>
    <n v="0"/>
    <m/>
    <m/>
    <b v="0"/>
    <x v="2"/>
    <b v="1"/>
    <m/>
  </r>
  <r>
    <n v="0"/>
    <x v="1"/>
    <m/>
    <x v="77"/>
    <s v="SEC"/>
    <s v="DEFAULT"/>
    <s v="DEFAULT"/>
    <m/>
    <x v="26"/>
    <s v="MONTHLY"/>
    <s v=""/>
    <s v=""/>
    <s v=""/>
    <s v=""/>
    <s v=""/>
    <s v="KS5 Spring Census Pupil Numbers"/>
    <s v="Year 12, 13, and 14 Students From Table 3 of School census collection: Spring"/>
    <n v="0"/>
    <m/>
    <m/>
    <b v="0"/>
    <x v="2"/>
    <b v="1"/>
    <m/>
  </r>
  <r>
    <n v="1"/>
    <x v="1"/>
    <m/>
    <x v="81"/>
    <s v="SEC"/>
    <s v="DEFAULT"/>
    <s v="DEFAULT"/>
    <m/>
    <x v="29"/>
    <s v="MONTHLY"/>
    <s v=""/>
    <s v=""/>
    <s v=""/>
    <s v=""/>
    <s v=""/>
    <s v="Pupil Premium Numbers Secondary"/>
    <s v="Taken from ESFA Pupil Premium spreadsheet, column &quot;Number of Secondary pupils eligible for the Deprivation Pupil Premium&quot;"/>
    <n v="0"/>
    <m/>
    <m/>
    <b v="0"/>
    <x v="2"/>
    <b v="0"/>
    <m/>
  </r>
  <r>
    <n v="1"/>
    <x v="1"/>
    <m/>
    <x v="82"/>
    <s v="SEC"/>
    <s v="DEFAULT"/>
    <s v="DEFAULT"/>
    <m/>
    <x v="29"/>
    <s v="MONTHLY"/>
    <s v=""/>
    <s v=""/>
    <s v=""/>
    <s v=""/>
    <s v=""/>
    <s v="Pupil Premium LAC Numbers"/>
    <s v="Post Looked After Children number From Table 5 of School census collection: Autumn"/>
    <n v="0"/>
    <m/>
    <m/>
    <b v="0"/>
    <x v="2"/>
    <b v="0"/>
    <m/>
  </r>
  <r>
    <n v="1"/>
    <x v="1"/>
    <m/>
    <x v="83"/>
    <s v="SEC"/>
    <s v="DEFAULT"/>
    <s v="DEFAULT"/>
    <m/>
    <x v="29"/>
    <s v="MONTHLY"/>
    <s v=""/>
    <s v=""/>
    <s v=""/>
    <s v=""/>
    <s v=""/>
    <s v="Pupil Premium Service Numbers"/>
    <s v="Service Children number From Table 5 of School census collection: Autumn"/>
    <n v="0"/>
    <m/>
    <m/>
    <b v="0"/>
    <x v="2"/>
    <b v="0"/>
    <m/>
  </r>
  <r>
    <n v="0"/>
    <x v="1"/>
    <m/>
    <x v="87"/>
    <s v="SEC"/>
    <s v="DEFAULT"/>
    <s v="DEFAULT"/>
    <m/>
    <x v="33"/>
    <s v="MONTHLY"/>
    <s v=""/>
    <s v=""/>
    <s v=""/>
    <s v=""/>
    <s v=""/>
    <s v="Funded Pupil Numbers KS3"/>
    <s v="Previous Year KS3 Numbers (PUPIL_CEN_07,PUPIL_CEN_08,PUPIL_CEN_09)"/>
    <n v="0"/>
    <m/>
    <m/>
    <b v="0"/>
    <x v="0"/>
    <b v="1"/>
    <m/>
  </r>
  <r>
    <n v="1"/>
    <x v="1"/>
    <m/>
    <x v="88"/>
    <s v="SEC"/>
    <s v="DEFAULT"/>
    <s v="DEFAULT"/>
    <m/>
    <x v="8"/>
    <s v="MONTHLY"/>
    <s v=""/>
    <s v=""/>
    <s v=""/>
    <s v=""/>
    <s v=""/>
    <s v="Funding Statement Adjustment KS3"/>
    <s v="KS3 Adjustment to match Key stage 3 value in Factor 1 of the Funding statement."/>
    <n v="0"/>
    <m/>
    <m/>
    <b v="0"/>
    <x v="0"/>
    <b v="0"/>
    <m/>
  </r>
  <r>
    <n v="0"/>
    <x v="1"/>
    <m/>
    <x v="89"/>
    <s v="SEC"/>
    <s v="DEFAULT"/>
    <s v="DEFAULT"/>
    <m/>
    <x v="34"/>
    <s v="MONTHLY"/>
    <s v=""/>
    <s v=""/>
    <s v=""/>
    <s v=""/>
    <s v=""/>
    <s v="Funded Pupil Numbers KS4"/>
    <s v="Previous Year KS4 Numbers (PUPIL_CEN_10,PUPIL_CEN_11)"/>
    <n v="0"/>
    <m/>
    <m/>
    <b v="0"/>
    <x v="0"/>
    <b v="1"/>
    <m/>
  </r>
  <r>
    <n v="1"/>
    <x v="1"/>
    <m/>
    <x v="90"/>
    <s v="SEC"/>
    <s v="DEFAULT"/>
    <s v="DEFAULT"/>
    <m/>
    <x v="8"/>
    <s v="MONTHLY"/>
    <s v=""/>
    <s v=""/>
    <s v=""/>
    <s v=""/>
    <s v=""/>
    <s v="Funding Statement Adjustment KS4"/>
    <s v="KS4 Adjustment to match Key stage 4 value in Factor 1 of the Funding statement."/>
    <n v="0"/>
    <m/>
    <m/>
    <b v="0"/>
    <x v="0"/>
    <b v="0"/>
    <m/>
  </r>
  <r>
    <n v="0"/>
    <x v="1"/>
    <m/>
    <x v="91"/>
    <s v="SEC"/>
    <s v="DEFAULT"/>
    <s v="DEFAULT"/>
    <m/>
    <x v="35"/>
    <s v="MONTHLY"/>
    <s v=""/>
    <s v=""/>
    <s v=""/>
    <s v=""/>
    <s v=""/>
    <s v="Funded Pupil Numbers KS5"/>
    <s v="Previous Year KS5 Numbers (PUPIL_CEN_12,PUPIL_CEN_13,PUPIL_CEN_14)"/>
    <n v="0"/>
    <m/>
    <m/>
    <b v="0"/>
    <x v="0"/>
    <b v="1"/>
    <m/>
  </r>
  <r>
    <n v="1"/>
    <x v="1"/>
    <m/>
    <x v="92"/>
    <s v="SEC"/>
    <s v="DEFAULT"/>
    <s v="DEFAULT"/>
    <m/>
    <x v="8"/>
    <s v="MONTHLY"/>
    <s v=""/>
    <s v=""/>
    <s v=""/>
    <s v=""/>
    <s v=""/>
    <s v="Funding Statement Adjustment KS5"/>
    <s v="KS5 Adjustment to match funding statement student numbers (Page 1)"/>
    <n v="0"/>
    <m/>
    <m/>
    <b v="0"/>
    <x v="0"/>
    <b v="0"/>
    <m/>
  </r>
  <r>
    <n v="1"/>
    <x v="1"/>
    <m/>
    <x v="93"/>
    <s v="SEC"/>
    <s v="DEFAULT"/>
    <s v="DEFAULT"/>
    <m/>
    <x v="7"/>
    <s v="MONTHLY"/>
    <s v=""/>
    <s v=""/>
    <s v=""/>
    <s v=""/>
    <s v=""/>
    <s v="Post 16 Pupil Places Special Provision"/>
    <s v="Post 16 Special/Alternative Provision Places from Funding Statement High needs funding"/>
    <n v="0"/>
    <m/>
    <m/>
    <b v="0"/>
    <x v="0"/>
    <b v="0"/>
    <m/>
  </r>
  <r>
    <n v="1"/>
    <x v="1"/>
    <m/>
    <x v="94"/>
    <s v="SEC"/>
    <s v="DEFAULT"/>
    <s v="DEFAULT"/>
    <m/>
    <x v="7"/>
    <s v="MONTHLY"/>
    <s v=""/>
    <s v=""/>
    <s v=""/>
    <s v=""/>
    <s v=""/>
    <s v="Occupied Post 16 Pupil Places Special Provision"/>
    <s v="Post 16 Special/Alternative Provision Places from Funding Statement High needs funding"/>
    <n v="0"/>
    <m/>
    <m/>
    <b v="0"/>
    <x v="0"/>
    <b v="0"/>
    <m/>
  </r>
  <r>
    <n v="1"/>
    <x v="1"/>
    <m/>
    <x v="95"/>
    <s v="SEC"/>
    <s v="DEFAULT"/>
    <s v="DEFAULT"/>
    <m/>
    <x v="7"/>
    <s v="MONTHLY"/>
    <s v=""/>
    <s v=""/>
    <s v=""/>
    <s v=""/>
    <s v=""/>
    <s v="Pre 16 Pupil Places Special Provision"/>
    <s v="Pre 16 Special/Alternative Provision Places From Table D of Funding Statement"/>
    <n v="0"/>
    <m/>
    <m/>
    <b v="0"/>
    <x v="0"/>
    <b v="0"/>
    <m/>
  </r>
  <r>
    <n v="1"/>
    <x v="1"/>
    <m/>
    <x v="96"/>
    <s v="SEC"/>
    <s v="DEFAULT"/>
    <s v="DEFAULT"/>
    <m/>
    <x v="7"/>
    <s v="MONTHLY"/>
    <s v=""/>
    <s v=""/>
    <s v=""/>
    <s v=""/>
    <s v=""/>
    <s v="Occupied Pre 16 Pupil Places Special Provision"/>
    <s v="Pre 16 Special/Alternative Provision Places From Table D of Funding Statement"/>
    <n v="0"/>
    <m/>
    <m/>
    <b v="0"/>
    <x v="0"/>
    <b v="0"/>
    <m/>
  </r>
  <r>
    <n v="1"/>
    <x v="1"/>
    <m/>
    <x v="64"/>
    <s v="SEC"/>
    <s v="DEFAULT"/>
    <s v="DEFAULT"/>
    <m/>
    <x v="7"/>
    <s v="MONTHLY"/>
    <s v=""/>
    <s v=""/>
    <s v=""/>
    <s v=""/>
    <s v=""/>
    <s v="Year 7 Pupil Numbers"/>
    <s v="From Table 3 of School census collection: Autumn"/>
    <n v="0"/>
    <m/>
    <m/>
    <b v="0"/>
    <x v="0"/>
    <b v="0"/>
    <m/>
  </r>
  <r>
    <n v="1"/>
    <x v="1"/>
    <m/>
    <x v="65"/>
    <s v="SEC"/>
    <s v="DEFAULT"/>
    <s v="DEFAULT"/>
    <m/>
    <x v="15"/>
    <s v="MONTHLY"/>
    <s v=""/>
    <s v=""/>
    <s v=""/>
    <s v=""/>
    <s v=""/>
    <s v="Year 8 Pupil Numbers"/>
    <s v="From Table 3 of School census collection: Autumn"/>
    <n v="0"/>
    <m/>
    <m/>
    <b v="0"/>
    <x v="0"/>
    <b v="0"/>
    <m/>
  </r>
  <r>
    <n v="1"/>
    <x v="1"/>
    <m/>
    <x v="66"/>
    <s v="SEC"/>
    <s v="DEFAULT"/>
    <s v="DEFAULT"/>
    <m/>
    <x v="16"/>
    <s v="MONTHLY"/>
    <s v=""/>
    <s v=""/>
    <s v=""/>
    <s v=""/>
    <s v=""/>
    <s v="Year 9 Pupil Numbers"/>
    <s v="From Table 3 of School census collection: Autumn"/>
    <n v="0"/>
    <m/>
    <m/>
    <b v="0"/>
    <x v="0"/>
    <b v="0"/>
    <m/>
  </r>
  <r>
    <n v="1"/>
    <x v="1"/>
    <m/>
    <x v="67"/>
    <s v="SEC"/>
    <s v="DEFAULT"/>
    <s v="DEFAULT"/>
    <m/>
    <x v="17"/>
    <s v="MONTHLY"/>
    <s v=""/>
    <s v=""/>
    <s v=""/>
    <s v=""/>
    <s v=""/>
    <s v="Year 10 Pupil Numbers"/>
    <s v="From Table 3 of School census collection: Autumn"/>
    <n v="0"/>
    <m/>
    <m/>
    <b v="0"/>
    <x v="0"/>
    <b v="0"/>
    <m/>
  </r>
  <r>
    <n v="1"/>
    <x v="1"/>
    <m/>
    <x v="68"/>
    <s v="SEC"/>
    <s v="DEFAULT"/>
    <s v="DEFAULT"/>
    <m/>
    <x v="18"/>
    <s v="MONTHLY"/>
    <s v=""/>
    <s v=""/>
    <s v=""/>
    <s v=""/>
    <s v=""/>
    <s v="Year 11 Pupil Numbers"/>
    <s v="From Table 3 of School census collection: Autumn"/>
    <n v="0"/>
    <m/>
    <m/>
    <b v="0"/>
    <x v="0"/>
    <b v="0"/>
    <m/>
  </r>
  <r>
    <n v="1"/>
    <x v="1"/>
    <m/>
    <x v="69"/>
    <s v="SEC"/>
    <s v="DEFAULT"/>
    <s v="DEFAULT"/>
    <m/>
    <x v="7"/>
    <s v="MONTHLY"/>
    <s v=""/>
    <s v=""/>
    <s v=""/>
    <s v=""/>
    <s v=""/>
    <s v="Year 12 Pupil Numbers"/>
    <s v="From Table 3 of School census collection: Autumn"/>
    <n v="0"/>
    <m/>
    <m/>
    <b v="0"/>
    <x v="0"/>
    <b v="0"/>
    <m/>
  </r>
  <r>
    <n v="1"/>
    <x v="1"/>
    <m/>
    <x v="70"/>
    <s v="SEC"/>
    <s v="DEFAULT"/>
    <s v="DEFAULT"/>
    <m/>
    <x v="19"/>
    <s v="MONTHLY"/>
    <s v=""/>
    <s v=""/>
    <s v=""/>
    <s v=""/>
    <s v=""/>
    <s v="Year 13 Pupil Numbers"/>
    <s v="From Table 3 of School census collection: Autumn"/>
    <n v="0"/>
    <m/>
    <m/>
    <b v="0"/>
    <x v="0"/>
    <b v="0"/>
    <m/>
  </r>
  <r>
    <n v="1"/>
    <x v="1"/>
    <m/>
    <x v="71"/>
    <s v="SEC"/>
    <s v="DEFAULT"/>
    <s v="DEFAULT"/>
    <m/>
    <x v="20"/>
    <s v="MONTHLY"/>
    <s v=""/>
    <s v=""/>
    <s v=""/>
    <s v=""/>
    <s v=""/>
    <s v="Year 14 Pupil Numbers"/>
    <s v="From Table 3 of School census collection: Autumn"/>
    <n v="0"/>
    <m/>
    <m/>
    <b v="0"/>
    <x v="0"/>
    <b v="0"/>
    <m/>
  </r>
  <r>
    <n v="1"/>
    <x v="1"/>
    <m/>
    <x v="81"/>
    <s v="SEC"/>
    <s v="DEFAULT"/>
    <s v="DEFAULT"/>
    <m/>
    <x v="29"/>
    <s v="MONTHLY"/>
    <s v=""/>
    <s v=""/>
    <s v=""/>
    <s v=""/>
    <s v=""/>
    <s v="Pupil Premium Numbers Secondary"/>
    <s v="Taken from ESFA Pupil Premium spreadsheet, column &quot;Number of Secondary pupils eligible for the Deprivation Pupil Premium&quot;"/>
    <n v="0"/>
    <m/>
    <m/>
    <b v="0"/>
    <x v="0"/>
    <b v="0"/>
    <m/>
  </r>
  <r>
    <n v="1"/>
    <x v="1"/>
    <m/>
    <x v="82"/>
    <s v="SEC"/>
    <s v="DEFAULT"/>
    <s v="DEFAULT"/>
    <m/>
    <x v="29"/>
    <s v="MONTHLY"/>
    <s v=""/>
    <s v=""/>
    <s v=""/>
    <s v=""/>
    <s v=""/>
    <s v="Pupil Premium LAC Numbers"/>
    <s v="Post Looked After Children number From Table 5 of School census collection: Autumn"/>
    <n v="0"/>
    <m/>
    <m/>
    <b v="0"/>
    <x v="0"/>
    <b v="0"/>
    <m/>
  </r>
  <r>
    <n v="1"/>
    <x v="1"/>
    <m/>
    <x v="83"/>
    <s v="SEC"/>
    <s v="DEFAULT"/>
    <s v="DEFAULT"/>
    <m/>
    <x v="29"/>
    <s v="MONTHLY"/>
    <s v=""/>
    <s v=""/>
    <s v=""/>
    <s v=""/>
    <s v=""/>
    <s v="Pupil Premium Service Numbers"/>
    <s v="Service Children number From Table 5 of School census collection: Autumn"/>
    <n v="0"/>
    <m/>
    <m/>
    <b v="0"/>
    <x v="0"/>
    <b v="0"/>
    <m/>
  </r>
  <r>
    <n v="1"/>
    <x v="1"/>
    <m/>
    <x v="64"/>
    <s v="SEC"/>
    <s v="DEFAULT"/>
    <s v="DEFAULT"/>
    <m/>
    <x v="7"/>
    <s v="MONTHLY"/>
    <s v=""/>
    <s v=""/>
    <s v=""/>
    <s v=""/>
    <s v=""/>
    <s v="Year 7 Pupil Numbers"/>
    <s v="From Table 3 of School census collection: Autumn"/>
    <n v="0"/>
    <m/>
    <m/>
    <b v="0"/>
    <x v="4"/>
    <b v="0"/>
    <m/>
  </r>
  <r>
    <n v="1"/>
    <x v="1"/>
    <m/>
    <x v="65"/>
    <s v="SEC"/>
    <s v="DEFAULT"/>
    <s v="DEFAULT"/>
    <m/>
    <x v="15"/>
    <s v="MONTHLY"/>
    <s v=""/>
    <s v=""/>
    <s v=""/>
    <s v=""/>
    <s v=""/>
    <s v="Year 8 Pupil Numbers"/>
    <s v="From Table 3 of School census collection: Autumn"/>
    <n v="0"/>
    <m/>
    <m/>
    <b v="0"/>
    <x v="4"/>
    <b v="0"/>
    <m/>
  </r>
  <r>
    <n v="1"/>
    <x v="1"/>
    <m/>
    <x v="66"/>
    <s v="SEC"/>
    <s v="DEFAULT"/>
    <s v="DEFAULT"/>
    <m/>
    <x v="16"/>
    <s v="MONTHLY"/>
    <s v=""/>
    <s v=""/>
    <s v=""/>
    <s v=""/>
    <s v=""/>
    <s v="Year 9 Pupil Numbers"/>
    <s v="From Table 3 of School census collection: Autumn"/>
    <n v="0"/>
    <m/>
    <m/>
    <b v="0"/>
    <x v="4"/>
    <b v="0"/>
    <m/>
  </r>
  <r>
    <n v="1"/>
    <x v="1"/>
    <m/>
    <x v="67"/>
    <s v="SEC"/>
    <s v="DEFAULT"/>
    <s v="DEFAULT"/>
    <m/>
    <x v="17"/>
    <s v="MONTHLY"/>
    <s v=""/>
    <s v=""/>
    <s v=""/>
    <s v=""/>
    <s v=""/>
    <s v="Year 10 Pupil Numbers"/>
    <s v="From Table 3 of School census collection: Autumn"/>
    <n v="0"/>
    <m/>
    <m/>
    <b v="0"/>
    <x v="4"/>
    <b v="0"/>
    <m/>
  </r>
  <r>
    <n v="1"/>
    <x v="1"/>
    <m/>
    <x v="68"/>
    <s v="SEC"/>
    <s v="DEFAULT"/>
    <s v="DEFAULT"/>
    <m/>
    <x v="18"/>
    <s v="MONTHLY"/>
    <s v=""/>
    <s v=""/>
    <s v=""/>
    <s v=""/>
    <s v=""/>
    <s v="Year 11 Pupil Numbers"/>
    <s v="From Table 3 of School census collection: Autumn"/>
    <n v="0"/>
    <m/>
    <m/>
    <b v="0"/>
    <x v="4"/>
    <b v="0"/>
    <m/>
  </r>
  <r>
    <n v="1"/>
    <x v="1"/>
    <m/>
    <x v="69"/>
    <s v="SEC"/>
    <s v="DEFAULT"/>
    <s v="DEFAULT"/>
    <m/>
    <x v="7"/>
    <s v="MONTHLY"/>
    <s v=""/>
    <s v=""/>
    <s v=""/>
    <s v=""/>
    <s v=""/>
    <s v="Year 12 Pupil Numbers"/>
    <s v="From Table 3 of School census collection: Autumn"/>
    <n v="0"/>
    <m/>
    <m/>
    <b v="0"/>
    <x v="4"/>
    <b v="0"/>
    <m/>
  </r>
  <r>
    <n v="1"/>
    <x v="1"/>
    <m/>
    <x v="70"/>
    <s v="SEC"/>
    <s v="DEFAULT"/>
    <s v="DEFAULT"/>
    <m/>
    <x v="19"/>
    <s v="MONTHLY"/>
    <s v=""/>
    <s v=""/>
    <s v=""/>
    <s v=""/>
    <s v=""/>
    <s v="Year 13 Pupil Numbers"/>
    <s v="From Table 3 of School census collection: Autumn"/>
    <n v="0"/>
    <m/>
    <m/>
    <b v="0"/>
    <x v="4"/>
    <b v="0"/>
    <m/>
  </r>
  <r>
    <n v="1"/>
    <x v="1"/>
    <m/>
    <x v="71"/>
    <s v="SEC"/>
    <s v="DEFAULT"/>
    <s v="DEFAULT"/>
    <m/>
    <x v="20"/>
    <s v="MONTHLY"/>
    <s v=""/>
    <s v=""/>
    <s v=""/>
    <s v=""/>
    <s v=""/>
    <s v="Year 14 Pupil Numbers"/>
    <s v="From Table 3 of School census collection: Autumn"/>
    <n v="0"/>
    <m/>
    <m/>
    <b v="0"/>
    <x v="4"/>
    <b v="0"/>
    <m/>
  </r>
  <r>
    <n v="1"/>
    <x v="1"/>
    <m/>
    <x v="64"/>
    <s v="SEC"/>
    <s v="DEFAULT"/>
    <s v="DEFAULT"/>
    <m/>
    <x v="7"/>
    <s v="MONTHLY"/>
    <s v=""/>
    <s v=""/>
    <s v=""/>
    <s v=""/>
    <s v=""/>
    <s v="Year 7 Pupil Numbers"/>
    <s v="From Table 3 of School census collection: Autumn"/>
    <n v="0"/>
    <m/>
    <m/>
    <b v="0"/>
    <x v="5"/>
    <b v="0"/>
    <m/>
  </r>
  <r>
    <n v="1"/>
    <x v="1"/>
    <m/>
    <x v="65"/>
    <s v="SEC"/>
    <s v="DEFAULT"/>
    <s v="DEFAULT"/>
    <m/>
    <x v="15"/>
    <s v="MONTHLY"/>
    <s v=""/>
    <s v=""/>
    <s v=""/>
    <s v=""/>
    <s v=""/>
    <s v="Year 8 Pupil Numbers"/>
    <s v="From Table 3 of School census collection: Autumn"/>
    <n v="0"/>
    <m/>
    <m/>
    <b v="0"/>
    <x v="5"/>
    <b v="0"/>
    <m/>
  </r>
  <r>
    <n v="1"/>
    <x v="1"/>
    <m/>
    <x v="66"/>
    <s v="SEC"/>
    <s v="DEFAULT"/>
    <s v="DEFAULT"/>
    <m/>
    <x v="16"/>
    <s v="MONTHLY"/>
    <s v=""/>
    <s v=""/>
    <s v=""/>
    <s v=""/>
    <s v=""/>
    <s v="Year 9 Pupil Numbers"/>
    <s v="From Table 3 of School census collection: Autumn"/>
    <n v="0"/>
    <m/>
    <m/>
    <b v="0"/>
    <x v="5"/>
    <b v="0"/>
    <m/>
  </r>
  <r>
    <n v="1"/>
    <x v="1"/>
    <m/>
    <x v="67"/>
    <s v="SEC"/>
    <s v="DEFAULT"/>
    <s v="DEFAULT"/>
    <m/>
    <x v="17"/>
    <s v="MONTHLY"/>
    <s v=""/>
    <s v=""/>
    <s v=""/>
    <s v=""/>
    <s v=""/>
    <s v="Year 10 Pupil Numbers"/>
    <s v="From Table 3 of School census collection: Autumn"/>
    <n v="0"/>
    <m/>
    <m/>
    <b v="0"/>
    <x v="5"/>
    <b v="0"/>
    <m/>
  </r>
  <r>
    <n v="1"/>
    <x v="1"/>
    <m/>
    <x v="68"/>
    <s v="SEC"/>
    <s v="DEFAULT"/>
    <s v="DEFAULT"/>
    <m/>
    <x v="18"/>
    <s v="MONTHLY"/>
    <s v=""/>
    <s v=""/>
    <s v=""/>
    <s v=""/>
    <s v=""/>
    <s v="Year 11 Pupil Numbers"/>
    <s v="From Table 3 of School census collection: Autumn"/>
    <n v="0"/>
    <m/>
    <m/>
    <b v="0"/>
    <x v="5"/>
    <b v="0"/>
    <m/>
  </r>
  <r>
    <n v="1"/>
    <x v="1"/>
    <m/>
    <x v="69"/>
    <s v="SEC"/>
    <s v="DEFAULT"/>
    <s v="DEFAULT"/>
    <m/>
    <x v="7"/>
    <s v="MONTHLY"/>
    <s v=""/>
    <s v=""/>
    <s v=""/>
    <s v=""/>
    <s v=""/>
    <s v="Year 12 Pupil Numbers"/>
    <s v="From Table 3 of School census collection: Autumn"/>
    <n v="0"/>
    <m/>
    <m/>
    <b v="0"/>
    <x v="5"/>
    <b v="0"/>
    <m/>
  </r>
  <r>
    <n v="1"/>
    <x v="1"/>
    <m/>
    <x v="70"/>
    <s v="SEC"/>
    <s v="DEFAULT"/>
    <s v="DEFAULT"/>
    <m/>
    <x v="19"/>
    <s v="MONTHLY"/>
    <s v=""/>
    <s v=""/>
    <s v=""/>
    <s v=""/>
    <s v=""/>
    <s v="Year 13 Pupil Numbers"/>
    <s v="From Table 3 of School census collection: Autumn"/>
    <n v="0"/>
    <m/>
    <m/>
    <b v="0"/>
    <x v="5"/>
    <b v="0"/>
    <m/>
  </r>
  <r>
    <n v="1"/>
    <x v="1"/>
    <m/>
    <x v="71"/>
    <s v="SEC"/>
    <s v="DEFAULT"/>
    <s v="DEFAULT"/>
    <m/>
    <x v="20"/>
    <s v="MONTHLY"/>
    <s v=""/>
    <s v=""/>
    <s v=""/>
    <s v=""/>
    <s v=""/>
    <s v="Year 14 Pupil Numbers"/>
    <s v="From Table 3 of School census collection: Autumn"/>
    <n v="0"/>
    <m/>
    <m/>
    <b v="0"/>
    <x v="5"/>
    <b v="0"/>
    <m/>
  </r>
  <r>
    <n v="1"/>
    <x v="1"/>
    <m/>
    <x v="64"/>
    <s v="SEC"/>
    <s v="DEFAULT"/>
    <s v="DEFAULT"/>
    <m/>
    <x v="7"/>
    <s v="MONTHLY"/>
    <s v=""/>
    <s v=""/>
    <s v=""/>
    <s v=""/>
    <s v=""/>
    <s v="Year 7 Pupil Numbers"/>
    <s v="From Table 3 of School census collection: Autumn"/>
    <n v="0"/>
    <m/>
    <m/>
    <b v="0"/>
    <x v="6"/>
    <b v="0"/>
    <m/>
  </r>
  <r>
    <n v="1"/>
    <x v="1"/>
    <m/>
    <x v="65"/>
    <s v="SEC"/>
    <s v="DEFAULT"/>
    <s v="DEFAULT"/>
    <m/>
    <x v="15"/>
    <s v="MONTHLY"/>
    <s v=""/>
    <s v=""/>
    <s v=""/>
    <s v=""/>
    <s v=""/>
    <s v="Year 8 Pupil Numbers"/>
    <s v="From Table 3 of School census collection: Autumn"/>
    <n v="0"/>
    <m/>
    <m/>
    <b v="0"/>
    <x v="6"/>
    <b v="0"/>
    <m/>
  </r>
  <r>
    <n v="1"/>
    <x v="1"/>
    <m/>
    <x v="66"/>
    <s v="SEC"/>
    <s v="DEFAULT"/>
    <s v="DEFAULT"/>
    <m/>
    <x v="16"/>
    <s v="MONTHLY"/>
    <s v=""/>
    <s v=""/>
    <s v=""/>
    <s v=""/>
    <s v=""/>
    <s v="Year 9 Pupil Numbers"/>
    <s v="From Table 3 of School census collection: Autumn"/>
    <n v="0"/>
    <m/>
    <m/>
    <b v="0"/>
    <x v="6"/>
    <b v="0"/>
    <m/>
  </r>
  <r>
    <n v="1"/>
    <x v="1"/>
    <m/>
    <x v="67"/>
    <s v="SEC"/>
    <s v="DEFAULT"/>
    <s v="DEFAULT"/>
    <m/>
    <x v="17"/>
    <s v="MONTHLY"/>
    <s v=""/>
    <s v=""/>
    <s v=""/>
    <s v=""/>
    <s v=""/>
    <s v="Year 10 Pupil Numbers"/>
    <s v="From Table 3 of School census collection: Autumn"/>
    <n v="0"/>
    <m/>
    <m/>
    <b v="0"/>
    <x v="6"/>
    <b v="0"/>
    <m/>
  </r>
  <r>
    <n v="1"/>
    <x v="1"/>
    <m/>
    <x v="68"/>
    <s v="SEC"/>
    <s v="DEFAULT"/>
    <s v="DEFAULT"/>
    <m/>
    <x v="18"/>
    <s v="MONTHLY"/>
    <s v=""/>
    <s v=""/>
    <s v=""/>
    <s v=""/>
    <s v=""/>
    <s v="Year 11 Pupil Numbers"/>
    <s v="From Table 3 of School census collection: Autumn"/>
    <n v="0"/>
    <m/>
    <m/>
    <b v="0"/>
    <x v="6"/>
    <b v="0"/>
    <m/>
  </r>
  <r>
    <n v="1"/>
    <x v="1"/>
    <m/>
    <x v="69"/>
    <s v="SEC"/>
    <s v="DEFAULT"/>
    <s v="DEFAULT"/>
    <m/>
    <x v="7"/>
    <s v="MONTHLY"/>
    <s v=""/>
    <s v=""/>
    <s v=""/>
    <s v=""/>
    <s v=""/>
    <s v="Year 12 Pupil Numbers"/>
    <s v="From Table 3 of School census collection: Autumn"/>
    <n v="0"/>
    <m/>
    <m/>
    <b v="0"/>
    <x v="6"/>
    <b v="0"/>
    <m/>
  </r>
  <r>
    <n v="1"/>
    <x v="1"/>
    <m/>
    <x v="70"/>
    <s v="SEC"/>
    <s v="DEFAULT"/>
    <s v="DEFAULT"/>
    <m/>
    <x v="19"/>
    <s v="MONTHLY"/>
    <s v=""/>
    <s v=""/>
    <s v=""/>
    <s v=""/>
    <s v=""/>
    <s v="Year 13 Pupil Numbers"/>
    <s v="From Table 3 of School census collection: Autumn"/>
    <n v="0"/>
    <m/>
    <m/>
    <b v="0"/>
    <x v="6"/>
    <b v="0"/>
    <m/>
  </r>
  <r>
    <n v="1"/>
    <x v="1"/>
    <m/>
    <x v="71"/>
    <s v="SEC"/>
    <s v="DEFAULT"/>
    <s v="DEFAULT"/>
    <m/>
    <x v="20"/>
    <s v="MONTHLY"/>
    <s v=""/>
    <s v=""/>
    <s v=""/>
    <s v=""/>
    <s v=""/>
    <s v="Year 14 Pupil Numbers"/>
    <s v="From Table 3 of School census collection: Autumn"/>
    <n v="0"/>
    <m/>
    <m/>
    <b v="0"/>
    <x v="6"/>
    <b v="0"/>
    <m/>
  </r>
  <r>
    <n v="1"/>
    <x v="1"/>
    <m/>
    <x v="56"/>
    <s v="SPE"/>
    <s v="DEFAULT"/>
    <s v="DEFAULT"/>
    <m/>
    <x v="7"/>
    <s v="MONTHLY"/>
    <s v=""/>
    <s v=""/>
    <s v=""/>
    <s v=""/>
    <s v=""/>
    <s v="Nursery Pupil Numbers"/>
    <s v="N1 &amp; N2 from Table 3 of School census collection: Autumn"/>
    <n v="0"/>
    <m/>
    <m/>
    <b v="0"/>
    <x v="2"/>
    <b v="0"/>
    <m/>
  </r>
  <r>
    <n v="1"/>
    <x v="1"/>
    <m/>
    <x v="57"/>
    <s v="SPE"/>
    <s v="DEFAULT"/>
    <s v="DEFAULT"/>
    <m/>
    <x v="7"/>
    <s v="MONTHLY"/>
    <s v=""/>
    <s v=""/>
    <s v=""/>
    <s v=""/>
    <s v=""/>
    <s v="Reception Pupil Numbers"/>
    <s v="From Table 3 of School census collection: Autumn"/>
    <n v="0"/>
    <m/>
    <m/>
    <b v="0"/>
    <x v="2"/>
    <b v="0"/>
    <m/>
  </r>
  <r>
    <n v="1"/>
    <x v="1"/>
    <m/>
    <x v="58"/>
    <s v="SPE"/>
    <s v="DEFAULT"/>
    <s v="DEFAULT"/>
    <m/>
    <x v="9"/>
    <s v="MONTHLY"/>
    <s v=""/>
    <s v=""/>
    <s v=""/>
    <s v=""/>
    <s v=""/>
    <s v="Year 1 Pupil Numbers"/>
    <s v="From Table 3 of School census collection: Autumn"/>
    <n v="0"/>
    <m/>
    <m/>
    <b v="0"/>
    <x v="2"/>
    <b v="0"/>
    <m/>
  </r>
  <r>
    <n v="1"/>
    <x v="1"/>
    <m/>
    <x v="59"/>
    <s v="SPE"/>
    <s v="DEFAULT"/>
    <s v="DEFAULT"/>
    <m/>
    <x v="10"/>
    <s v="MONTHLY"/>
    <s v=""/>
    <s v=""/>
    <s v=""/>
    <s v=""/>
    <s v=""/>
    <s v="Year 2 Pupil Numbers"/>
    <s v="From Table 3 of School census collection: Autumn"/>
    <n v="0"/>
    <m/>
    <m/>
    <b v="0"/>
    <x v="2"/>
    <b v="0"/>
    <m/>
  </r>
  <r>
    <n v="1"/>
    <x v="1"/>
    <m/>
    <x v="60"/>
    <s v="SPE"/>
    <s v="DEFAULT"/>
    <s v="DEFAULT"/>
    <m/>
    <x v="11"/>
    <s v="MONTHLY"/>
    <s v=""/>
    <s v=""/>
    <s v=""/>
    <s v=""/>
    <s v=""/>
    <s v="Year 3 Pupil Numbers"/>
    <s v="From Table 3 of School census collection: Autumn"/>
    <n v="0"/>
    <m/>
    <m/>
    <b v="0"/>
    <x v="2"/>
    <b v="0"/>
    <m/>
  </r>
  <r>
    <n v="1"/>
    <x v="1"/>
    <m/>
    <x v="61"/>
    <s v="SPE"/>
    <s v="DEFAULT"/>
    <s v="DEFAULT"/>
    <m/>
    <x v="12"/>
    <s v="MONTHLY"/>
    <s v=""/>
    <s v=""/>
    <s v=""/>
    <s v=""/>
    <s v=""/>
    <s v="Year 4 Pupil Numbers"/>
    <s v="From Table 3 of School census collection: Autumn"/>
    <n v="0"/>
    <m/>
    <m/>
    <b v="0"/>
    <x v="2"/>
    <b v="0"/>
    <m/>
  </r>
  <r>
    <n v="1"/>
    <x v="1"/>
    <m/>
    <x v="62"/>
    <s v="SPE"/>
    <s v="DEFAULT"/>
    <s v="DEFAULT"/>
    <m/>
    <x v="13"/>
    <s v="MONTHLY"/>
    <s v=""/>
    <s v=""/>
    <s v=""/>
    <s v=""/>
    <s v=""/>
    <s v="Year 5 Pupil Numbers"/>
    <s v="From Table 3 of School census collection: Autumn"/>
    <n v="0"/>
    <m/>
    <m/>
    <b v="0"/>
    <x v="2"/>
    <b v="0"/>
    <m/>
  </r>
  <r>
    <n v="1"/>
    <x v="1"/>
    <m/>
    <x v="63"/>
    <s v="SPE"/>
    <s v="DEFAULT"/>
    <s v="DEFAULT"/>
    <m/>
    <x v="14"/>
    <s v="MONTHLY"/>
    <s v=""/>
    <s v=""/>
    <s v=""/>
    <s v=""/>
    <s v=""/>
    <s v="Year 6 Pupil Numbers"/>
    <s v="From Table 3 of School census collection: Autumn"/>
    <n v="0"/>
    <m/>
    <m/>
    <b v="0"/>
    <x v="2"/>
    <b v="0"/>
    <m/>
  </r>
  <r>
    <n v="1"/>
    <x v="1"/>
    <m/>
    <x v="64"/>
    <s v="SPE"/>
    <s v="DEFAULT"/>
    <s v="DEFAULT"/>
    <m/>
    <x v="7"/>
    <s v="MONTHLY"/>
    <s v=""/>
    <s v=""/>
    <s v=""/>
    <s v=""/>
    <s v=""/>
    <s v="Year 7 Pupil Numbers"/>
    <s v="From Table 3 of School census collection: Autumn"/>
    <n v="0"/>
    <m/>
    <m/>
    <b v="0"/>
    <x v="2"/>
    <b v="0"/>
    <m/>
  </r>
  <r>
    <n v="1"/>
    <x v="1"/>
    <m/>
    <x v="65"/>
    <s v="SPE"/>
    <s v="DEFAULT"/>
    <s v="DEFAULT"/>
    <m/>
    <x v="15"/>
    <s v="MONTHLY"/>
    <s v=""/>
    <s v=""/>
    <s v=""/>
    <s v=""/>
    <s v=""/>
    <s v="Year 8 Pupil Numbers"/>
    <s v="From Table 3 of School census collection: Autumn"/>
    <n v="0"/>
    <m/>
    <m/>
    <b v="0"/>
    <x v="2"/>
    <b v="0"/>
    <m/>
  </r>
  <r>
    <n v="1"/>
    <x v="1"/>
    <m/>
    <x v="66"/>
    <s v="SPE"/>
    <s v="DEFAULT"/>
    <s v="DEFAULT"/>
    <m/>
    <x v="16"/>
    <s v="MONTHLY"/>
    <s v=""/>
    <s v=""/>
    <s v=""/>
    <s v=""/>
    <s v=""/>
    <s v="Year 9 Pupil Numbers"/>
    <s v="From Table 3 of School census collection: Autumn"/>
    <n v="0"/>
    <m/>
    <m/>
    <b v="0"/>
    <x v="2"/>
    <b v="0"/>
    <m/>
  </r>
  <r>
    <n v="1"/>
    <x v="1"/>
    <m/>
    <x v="67"/>
    <s v="SPE"/>
    <s v="DEFAULT"/>
    <s v="DEFAULT"/>
    <m/>
    <x v="17"/>
    <s v="MONTHLY"/>
    <s v=""/>
    <s v=""/>
    <s v=""/>
    <s v=""/>
    <s v=""/>
    <s v="Year 10 Pupil Numbers"/>
    <s v="From Table 3 of School census collection: Autumn"/>
    <n v="0"/>
    <m/>
    <m/>
    <b v="0"/>
    <x v="2"/>
    <b v="0"/>
    <m/>
  </r>
  <r>
    <n v="1"/>
    <x v="1"/>
    <m/>
    <x v="68"/>
    <s v="SPE"/>
    <s v="DEFAULT"/>
    <s v="DEFAULT"/>
    <m/>
    <x v="18"/>
    <s v="MONTHLY"/>
    <s v=""/>
    <s v=""/>
    <s v=""/>
    <s v=""/>
    <s v=""/>
    <s v="Year 11 Pupil Numbers"/>
    <s v="From Table 3 of School census collection: Autumn"/>
    <n v="0"/>
    <m/>
    <m/>
    <b v="0"/>
    <x v="2"/>
    <b v="0"/>
    <m/>
  </r>
  <r>
    <n v="1"/>
    <x v="1"/>
    <m/>
    <x v="69"/>
    <s v="SPE"/>
    <s v="DEFAULT"/>
    <s v="DEFAULT"/>
    <m/>
    <x v="7"/>
    <s v="MONTHLY"/>
    <s v=""/>
    <s v=""/>
    <s v=""/>
    <s v=""/>
    <s v=""/>
    <s v="Year 12 Pupil Numbers"/>
    <s v="From Table 3 of School census collection: Autumn"/>
    <n v="0"/>
    <m/>
    <m/>
    <b v="0"/>
    <x v="2"/>
    <b v="0"/>
    <m/>
  </r>
  <r>
    <n v="1"/>
    <x v="1"/>
    <m/>
    <x v="70"/>
    <s v="SPE"/>
    <s v="DEFAULT"/>
    <s v="DEFAULT"/>
    <m/>
    <x v="19"/>
    <s v="MONTHLY"/>
    <s v=""/>
    <s v=""/>
    <s v=""/>
    <s v=""/>
    <s v=""/>
    <s v="Year 13 Pupil Numbers"/>
    <s v="From Table 3 of School census collection: Autumn"/>
    <n v="0"/>
    <m/>
    <m/>
    <b v="0"/>
    <x v="2"/>
    <b v="0"/>
    <m/>
  </r>
  <r>
    <n v="1"/>
    <x v="1"/>
    <m/>
    <x v="71"/>
    <s v="SPE"/>
    <s v="DEFAULT"/>
    <s v="DEFAULT"/>
    <m/>
    <x v="20"/>
    <s v="MONTHLY"/>
    <s v=""/>
    <s v=""/>
    <s v=""/>
    <s v=""/>
    <s v=""/>
    <s v="Year 14 Pupil Numbers"/>
    <s v="From Table 3 of School census collection: Autumn"/>
    <n v="0"/>
    <m/>
    <m/>
    <b v="0"/>
    <x v="2"/>
    <b v="0"/>
    <m/>
  </r>
  <r>
    <n v="0"/>
    <x v="1"/>
    <m/>
    <x v="72"/>
    <s v="SPE"/>
    <s v="DEFAULT"/>
    <s v="DEFAULT"/>
    <m/>
    <x v="21"/>
    <s v="MONTHLY"/>
    <s v=""/>
    <s v=""/>
    <s v=""/>
    <s v=""/>
    <s v=""/>
    <s v="Foundation Spring Census Pupil Numbers"/>
    <s v="Reception Students From Table 3 of School census collection: Spring"/>
    <n v="0"/>
    <m/>
    <m/>
    <b v="0"/>
    <x v="2"/>
    <b v="1"/>
    <m/>
  </r>
  <r>
    <n v="0"/>
    <x v="1"/>
    <m/>
    <x v="73"/>
    <s v="SPE"/>
    <s v="DEFAULT"/>
    <s v="DEFAULT"/>
    <m/>
    <x v="22"/>
    <s v="MONTHLY"/>
    <s v=""/>
    <s v=""/>
    <s v=""/>
    <s v=""/>
    <s v=""/>
    <s v="KS1 Spring Census Pupil Numbers"/>
    <s v="Year 1 &amp; 2 Students From Table 3 of School census collection: Spring"/>
    <n v="0"/>
    <m/>
    <m/>
    <b v="0"/>
    <x v="2"/>
    <b v="1"/>
    <m/>
  </r>
  <r>
    <n v="0"/>
    <x v="1"/>
    <m/>
    <x v="74"/>
    <s v="SPE"/>
    <s v="DEFAULT"/>
    <s v="DEFAULT"/>
    <m/>
    <x v="23"/>
    <s v="MONTHLY"/>
    <s v=""/>
    <s v=""/>
    <s v=""/>
    <s v=""/>
    <s v=""/>
    <s v="KS2 Spring Census Pupil Numbers"/>
    <s v="Year 3, 4, 5, and 6 Students From Table 3 of School census collection: Spring"/>
    <n v="0"/>
    <m/>
    <m/>
    <b v="0"/>
    <x v="2"/>
    <b v="1"/>
    <m/>
  </r>
  <r>
    <n v="0"/>
    <x v="1"/>
    <m/>
    <x v="75"/>
    <s v="SPE"/>
    <s v="DEFAULT"/>
    <s v="DEFAULT"/>
    <m/>
    <x v="24"/>
    <s v="MONTHLY"/>
    <s v=""/>
    <s v=""/>
    <s v=""/>
    <s v=""/>
    <s v=""/>
    <s v="KS3 Spring Census Pupil Numbers"/>
    <s v="Year 7, 8, and 9 Students From Table 3 of School census collection: Spring"/>
    <n v="0"/>
    <m/>
    <m/>
    <b v="0"/>
    <x v="2"/>
    <b v="1"/>
    <m/>
  </r>
  <r>
    <n v="0"/>
    <x v="1"/>
    <m/>
    <x v="76"/>
    <s v="SPE"/>
    <s v="DEFAULT"/>
    <s v="DEFAULT"/>
    <m/>
    <x v="25"/>
    <s v="MONTHLY"/>
    <s v=""/>
    <s v=""/>
    <s v=""/>
    <s v=""/>
    <s v=""/>
    <s v="KS4 Spring Census Pupil Numbers"/>
    <s v="Year 10 &amp; 11 Students From Table 3 of School census collection: Spring"/>
    <n v="0"/>
    <m/>
    <m/>
    <b v="0"/>
    <x v="2"/>
    <b v="1"/>
    <m/>
  </r>
  <r>
    <n v="0"/>
    <x v="1"/>
    <m/>
    <x v="77"/>
    <s v="SPE"/>
    <s v="DEFAULT"/>
    <s v="DEFAULT"/>
    <m/>
    <x v="26"/>
    <s v="MONTHLY"/>
    <s v=""/>
    <s v=""/>
    <s v=""/>
    <s v=""/>
    <s v=""/>
    <s v="KS5 Spring Census Pupil Numbers"/>
    <s v="Year 12, 13, and 14 Students From Table 3 of School census collection: Spring"/>
    <n v="0"/>
    <m/>
    <m/>
    <b v="0"/>
    <x v="2"/>
    <b v="1"/>
    <m/>
  </r>
  <r>
    <n v="0"/>
    <x v="1"/>
    <m/>
    <x v="78"/>
    <s v="SPE"/>
    <s v="DEFAULT"/>
    <s v="DEFAULT"/>
    <m/>
    <x v="27"/>
    <s v="MONTHLY"/>
    <s v=""/>
    <s v=""/>
    <s v=""/>
    <s v=""/>
    <s v=""/>
    <s v="Nursery Spring Census Pupil Numbers"/>
    <s v="N1 &amp; N2 Students From Table 3 of School census collection: Spring"/>
    <n v="0"/>
    <m/>
    <m/>
    <b v="0"/>
    <x v="2"/>
    <b v="1"/>
    <m/>
  </r>
  <r>
    <n v="1"/>
    <x v="1"/>
    <m/>
    <x v="79"/>
    <s v="SPE"/>
    <s v="DEFAULT"/>
    <s v="DEFAULT"/>
    <m/>
    <x v="28"/>
    <s v="MONTHLY"/>
    <s v=""/>
    <s v=""/>
    <s v=""/>
    <s v=""/>
    <s v=""/>
    <s v="Pupils taking UIFSM"/>
    <s v="Total Eligible Meals taken by pupils."/>
    <n v="0"/>
    <m/>
    <m/>
    <b v="0"/>
    <x v="2"/>
    <b v="0"/>
    <m/>
  </r>
  <r>
    <n v="1"/>
    <x v="1"/>
    <m/>
    <x v="80"/>
    <s v="SPE"/>
    <s v="DEFAULT"/>
    <s v="DEFAULT"/>
    <m/>
    <x v="29"/>
    <s v="MONTHLY"/>
    <s v=""/>
    <s v=""/>
    <s v=""/>
    <s v=""/>
    <s v=""/>
    <s v="Pupil Premium Numbers Primary"/>
    <s v="Taken from ESFA Pupil Premium spreadsheet, column &quot;Number of Primary pupils eligible for the Deprivation Pupil Premium&quot;"/>
    <n v="0"/>
    <m/>
    <m/>
    <b v="0"/>
    <x v="2"/>
    <b v="0"/>
    <m/>
  </r>
  <r>
    <n v="1"/>
    <x v="1"/>
    <m/>
    <x v="81"/>
    <s v="SPE"/>
    <s v="DEFAULT"/>
    <s v="DEFAULT"/>
    <m/>
    <x v="29"/>
    <s v="MONTHLY"/>
    <s v=""/>
    <s v=""/>
    <s v=""/>
    <s v=""/>
    <s v=""/>
    <s v="Pupil Premium Numbers Secondary"/>
    <s v="Taken from ESFA Pupil Premium spreadsheet, column &quot;Number of Secondary pupils eligible for the Deprivation Pupil Premium&quot;"/>
    <n v="0"/>
    <m/>
    <m/>
    <b v="0"/>
    <x v="2"/>
    <b v="0"/>
    <m/>
  </r>
  <r>
    <n v="1"/>
    <x v="1"/>
    <m/>
    <x v="82"/>
    <s v="SPE"/>
    <s v="DEFAULT"/>
    <s v="DEFAULT"/>
    <m/>
    <x v="29"/>
    <s v="MONTHLY"/>
    <s v=""/>
    <s v=""/>
    <s v=""/>
    <s v=""/>
    <s v=""/>
    <s v="Pupil Premium LAC Numbers"/>
    <s v="Post Looked After Children number From Table 5 of School census collection: Autumn"/>
    <n v="0"/>
    <m/>
    <m/>
    <b v="0"/>
    <x v="2"/>
    <b v="0"/>
    <m/>
  </r>
  <r>
    <n v="1"/>
    <x v="1"/>
    <m/>
    <x v="83"/>
    <s v="SPE"/>
    <s v="DEFAULT"/>
    <s v="DEFAULT"/>
    <m/>
    <x v="29"/>
    <s v="MONTHLY"/>
    <s v=""/>
    <s v=""/>
    <s v=""/>
    <s v=""/>
    <s v=""/>
    <s v="Pupil Premium Service Numbers"/>
    <s v="Service Children number From Table 5 of School census collection: Autumn"/>
    <n v="0"/>
    <m/>
    <m/>
    <b v="0"/>
    <x v="2"/>
    <b v="0"/>
    <m/>
  </r>
  <r>
    <n v="1"/>
    <x v="1"/>
    <m/>
    <x v="93"/>
    <s v="SPE"/>
    <s v="DEFAULT"/>
    <s v="DEFAULT"/>
    <m/>
    <x v="7"/>
    <s v="MONTHLY"/>
    <s v=""/>
    <s v=""/>
    <s v=""/>
    <s v=""/>
    <s v=""/>
    <s v="Post 16 Pupil Places Special Provision"/>
    <s v="Post 16 Special/Alternative Provision Places from Funding Statement High needs funding"/>
    <n v="0"/>
    <m/>
    <m/>
    <b v="0"/>
    <x v="0"/>
    <b v="0"/>
    <m/>
  </r>
  <r>
    <n v="1"/>
    <x v="1"/>
    <m/>
    <x v="95"/>
    <s v="SPE"/>
    <s v="DEFAULT"/>
    <s v="DEFAULT"/>
    <m/>
    <x v="7"/>
    <s v="MONTHLY"/>
    <s v=""/>
    <s v=""/>
    <s v=""/>
    <s v=""/>
    <s v=""/>
    <s v="Pre 16 Pupil Places Special Provision"/>
    <s v="Pre 16 Special/Alternative Provision Places From Table D of Funding Statement"/>
    <n v="0"/>
    <m/>
    <m/>
    <b v="0"/>
    <x v="0"/>
    <b v="0"/>
    <m/>
  </r>
  <r>
    <n v="1"/>
    <x v="1"/>
    <m/>
    <x v="56"/>
    <s v="SPE"/>
    <s v="DEFAULT"/>
    <s v="DEFAULT"/>
    <m/>
    <x v="7"/>
    <s v="MONTHLY"/>
    <s v=""/>
    <s v=""/>
    <s v=""/>
    <s v=""/>
    <s v=""/>
    <s v="Nursery Pupil Numbers"/>
    <s v="N1 &amp; N2 from Table 3 of School census collection: Autumn"/>
    <n v="0"/>
    <m/>
    <m/>
    <b v="0"/>
    <x v="0"/>
    <b v="0"/>
    <m/>
  </r>
  <r>
    <n v="1"/>
    <x v="1"/>
    <m/>
    <x v="57"/>
    <s v="SPE"/>
    <s v="DEFAULT"/>
    <s v="DEFAULT"/>
    <m/>
    <x v="7"/>
    <s v="MONTHLY"/>
    <s v=""/>
    <s v=""/>
    <s v=""/>
    <s v=""/>
    <s v=""/>
    <s v="Reception Pupil Numbers"/>
    <s v="From Table 3 of School census collection: Autumn"/>
    <n v="0"/>
    <m/>
    <m/>
    <b v="0"/>
    <x v="0"/>
    <b v="0"/>
    <m/>
  </r>
  <r>
    <n v="1"/>
    <x v="1"/>
    <m/>
    <x v="58"/>
    <s v="SPE"/>
    <s v="DEFAULT"/>
    <s v="DEFAULT"/>
    <m/>
    <x v="9"/>
    <s v="MONTHLY"/>
    <s v=""/>
    <s v=""/>
    <s v=""/>
    <s v=""/>
    <s v=""/>
    <s v="Year 1 Pupil Numbers"/>
    <s v="From Table 3 of School census collection: Autumn"/>
    <n v="0"/>
    <m/>
    <m/>
    <b v="0"/>
    <x v="0"/>
    <b v="0"/>
    <m/>
  </r>
  <r>
    <n v="1"/>
    <x v="1"/>
    <m/>
    <x v="59"/>
    <s v="SPE"/>
    <s v="DEFAULT"/>
    <s v="DEFAULT"/>
    <m/>
    <x v="10"/>
    <s v="MONTHLY"/>
    <s v=""/>
    <s v=""/>
    <s v=""/>
    <s v=""/>
    <s v=""/>
    <s v="Year 2 Pupil Numbers"/>
    <s v="From Table 3 of School census collection: Autumn"/>
    <n v="0"/>
    <m/>
    <m/>
    <b v="0"/>
    <x v="0"/>
    <b v="0"/>
    <m/>
  </r>
  <r>
    <n v="1"/>
    <x v="1"/>
    <m/>
    <x v="60"/>
    <s v="SPE"/>
    <s v="DEFAULT"/>
    <s v="DEFAULT"/>
    <m/>
    <x v="11"/>
    <s v="MONTHLY"/>
    <s v=""/>
    <s v=""/>
    <s v=""/>
    <s v=""/>
    <s v=""/>
    <s v="Year 3 Pupil Numbers"/>
    <s v="From Table 3 of School census collection: Autumn"/>
    <n v="0"/>
    <m/>
    <m/>
    <b v="0"/>
    <x v="0"/>
    <b v="0"/>
    <m/>
  </r>
  <r>
    <n v="1"/>
    <x v="1"/>
    <m/>
    <x v="61"/>
    <s v="SPE"/>
    <s v="DEFAULT"/>
    <s v="DEFAULT"/>
    <m/>
    <x v="12"/>
    <s v="MONTHLY"/>
    <s v=""/>
    <s v=""/>
    <s v=""/>
    <s v=""/>
    <s v=""/>
    <s v="Year 4 Pupil Numbers"/>
    <s v="From Table 3 of School census collection: Autumn"/>
    <n v="0"/>
    <m/>
    <m/>
    <b v="0"/>
    <x v="0"/>
    <b v="0"/>
    <m/>
  </r>
  <r>
    <n v="1"/>
    <x v="1"/>
    <m/>
    <x v="62"/>
    <s v="SPE"/>
    <s v="DEFAULT"/>
    <s v="DEFAULT"/>
    <m/>
    <x v="13"/>
    <s v="MONTHLY"/>
    <s v=""/>
    <s v=""/>
    <s v=""/>
    <s v=""/>
    <s v=""/>
    <s v="Year 5 Pupil Numbers"/>
    <s v="From Table 3 of School census collection: Autumn"/>
    <n v="0"/>
    <m/>
    <m/>
    <b v="0"/>
    <x v="0"/>
    <b v="0"/>
    <m/>
  </r>
  <r>
    <n v="1"/>
    <x v="1"/>
    <m/>
    <x v="63"/>
    <s v="SPE"/>
    <s v="DEFAULT"/>
    <s v="DEFAULT"/>
    <m/>
    <x v="14"/>
    <s v="MONTHLY"/>
    <s v=""/>
    <s v=""/>
    <s v=""/>
    <s v=""/>
    <s v=""/>
    <s v="Year 6 Pupil Numbers"/>
    <s v="From Table 3 of School census collection: Autumn"/>
    <n v="0"/>
    <m/>
    <m/>
    <b v="0"/>
    <x v="0"/>
    <b v="0"/>
    <m/>
  </r>
  <r>
    <n v="1"/>
    <x v="1"/>
    <m/>
    <x v="64"/>
    <s v="SPE"/>
    <s v="DEFAULT"/>
    <s v="DEFAULT"/>
    <m/>
    <x v="7"/>
    <s v="MONTHLY"/>
    <s v=""/>
    <s v=""/>
    <s v=""/>
    <s v=""/>
    <s v=""/>
    <s v="Year 7 Pupil Numbers"/>
    <s v="From Table 3 of School census collection: Autumn"/>
    <n v="0"/>
    <m/>
    <m/>
    <b v="0"/>
    <x v="0"/>
    <b v="0"/>
    <m/>
  </r>
  <r>
    <n v="1"/>
    <x v="1"/>
    <m/>
    <x v="65"/>
    <s v="SPE"/>
    <s v="DEFAULT"/>
    <s v="DEFAULT"/>
    <m/>
    <x v="15"/>
    <s v="MONTHLY"/>
    <s v=""/>
    <s v=""/>
    <s v=""/>
    <s v=""/>
    <s v=""/>
    <s v="Year 8 Pupil Numbers"/>
    <s v="From Table 3 of School census collection: Autumn"/>
    <n v="0"/>
    <m/>
    <m/>
    <b v="0"/>
    <x v="0"/>
    <b v="0"/>
    <m/>
  </r>
  <r>
    <n v="1"/>
    <x v="1"/>
    <m/>
    <x v="66"/>
    <s v="SPE"/>
    <s v="DEFAULT"/>
    <s v="DEFAULT"/>
    <m/>
    <x v="16"/>
    <s v="MONTHLY"/>
    <s v=""/>
    <s v=""/>
    <s v=""/>
    <s v=""/>
    <s v=""/>
    <s v="Year 9 Pupil Numbers"/>
    <s v="From Table 3 of School census collection: Autumn"/>
    <n v="0"/>
    <m/>
    <m/>
    <b v="0"/>
    <x v="0"/>
    <b v="0"/>
    <m/>
  </r>
  <r>
    <n v="1"/>
    <x v="1"/>
    <m/>
    <x v="67"/>
    <s v="SPE"/>
    <s v="DEFAULT"/>
    <s v="DEFAULT"/>
    <m/>
    <x v="17"/>
    <s v="MONTHLY"/>
    <s v=""/>
    <s v=""/>
    <s v=""/>
    <s v=""/>
    <s v=""/>
    <s v="Year 10 Pupil Numbers"/>
    <s v="From Table 3 of School census collection: Autumn"/>
    <n v="0"/>
    <m/>
    <m/>
    <b v="0"/>
    <x v="0"/>
    <b v="0"/>
    <m/>
  </r>
  <r>
    <n v="1"/>
    <x v="1"/>
    <m/>
    <x v="68"/>
    <s v="SPE"/>
    <s v="DEFAULT"/>
    <s v="DEFAULT"/>
    <m/>
    <x v="18"/>
    <s v="MONTHLY"/>
    <s v=""/>
    <s v=""/>
    <s v=""/>
    <s v=""/>
    <s v=""/>
    <s v="Year 11 Pupil Numbers"/>
    <s v="From Table 3 of School census collection: Autumn"/>
    <n v="0"/>
    <m/>
    <m/>
    <b v="0"/>
    <x v="0"/>
    <b v="0"/>
    <m/>
  </r>
  <r>
    <n v="1"/>
    <x v="1"/>
    <m/>
    <x v="69"/>
    <s v="SPE"/>
    <s v="DEFAULT"/>
    <s v="DEFAULT"/>
    <m/>
    <x v="7"/>
    <s v="MONTHLY"/>
    <s v=""/>
    <s v=""/>
    <s v=""/>
    <s v=""/>
    <s v=""/>
    <s v="Year 12 Pupil Numbers"/>
    <s v="From Table 3 of School census collection: Autumn"/>
    <n v="0"/>
    <m/>
    <m/>
    <b v="0"/>
    <x v="0"/>
    <b v="0"/>
    <m/>
  </r>
  <r>
    <n v="1"/>
    <x v="1"/>
    <m/>
    <x v="70"/>
    <s v="SPE"/>
    <s v="DEFAULT"/>
    <s v="DEFAULT"/>
    <m/>
    <x v="19"/>
    <s v="MONTHLY"/>
    <s v=""/>
    <s v=""/>
    <s v=""/>
    <s v=""/>
    <s v=""/>
    <s v="Year 13 Pupil Numbers"/>
    <s v="From Table 3 of School census collection: Autumn"/>
    <n v="0"/>
    <m/>
    <m/>
    <b v="0"/>
    <x v="0"/>
    <b v="0"/>
    <m/>
  </r>
  <r>
    <n v="1"/>
    <x v="1"/>
    <m/>
    <x v="71"/>
    <s v="SPE"/>
    <s v="DEFAULT"/>
    <s v="DEFAULT"/>
    <m/>
    <x v="20"/>
    <s v="MONTHLY"/>
    <s v=""/>
    <s v=""/>
    <s v=""/>
    <s v=""/>
    <s v=""/>
    <s v="Year 14 Pupil Numbers"/>
    <s v="From Table 3 of School census collection: Autumn"/>
    <n v="0"/>
    <m/>
    <m/>
    <b v="0"/>
    <x v="0"/>
    <b v="0"/>
    <m/>
  </r>
  <r>
    <n v="1"/>
    <x v="1"/>
    <m/>
    <x v="80"/>
    <s v="SPE"/>
    <s v="DEFAULT"/>
    <s v="DEFAULT"/>
    <m/>
    <x v="29"/>
    <s v="MONTHLY"/>
    <s v=""/>
    <s v=""/>
    <s v=""/>
    <s v=""/>
    <s v=""/>
    <s v="Pupil Premium Numbers Primary"/>
    <s v="Taken from ESFA Pupil Premium spreadsheet, column &quot;Number of Primary pupils eligible for the Deprivation Pupil Premium&quot;"/>
    <n v="0"/>
    <m/>
    <m/>
    <b v="0"/>
    <x v="0"/>
    <b v="0"/>
    <m/>
  </r>
  <r>
    <n v="1"/>
    <x v="1"/>
    <m/>
    <x v="81"/>
    <s v="SPE"/>
    <s v="DEFAULT"/>
    <s v="DEFAULT"/>
    <m/>
    <x v="29"/>
    <s v="MONTHLY"/>
    <s v=""/>
    <s v=""/>
    <s v=""/>
    <s v=""/>
    <s v=""/>
    <s v="Pupil Premium Numbers Secondary"/>
    <s v="Taken from ESFA Pupil Premium spreadsheet, column &quot;Number of Secondary pupils eligible for the Deprivation Pupil Premium&quot;"/>
    <n v="0"/>
    <m/>
    <m/>
    <b v="0"/>
    <x v="0"/>
    <b v="0"/>
    <m/>
  </r>
  <r>
    <n v="1"/>
    <x v="1"/>
    <m/>
    <x v="82"/>
    <s v="SPE"/>
    <s v="DEFAULT"/>
    <s v="DEFAULT"/>
    <m/>
    <x v="29"/>
    <s v="MONTHLY"/>
    <s v=""/>
    <s v=""/>
    <s v=""/>
    <s v=""/>
    <s v=""/>
    <s v="Pupil Premium LAC Numbers"/>
    <s v="Post Looked After Children number From Table 5 of School census collection: Autumn"/>
    <n v="0"/>
    <m/>
    <m/>
    <b v="0"/>
    <x v="0"/>
    <b v="0"/>
    <m/>
  </r>
  <r>
    <n v="1"/>
    <x v="1"/>
    <m/>
    <x v="83"/>
    <s v="SPE"/>
    <s v="DEFAULT"/>
    <s v="DEFAULT"/>
    <m/>
    <x v="29"/>
    <s v="MONTHLY"/>
    <s v=""/>
    <s v=""/>
    <s v=""/>
    <s v=""/>
    <s v=""/>
    <s v="Pupil Premium Service Numbers"/>
    <s v="Service Children number From Table 5 of School census collection: Autumn"/>
    <n v="0"/>
    <m/>
    <m/>
    <b v="0"/>
    <x v="0"/>
    <b v="0"/>
    <m/>
  </r>
  <r>
    <n v="1"/>
    <x v="1"/>
    <m/>
    <x v="56"/>
    <s v="SPE"/>
    <s v="DEFAULT"/>
    <s v="DEFAULT"/>
    <m/>
    <x v="7"/>
    <s v="MONTHLY"/>
    <s v=""/>
    <s v=""/>
    <s v=""/>
    <s v=""/>
    <s v=""/>
    <s v="Nursery Pupil Numbers"/>
    <s v="N1 &amp; N2 from Table 3 of School census collection: Autumn"/>
    <n v="0"/>
    <m/>
    <m/>
    <b v="0"/>
    <x v="4"/>
    <b v="0"/>
    <m/>
  </r>
  <r>
    <n v="1"/>
    <x v="1"/>
    <m/>
    <x v="57"/>
    <s v="SPE"/>
    <s v="DEFAULT"/>
    <s v="DEFAULT"/>
    <m/>
    <x v="7"/>
    <s v="MONTHLY"/>
    <s v=""/>
    <s v=""/>
    <s v=""/>
    <s v=""/>
    <s v=""/>
    <s v="Reception Pupil Numbers"/>
    <s v="From Table 3 of School census collection: Autumn"/>
    <n v="0"/>
    <m/>
    <m/>
    <b v="0"/>
    <x v="4"/>
    <b v="0"/>
    <m/>
  </r>
  <r>
    <n v="1"/>
    <x v="1"/>
    <m/>
    <x v="58"/>
    <s v="SPE"/>
    <s v="DEFAULT"/>
    <s v="DEFAULT"/>
    <m/>
    <x v="9"/>
    <s v="MONTHLY"/>
    <s v=""/>
    <s v=""/>
    <s v=""/>
    <s v=""/>
    <s v=""/>
    <s v="Year 1 Pupil Numbers"/>
    <s v="From Table 3 of School census collection: Autumn"/>
    <n v="0"/>
    <m/>
    <m/>
    <b v="0"/>
    <x v="4"/>
    <b v="0"/>
    <m/>
  </r>
  <r>
    <n v="1"/>
    <x v="1"/>
    <m/>
    <x v="59"/>
    <s v="SPE"/>
    <s v="DEFAULT"/>
    <s v="DEFAULT"/>
    <m/>
    <x v="10"/>
    <s v="MONTHLY"/>
    <s v=""/>
    <s v=""/>
    <s v=""/>
    <s v=""/>
    <s v=""/>
    <s v="Year 2 Pupil Numbers"/>
    <s v="From Table 3 of School census collection: Autumn"/>
    <n v="0"/>
    <m/>
    <m/>
    <b v="0"/>
    <x v="4"/>
    <b v="0"/>
    <m/>
  </r>
  <r>
    <n v="1"/>
    <x v="1"/>
    <m/>
    <x v="60"/>
    <s v="SPE"/>
    <s v="DEFAULT"/>
    <s v="DEFAULT"/>
    <m/>
    <x v="11"/>
    <s v="MONTHLY"/>
    <s v=""/>
    <s v=""/>
    <s v=""/>
    <s v=""/>
    <s v=""/>
    <s v="Year 3 Pupil Numbers"/>
    <s v="From Table 3 of School census collection: Autumn"/>
    <n v="0"/>
    <m/>
    <m/>
    <b v="0"/>
    <x v="4"/>
    <b v="0"/>
    <m/>
  </r>
  <r>
    <n v="1"/>
    <x v="1"/>
    <m/>
    <x v="61"/>
    <s v="SPE"/>
    <s v="DEFAULT"/>
    <s v="DEFAULT"/>
    <m/>
    <x v="12"/>
    <s v="MONTHLY"/>
    <s v=""/>
    <s v=""/>
    <s v=""/>
    <s v=""/>
    <s v=""/>
    <s v="Year 4 Pupil Numbers"/>
    <s v="From Table 3 of School census collection: Autumn"/>
    <n v="0"/>
    <m/>
    <m/>
    <b v="0"/>
    <x v="4"/>
    <b v="0"/>
    <m/>
  </r>
  <r>
    <n v="1"/>
    <x v="1"/>
    <m/>
    <x v="62"/>
    <s v="SPE"/>
    <s v="DEFAULT"/>
    <s v="DEFAULT"/>
    <m/>
    <x v="13"/>
    <s v="MONTHLY"/>
    <s v=""/>
    <s v=""/>
    <s v=""/>
    <s v=""/>
    <s v=""/>
    <s v="Year 5 Pupil Numbers"/>
    <s v="From Table 3 of School census collection: Autumn"/>
    <n v="0"/>
    <m/>
    <m/>
    <b v="0"/>
    <x v="4"/>
    <b v="0"/>
    <m/>
  </r>
  <r>
    <n v="1"/>
    <x v="1"/>
    <m/>
    <x v="63"/>
    <s v="SPE"/>
    <s v="DEFAULT"/>
    <s v="DEFAULT"/>
    <m/>
    <x v="14"/>
    <s v="MONTHLY"/>
    <s v=""/>
    <s v=""/>
    <s v=""/>
    <s v=""/>
    <s v=""/>
    <s v="Year 6 Pupil Numbers"/>
    <s v="From Table 3 of School census collection: Autumn"/>
    <n v="0"/>
    <m/>
    <m/>
    <b v="0"/>
    <x v="4"/>
    <b v="0"/>
    <m/>
  </r>
  <r>
    <n v="1"/>
    <x v="1"/>
    <m/>
    <x v="64"/>
    <s v="SPE"/>
    <s v="DEFAULT"/>
    <s v="DEFAULT"/>
    <m/>
    <x v="7"/>
    <s v="MONTHLY"/>
    <s v=""/>
    <s v=""/>
    <s v=""/>
    <s v=""/>
    <s v=""/>
    <s v="Year 7 Pupil Numbers"/>
    <s v="From Table 3 of School census collection: Autumn"/>
    <n v="0"/>
    <m/>
    <m/>
    <b v="0"/>
    <x v="4"/>
    <b v="0"/>
    <m/>
  </r>
  <r>
    <n v="1"/>
    <x v="1"/>
    <m/>
    <x v="65"/>
    <s v="SPE"/>
    <s v="DEFAULT"/>
    <s v="DEFAULT"/>
    <m/>
    <x v="15"/>
    <s v="MONTHLY"/>
    <s v=""/>
    <s v=""/>
    <s v=""/>
    <s v=""/>
    <s v=""/>
    <s v="Year 8 Pupil Numbers"/>
    <s v="From Table 3 of School census collection: Autumn"/>
    <n v="0"/>
    <m/>
    <m/>
    <b v="0"/>
    <x v="4"/>
    <b v="0"/>
    <m/>
  </r>
  <r>
    <n v="1"/>
    <x v="1"/>
    <m/>
    <x v="66"/>
    <s v="SPE"/>
    <s v="DEFAULT"/>
    <s v="DEFAULT"/>
    <m/>
    <x v="16"/>
    <s v="MONTHLY"/>
    <s v=""/>
    <s v=""/>
    <s v=""/>
    <s v=""/>
    <s v=""/>
    <s v="Year 9 Pupil Numbers"/>
    <s v="From Table 3 of School census collection: Autumn"/>
    <n v="0"/>
    <m/>
    <m/>
    <b v="0"/>
    <x v="4"/>
    <b v="0"/>
    <m/>
  </r>
  <r>
    <n v="1"/>
    <x v="1"/>
    <m/>
    <x v="67"/>
    <s v="SPE"/>
    <s v="DEFAULT"/>
    <s v="DEFAULT"/>
    <m/>
    <x v="17"/>
    <s v="MONTHLY"/>
    <s v=""/>
    <s v=""/>
    <s v=""/>
    <s v=""/>
    <s v=""/>
    <s v="Year 10 Pupil Numbers"/>
    <s v="From Table 3 of School census collection: Autumn"/>
    <n v="0"/>
    <m/>
    <m/>
    <b v="0"/>
    <x v="4"/>
    <b v="0"/>
    <m/>
  </r>
  <r>
    <n v="1"/>
    <x v="1"/>
    <m/>
    <x v="68"/>
    <s v="SPE"/>
    <s v="DEFAULT"/>
    <s v="DEFAULT"/>
    <m/>
    <x v="18"/>
    <s v="MONTHLY"/>
    <s v=""/>
    <s v=""/>
    <s v=""/>
    <s v=""/>
    <s v=""/>
    <s v="Year 11 Pupil Numbers"/>
    <s v="From Table 3 of School census collection: Autumn"/>
    <n v="0"/>
    <m/>
    <m/>
    <b v="0"/>
    <x v="4"/>
    <b v="0"/>
    <m/>
  </r>
  <r>
    <n v="1"/>
    <x v="1"/>
    <m/>
    <x v="69"/>
    <s v="SPE"/>
    <s v="DEFAULT"/>
    <s v="DEFAULT"/>
    <m/>
    <x v="7"/>
    <s v="MONTHLY"/>
    <s v=""/>
    <s v=""/>
    <s v=""/>
    <s v=""/>
    <s v=""/>
    <s v="Year 12 Pupil Numbers"/>
    <s v="From Table 3 of School census collection: Autumn"/>
    <n v="0"/>
    <m/>
    <m/>
    <b v="0"/>
    <x v="4"/>
    <b v="0"/>
    <m/>
  </r>
  <r>
    <n v="1"/>
    <x v="1"/>
    <m/>
    <x v="70"/>
    <s v="SPE"/>
    <s v="DEFAULT"/>
    <s v="DEFAULT"/>
    <m/>
    <x v="19"/>
    <s v="MONTHLY"/>
    <s v=""/>
    <s v=""/>
    <s v=""/>
    <s v=""/>
    <s v=""/>
    <s v="Year 13 Pupil Numbers"/>
    <s v="From Table 3 of School census collection: Autumn"/>
    <n v="0"/>
    <m/>
    <m/>
    <b v="0"/>
    <x v="4"/>
    <b v="0"/>
    <m/>
  </r>
  <r>
    <n v="1"/>
    <x v="1"/>
    <m/>
    <x v="71"/>
    <s v="SPE"/>
    <s v="DEFAULT"/>
    <s v="DEFAULT"/>
    <m/>
    <x v="20"/>
    <s v="MONTHLY"/>
    <s v=""/>
    <s v=""/>
    <s v=""/>
    <s v=""/>
    <s v=""/>
    <s v="Year 14 Pupil Numbers"/>
    <s v="From Table 3 of School census collection: Autumn"/>
    <n v="0"/>
    <m/>
    <m/>
    <b v="0"/>
    <x v="4"/>
    <b v="0"/>
    <m/>
  </r>
  <r>
    <n v="1"/>
    <x v="1"/>
    <m/>
    <x v="56"/>
    <s v="SPE"/>
    <s v="DEFAULT"/>
    <s v="DEFAULT"/>
    <m/>
    <x v="7"/>
    <s v="MONTHLY"/>
    <s v=""/>
    <s v=""/>
    <s v=""/>
    <s v=""/>
    <s v=""/>
    <s v="Nursery Pupil Numbers"/>
    <s v="N1 &amp; N2 from Table 3 of School census collection: Autumn"/>
    <n v="0"/>
    <m/>
    <m/>
    <b v="0"/>
    <x v="5"/>
    <b v="0"/>
    <m/>
  </r>
  <r>
    <n v="1"/>
    <x v="1"/>
    <m/>
    <x v="57"/>
    <s v="SPE"/>
    <s v="DEFAULT"/>
    <s v="DEFAULT"/>
    <m/>
    <x v="7"/>
    <s v="MONTHLY"/>
    <s v=""/>
    <s v=""/>
    <s v=""/>
    <s v=""/>
    <s v=""/>
    <s v="Reception Pupil Numbers"/>
    <s v="From Table 3 of School census collection: Autumn"/>
    <n v="0"/>
    <m/>
    <m/>
    <b v="0"/>
    <x v="5"/>
    <b v="0"/>
    <m/>
  </r>
  <r>
    <n v="1"/>
    <x v="1"/>
    <m/>
    <x v="58"/>
    <s v="SPE"/>
    <s v="DEFAULT"/>
    <s v="DEFAULT"/>
    <m/>
    <x v="9"/>
    <s v="MONTHLY"/>
    <s v=""/>
    <s v=""/>
    <s v=""/>
    <s v=""/>
    <s v=""/>
    <s v="Year 1 Pupil Numbers"/>
    <s v="From Table 3 of School census collection: Autumn"/>
    <n v="0"/>
    <m/>
    <m/>
    <b v="0"/>
    <x v="5"/>
    <b v="0"/>
    <m/>
  </r>
  <r>
    <n v="1"/>
    <x v="1"/>
    <m/>
    <x v="59"/>
    <s v="SPE"/>
    <s v="DEFAULT"/>
    <s v="DEFAULT"/>
    <m/>
    <x v="10"/>
    <s v="MONTHLY"/>
    <s v=""/>
    <s v=""/>
    <s v=""/>
    <s v=""/>
    <s v=""/>
    <s v="Year 2 Pupil Numbers"/>
    <s v="From Table 3 of School census collection: Autumn"/>
    <n v="0"/>
    <m/>
    <m/>
    <b v="0"/>
    <x v="5"/>
    <b v="0"/>
    <m/>
  </r>
  <r>
    <n v="1"/>
    <x v="1"/>
    <m/>
    <x v="60"/>
    <s v="SPE"/>
    <s v="DEFAULT"/>
    <s v="DEFAULT"/>
    <m/>
    <x v="11"/>
    <s v="MONTHLY"/>
    <s v=""/>
    <s v=""/>
    <s v=""/>
    <s v=""/>
    <s v=""/>
    <s v="Year 3 Pupil Numbers"/>
    <s v="From Table 3 of School census collection: Autumn"/>
    <n v="0"/>
    <m/>
    <m/>
    <b v="0"/>
    <x v="5"/>
    <b v="0"/>
    <m/>
  </r>
  <r>
    <n v="1"/>
    <x v="1"/>
    <m/>
    <x v="61"/>
    <s v="SPE"/>
    <s v="DEFAULT"/>
    <s v="DEFAULT"/>
    <m/>
    <x v="12"/>
    <s v="MONTHLY"/>
    <s v=""/>
    <s v=""/>
    <s v=""/>
    <s v=""/>
    <s v=""/>
    <s v="Year 4 Pupil Numbers"/>
    <s v="From Table 3 of School census collection: Autumn"/>
    <n v="0"/>
    <m/>
    <m/>
    <b v="0"/>
    <x v="5"/>
    <b v="0"/>
    <m/>
  </r>
  <r>
    <n v="1"/>
    <x v="1"/>
    <m/>
    <x v="62"/>
    <s v="SPE"/>
    <s v="DEFAULT"/>
    <s v="DEFAULT"/>
    <m/>
    <x v="13"/>
    <s v="MONTHLY"/>
    <s v=""/>
    <s v=""/>
    <s v=""/>
    <s v=""/>
    <s v=""/>
    <s v="Year 5 Pupil Numbers"/>
    <s v="From Table 3 of School census collection: Autumn"/>
    <n v="0"/>
    <m/>
    <m/>
    <b v="0"/>
    <x v="5"/>
    <b v="0"/>
    <m/>
  </r>
  <r>
    <n v="1"/>
    <x v="1"/>
    <m/>
    <x v="63"/>
    <s v="SPE"/>
    <s v="DEFAULT"/>
    <s v="DEFAULT"/>
    <m/>
    <x v="14"/>
    <s v="MONTHLY"/>
    <s v=""/>
    <s v=""/>
    <s v=""/>
    <s v=""/>
    <s v=""/>
    <s v="Year 6 Pupil Numbers"/>
    <s v="From Table 3 of School census collection: Autumn"/>
    <n v="0"/>
    <m/>
    <m/>
    <b v="0"/>
    <x v="5"/>
    <b v="0"/>
    <m/>
  </r>
  <r>
    <n v="1"/>
    <x v="1"/>
    <m/>
    <x v="64"/>
    <s v="SPE"/>
    <s v="DEFAULT"/>
    <s v="DEFAULT"/>
    <m/>
    <x v="7"/>
    <s v="MONTHLY"/>
    <s v=""/>
    <s v=""/>
    <s v=""/>
    <s v=""/>
    <s v=""/>
    <s v="Year 7 Pupil Numbers"/>
    <s v="From Table 3 of School census collection: Autumn"/>
    <n v="0"/>
    <m/>
    <m/>
    <b v="0"/>
    <x v="5"/>
    <b v="0"/>
    <m/>
  </r>
  <r>
    <n v="1"/>
    <x v="1"/>
    <m/>
    <x v="65"/>
    <s v="SPE"/>
    <s v="DEFAULT"/>
    <s v="DEFAULT"/>
    <m/>
    <x v="15"/>
    <s v="MONTHLY"/>
    <s v=""/>
    <s v=""/>
    <s v=""/>
    <s v=""/>
    <s v=""/>
    <s v="Year 8 Pupil Numbers"/>
    <s v="From Table 3 of School census collection: Autumn"/>
    <n v="0"/>
    <m/>
    <m/>
    <b v="0"/>
    <x v="5"/>
    <b v="0"/>
    <m/>
  </r>
  <r>
    <n v="1"/>
    <x v="1"/>
    <m/>
    <x v="66"/>
    <s v="SPE"/>
    <s v="DEFAULT"/>
    <s v="DEFAULT"/>
    <m/>
    <x v="16"/>
    <s v="MONTHLY"/>
    <s v=""/>
    <s v=""/>
    <s v=""/>
    <s v=""/>
    <s v=""/>
    <s v="Year 9 Pupil Numbers"/>
    <s v="From Table 3 of School census collection: Autumn"/>
    <n v="0"/>
    <m/>
    <m/>
    <b v="0"/>
    <x v="5"/>
    <b v="0"/>
    <m/>
  </r>
  <r>
    <n v="1"/>
    <x v="1"/>
    <m/>
    <x v="67"/>
    <s v="SPE"/>
    <s v="DEFAULT"/>
    <s v="DEFAULT"/>
    <m/>
    <x v="17"/>
    <s v="MONTHLY"/>
    <s v=""/>
    <s v=""/>
    <s v=""/>
    <s v=""/>
    <s v=""/>
    <s v="Year 10 Pupil Numbers"/>
    <s v="From Table 3 of School census collection: Autumn"/>
    <n v="0"/>
    <m/>
    <m/>
    <b v="0"/>
    <x v="5"/>
    <b v="0"/>
    <m/>
  </r>
  <r>
    <n v="1"/>
    <x v="1"/>
    <m/>
    <x v="68"/>
    <s v="SPE"/>
    <s v="DEFAULT"/>
    <s v="DEFAULT"/>
    <m/>
    <x v="18"/>
    <s v="MONTHLY"/>
    <s v=""/>
    <s v=""/>
    <s v=""/>
    <s v=""/>
    <s v=""/>
    <s v="Year 11 Pupil Numbers"/>
    <s v="From Table 3 of School census collection: Autumn"/>
    <n v="0"/>
    <m/>
    <m/>
    <b v="0"/>
    <x v="5"/>
    <b v="0"/>
    <m/>
  </r>
  <r>
    <n v="1"/>
    <x v="1"/>
    <m/>
    <x v="69"/>
    <s v="SPE"/>
    <s v="DEFAULT"/>
    <s v="DEFAULT"/>
    <m/>
    <x v="7"/>
    <s v="MONTHLY"/>
    <s v=""/>
    <s v=""/>
    <s v=""/>
    <s v=""/>
    <s v=""/>
    <s v="Year 12 Pupil Numbers"/>
    <s v="From Table 3 of School census collection: Autumn"/>
    <n v="0"/>
    <m/>
    <m/>
    <b v="0"/>
    <x v="5"/>
    <b v="0"/>
    <m/>
  </r>
  <r>
    <n v="1"/>
    <x v="1"/>
    <m/>
    <x v="70"/>
    <s v="SPE"/>
    <s v="DEFAULT"/>
    <s v="DEFAULT"/>
    <m/>
    <x v="19"/>
    <s v="MONTHLY"/>
    <s v=""/>
    <s v=""/>
    <s v=""/>
    <s v=""/>
    <s v=""/>
    <s v="Year 13 Pupil Numbers"/>
    <s v="From Table 3 of School census collection: Autumn"/>
    <n v="0"/>
    <m/>
    <m/>
    <b v="0"/>
    <x v="5"/>
    <b v="0"/>
    <m/>
  </r>
  <r>
    <n v="1"/>
    <x v="1"/>
    <m/>
    <x v="71"/>
    <s v="SPE"/>
    <s v="DEFAULT"/>
    <s v="DEFAULT"/>
    <m/>
    <x v="20"/>
    <s v="MONTHLY"/>
    <s v=""/>
    <s v=""/>
    <s v=""/>
    <s v=""/>
    <s v=""/>
    <s v="Year 14 Pupil Numbers"/>
    <s v="From Table 3 of School census collection: Autumn"/>
    <n v="0"/>
    <m/>
    <m/>
    <b v="0"/>
    <x v="5"/>
    <b v="0"/>
    <m/>
  </r>
  <r>
    <n v="1"/>
    <x v="1"/>
    <m/>
    <x v="56"/>
    <s v="SPE"/>
    <s v="DEFAULT"/>
    <s v="DEFAULT"/>
    <m/>
    <x v="7"/>
    <s v="MONTHLY"/>
    <s v=""/>
    <s v=""/>
    <s v=""/>
    <s v=""/>
    <s v=""/>
    <s v="Nursery Pupil Numbers"/>
    <s v="N1 &amp; N2 from Table 3 of School census collection: Autumn"/>
    <n v="0"/>
    <m/>
    <m/>
    <b v="0"/>
    <x v="6"/>
    <b v="0"/>
    <m/>
  </r>
  <r>
    <n v="1"/>
    <x v="1"/>
    <m/>
    <x v="57"/>
    <s v="SPE"/>
    <s v="DEFAULT"/>
    <s v="DEFAULT"/>
    <m/>
    <x v="7"/>
    <s v="MONTHLY"/>
    <s v=""/>
    <s v=""/>
    <s v=""/>
    <s v=""/>
    <s v=""/>
    <s v="Reception Pupil Numbers"/>
    <s v="From Table 3 of School census collection: Autumn"/>
    <n v="0"/>
    <m/>
    <m/>
    <b v="0"/>
    <x v="6"/>
    <b v="0"/>
    <m/>
  </r>
  <r>
    <n v="1"/>
    <x v="1"/>
    <m/>
    <x v="58"/>
    <s v="SPE"/>
    <s v="DEFAULT"/>
    <s v="DEFAULT"/>
    <m/>
    <x v="9"/>
    <s v="MONTHLY"/>
    <s v=""/>
    <s v=""/>
    <s v=""/>
    <s v=""/>
    <s v=""/>
    <s v="Year 1 Pupil Numbers"/>
    <s v="From Table 3 of School census collection: Autumn"/>
    <n v="0"/>
    <m/>
    <m/>
    <b v="0"/>
    <x v="6"/>
    <b v="0"/>
    <m/>
  </r>
  <r>
    <n v="1"/>
    <x v="1"/>
    <m/>
    <x v="59"/>
    <s v="SPE"/>
    <s v="DEFAULT"/>
    <s v="DEFAULT"/>
    <m/>
    <x v="10"/>
    <s v="MONTHLY"/>
    <s v=""/>
    <s v=""/>
    <s v=""/>
    <s v=""/>
    <s v=""/>
    <s v="Year 2 Pupil Numbers"/>
    <s v="From Table 3 of School census collection: Autumn"/>
    <n v="0"/>
    <m/>
    <m/>
    <b v="0"/>
    <x v="6"/>
    <b v="0"/>
    <m/>
  </r>
  <r>
    <n v="1"/>
    <x v="1"/>
    <m/>
    <x v="60"/>
    <s v="SPE"/>
    <s v="DEFAULT"/>
    <s v="DEFAULT"/>
    <m/>
    <x v="11"/>
    <s v="MONTHLY"/>
    <s v=""/>
    <s v=""/>
    <s v=""/>
    <s v=""/>
    <s v=""/>
    <s v="Year 3 Pupil Numbers"/>
    <s v="From Table 3 of School census collection: Autumn"/>
    <n v="0"/>
    <m/>
    <m/>
    <b v="0"/>
    <x v="6"/>
    <b v="0"/>
    <m/>
  </r>
  <r>
    <n v="1"/>
    <x v="1"/>
    <m/>
    <x v="61"/>
    <s v="SPE"/>
    <s v="DEFAULT"/>
    <s v="DEFAULT"/>
    <m/>
    <x v="12"/>
    <s v="MONTHLY"/>
    <s v=""/>
    <s v=""/>
    <s v=""/>
    <s v=""/>
    <s v=""/>
    <s v="Year 4 Pupil Numbers"/>
    <s v="From Table 3 of School census collection: Autumn"/>
    <n v="0"/>
    <m/>
    <m/>
    <b v="0"/>
    <x v="6"/>
    <b v="0"/>
    <m/>
  </r>
  <r>
    <n v="1"/>
    <x v="1"/>
    <m/>
    <x v="62"/>
    <s v="SPE"/>
    <s v="DEFAULT"/>
    <s v="DEFAULT"/>
    <m/>
    <x v="13"/>
    <s v="MONTHLY"/>
    <s v=""/>
    <s v=""/>
    <s v=""/>
    <s v=""/>
    <s v=""/>
    <s v="Year 5 Pupil Numbers"/>
    <s v="From Table 3 of School census collection: Autumn"/>
    <n v="0"/>
    <m/>
    <m/>
    <b v="0"/>
    <x v="6"/>
    <b v="0"/>
    <m/>
  </r>
  <r>
    <n v="1"/>
    <x v="1"/>
    <m/>
    <x v="63"/>
    <s v="SPE"/>
    <s v="DEFAULT"/>
    <s v="DEFAULT"/>
    <m/>
    <x v="14"/>
    <s v="MONTHLY"/>
    <s v=""/>
    <s v=""/>
    <s v=""/>
    <s v=""/>
    <s v=""/>
    <s v="Year 6 Pupil Numbers"/>
    <s v="From Table 3 of School census collection: Autumn"/>
    <n v="0"/>
    <m/>
    <m/>
    <b v="0"/>
    <x v="6"/>
    <b v="0"/>
    <m/>
  </r>
  <r>
    <n v="1"/>
    <x v="1"/>
    <m/>
    <x v="64"/>
    <s v="SPE"/>
    <s v="DEFAULT"/>
    <s v="DEFAULT"/>
    <m/>
    <x v="7"/>
    <s v="MONTHLY"/>
    <s v=""/>
    <s v=""/>
    <s v=""/>
    <s v=""/>
    <s v=""/>
    <s v="Year 7 Pupil Numbers"/>
    <s v="From Table 3 of School census collection: Autumn"/>
    <n v="0"/>
    <m/>
    <m/>
    <b v="0"/>
    <x v="6"/>
    <b v="0"/>
    <m/>
  </r>
  <r>
    <n v="1"/>
    <x v="1"/>
    <m/>
    <x v="65"/>
    <s v="SPE"/>
    <s v="DEFAULT"/>
    <s v="DEFAULT"/>
    <m/>
    <x v="15"/>
    <s v="MONTHLY"/>
    <s v=""/>
    <s v=""/>
    <s v=""/>
    <s v=""/>
    <s v=""/>
    <s v="Year 8 Pupil Numbers"/>
    <s v="From Table 3 of School census collection: Autumn"/>
    <n v="0"/>
    <m/>
    <m/>
    <b v="0"/>
    <x v="6"/>
    <b v="0"/>
    <m/>
  </r>
  <r>
    <n v="1"/>
    <x v="1"/>
    <m/>
    <x v="66"/>
    <s v="SPE"/>
    <s v="DEFAULT"/>
    <s v="DEFAULT"/>
    <m/>
    <x v="16"/>
    <s v="MONTHLY"/>
    <s v=""/>
    <s v=""/>
    <s v=""/>
    <s v=""/>
    <s v=""/>
    <s v="Year 9 Pupil Numbers"/>
    <s v="From Table 3 of School census collection: Autumn"/>
    <n v="0"/>
    <m/>
    <m/>
    <b v="0"/>
    <x v="6"/>
    <b v="0"/>
    <m/>
  </r>
  <r>
    <n v="1"/>
    <x v="1"/>
    <m/>
    <x v="67"/>
    <s v="SPE"/>
    <s v="DEFAULT"/>
    <s v="DEFAULT"/>
    <m/>
    <x v="17"/>
    <s v="MONTHLY"/>
    <s v=""/>
    <s v=""/>
    <s v=""/>
    <s v=""/>
    <s v=""/>
    <s v="Year 10 Pupil Numbers"/>
    <s v="From Table 3 of School census collection: Autumn"/>
    <n v="0"/>
    <m/>
    <m/>
    <b v="0"/>
    <x v="6"/>
    <b v="0"/>
    <m/>
  </r>
  <r>
    <n v="1"/>
    <x v="1"/>
    <m/>
    <x v="68"/>
    <s v="SPE"/>
    <s v="DEFAULT"/>
    <s v="DEFAULT"/>
    <m/>
    <x v="18"/>
    <s v="MONTHLY"/>
    <s v=""/>
    <s v=""/>
    <s v=""/>
    <s v=""/>
    <s v=""/>
    <s v="Year 11 Pupil Numbers"/>
    <s v="From Table 3 of School census collection: Autumn"/>
    <n v="0"/>
    <m/>
    <m/>
    <b v="0"/>
    <x v="6"/>
    <b v="0"/>
    <m/>
  </r>
  <r>
    <n v="1"/>
    <x v="1"/>
    <m/>
    <x v="69"/>
    <s v="SPE"/>
    <s v="DEFAULT"/>
    <s v="DEFAULT"/>
    <m/>
    <x v="7"/>
    <s v="MONTHLY"/>
    <s v=""/>
    <s v=""/>
    <s v=""/>
    <s v=""/>
    <s v=""/>
    <s v="Year 12 Pupil Numbers"/>
    <s v="From Table 3 of School census collection: Autumn"/>
    <n v="0"/>
    <m/>
    <m/>
    <b v="0"/>
    <x v="6"/>
    <b v="0"/>
    <m/>
  </r>
  <r>
    <n v="1"/>
    <x v="1"/>
    <m/>
    <x v="70"/>
    <s v="SPE"/>
    <s v="DEFAULT"/>
    <s v="DEFAULT"/>
    <m/>
    <x v="19"/>
    <s v="MONTHLY"/>
    <s v=""/>
    <s v=""/>
    <s v=""/>
    <s v=""/>
    <s v=""/>
    <s v="Year 13 Pupil Numbers"/>
    <s v="From Table 3 of School census collection: Autumn"/>
    <n v="0"/>
    <m/>
    <m/>
    <b v="0"/>
    <x v="6"/>
    <b v="0"/>
    <m/>
  </r>
  <r>
    <n v="1"/>
    <x v="1"/>
    <m/>
    <x v="71"/>
    <s v="SPE"/>
    <s v="DEFAULT"/>
    <s v="DEFAULT"/>
    <m/>
    <x v="20"/>
    <s v="MONTHLY"/>
    <s v=""/>
    <s v=""/>
    <s v=""/>
    <s v=""/>
    <s v=""/>
    <s v="Year 14 Pupil Numbers"/>
    <s v="From Table 3 of School census collection: Autumn"/>
    <n v="0"/>
    <m/>
    <m/>
    <b v="0"/>
    <x v="6"/>
    <b v="0"/>
    <m/>
  </r>
  <r>
    <n v="0"/>
    <x v="1"/>
    <m/>
    <x v="99"/>
    <s v="PRI"/>
    <s v="DEFAULT"/>
    <s v="DEFAULT"/>
    <m/>
    <x v="37"/>
    <s v="MONTHLY"/>
    <s v=""/>
    <s v=""/>
    <s v=""/>
    <s v=""/>
    <s v=""/>
    <s v="Recovery Premium Pupil Numbers - Primary"/>
    <m/>
    <n v="0"/>
    <m/>
    <m/>
    <b v="0"/>
    <x v="2"/>
    <b v="1"/>
    <m/>
  </r>
  <r>
    <n v="0"/>
    <x v="1"/>
    <m/>
    <x v="100"/>
    <s v="SEC"/>
    <s v="DEFAULT"/>
    <s v="DEFAULT"/>
    <m/>
    <x v="38"/>
    <s v="MONTHLY"/>
    <s v=""/>
    <s v=""/>
    <s v=""/>
    <s v=""/>
    <s v=""/>
    <s v="Recovery Premium Pupil Numbers - Secondary"/>
    <m/>
    <n v="0"/>
    <m/>
    <m/>
    <b v="0"/>
    <x v="2"/>
    <b v="1"/>
    <m/>
  </r>
  <r>
    <n v="0"/>
    <x v="1"/>
    <m/>
    <x v="99"/>
    <s v="ALL"/>
    <s v="DEFAULT"/>
    <s v="DEFAULT"/>
    <m/>
    <x v="37"/>
    <s v="MONTHLY"/>
    <s v=""/>
    <s v=""/>
    <s v=""/>
    <s v=""/>
    <s v=""/>
    <s v="Recovery Premium Pupil Numbers - Primary"/>
    <m/>
    <n v="0"/>
    <m/>
    <m/>
    <b v="0"/>
    <x v="2"/>
    <b v="1"/>
    <m/>
  </r>
  <r>
    <n v="0"/>
    <x v="1"/>
    <m/>
    <x v="100"/>
    <s v="ALL"/>
    <s v="DEFAULT"/>
    <s v="DEFAULT"/>
    <m/>
    <x v="38"/>
    <s v="MONTHLY"/>
    <s v=""/>
    <s v=""/>
    <s v=""/>
    <s v=""/>
    <s v=""/>
    <s v="Recovery Premium Pupil Numbers - Secondary"/>
    <m/>
    <n v="0"/>
    <m/>
    <m/>
    <b v="0"/>
    <x v="2"/>
    <b v="1"/>
    <m/>
  </r>
  <r>
    <n v="0"/>
    <x v="1"/>
    <m/>
    <x v="99"/>
    <s v="SPE"/>
    <s v="DEFAULT"/>
    <s v="DEFAULT"/>
    <m/>
    <x v="37"/>
    <s v="MONTHLY"/>
    <s v=""/>
    <s v=""/>
    <s v=""/>
    <s v=""/>
    <s v=""/>
    <s v="Recovery Premium Pupil Numbers - Primary"/>
    <m/>
    <n v="0"/>
    <m/>
    <m/>
    <b v="0"/>
    <x v="2"/>
    <b v="1"/>
    <m/>
  </r>
  <r>
    <n v="0"/>
    <x v="1"/>
    <m/>
    <x v="100"/>
    <s v="SPE"/>
    <s v="DEFAULT"/>
    <s v="DEFAULT"/>
    <m/>
    <x v="38"/>
    <s v="MONTHLY"/>
    <s v=""/>
    <s v=""/>
    <s v=""/>
    <s v=""/>
    <s v=""/>
    <s v="Recovery Premium Pupil Numbers - Secondary"/>
    <m/>
    <n v="0"/>
    <m/>
    <m/>
    <b v="0"/>
    <x v="2"/>
    <b v="1"/>
    <m/>
  </r>
  <r>
    <n v="1"/>
    <x v="2"/>
    <m/>
    <x v="101"/>
    <s v="ALL"/>
    <s v="DEFAULT"/>
    <s v="DEFAULT"/>
    <m/>
    <x v="39"/>
    <s v="MONTHLY"/>
    <s v=""/>
    <s v=""/>
    <s v=""/>
    <s v=""/>
    <s v=""/>
    <s v="GAG AWPU/Basic Entitlement Primary"/>
    <s v="Funded Primary Numbers Multiplied by AWPU rate"/>
    <m/>
    <m/>
    <m/>
    <b v="0"/>
    <x v="0"/>
    <b v="1"/>
    <m/>
  </r>
  <r>
    <n v="1"/>
    <x v="2"/>
    <m/>
    <x v="101"/>
    <s v="ALL"/>
    <s v="DEFAULT"/>
    <s v="DEFAULT"/>
    <m/>
    <x v="40"/>
    <s v="MONTHLY"/>
    <s v=""/>
    <s v=""/>
    <s v=""/>
    <s v=""/>
    <s v=""/>
    <s v="GAG Deprivation Primary IDACI Band F"/>
    <s v="Entered Value from Funding Statement"/>
    <m/>
    <m/>
    <m/>
    <b v="0"/>
    <x v="0"/>
    <b v="0"/>
    <m/>
  </r>
  <r>
    <n v="1"/>
    <x v="2"/>
    <m/>
    <x v="101"/>
    <s v="ALL"/>
    <s v="DEFAULT"/>
    <s v="DEFAULT"/>
    <m/>
    <x v="40"/>
    <s v="MONTHLY"/>
    <s v=""/>
    <s v=""/>
    <s v=""/>
    <s v=""/>
    <s v=""/>
    <s v="GAG Deprivation Primary IDACI Band E"/>
    <s v="Entered Value from Funding Statement"/>
    <m/>
    <m/>
    <m/>
    <b v="0"/>
    <x v="0"/>
    <b v="0"/>
    <m/>
  </r>
  <r>
    <n v="1"/>
    <x v="2"/>
    <m/>
    <x v="101"/>
    <s v="ALL"/>
    <s v="DEFAULT"/>
    <s v="DEFAULT"/>
    <m/>
    <x v="40"/>
    <s v="MONTHLY"/>
    <s v=""/>
    <s v=""/>
    <s v=""/>
    <s v=""/>
    <s v=""/>
    <s v="GAG Deprivation Primary IDACI Band D"/>
    <s v="Entered Value from Funding Statement"/>
    <m/>
    <m/>
    <m/>
    <b v="0"/>
    <x v="0"/>
    <b v="0"/>
    <m/>
  </r>
  <r>
    <n v="1"/>
    <x v="2"/>
    <m/>
    <x v="101"/>
    <s v="ALL"/>
    <s v="DEFAULT"/>
    <s v="DEFAULT"/>
    <m/>
    <x v="40"/>
    <s v="MONTHLY"/>
    <s v=""/>
    <s v=""/>
    <s v=""/>
    <s v=""/>
    <s v=""/>
    <s v="GAG Deprivation Primary IDACI Band C"/>
    <s v="Entered Value from Funding Statement"/>
    <m/>
    <m/>
    <m/>
    <b v="0"/>
    <x v="0"/>
    <b v="0"/>
    <m/>
  </r>
  <r>
    <n v="1"/>
    <x v="2"/>
    <m/>
    <x v="101"/>
    <s v="ALL"/>
    <s v="DEFAULT"/>
    <s v="DEFAULT"/>
    <m/>
    <x v="40"/>
    <s v="MONTHLY"/>
    <s v=""/>
    <s v=""/>
    <s v=""/>
    <s v=""/>
    <s v=""/>
    <s v="GAG Deprivation Primary IDACI Band B"/>
    <s v="Entered Value from Funding Statement"/>
    <m/>
    <m/>
    <m/>
    <b v="0"/>
    <x v="0"/>
    <b v="0"/>
    <m/>
  </r>
  <r>
    <n v="1"/>
    <x v="2"/>
    <m/>
    <x v="101"/>
    <s v="ALL"/>
    <s v="DEFAULT"/>
    <s v="DEFAULT"/>
    <m/>
    <x v="40"/>
    <s v="MONTHLY"/>
    <s v=""/>
    <s v=""/>
    <s v=""/>
    <s v=""/>
    <s v=""/>
    <s v="GAG Deprivation Primary IDACI Band A"/>
    <s v="Entered Value from Funding Statement"/>
    <m/>
    <m/>
    <m/>
    <b v="0"/>
    <x v="0"/>
    <b v="0"/>
    <m/>
  </r>
  <r>
    <n v="1"/>
    <x v="2"/>
    <m/>
    <x v="101"/>
    <s v="ALL"/>
    <s v="DEFAULT"/>
    <s v="DEFAULT"/>
    <m/>
    <x v="40"/>
    <s v="MONTHLY"/>
    <s v=""/>
    <s v=""/>
    <s v=""/>
    <s v=""/>
    <s v=""/>
    <s v="GAG Deprivation Primary FSM"/>
    <s v="Entered Value from Funding Statement"/>
    <m/>
    <m/>
    <m/>
    <b v="0"/>
    <x v="0"/>
    <b v="0"/>
    <m/>
  </r>
  <r>
    <n v="1"/>
    <x v="2"/>
    <m/>
    <x v="101"/>
    <s v="ALL"/>
    <s v="DEFAULT"/>
    <s v="DEFAULT"/>
    <m/>
    <x v="40"/>
    <s v="MONTHLY"/>
    <s v=""/>
    <s v=""/>
    <s v=""/>
    <s v=""/>
    <s v=""/>
    <s v="GAG Deprivation Primary FSM6"/>
    <s v="Entered Value from Funding Statement"/>
    <m/>
    <m/>
    <m/>
    <b v="0"/>
    <x v="0"/>
    <b v="0"/>
    <m/>
  </r>
  <r>
    <n v="1"/>
    <x v="2"/>
    <m/>
    <x v="101"/>
    <s v="ALL"/>
    <s v="DEFAULT"/>
    <s v="DEFAULT"/>
    <m/>
    <x v="40"/>
    <s v="MONTHLY"/>
    <s v=""/>
    <s v=""/>
    <s v=""/>
    <s v=""/>
    <s v=""/>
    <s v="GAG Prior Attainment Primary"/>
    <s v="Entered Value from Funding Statement"/>
    <m/>
    <m/>
    <m/>
    <b v="0"/>
    <x v="0"/>
    <b v="0"/>
    <m/>
  </r>
  <r>
    <n v="1"/>
    <x v="2"/>
    <m/>
    <x v="101"/>
    <s v="ALL"/>
    <s v="DEFAULT"/>
    <s v="DEFAULT"/>
    <m/>
    <x v="40"/>
    <s v="MONTHLY"/>
    <s v=""/>
    <s v=""/>
    <s v=""/>
    <s v=""/>
    <s v=""/>
    <s v="GAG EAL Primary"/>
    <s v="Entered Value from Funding Statement"/>
    <m/>
    <m/>
    <m/>
    <b v="0"/>
    <x v="0"/>
    <b v="0"/>
    <m/>
  </r>
  <r>
    <n v="1"/>
    <x v="2"/>
    <m/>
    <x v="101"/>
    <s v="ALL"/>
    <s v="DEFAULT"/>
    <s v="DEFAULT"/>
    <m/>
    <x v="40"/>
    <s v="MONTHLY"/>
    <s v=""/>
    <s v=""/>
    <s v=""/>
    <s v=""/>
    <s v=""/>
    <s v="GAG Mobility Primary"/>
    <s v="Entered Value from Funding Statement"/>
    <m/>
    <m/>
    <m/>
    <b v="0"/>
    <x v="0"/>
    <b v="0"/>
    <m/>
  </r>
  <r>
    <n v="1"/>
    <x v="2"/>
    <m/>
    <x v="101"/>
    <s v="ALL"/>
    <s v="DEFAULT"/>
    <s v="DEFAULT"/>
    <m/>
    <x v="40"/>
    <s v="MONTHLY"/>
    <s v=""/>
    <s v=""/>
    <s v=""/>
    <s v=""/>
    <s v=""/>
    <s v="GAG Sparsity"/>
    <s v="Entered Value from Funding Statement"/>
    <m/>
    <m/>
    <m/>
    <b v="0"/>
    <x v="0"/>
    <b v="0"/>
    <m/>
  </r>
  <r>
    <n v="1"/>
    <x v="2"/>
    <m/>
    <x v="101"/>
    <s v="ALL"/>
    <s v="DEFAULT"/>
    <s v="DEFAULT"/>
    <m/>
    <x v="41"/>
    <s v="MONTHLY"/>
    <s v=""/>
    <s v=""/>
    <s v=""/>
    <s v=""/>
    <s v=""/>
    <s v="GAG Lump Sum Primary"/>
    <s v="Lump Sum value from statistics"/>
    <m/>
    <m/>
    <m/>
    <b v="0"/>
    <x v="0"/>
    <b v="1"/>
    <m/>
  </r>
  <r>
    <n v="1"/>
    <x v="2"/>
    <m/>
    <x v="101"/>
    <s v="ALL"/>
    <s v="DEFAULT"/>
    <s v="DEFAULT"/>
    <m/>
    <x v="40"/>
    <s v="MONTHLY"/>
    <s v=""/>
    <s v=""/>
    <s v=""/>
    <s v=""/>
    <s v=""/>
    <s v="GAG PFI"/>
    <s v="Entered Value from Funding Statement"/>
    <m/>
    <m/>
    <m/>
    <b v="0"/>
    <x v="0"/>
    <b v="0"/>
    <m/>
  </r>
  <r>
    <n v="1"/>
    <x v="2"/>
    <m/>
    <x v="101"/>
    <s v="ALL"/>
    <s v="DEFAULT"/>
    <s v="DEFAULT"/>
    <m/>
    <x v="40"/>
    <s v="MONTHLY"/>
    <s v=""/>
    <s v=""/>
    <s v=""/>
    <s v=""/>
    <s v=""/>
    <s v="GAG London Fringe"/>
    <s v="Entered Value from Funding Statement"/>
    <m/>
    <m/>
    <m/>
    <b v="0"/>
    <x v="0"/>
    <b v="0"/>
    <m/>
  </r>
  <r>
    <n v="1"/>
    <x v="2"/>
    <m/>
    <x v="101"/>
    <s v="ALL"/>
    <s v="DEFAULT"/>
    <s v="DEFAULT"/>
    <m/>
    <x v="8"/>
    <s v="MONTHLY"/>
    <s v=""/>
    <s v=""/>
    <s v=""/>
    <s v=""/>
    <s v=""/>
    <s v="GAG Minimum Funding Guarantee"/>
    <s v="MFG from funding statement section 1. Breakdown of academic year"/>
    <m/>
    <m/>
    <m/>
    <b v="0"/>
    <x v="0"/>
    <b v="0"/>
    <m/>
  </r>
  <r>
    <n v="1"/>
    <x v="2"/>
    <m/>
    <x v="101"/>
    <s v="ALL"/>
    <s v="DEFAULT"/>
    <s v="DEFAULT"/>
    <m/>
    <x v="42"/>
    <s v="MONTHLY"/>
    <s v=""/>
    <s v=""/>
    <s v=""/>
    <s v=""/>
    <s v=""/>
    <s v="GAG AWPU/Basic Entitlement KS3"/>
    <s v="Funded KS3 Numbers Multiplied by AWPU rate"/>
    <m/>
    <m/>
    <m/>
    <b v="0"/>
    <x v="0"/>
    <b v="1"/>
    <m/>
  </r>
  <r>
    <n v="1"/>
    <x v="2"/>
    <m/>
    <x v="101"/>
    <s v="ALL"/>
    <s v="DEFAULT"/>
    <s v="DEFAULT"/>
    <m/>
    <x v="43"/>
    <s v="MONTHLY"/>
    <s v=""/>
    <s v=""/>
    <s v=""/>
    <s v=""/>
    <s v=""/>
    <s v="GAG AWPU/Basic Entitlement KS4"/>
    <s v="Funded KS4 Numbers Multiplied by AWPU rate"/>
    <m/>
    <m/>
    <m/>
    <b v="0"/>
    <x v="0"/>
    <b v="1"/>
    <m/>
  </r>
  <r>
    <n v="1"/>
    <x v="2"/>
    <m/>
    <x v="101"/>
    <s v="ALL"/>
    <s v="DEFAULT"/>
    <s v="DEFAULT"/>
    <m/>
    <x v="40"/>
    <s v="MONTHLY"/>
    <s v=""/>
    <s v=""/>
    <s v=""/>
    <s v=""/>
    <s v=""/>
    <s v="GAG Deprivation Secondary IDACI Band F"/>
    <s v="Entered Value from Funding Statement"/>
    <m/>
    <m/>
    <m/>
    <b v="0"/>
    <x v="0"/>
    <b v="0"/>
    <m/>
  </r>
  <r>
    <n v="1"/>
    <x v="2"/>
    <m/>
    <x v="101"/>
    <s v="ALL"/>
    <s v="DEFAULT"/>
    <s v="DEFAULT"/>
    <m/>
    <x v="40"/>
    <s v="MONTHLY"/>
    <s v=""/>
    <s v=""/>
    <s v=""/>
    <s v=""/>
    <s v=""/>
    <s v="GAG Deprivation Secondary IDACI Band E"/>
    <s v="Entered Value from Funding Statement"/>
    <m/>
    <m/>
    <m/>
    <b v="0"/>
    <x v="0"/>
    <b v="0"/>
    <m/>
  </r>
  <r>
    <n v="1"/>
    <x v="2"/>
    <m/>
    <x v="101"/>
    <s v="ALL"/>
    <s v="DEFAULT"/>
    <s v="DEFAULT"/>
    <m/>
    <x v="40"/>
    <s v="MONTHLY"/>
    <s v=""/>
    <s v=""/>
    <s v=""/>
    <s v=""/>
    <s v=""/>
    <s v="GAG Deprivation Secondary IDACI Band D"/>
    <s v="Entered Value from Funding Statement"/>
    <m/>
    <m/>
    <m/>
    <b v="0"/>
    <x v="0"/>
    <b v="0"/>
    <m/>
  </r>
  <r>
    <n v="1"/>
    <x v="2"/>
    <m/>
    <x v="101"/>
    <s v="ALL"/>
    <s v="DEFAULT"/>
    <s v="DEFAULT"/>
    <m/>
    <x v="40"/>
    <s v="MONTHLY"/>
    <s v=""/>
    <s v=""/>
    <s v=""/>
    <s v=""/>
    <s v=""/>
    <s v="GAG Deprivation Secondary IDACI Band C"/>
    <s v="Entered Value from Funding Statement"/>
    <m/>
    <m/>
    <m/>
    <b v="0"/>
    <x v="0"/>
    <b v="0"/>
    <m/>
  </r>
  <r>
    <n v="1"/>
    <x v="2"/>
    <m/>
    <x v="101"/>
    <s v="ALL"/>
    <s v="DEFAULT"/>
    <s v="DEFAULT"/>
    <m/>
    <x v="40"/>
    <s v="MONTHLY"/>
    <s v=""/>
    <s v=""/>
    <s v=""/>
    <s v=""/>
    <s v=""/>
    <s v="GAG Deprivation Secondary IDACI Band B"/>
    <s v="Entered Value from Funding Statement"/>
    <m/>
    <m/>
    <m/>
    <b v="0"/>
    <x v="0"/>
    <b v="0"/>
    <m/>
  </r>
  <r>
    <n v="1"/>
    <x v="2"/>
    <m/>
    <x v="101"/>
    <s v="ALL"/>
    <s v="DEFAULT"/>
    <s v="DEFAULT"/>
    <m/>
    <x v="40"/>
    <s v="MONTHLY"/>
    <s v=""/>
    <s v=""/>
    <s v=""/>
    <s v=""/>
    <s v=""/>
    <s v="GAG Deprivation Secondary IDACI Band A"/>
    <s v="Entered Value from Funding Statement"/>
    <m/>
    <m/>
    <m/>
    <b v="0"/>
    <x v="0"/>
    <b v="0"/>
    <m/>
  </r>
  <r>
    <n v="1"/>
    <x v="2"/>
    <m/>
    <x v="101"/>
    <s v="ALL"/>
    <s v="DEFAULT"/>
    <s v="DEFAULT"/>
    <m/>
    <x v="40"/>
    <s v="MONTHLY"/>
    <s v=""/>
    <s v=""/>
    <s v=""/>
    <s v=""/>
    <s v=""/>
    <s v="GAG Deprivation Secondary FSM"/>
    <s v="Entered Value from Funding Statement"/>
    <m/>
    <m/>
    <m/>
    <b v="0"/>
    <x v="0"/>
    <b v="0"/>
    <m/>
  </r>
  <r>
    <n v="1"/>
    <x v="2"/>
    <m/>
    <x v="101"/>
    <s v="ALL"/>
    <s v="DEFAULT"/>
    <s v="DEFAULT"/>
    <m/>
    <x v="40"/>
    <s v="MONTHLY"/>
    <s v=""/>
    <s v=""/>
    <s v=""/>
    <s v=""/>
    <s v=""/>
    <s v="GAG Deprivation Secondary FSM6"/>
    <s v="Entered Value from Funding Statement"/>
    <m/>
    <m/>
    <m/>
    <b v="0"/>
    <x v="0"/>
    <b v="0"/>
    <m/>
  </r>
  <r>
    <n v="1"/>
    <x v="2"/>
    <m/>
    <x v="101"/>
    <s v="ALL"/>
    <s v="DEFAULT"/>
    <s v="DEFAULT"/>
    <m/>
    <x v="40"/>
    <s v="MONTHLY"/>
    <s v=""/>
    <s v=""/>
    <s v=""/>
    <s v=""/>
    <s v=""/>
    <s v="GAG Prior Attainment Secondary"/>
    <s v="Entered Value from Funding Statement"/>
    <m/>
    <m/>
    <m/>
    <b v="0"/>
    <x v="0"/>
    <b v="0"/>
    <m/>
  </r>
  <r>
    <n v="1"/>
    <x v="2"/>
    <m/>
    <x v="101"/>
    <s v="ALL"/>
    <s v="DEFAULT"/>
    <s v="DEFAULT"/>
    <m/>
    <x v="40"/>
    <s v="MONTHLY"/>
    <s v=""/>
    <s v=""/>
    <s v=""/>
    <s v=""/>
    <s v=""/>
    <s v="GAG EAL Secondary"/>
    <s v="Entered Value from Funding Statement"/>
    <m/>
    <m/>
    <m/>
    <b v="0"/>
    <x v="0"/>
    <b v="0"/>
    <m/>
  </r>
  <r>
    <n v="1"/>
    <x v="2"/>
    <m/>
    <x v="101"/>
    <s v="ALL"/>
    <s v="DEFAULT"/>
    <s v="DEFAULT"/>
    <m/>
    <x v="40"/>
    <s v="MONTHLY"/>
    <s v=""/>
    <s v=""/>
    <s v=""/>
    <s v=""/>
    <s v=""/>
    <s v="GAG Mobility Secondary"/>
    <s v="Entered Value from Funding Statement"/>
    <m/>
    <m/>
    <m/>
    <b v="0"/>
    <x v="0"/>
    <b v="0"/>
    <m/>
  </r>
  <r>
    <n v="1"/>
    <x v="2"/>
    <m/>
    <x v="101"/>
    <s v="ALL"/>
    <s v="DEFAULT"/>
    <s v="DEFAULT"/>
    <m/>
    <x v="44"/>
    <s v="MONTHLY"/>
    <s v=""/>
    <s v=""/>
    <s v=""/>
    <s v=""/>
    <s v=""/>
    <s v="GAG Lump Sum Secondary"/>
    <s v="Lump Sum value from statistics"/>
    <m/>
    <m/>
    <m/>
    <b v="0"/>
    <x v="0"/>
    <b v="1"/>
    <m/>
  </r>
  <r>
    <n v="1"/>
    <x v="2"/>
    <m/>
    <x v="101"/>
    <s v="ALL"/>
    <s v="DEFAULT"/>
    <s v="DEFAULT"/>
    <m/>
    <x v="40"/>
    <s v="MONTHLY"/>
    <s v=""/>
    <s v=""/>
    <s v=""/>
    <s v=""/>
    <s v=""/>
    <s v="GAG Split Sites"/>
    <s v="Entered Value from Funding Statement"/>
    <m/>
    <m/>
    <m/>
    <b v="0"/>
    <x v="0"/>
    <b v="0"/>
    <m/>
  </r>
  <r>
    <n v="1"/>
    <x v="2"/>
    <m/>
    <x v="101"/>
    <s v="ALL"/>
    <s v="DEFAULT"/>
    <s v="DEFAULT"/>
    <m/>
    <x v="8"/>
    <s v="MONTHLY"/>
    <s v=""/>
    <s v=""/>
    <s v=""/>
    <s v=""/>
    <s v=""/>
    <s v="GAG Minimum per pupil Funding Level"/>
    <s v="Entered value from funding statement Table A final section."/>
    <m/>
    <m/>
    <m/>
    <b v="0"/>
    <x v="0"/>
    <b v="0"/>
    <m/>
  </r>
  <r>
    <n v="1"/>
    <x v="2"/>
    <m/>
    <x v="101"/>
    <s v="ALL"/>
    <s v="DEFAULT"/>
    <s v="DEFAULT"/>
    <m/>
    <x v="8"/>
    <s v="MONTHLY"/>
    <s v=""/>
    <s v=""/>
    <s v=""/>
    <s v=""/>
    <s v=""/>
    <s v="GAG Funding statement adjustment"/>
    <s v="Usually used for Start-up Grant or Exceptional Circumstances"/>
    <m/>
    <m/>
    <m/>
    <b v="0"/>
    <x v="0"/>
    <b v="0"/>
    <m/>
  </r>
  <r>
    <n v="1"/>
    <x v="2"/>
    <m/>
    <x v="101"/>
    <s v="ALL"/>
    <s v="DEFAULT"/>
    <s v="DEFAULT"/>
    <m/>
    <x v="45"/>
    <s v="MONTHLY"/>
    <s v=""/>
    <s v=""/>
    <s v=""/>
    <s v=""/>
    <s v=""/>
    <s v="GAG Post 16 Core Programme Funding"/>
    <s v="Entered Value from Post 16 funding statement - Summary Table"/>
    <m/>
    <m/>
    <m/>
    <b v="0"/>
    <x v="0"/>
    <b v="0"/>
    <m/>
  </r>
  <r>
    <n v="1"/>
    <x v="2"/>
    <m/>
    <x v="101"/>
    <s v="ALL"/>
    <s v="DEFAULT"/>
    <s v="DEFAULT"/>
    <m/>
    <x v="45"/>
    <s v="MONTHLY"/>
    <s v=""/>
    <s v=""/>
    <s v=""/>
    <s v=""/>
    <s v=""/>
    <s v="GAG Post 16 Condition of funding Adjustment"/>
    <s v="Entered Value from Post 16 funding statement - Summary Table"/>
    <m/>
    <m/>
    <m/>
    <b v="0"/>
    <x v="0"/>
    <b v="0"/>
    <m/>
  </r>
  <r>
    <n v="1"/>
    <x v="2"/>
    <m/>
    <x v="101"/>
    <s v="ALL"/>
    <s v="DEFAULT"/>
    <s v="DEFAULT"/>
    <m/>
    <x v="45"/>
    <s v="MONTHLY"/>
    <s v=""/>
    <s v=""/>
    <s v=""/>
    <s v=""/>
    <s v=""/>
    <s v="GAG Post 16 Advanced Maths premium"/>
    <s v="Entered Value from Post 16 funding statement - Summary Table"/>
    <m/>
    <m/>
    <m/>
    <b v="0"/>
    <x v="0"/>
    <b v="0"/>
    <m/>
  </r>
  <r>
    <n v="1"/>
    <x v="2"/>
    <m/>
    <x v="101"/>
    <s v="ALL"/>
    <s v="DEFAULT"/>
    <s v="DEFAULT"/>
    <m/>
    <x v="45"/>
    <s v="MONTHLY"/>
    <s v=""/>
    <s v=""/>
    <s v=""/>
    <s v=""/>
    <s v=""/>
    <s v="GAG Post 16 High value courses premium"/>
    <s v="Entered Value from Post 16 funding statement - Summary Table"/>
    <m/>
    <m/>
    <m/>
    <b v="0"/>
    <x v="0"/>
    <b v="0"/>
    <m/>
  </r>
  <r>
    <n v="1"/>
    <x v="2"/>
    <m/>
    <x v="101"/>
    <s v="ALL"/>
    <s v="DEFAULT"/>
    <s v="DEFAULT"/>
    <m/>
    <x v="45"/>
    <s v="MONTHLY"/>
    <s v=""/>
    <s v=""/>
    <s v=""/>
    <s v=""/>
    <s v=""/>
    <s v="GAG Post 16 Industry placements"/>
    <s v="Entered Value from Post 16 funding statement - Summary Table"/>
    <m/>
    <m/>
    <m/>
    <b v="0"/>
    <x v="0"/>
    <b v="0"/>
    <m/>
  </r>
  <r>
    <n v="1"/>
    <x v="2"/>
    <m/>
    <x v="101"/>
    <s v="ALL"/>
    <s v="DEFAULT"/>
    <s v="DEFAULT"/>
    <m/>
    <x v="45"/>
    <s v="MONTHLY"/>
    <s v=""/>
    <s v=""/>
    <s v=""/>
    <s v=""/>
    <s v=""/>
    <s v="GAG Post 16 Student financial support"/>
    <s v="Entered Value from Post 16 funding statement - Summary Table"/>
    <m/>
    <m/>
    <m/>
    <b v="0"/>
    <x v="0"/>
    <b v="0"/>
    <m/>
  </r>
  <r>
    <n v="1"/>
    <x v="2"/>
    <m/>
    <x v="101"/>
    <s v="ALL"/>
    <s v="DEFAULT"/>
    <s v="DEFAULT"/>
    <m/>
    <x v="45"/>
    <s v="MONTHLY"/>
    <s v=""/>
    <s v=""/>
    <s v=""/>
    <s v=""/>
    <s v=""/>
    <s v="GAG Post 16 Tuition Funding"/>
    <s v="Entered Value from Post 16 funding statement - Summary Table"/>
    <m/>
    <m/>
    <m/>
    <b v="0"/>
    <x v="0"/>
    <b v="0"/>
    <m/>
  </r>
  <r>
    <n v="0"/>
    <x v="2"/>
    <m/>
    <x v="102"/>
    <s v="ALL"/>
    <s v="DEFAULT"/>
    <s v="DEFAULT"/>
    <m/>
    <x v="46"/>
    <s v="MONTHLY"/>
    <s v=""/>
    <s v=""/>
    <s v=""/>
    <s v=""/>
    <s v=""/>
    <s v="DFC Core Amount"/>
    <s v="Lump Sum value from statistics"/>
    <m/>
    <m/>
    <m/>
    <b v="0"/>
    <x v="0"/>
    <b v="1"/>
    <m/>
  </r>
  <r>
    <n v="0"/>
    <x v="2"/>
    <m/>
    <x v="102"/>
    <s v="ALL"/>
    <s v="DEFAULT"/>
    <s v="DEFAULT"/>
    <m/>
    <x v="47"/>
    <s v="MONTHLY"/>
    <s v=""/>
    <s v=""/>
    <s v=""/>
    <s v=""/>
    <s v=""/>
    <s v="DFC Per Pupil Nursery"/>
    <s v="Current Year Spring Nursery Numbers multiplied by Rate"/>
    <m/>
    <m/>
    <m/>
    <b v="0"/>
    <x v="0"/>
    <b v="1"/>
    <m/>
  </r>
  <r>
    <n v="0"/>
    <x v="2"/>
    <m/>
    <x v="102"/>
    <s v="ALL"/>
    <s v="DEFAULT"/>
    <s v="DEFAULT"/>
    <m/>
    <x v="48"/>
    <s v="MONTHLY"/>
    <s v=""/>
    <s v=""/>
    <s v=""/>
    <s v=""/>
    <s v=""/>
    <s v="DFC Per Pupil Post 16"/>
    <s v="Current Year Spring KS5 Numbers multiplied by Rate"/>
    <m/>
    <m/>
    <m/>
    <b v="0"/>
    <x v="0"/>
    <b v="1"/>
    <m/>
  </r>
  <r>
    <n v="0"/>
    <x v="2"/>
    <m/>
    <x v="102"/>
    <s v="ALL"/>
    <s v="DEFAULT"/>
    <s v="DEFAULT"/>
    <m/>
    <x v="49"/>
    <s v="MONTHLY"/>
    <s v=""/>
    <s v=""/>
    <s v=""/>
    <s v=""/>
    <s v=""/>
    <s v="DFC Per Pupil Primary"/>
    <s v="Current Year Spring FS, KS1, KS2 Numbers multiplied by Rate"/>
    <m/>
    <m/>
    <m/>
    <b v="0"/>
    <x v="0"/>
    <b v="1"/>
    <m/>
  </r>
  <r>
    <n v="0"/>
    <x v="2"/>
    <m/>
    <x v="102"/>
    <s v="ALL"/>
    <s v="DEFAULT"/>
    <s v="DEFAULT"/>
    <m/>
    <x v="50"/>
    <s v="MONTHLY"/>
    <s v=""/>
    <s v=""/>
    <s v=""/>
    <s v=""/>
    <s v=""/>
    <s v="DFC Per Pupil Secondary"/>
    <s v="Current Year Spring KS3 and KS4 Numbers multiplied by Rate"/>
    <m/>
    <m/>
    <m/>
    <b v="0"/>
    <x v="0"/>
    <b v="1"/>
    <m/>
  </r>
  <r>
    <n v="0"/>
    <x v="2"/>
    <m/>
    <x v="103"/>
    <s v="ALL"/>
    <s v="DEFAULT"/>
    <s v="DEFAULT"/>
    <m/>
    <x v="51"/>
    <s v="MONTHLY"/>
    <s v=""/>
    <s v=""/>
    <s v=""/>
    <s v=""/>
    <s v=""/>
    <s v="ESFA Post 16 Funding Statement Total Calculated Line"/>
    <s v="Sum of Funding lines. Should match funding statement total."/>
    <m/>
    <m/>
    <m/>
    <b v="0"/>
    <x v="0"/>
    <b v="1"/>
    <m/>
  </r>
  <r>
    <n v="0"/>
    <x v="2"/>
    <m/>
    <x v="104"/>
    <s v="ALL"/>
    <s v="DEFAULT"/>
    <s v="DEFAULT"/>
    <m/>
    <x v="52"/>
    <s v="MONTHLY"/>
    <s v=""/>
    <s v=""/>
    <s v=""/>
    <s v=""/>
    <s v=""/>
    <s v="ESFA Pre 16 Funding Statement Total Calculated Line"/>
    <s v="Sum of Funding lines. Should match funding statement total."/>
    <m/>
    <m/>
    <m/>
    <b v="0"/>
    <x v="0"/>
    <b v="1"/>
    <m/>
  </r>
  <r>
    <n v="0"/>
    <x v="2"/>
    <m/>
    <x v="105"/>
    <s v="ALL"/>
    <s v="DEFAULT"/>
    <s v="DEFAULT"/>
    <m/>
    <x v="53"/>
    <s v="MONTHLY"/>
    <s v=""/>
    <s v=""/>
    <s v=""/>
    <s v=""/>
    <s v=""/>
    <s v="Occupied Post 16 High Needs"/>
    <s v="Post 16 Occupied pupil numbers multiplied by rate"/>
    <m/>
    <m/>
    <m/>
    <b v="0"/>
    <x v="0"/>
    <b v="1"/>
    <m/>
  </r>
  <r>
    <n v="0"/>
    <x v="2"/>
    <m/>
    <x v="105"/>
    <s v="ALL"/>
    <s v="DEFAULT"/>
    <s v="DEFAULT"/>
    <m/>
    <x v="54"/>
    <s v="MONTHLY"/>
    <s v=""/>
    <s v=""/>
    <s v=""/>
    <s v=""/>
    <s v=""/>
    <s v="Post 16 High Needs"/>
    <s v="Post 16 High needs pupil numbers multiplied by rate"/>
    <m/>
    <m/>
    <m/>
    <b v="0"/>
    <x v="0"/>
    <b v="1"/>
    <m/>
  </r>
  <r>
    <n v="0"/>
    <x v="2"/>
    <m/>
    <x v="106"/>
    <s v="ALL"/>
    <s v="DEFAULT"/>
    <s v="DEFAULT"/>
    <m/>
    <x v="55"/>
    <s v="MONTHLY"/>
    <s v=""/>
    <s v=""/>
    <s v=""/>
    <s v=""/>
    <s v=""/>
    <s v="Occupied Pre 16 High Needs"/>
    <s v="Pre 16 Occupied pupil numbers multiplied by rate"/>
    <m/>
    <m/>
    <m/>
    <b v="0"/>
    <x v="0"/>
    <b v="1"/>
    <m/>
  </r>
  <r>
    <n v="0"/>
    <x v="2"/>
    <m/>
    <x v="106"/>
    <s v="ALL"/>
    <s v="DEFAULT"/>
    <s v="DEFAULT"/>
    <m/>
    <x v="56"/>
    <s v="MONTHLY"/>
    <s v=""/>
    <s v=""/>
    <s v=""/>
    <s v=""/>
    <s v=""/>
    <s v="Pre 16 High Needs"/>
    <s v="Pre 16 High needs pupil numbers multiplied by rate"/>
    <m/>
    <m/>
    <m/>
    <b v="0"/>
    <x v="0"/>
    <b v="1"/>
    <m/>
  </r>
  <r>
    <n v="0"/>
    <x v="2"/>
    <m/>
    <x v="107"/>
    <s v="ALL"/>
    <s v="DEFAULT"/>
    <s v="DEFAULT"/>
    <m/>
    <x v="57"/>
    <s v="MONTHLY"/>
    <s v=""/>
    <s v=""/>
    <s v=""/>
    <s v=""/>
    <s v=""/>
    <s v="Pupil Premium Looked After Children Income"/>
    <s v="Looked after children pupil numbers multiplied by rate"/>
    <m/>
    <m/>
    <m/>
    <b v="0"/>
    <x v="0"/>
    <b v="1"/>
    <m/>
  </r>
  <r>
    <n v="0"/>
    <x v="2"/>
    <m/>
    <x v="108"/>
    <s v="ALL"/>
    <s v="DEFAULT"/>
    <s v="DEFAULT"/>
    <m/>
    <x v="58"/>
    <s v="MONTHLY"/>
    <s v=""/>
    <s v=""/>
    <s v=""/>
    <s v=""/>
    <s v=""/>
    <s v="Pupil Premium Income Primary"/>
    <s v="Primary Pupil premium pupil numbers multiplied by rate"/>
    <m/>
    <m/>
    <m/>
    <b v="0"/>
    <x v="0"/>
    <b v="1"/>
    <m/>
  </r>
  <r>
    <n v="0"/>
    <x v="2"/>
    <m/>
    <x v="109"/>
    <s v="ALL"/>
    <s v="DEFAULT"/>
    <s v="DEFAULT"/>
    <m/>
    <x v="59"/>
    <s v="MONTHLY"/>
    <s v=""/>
    <s v=""/>
    <s v=""/>
    <s v=""/>
    <s v=""/>
    <s v="Pupil Premium Income Secondary"/>
    <s v="Secondary Pupil premium pupil numbers multiplied by rate"/>
    <m/>
    <m/>
    <m/>
    <b v="0"/>
    <x v="0"/>
    <b v="1"/>
    <m/>
  </r>
  <r>
    <n v="0"/>
    <x v="2"/>
    <m/>
    <x v="110"/>
    <s v="ALL"/>
    <s v="DEFAULT"/>
    <s v="DEFAULT"/>
    <m/>
    <x v="60"/>
    <s v="MONTHLY"/>
    <s v=""/>
    <s v=""/>
    <s v=""/>
    <s v=""/>
    <s v=""/>
    <s v="Pupil Premium Service Children Income"/>
    <s v="Service children pupil numbers multiplied by rate"/>
    <m/>
    <m/>
    <m/>
    <b v="0"/>
    <x v="0"/>
    <b v="1"/>
    <m/>
  </r>
  <r>
    <n v="1"/>
    <x v="2"/>
    <m/>
    <x v="111"/>
    <s v="ALL"/>
    <s v="DEFAULT"/>
    <s v="DEFAULT"/>
    <m/>
    <x v="40"/>
    <s v="MONTHLY"/>
    <s v=""/>
    <s v=""/>
    <s v=""/>
    <s v=""/>
    <s v=""/>
    <s v="School Condition Allocation"/>
    <s v="Entered Value from EFSA Capital funding report"/>
    <m/>
    <m/>
    <m/>
    <b v="1"/>
    <x v="0"/>
    <b v="0"/>
    <m/>
  </r>
  <r>
    <n v="0"/>
    <x v="2"/>
    <m/>
    <x v="112"/>
    <s v="ALL"/>
    <s v="DEFAULT"/>
    <s v="DEFAULT"/>
    <m/>
    <x v="61"/>
    <s v="MONTHLY"/>
    <s v=""/>
    <s v=""/>
    <s v=""/>
    <s v=""/>
    <s v=""/>
    <s v="PE Grant Core"/>
    <s v="Lump Sum value from statistics"/>
    <m/>
    <m/>
    <m/>
    <b v="0"/>
    <x v="0"/>
    <b v="1"/>
    <m/>
  </r>
  <r>
    <n v="0"/>
    <x v="2"/>
    <m/>
    <x v="112"/>
    <s v="ALL"/>
    <s v="DEFAULT"/>
    <s v="DEFAULT"/>
    <m/>
    <x v="62"/>
    <s v="MONTHLY"/>
    <s v=""/>
    <s v=""/>
    <s v=""/>
    <s v=""/>
    <s v=""/>
    <s v="PE Grant Per Pupil"/>
    <s v="Spring KS1 and KS2 pupil numbers multiplied by rate"/>
    <m/>
    <m/>
    <m/>
    <b v="0"/>
    <x v="0"/>
    <b v="1"/>
    <m/>
  </r>
  <r>
    <n v="0"/>
    <x v="2"/>
    <m/>
    <x v="113"/>
    <s v="ALL"/>
    <s v="DEFAULT"/>
    <s v="DEFAULT"/>
    <m/>
    <x v="63"/>
    <s v="MONTHLY"/>
    <s v=""/>
    <s v=""/>
    <s v=""/>
    <s v=""/>
    <s v=""/>
    <s v="Teachers Pensions Grant Post 16"/>
    <s v="Post 16 pupil numbers multiplied by rate"/>
    <m/>
    <m/>
    <m/>
    <b v="0"/>
    <x v="0"/>
    <b v="1"/>
    <m/>
  </r>
  <r>
    <n v="1"/>
    <x v="2"/>
    <m/>
    <x v="101"/>
    <s v="PRI"/>
    <s v="DEFAULT"/>
    <s v="DEFAULT"/>
    <m/>
    <x v="39"/>
    <s v="MONTHLY"/>
    <s v=""/>
    <s v=""/>
    <s v=""/>
    <s v=""/>
    <s v=""/>
    <s v="GAG AWPU/Basic Entitlement Primary"/>
    <s v="Funded Primary Numbers Multiplied by AWPU rate"/>
    <m/>
    <m/>
    <m/>
    <b v="0"/>
    <x v="0"/>
    <b v="1"/>
    <m/>
  </r>
  <r>
    <n v="1"/>
    <x v="2"/>
    <m/>
    <x v="101"/>
    <s v="PRI"/>
    <s v="DEFAULT"/>
    <s v="DEFAULT"/>
    <m/>
    <x v="40"/>
    <s v="MONTHLY"/>
    <s v=""/>
    <s v=""/>
    <s v=""/>
    <s v=""/>
    <s v=""/>
    <s v="GAG Deprivation Primary IDACI Band F"/>
    <s v="Entered Value from Funding Statement"/>
    <m/>
    <m/>
    <m/>
    <b v="0"/>
    <x v="0"/>
    <b v="0"/>
    <m/>
  </r>
  <r>
    <n v="1"/>
    <x v="2"/>
    <m/>
    <x v="101"/>
    <s v="PRI"/>
    <s v="DEFAULT"/>
    <s v="DEFAULT"/>
    <m/>
    <x v="40"/>
    <s v="MONTHLY"/>
    <s v=""/>
    <s v=""/>
    <s v=""/>
    <s v=""/>
    <s v=""/>
    <s v="GAG Deprivation Primary IDACI Band E"/>
    <s v="Entered Value from Funding Statement"/>
    <m/>
    <m/>
    <m/>
    <b v="0"/>
    <x v="0"/>
    <b v="0"/>
    <m/>
  </r>
  <r>
    <n v="1"/>
    <x v="2"/>
    <m/>
    <x v="101"/>
    <s v="PRI"/>
    <s v="DEFAULT"/>
    <s v="DEFAULT"/>
    <m/>
    <x v="40"/>
    <s v="MONTHLY"/>
    <s v=""/>
    <s v=""/>
    <s v=""/>
    <s v=""/>
    <s v=""/>
    <s v="GAG Deprivation Primary IDACI Band D"/>
    <s v="Entered Value from Funding Statement"/>
    <m/>
    <m/>
    <m/>
    <b v="0"/>
    <x v="0"/>
    <b v="0"/>
    <m/>
  </r>
  <r>
    <n v="1"/>
    <x v="2"/>
    <m/>
    <x v="101"/>
    <s v="PRI"/>
    <s v="DEFAULT"/>
    <s v="DEFAULT"/>
    <m/>
    <x v="40"/>
    <s v="MONTHLY"/>
    <s v=""/>
    <s v=""/>
    <s v=""/>
    <s v=""/>
    <s v=""/>
    <s v="GAG Deprivation Primary IDACI Band C"/>
    <s v="Entered Value from Funding Statement"/>
    <m/>
    <m/>
    <m/>
    <b v="0"/>
    <x v="0"/>
    <b v="0"/>
    <m/>
  </r>
  <r>
    <n v="1"/>
    <x v="2"/>
    <m/>
    <x v="101"/>
    <s v="PRI"/>
    <s v="DEFAULT"/>
    <s v="DEFAULT"/>
    <m/>
    <x v="40"/>
    <s v="MONTHLY"/>
    <s v=""/>
    <s v=""/>
    <s v=""/>
    <s v=""/>
    <s v=""/>
    <s v="GAG Deprivation Primary IDACI Band B"/>
    <s v="Entered Value from Funding Statement"/>
    <m/>
    <m/>
    <m/>
    <b v="0"/>
    <x v="0"/>
    <b v="0"/>
    <m/>
  </r>
  <r>
    <n v="1"/>
    <x v="2"/>
    <m/>
    <x v="101"/>
    <s v="PRI"/>
    <s v="DEFAULT"/>
    <s v="DEFAULT"/>
    <m/>
    <x v="40"/>
    <s v="MONTHLY"/>
    <s v=""/>
    <s v=""/>
    <s v=""/>
    <s v=""/>
    <s v=""/>
    <s v="GAG Deprivation Primary IDACI Band A"/>
    <s v="Entered Value from Funding Statement"/>
    <m/>
    <m/>
    <m/>
    <b v="0"/>
    <x v="0"/>
    <b v="0"/>
    <m/>
  </r>
  <r>
    <n v="1"/>
    <x v="2"/>
    <m/>
    <x v="101"/>
    <s v="PRI"/>
    <s v="DEFAULT"/>
    <s v="DEFAULT"/>
    <m/>
    <x v="40"/>
    <s v="MONTHLY"/>
    <s v=""/>
    <s v=""/>
    <s v=""/>
    <s v=""/>
    <s v=""/>
    <s v="GAG Deprivation Primary FSM"/>
    <s v="Entered Value from Funding Statement"/>
    <m/>
    <m/>
    <m/>
    <b v="0"/>
    <x v="0"/>
    <b v="0"/>
    <m/>
  </r>
  <r>
    <n v="1"/>
    <x v="2"/>
    <m/>
    <x v="101"/>
    <s v="PRI"/>
    <s v="DEFAULT"/>
    <s v="DEFAULT"/>
    <m/>
    <x v="40"/>
    <s v="MONTHLY"/>
    <s v=""/>
    <s v=""/>
    <s v=""/>
    <s v=""/>
    <s v=""/>
    <s v="GAG Deprivation Primary FSM6"/>
    <s v="Entered Value from Funding Statement"/>
    <m/>
    <m/>
    <m/>
    <b v="0"/>
    <x v="0"/>
    <b v="0"/>
    <m/>
  </r>
  <r>
    <n v="1"/>
    <x v="2"/>
    <m/>
    <x v="101"/>
    <s v="PRI"/>
    <s v="DEFAULT"/>
    <s v="DEFAULT"/>
    <m/>
    <x v="40"/>
    <s v="MONTHLY"/>
    <s v=""/>
    <s v=""/>
    <s v=""/>
    <s v=""/>
    <s v=""/>
    <s v="GAG Prior Attainment Primary"/>
    <s v="Entered Value from Funding Statement"/>
    <m/>
    <m/>
    <m/>
    <b v="0"/>
    <x v="0"/>
    <b v="0"/>
    <m/>
  </r>
  <r>
    <n v="1"/>
    <x v="2"/>
    <m/>
    <x v="101"/>
    <s v="PRI"/>
    <s v="DEFAULT"/>
    <s v="DEFAULT"/>
    <m/>
    <x v="40"/>
    <s v="MONTHLY"/>
    <s v=""/>
    <s v=""/>
    <s v=""/>
    <s v=""/>
    <s v=""/>
    <s v="GAG EAL Primary"/>
    <s v="Entered Value from Funding Statement"/>
    <m/>
    <m/>
    <m/>
    <b v="0"/>
    <x v="0"/>
    <b v="0"/>
    <m/>
  </r>
  <r>
    <n v="1"/>
    <x v="2"/>
    <m/>
    <x v="101"/>
    <s v="PRI"/>
    <s v="DEFAULT"/>
    <s v="DEFAULT"/>
    <m/>
    <x v="40"/>
    <s v="MONTHLY"/>
    <s v=""/>
    <s v=""/>
    <s v=""/>
    <s v=""/>
    <s v=""/>
    <s v="GAG Mobility Primary"/>
    <s v="Entered Value from Funding Statement"/>
    <m/>
    <m/>
    <m/>
    <b v="0"/>
    <x v="0"/>
    <b v="0"/>
    <m/>
  </r>
  <r>
    <n v="1"/>
    <x v="2"/>
    <m/>
    <x v="101"/>
    <s v="PRI"/>
    <s v="DEFAULT"/>
    <s v="DEFAULT"/>
    <m/>
    <x v="40"/>
    <s v="MONTHLY"/>
    <s v=""/>
    <s v=""/>
    <s v=""/>
    <s v=""/>
    <s v=""/>
    <s v="GAG Sparsity"/>
    <s v="Entered Value from Funding Statement"/>
    <m/>
    <m/>
    <m/>
    <b v="0"/>
    <x v="0"/>
    <b v="0"/>
    <m/>
  </r>
  <r>
    <n v="1"/>
    <x v="2"/>
    <m/>
    <x v="101"/>
    <s v="PRI"/>
    <s v="DEFAULT"/>
    <s v="DEFAULT"/>
    <m/>
    <x v="41"/>
    <s v="MONTHLY"/>
    <s v=""/>
    <s v=""/>
    <s v=""/>
    <s v=""/>
    <s v=""/>
    <s v="GAG Lump Sum Primary"/>
    <s v="Lump Sum value from statistics"/>
    <m/>
    <m/>
    <m/>
    <b v="0"/>
    <x v="0"/>
    <b v="1"/>
    <m/>
  </r>
  <r>
    <n v="1"/>
    <x v="2"/>
    <m/>
    <x v="101"/>
    <s v="PRI"/>
    <s v="DEFAULT"/>
    <s v="DEFAULT"/>
    <m/>
    <x v="40"/>
    <s v="MONTHLY"/>
    <s v=""/>
    <s v=""/>
    <s v=""/>
    <s v=""/>
    <s v=""/>
    <s v="GAG Split Sites"/>
    <s v="Entered Value from Funding Statement"/>
    <m/>
    <m/>
    <m/>
    <b v="0"/>
    <x v="0"/>
    <b v="0"/>
    <m/>
  </r>
  <r>
    <n v="1"/>
    <x v="2"/>
    <m/>
    <x v="101"/>
    <s v="PRI"/>
    <s v="DEFAULT"/>
    <s v="DEFAULT"/>
    <m/>
    <x v="40"/>
    <s v="MONTHLY"/>
    <s v=""/>
    <s v=""/>
    <s v=""/>
    <s v=""/>
    <s v=""/>
    <s v="GAG PFI"/>
    <s v="Entered Value from Funding Statement"/>
    <m/>
    <m/>
    <m/>
    <b v="0"/>
    <x v="0"/>
    <b v="0"/>
    <m/>
  </r>
  <r>
    <n v="1"/>
    <x v="2"/>
    <m/>
    <x v="101"/>
    <s v="PRI"/>
    <s v="DEFAULT"/>
    <s v="DEFAULT"/>
    <m/>
    <x v="40"/>
    <s v="MONTHLY"/>
    <s v=""/>
    <s v=""/>
    <s v=""/>
    <s v=""/>
    <s v=""/>
    <s v="GAG London Fringe"/>
    <s v="Entered Value from Funding Statement"/>
    <m/>
    <m/>
    <m/>
    <b v="0"/>
    <x v="0"/>
    <b v="0"/>
    <m/>
  </r>
  <r>
    <n v="1"/>
    <x v="2"/>
    <m/>
    <x v="101"/>
    <s v="PRI"/>
    <s v="DEFAULT"/>
    <s v="DEFAULT"/>
    <m/>
    <x v="8"/>
    <s v="MONTHLY"/>
    <s v=""/>
    <s v=""/>
    <s v=""/>
    <s v=""/>
    <s v=""/>
    <s v="GAG Minimum Funding Guarantee"/>
    <s v="MFG from funding statement section 1. Breakdown of academic year"/>
    <m/>
    <m/>
    <m/>
    <b v="0"/>
    <x v="0"/>
    <b v="0"/>
    <m/>
  </r>
  <r>
    <n v="1"/>
    <x v="2"/>
    <m/>
    <x v="101"/>
    <s v="PRI"/>
    <s v="DEFAULT"/>
    <s v="DEFAULT"/>
    <m/>
    <x v="8"/>
    <s v="MONTHLY"/>
    <s v=""/>
    <s v=""/>
    <s v=""/>
    <s v=""/>
    <s v=""/>
    <s v="GAG Minimum per pupil Funding Level"/>
    <s v="Entered value from funding statement Table A final section."/>
    <m/>
    <m/>
    <m/>
    <b v="0"/>
    <x v="0"/>
    <b v="0"/>
    <m/>
  </r>
  <r>
    <n v="1"/>
    <x v="2"/>
    <m/>
    <x v="101"/>
    <s v="PRI"/>
    <s v="DEFAULT"/>
    <s v="DEFAULT"/>
    <m/>
    <x v="8"/>
    <s v="MONTHLY"/>
    <s v=""/>
    <s v=""/>
    <s v=""/>
    <s v=""/>
    <s v=""/>
    <s v="GAG Funding statement adjustment"/>
    <s v="Usually used for Start-up Grant or Exceptional Circumstances"/>
    <m/>
    <m/>
    <m/>
    <b v="0"/>
    <x v="0"/>
    <b v="0"/>
    <m/>
  </r>
  <r>
    <n v="0"/>
    <x v="2"/>
    <m/>
    <x v="102"/>
    <s v="PRI"/>
    <s v="DEFAULT"/>
    <s v="DEFAULT"/>
    <m/>
    <x v="46"/>
    <s v="MONTHLY"/>
    <s v=""/>
    <s v=""/>
    <s v=""/>
    <s v=""/>
    <s v=""/>
    <s v="DFC Core Amount"/>
    <s v="Lump Sum value from statistics"/>
    <m/>
    <m/>
    <m/>
    <b v="0"/>
    <x v="0"/>
    <b v="1"/>
    <m/>
  </r>
  <r>
    <n v="0"/>
    <x v="2"/>
    <m/>
    <x v="102"/>
    <s v="PRI"/>
    <s v="DEFAULT"/>
    <s v="DEFAULT"/>
    <m/>
    <x v="47"/>
    <s v="MONTHLY"/>
    <s v=""/>
    <s v=""/>
    <s v=""/>
    <s v=""/>
    <s v=""/>
    <s v="DFC Per Pupil Nursery"/>
    <s v="Current Year Spring Nursery Numbers multiplied by Rate"/>
    <m/>
    <m/>
    <m/>
    <b v="0"/>
    <x v="0"/>
    <b v="1"/>
    <m/>
  </r>
  <r>
    <n v="0"/>
    <x v="2"/>
    <m/>
    <x v="102"/>
    <s v="PRI"/>
    <s v="DEFAULT"/>
    <s v="DEFAULT"/>
    <m/>
    <x v="49"/>
    <s v="MONTHLY"/>
    <s v=""/>
    <s v=""/>
    <s v=""/>
    <s v=""/>
    <s v=""/>
    <s v="DFC Per Pupil Primary"/>
    <s v="Current Year Spring FS, KS1, KS2 Numbers multiplied by Rate"/>
    <m/>
    <m/>
    <m/>
    <b v="0"/>
    <x v="0"/>
    <b v="1"/>
    <m/>
  </r>
  <r>
    <n v="0"/>
    <x v="2"/>
    <m/>
    <x v="104"/>
    <s v="PRI"/>
    <s v="DEFAULT"/>
    <s v="DEFAULT"/>
    <m/>
    <x v="52"/>
    <s v="MONTHLY"/>
    <s v=""/>
    <s v=""/>
    <s v=""/>
    <s v=""/>
    <s v=""/>
    <s v="ESFA Funding Statement Total Calculated Line"/>
    <s v="Sum of Funding lines. Should match funding statement total."/>
    <m/>
    <m/>
    <m/>
    <b v="0"/>
    <x v="0"/>
    <b v="1"/>
    <m/>
  </r>
  <r>
    <n v="0"/>
    <x v="2"/>
    <m/>
    <x v="106"/>
    <s v="PRI"/>
    <s v="DEFAULT"/>
    <s v="DEFAULT"/>
    <m/>
    <x v="55"/>
    <s v="MONTHLY"/>
    <s v=""/>
    <s v=""/>
    <s v=""/>
    <s v=""/>
    <s v=""/>
    <s v="Occupied Pre 16 High Needs"/>
    <s v="Pre 16 Occupied pupil numbers multiplied by rate"/>
    <m/>
    <m/>
    <m/>
    <b v="0"/>
    <x v="0"/>
    <b v="1"/>
    <m/>
  </r>
  <r>
    <n v="0"/>
    <x v="2"/>
    <m/>
    <x v="106"/>
    <s v="PRI"/>
    <s v="DEFAULT"/>
    <s v="DEFAULT"/>
    <m/>
    <x v="56"/>
    <s v="MONTHLY"/>
    <s v=""/>
    <s v=""/>
    <s v=""/>
    <s v=""/>
    <s v=""/>
    <s v="Pre 16 High Needs"/>
    <s v="Pre 16 High needs pupil numbers multiplied by rate"/>
    <m/>
    <m/>
    <m/>
    <b v="0"/>
    <x v="0"/>
    <b v="1"/>
    <m/>
  </r>
  <r>
    <n v="0"/>
    <x v="2"/>
    <m/>
    <x v="107"/>
    <s v="PRI"/>
    <s v="DEFAULT"/>
    <s v="DEFAULT"/>
    <m/>
    <x v="57"/>
    <s v="MONTHLY"/>
    <s v=""/>
    <s v=""/>
    <s v=""/>
    <s v=""/>
    <s v=""/>
    <s v="Pupil Premium Looked After Children Income"/>
    <s v="Looked after children pupil numbers multiplied by rate"/>
    <m/>
    <m/>
    <m/>
    <b v="0"/>
    <x v="0"/>
    <b v="1"/>
    <m/>
  </r>
  <r>
    <n v="0"/>
    <x v="2"/>
    <m/>
    <x v="108"/>
    <s v="PRI"/>
    <s v="DEFAULT"/>
    <s v="DEFAULT"/>
    <m/>
    <x v="58"/>
    <s v="MONTHLY"/>
    <s v=""/>
    <s v=""/>
    <s v=""/>
    <s v=""/>
    <s v=""/>
    <s v="Pupil Premium Income Primary"/>
    <s v="Primary Pupil premium pupil numbers multiplied by rate"/>
    <m/>
    <m/>
    <m/>
    <b v="0"/>
    <x v="0"/>
    <b v="1"/>
    <m/>
  </r>
  <r>
    <n v="0"/>
    <x v="2"/>
    <m/>
    <x v="110"/>
    <s v="PRI"/>
    <s v="DEFAULT"/>
    <s v="DEFAULT"/>
    <m/>
    <x v="60"/>
    <s v="MONTHLY"/>
    <s v=""/>
    <s v=""/>
    <s v=""/>
    <s v=""/>
    <s v=""/>
    <s v="Pupil Premium Service Children Income"/>
    <s v="Service children pupil numbers multiplied by rate"/>
    <m/>
    <m/>
    <m/>
    <b v="0"/>
    <x v="0"/>
    <b v="1"/>
    <m/>
  </r>
  <r>
    <n v="1"/>
    <x v="2"/>
    <m/>
    <x v="111"/>
    <s v="PRI"/>
    <s v="DEFAULT"/>
    <s v="DEFAULT"/>
    <m/>
    <x v="40"/>
    <s v="MONTHLY"/>
    <s v=""/>
    <s v=""/>
    <s v=""/>
    <s v=""/>
    <s v=""/>
    <s v="School Condition Allocation"/>
    <s v="Entered Value from EFSA Capital funding report"/>
    <m/>
    <m/>
    <m/>
    <b v="1"/>
    <x v="0"/>
    <b v="0"/>
    <m/>
  </r>
  <r>
    <n v="0"/>
    <x v="2"/>
    <m/>
    <x v="112"/>
    <s v="PRI"/>
    <s v="DEFAULT"/>
    <s v="DEFAULT"/>
    <m/>
    <x v="61"/>
    <s v="MONTHLY"/>
    <s v=""/>
    <s v=""/>
    <s v=""/>
    <s v=""/>
    <s v=""/>
    <s v="PE Grant Core"/>
    <s v="Lump Sum value from statistics"/>
    <m/>
    <m/>
    <m/>
    <b v="0"/>
    <x v="0"/>
    <b v="1"/>
    <m/>
  </r>
  <r>
    <n v="0"/>
    <x v="2"/>
    <m/>
    <x v="112"/>
    <s v="PRI"/>
    <s v="DEFAULT"/>
    <s v="DEFAULT"/>
    <m/>
    <x v="62"/>
    <s v="MONTHLY"/>
    <s v=""/>
    <s v=""/>
    <s v=""/>
    <s v=""/>
    <s v=""/>
    <s v="PE Grant Per Pupil"/>
    <s v="Spring KS1 and KS2 pupil numbers multiplied by rate"/>
    <m/>
    <m/>
    <m/>
    <b v="0"/>
    <x v="0"/>
    <b v="1"/>
    <m/>
  </r>
  <r>
    <n v="1"/>
    <x v="2"/>
    <m/>
    <x v="101"/>
    <s v="SEC"/>
    <s v="DEFAULT"/>
    <s v="DEFAULT"/>
    <m/>
    <x v="42"/>
    <s v="MONTHLY"/>
    <s v=""/>
    <s v=""/>
    <s v=""/>
    <s v=""/>
    <s v=""/>
    <s v="GAG AWPU/Basic Entitlement KS3"/>
    <s v="Funded KS3 Numbers Multiplied by AWPU rate"/>
    <m/>
    <m/>
    <m/>
    <b v="0"/>
    <x v="0"/>
    <b v="1"/>
    <m/>
  </r>
  <r>
    <n v="1"/>
    <x v="2"/>
    <m/>
    <x v="101"/>
    <s v="SEC"/>
    <s v="DEFAULT"/>
    <s v="DEFAULT"/>
    <m/>
    <x v="43"/>
    <s v="MONTHLY"/>
    <s v=""/>
    <s v=""/>
    <s v=""/>
    <s v=""/>
    <s v=""/>
    <s v="GAG AWPU/Basic Entitlement KS4"/>
    <s v="Funded KS4 Numbers Multiplied by AWPU rate"/>
    <m/>
    <m/>
    <m/>
    <b v="0"/>
    <x v="0"/>
    <b v="1"/>
    <m/>
  </r>
  <r>
    <n v="1"/>
    <x v="2"/>
    <m/>
    <x v="101"/>
    <s v="SEC"/>
    <s v="DEFAULT"/>
    <s v="DEFAULT"/>
    <m/>
    <x v="40"/>
    <s v="MONTHLY"/>
    <s v=""/>
    <s v=""/>
    <s v=""/>
    <s v=""/>
    <s v=""/>
    <s v="GAG Deprivation Secondary IDACI Band F"/>
    <s v="Entered Value from Funding Statement"/>
    <m/>
    <m/>
    <m/>
    <b v="0"/>
    <x v="0"/>
    <b v="0"/>
    <m/>
  </r>
  <r>
    <n v="1"/>
    <x v="2"/>
    <m/>
    <x v="101"/>
    <s v="SEC"/>
    <s v="DEFAULT"/>
    <s v="DEFAULT"/>
    <m/>
    <x v="40"/>
    <s v="MONTHLY"/>
    <s v=""/>
    <s v=""/>
    <s v=""/>
    <s v=""/>
    <s v=""/>
    <s v="GAG Deprivation Secondary IDACI Band E"/>
    <s v="Entered Value from Funding Statement"/>
    <m/>
    <m/>
    <m/>
    <b v="0"/>
    <x v="0"/>
    <b v="0"/>
    <m/>
  </r>
  <r>
    <n v="1"/>
    <x v="2"/>
    <m/>
    <x v="101"/>
    <s v="SEC"/>
    <s v="DEFAULT"/>
    <s v="DEFAULT"/>
    <m/>
    <x v="40"/>
    <s v="MONTHLY"/>
    <s v=""/>
    <s v=""/>
    <s v=""/>
    <s v=""/>
    <s v=""/>
    <s v="GAG Deprivation Secondary IDACI Band D"/>
    <s v="Entered Value from Funding Statement"/>
    <m/>
    <m/>
    <m/>
    <b v="0"/>
    <x v="0"/>
    <b v="0"/>
    <m/>
  </r>
  <r>
    <n v="1"/>
    <x v="2"/>
    <m/>
    <x v="101"/>
    <s v="SEC"/>
    <s v="DEFAULT"/>
    <s v="DEFAULT"/>
    <m/>
    <x v="40"/>
    <s v="MONTHLY"/>
    <s v=""/>
    <s v=""/>
    <s v=""/>
    <s v=""/>
    <s v=""/>
    <s v="GAG Deprivation Secondary IDACI Band C"/>
    <s v="Entered Value from Funding Statement"/>
    <m/>
    <m/>
    <m/>
    <b v="0"/>
    <x v="0"/>
    <b v="0"/>
    <m/>
  </r>
  <r>
    <n v="1"/>
    <x v="2"/>
    <m/>
    <x v="101"/>
    <s v="SEC"/>
    <s v="DEFAULT"/>
    <s v="DEFAULT"/>
    <m/>
    <x v="40"/>
    <s v="MONTHLY"/>
    <s v=""/>
    <s v=""/>
    <s v=""/>
    <s v=""/>
    <s v=""/>
    <s v="GAG Deprivation Secondary IDACI Band B"/>
    <s v="Entered Value from Funding Statement"/>
    <m/>
    <m/>
    <m/>
    <b v="0"/>
    <x v="0"/>
    <b v="0"/>
    <m/>
  </r>
  <r>
    <n v="1"/>
    <x v="2"/>
    <m/>
    <x v="101"/>
    <s v="SEC"/>
    <s v="DEFAULT"/>
    <s v="DEFAULT"/>
    <m/>
    <x v="40"/>
    <s v="MONTHLY"/>
    <s v=""/>
    <s v=""/>
    <s v=""/>
    <s v=""/>
    <s v=""/>
    <s v="GAG Deprivation Secondary IDACI Band A"/>
    <s v="Entered Value from Funding Statement"/>
    <m/>
    <m/>
    <m/>
    <b v="0"/>
    <x v="0"/>
    <b v="0"/>
    <m/>
  </r>
  <r>
    <n v="1"/>
    <x v="2"/>
    <m/>
    <x v="101"/>
    <s v="SEC"/>
    <s v="DEFAULT"/>
    <s v="DEFAULT"/>
    <m/>
    <x v="40"/>
    <s v="MONTHLY"/>
    <s v=""/>
    <s v=""/>
    <s v=""/>
    <s v=""/>
    <s v=""/>
    <s v="GAG Deprivation Secondary FSM"/>
    <s v="Entered Value from Funding Statement"/>
    <m/>
    <m/>
    <m/>
    <b v="0"/>
    <x v="0"/>
    <b v="0"/>
    <m/>
  </r>
  <r>
    <n v="1"/>
    <x v="2"/>
    <m/>
    <x v="101"/>
    <s v="SEC"/>
    <s v="DEFAULT"/>
    <s v="DEFAULT"/>
    <m/>
    <x v="40"/>
    <s v="MONTHLY"/>
    <s v=""/>
    <s v=""/>
    <s v=""/>
    <s v=""/>
    <s v=""/>
    <s v="GAG Deprivation Secondary FSM6"/>
    <s v="Entered Value from Funding Statement"/>
    <m/>
    <m/>
    <m/>
    <b v="0"/>
    <x v="0"/>
    <b v="0"/>
    <m/>
  </r>
  <r>
    <n v="1"/>
    <x v="2"/>
    <m/>
    <x v="101"/>
    <s v="SEC"/>
    <s v="DEFAULT"/>
    <s v="DEFAULT"/>
    <m/>
    <x v="40"/>
    <s v="MONTHLY"/>
    <s v=""/>
    <s v=""/>
    <s v=""/>
    <s v=""/>
    <s v=""/>
    <s v="GAG Prior Attainment Secondary"/>
    <s v="Entered Value from Funding Statement"/>
    <m/>
    <m/>
    <m/>
    <b v="0"/>
    <x v="0"/>
    <b v="0"/>
    <m/>
  </r>
  <r>
    <n v="1"/>
    <x v="2"/>
    <m/>
    <x v="101"/>
    <s v="SEC"/>
    <s v="DEFAULT"/>
    <s v="DEFAULT"/>
    <m/>
    <x v="40"/>
    <s v="MONTHLY"/>
    <s v=""/>
    <s v=""/>
    <s v=""/>
    <s v=""/>
    <s v=""/>
    <s v="GAG EAL Secondary"/>
    <s v="Entered Value from Funding Statement"/>
    <m/>
    <m/>
    <m/>
    <b v="0"/>
    <x v="0"/>
    <b v="0"/>
    <m/>
  </r>
  <r>
    <n v="1"/>
    <x v="2"/>
    <m/>
    <x v="101"/>
    <s v="SEC"/>
    <s v="DEFAULT"/>
    <s v="DEFAULT"/>
    <m/>
    <x v="40"/>
    <s v="MONTHLY"/>
    <s v=""/>
    <s v=""/>
    <s v=""/>
    <s v=""/>
    <s v=""/>
    <s v="GAG Mobility Secondary"/>
    <s v="Entered Value from Funding Statement"/>
    <m/>
    <m/>
    <m/>
    <b v="0"/>
    <x v="0"/>
    <b v="0"/>
    <m/>
  </r>
  <r>
    <n v="1"/>
    <x v="2"/>
    <m/>
    <x v="101"/>
    <s v="SEC"/>
    <s v="DEFAULT"/>
    <s v="DEFAULT"/>
    <m/>
    <x v="40"/>
    <s v="MONTHLY"/>
    <s v=""/>
    <s v=""/>
    <s v=""/>
    <s v=""/>
    <s v=""/>
    <s v="GAG Sparsity"/>
    <s v="Entered Value from Funding Statement"/>
    <m/>
    <m/>
    <m/>
    <b v="0"/>
    <x v="0"/>
    <b v="0"/>
    <m/>
  </r>
  <r>
    <n v="1"/>
    <x v="2"/>
    <m/>
    <x v="101"/>
    <s v="SEC"/>
    <s v="DEFAULT"/>
    <s v="DEFAULT"/>
    <m/>
    <x v="44"/>
    <s v="MONTHLY"/>
    <s v=""/>
    <s v=""/>
    <s v=""/>
    <s v=""/>
    <s v=""/>
    <s v="GAG Lump Sum Secondary"/>
    <s v="Lump Sum value from statistics"/>
    <m/>
    <m/>
    <m/>
    <b v="0"/>
    <x v="0"/>
    <b v="1"/>
    <m/>
  </r>
  <r>
    <n v="1"/>
    <x v="2"/>
    <m/>
    <x v="101"/>
    <s v="SEC"/>
    <s v="DEFAULT"/>
    <s v="DEFAULT"/>
    <m/>
    <x v="40"/>
    <s v="MONTHLY"/>
    <s v=""/>
    <s v=""/>
    <s v=""/>
    <s v=""/>
    <s v=""/>
    <s v="GAG Split Sites"/>
    <s v="Entered Value from Funding Statement"/>
    <m/>
    <m/>
    <m/>
    <b v="0"/>
    <x v="0"/>
    <b v="0"/>
    <m/>
  </r>
  <r>
    <n v="1"/>
    <x v="2"/>
    <m/>
    <x v="101"/>
    <s v="SEC"/>
    <s v="DEFAULT"/>
    <s v="DEFAULT"/>
    <m/>
    <x v="40"/>
    <s v="MONTHLY"/>
    <s v=""/>
    <s v=""/>
    <s v=""/>
    <s v=""/>
    <s v=""/>
    <s v="GAG PFI"/>
    <s v="Entered Value from Funding Statement"/>
    <m/>
    <m/>
    <m/>
    <b v="0"/>
    <x v="0"/>
    <b v="0"/>
    <m/>
  </r>
  <r>
    <n v="1"/>
    <x v="2"/>
    <m/>
    <x v="101"/>
    <s v="SEC"/>
    <s v="DEFAULT"/>
    <s v="DEFAULT"/>
    <m/>
    <x v="40"/>
    <s v="MONTHLY"/>
    <s v=""/>
    <s v=""/>
    <s v=""/>
    <s v=""/>
    <s v=""/>
    <s v="GAG London Fringe"/>
    <s v="Entered Value from Funding Statement"/>
    <m/>
    <m/>
    <m/>
    <b v="0"/>
    <x v="0"/>
    <b v="0"/>
    <m/>
  </r>
  <r>
    <n v="1"/>
    <x v="2"/>
    <m/>
    <x v="101"/>
    <s v="SEC"/>
    <s v="DEFAULT"/>
    <s v="DEFAULT"/>
    <m/>
    <x v="8"/>
    <s v="MONTHLY"/>
    <s v=""/>
    <s v=""/>
    <s v=""/>
    <s v=""/>
    <s v=""/>
    <s v="GAG Minimum Funding Guarantee"/>
    <s v="MFG from funding statement section 1. Breakdown of academic year"/>
    <m/>
    <m/>
    <m/>
    <b v="0"/>
    <x v="0"/>
    <b v="0"/>
    <m/>
  </r>
  <r>
    <n v="1"/>
    <x v="2"/>
    <m/>
    <x v="101"/>
    <s v="SEC"/>
    <s v="DEFAULT"/>
    <s v="DEFAULT"/>
    <m/>
    <x v="8"/>
    <s v="MONTHLY"/>
    <s v=""/>
    <s v=""/>
    <s v=""/>
    <s v=""/>
    <s v=""/>
    <s v="GAG Minimum per pupil Funding Level"/>
    <s v="Entered value from funding statement Table A final section."/>
    <m/>
    <m/>
    <m/>
    <b v="0"/>
    <x v="0"/>
    <b v="0"/>
    <m/>
  </r>
  <r>
    <n v="1"/>
    <x v="2"/>
    <m/>
    <x v="101"/>
    <s v="SEC"/>
    <s v="DEFAULT"/>
    <s v="DEFAULT"/>
    <m/>
    <x v="8"/>
    <s v="MONTHLY"/>
    <s v=""/>
    <s v=""/>
    <s v=""/>
    <s v=""/>
    <s v=""/>
    <s v="GAG Funding statement adjustment"/>
    <s v="Usually used for Start-up Grant or Exceptional Circumstances"/>
    <m/>
    <m/>
    <m/>
    <b v="0"/>
    <x v="0"/>
    <b v="0"/>
    <m/>
  </r>
  <r>
    <n v="1"/>
    <x v="2"/>
    <m/>
    <x v="101"/>
    <s v="SEC"/>
    <s v="DEFAULT"/>
    <s v="DEFAULT"/>
    <m/>
    <x v="45"/>
    <s v="MONTHLY"/>
    <s v=""/>
    <s v=""/>
    <s v=""/>
    <s v=""/>
    <s v=""/>
    <s v="GAG Post 16 Core Programme Funding"/>
    <s v="Entered Value from Post 16 funding statement - Summary Table"/>
    <m/>
    <m/>
    <m/>
    <b v="0"/>
    <x v="0"/>
    <b v="0"/>
    <m/>
  </r>
  <r>
    <n v="1"/>
    <x v="2"/>
    <m/>
    <x v="101"/>
    <s v="SEC"/>
    <s v="DEFAULT"/>
    <s v="DEFAULT"/>
    <m/>
    <x v="45"/>
    <s v="MONTHLY"/>
    <s v=""/>
    <s v=""/>
    <s v=""/>
    <s v=""/>
    <s v=""/>
    <s v="GAG Post 16 Condition of funding Adjustment"/>
    <s v="Entered Value from Post 16 funding statement - Summary Table"/>
    <m/>
    <m/>
    <m/>
    <b v="0"/>
    <x v="0"/>
    <b v="0"/>
    <m/>
  </r>
  <r>
    <n v="1"/>
    <x v="2"/>
    <m/>
    <x v="101"/>
    <s v="SEC"/>
    <s v="DEFAULT"/>
    <s v="DEFAULT"/>
    <m/>
    <x v="45"/>
    <s v="MONTHLY"/>
    <s v=""/>
    <s v=""/>
    <s v=""/>
    <s v=""/>
    <s v=""/>
    <s v="GAG Post 16 Advanced Maths premium"/>
    <s v="Entered Value from Post 16 funding statement - Summary Table"/>
    <m/>
    <m/>
    <m/>
    <b v="0"/>
    <x v="0"/>
    <b v="0"/>
    <m/>
  </r>
  <r>
    <n v="1"/>
    <x v="2"/>
    <m/>
    <x v="101"/>
    <s v="SEC"/>
    <s v="DEFAULT"/>
    <s v="DEFAULT"/>
    <m/>
    <x v="45"/>
    <s v="MONTHLY"/>
    <s v=""/>
    <s v=""/>
    <s v=""/>
    <s v=""/>
    <s v=""/>
    <s v="GAG Post 16 High value courses premium"/>
    <s v="Entered Value from Post 16 funding statement - Summary Table"/>
    <m/>
    <m/>
    <m/>
    <b v="0"/>
    <x v="0"/>
    <b v="0"/>
    <m/>
  </r>
  <r>
    <n v="1"/>
    <x v="2"/>
    <m/>
    <x v="101"/>
    <s v="SEC"/>
    <s v="DEFAULT"/>
    <s v="DEFAULT"/>
    <m/>
    <x v="45"/>
    <s v="MONTHLY"/>
    <s v=""/>
    <s v=""/>
    <s v=""/>
    <s v=""/>
    <s v=""/>
    <s v="GAG Post 16 Industry placements"/>
    <s v="Entered Value from Post 16 funding statement - Summary Table"/>
    <m/>
    <m/>
    <m/>
    <b v="0"/>
    <x v="0"/>
    <b v="0"/>
    <m/>
  </r>
  <r>
    <n v="1"/>
    <x v="2"/>
    <m/>
    <x v="101"/>
    <s v="SEC"/>
    <s v="DEFAULT"/>
    <s v="DEFAULT"/>
    <m/>
    <x v="45"/>
    <s v="MONTHLY"/>
    <s v=""/>
    <s v=""/>
    <s v=""/>
    <s v=""/>
    <s v=""/>
    <s v="GAG Post 16 Student financial support"/>
    <s v="Entered Value from Post 16 funding statement - Summary Table"/>
    <m/>
    <m/>
    <m/>
    <b v="0"/>
    <x v="0"/>
    <b v="0"/>
    <m/>
  </r>
  <r>
    <n v="0"/>
    <x v="2"/>
    <m/>
    <x v="102"/>
    <s v="SEC"/>
    <s v="DEFAULT"/>
    <s v="DEFAULT"/>
    <m/>
    <x v="46"/>
    <s v="MONTHLY"/>
    <s v=""/>
    <s v=""/>
    <s v=""/>
    <s v=""/>
    <s v=""/>
    <s v="DFC Core Amount"/>
    <s v="Lump Sum value from statistics"/>
    <m/>
    <m/>
    <m/>
    <b v="0"/>
    <x v="0"/>
    <b v="1"/>
    <m/>
  </r>
  <r>
    <n v="0"/>
    <x v="2"/>
    <m/>
    <x v="102"/>
    <s v="SEC"/>
    <s v="DEFAULT"/>
    <s v="DEFAULT"/>
    <m/>
    <x v="48"/>
    <s v="MONTHLY"/>
    <s v=""/>
    <s v=""/>
    <s v=""/>
    <s v=""/>
    <s v=""/>
    <s v="DFC Per Pupil Post 16"/>
    <s v="Current Year Spring KS5 Numbers multiplied by Rate"/>
    <m/>
    <m/>
    <m/>
    <b v="0"/>
    <x v="0"/>
    <b v="1"/>
    <m/>
  </r>
  <r>
    <n v="0"/>
    <x v="2"/>
    <m/>
    <x v="102"/>
    <s v="SEC"/>
    <s v="DEFAULT"/>
    <s v="DEFAULT"/>
    <m/>
    <x v="50"/>
    <s v="MONTHLY"/>
    <s v=""/>
    <s v=""/>
    <s v=""/>
    <s v=""/>
    <s v=""/>
    <s v="DFC Per Pupil Secondary"/>
    <s v="Current Year Spring KS3 and KS4 Numbers multiplied by Rate"/>
    <m/>
    <m/>
    <m/>
    <b v="0"/>
    <x v="0"/>
    <b v="1"/>
    <m/>
  </r>
  <r>
    <n v="0"/>
    <x v="2"/>
    <m/>
    <x v="103"/>
    <s v="SEC"/>
    <s v="DEFAULT"/>
    <s v="DEFAULT"/>
    <m/>
    <x v="51"/>
    <s v="MONTHLY"/>
    <s v=""/>
    <s v=""/>
    <s v=""/>
    <s v=""/>
    <s v=""/>
    <s v="ESFA Post 16 Funding Statement Total Calculated Line"/>
    <s v="Sum of Funding lines. Should match funding statement total."/>
    <m/>
    <m/>
    <m/>
    <b v="0"/>
    <x v="0"/>
    <b v="1"/>
    <m/>
  </r>
  <r>
    <n v="0"/>
    <x v="2"/>
    <m/>
    <x v="104"/>
    <s v="SEC"/>
    <s v="DEFAULT"/>
    <s v="DEFAULT"/>
    <m/>
    <x v="52"/>
    <s v="MONTHLY"/>
    <s v=""/>
    <s v=""/>
    <s v=""/>
    <s v=""/>
    <s v=""/>
    <s v="ESFA Pre 16 Funding Statement Total Calculated Line"/>
    <s v="Sum of Funding lines. Should match funding statement total."/>
    <m/>
    <m/>
    <m/>
    <b v="0"/>
    <x v="0"/>
    <b v="1"/>
    <m/>
  </r>
  <r>
    <n v="0"/>
    <x v="2"/>
    <m/>
    <x v="105"/>
    <s v="SEC"/>
    <s v="DEFAULT"/>
    <s v="DEFAULT"/>
    <m/>
    <x v="53"/>
    <s v="MONTHLY"/>
    <s v=""/>
    <s v=""/>
    <s v=""/>
    <s v=""/>
    <s v=""/>
    <s v="Occupied Post 16 High Needs"/>
    <s v="Post 16 Occupied pupil numbers multiplied by rate"/>
    <m/>
    <m/>
    <m/>
    <b v="0"/>
    <x v="0"/>
    <b v="1"/>
    <m/>
  </r>
  <r>
    <n v="0"/>
    <x v="2"/>
    <m/>
    <x v="105"/>
    <s v="SEC"/>
    <s v="DEFAULT"/>
    <s v="DEFAULT"/>
    <m/>
    <x v="54"/>
    <s v="MONTHLY"/>
    <s v=""/>
    <s v=""/>
    <s v=""/>
    <s v=""/>
    <s v=""/>
    <s v="Post 16 High Needs"/>
    <s v="Post 16 High needs pupil numbers multiplied by rate"/>
    <m/>
    <m/>
    <m/>
    <b v="0"/>
    <x v="0"/>
    <b v="1"/>
    <m/>
  </r>
  <r>
    <n v="0"/>
    <x v="2"/>
    <m/>
    <x v="106"/>
    <s v="SEC"/>
    <s v="DEFAULT"/>
    <s v="DEFAULT"/>
    <m/>
    <x v="55"/>
    <s v="MONTHLY"/>
    <s v=""/>
    <s v=""/>
    <s v=""/>
    <s v=""/>
    <s v=""/>
    <s v="Occupied Pre 16 High Needs"/>
    <s v="Pre 16 Occupied pupil numbers multiplied by rate"/>
    <m/>
    <m/>
    <m/>
    <b v="0"/>
    <x v="0"/>
    <b v="1"/>
    <m/>
  </r>
  <r>
    <n v="0"/>
    <x v="2"/>
    <m/>
    <x v="106"/>
    <s v="SEC"/>
    <s v="DEFAULT"/>
    <s v="DEFAULT"/>
    <m/>
    <x v="56"/>
    <s v="MONTHLY"/>
    <s v=""/>
    <s v=""/>
    <s v=""/>
    <s v=""/>
    <s v=""/>
    <s v="Pre 16 High Needs"/>
    <s v="Pre 16 High needs pupil numbers multiplied by rate"/>
    <m/>
    <m/>
    <m/>
    <b v="0"/>
    <x v="0"/>
    <b v="1"/>
    <m/>
  </r>
  <r>
    <n v="0"/>
    <x v="2"/>
    <m/>
    <x v="107"/>
    <s v="SEC"/>
    <s v="DEFAULT"/>
    <s v="DEFAULT"/>
    <m/>
    <x v="57"/>
    <s v="MONTHLY"/>
    <s v=""/>
    <s v=""/>
    <s v=""/>
    <s v=""/>
    <s v=""/>
    <s v="Pupil Premium Looked After Children Income"/>
    <s v="Looked after children pupil numbers multiplied by rate"/>
    <m/>
    <m/>
    <m/>
    <b v="0"/>
    <x v="0"/>
    <b v="1"/>
    <m/>
  </r>
  <r>
    <n v="0"/>
    <x v="2"/>
    <m/>
    <x v="109"/>
    <s v="SEC"/>
    <s v="DEFAULT"/>
    <s v="DEFAULT"/>
    <m/>
    <x v="59"/>
    <s v="MONTHLY"/>
    <s v=""/>
    <s v=""/>
    <s v=""/>
    <s v=""/>
    <s v=""/>
    <s v="Pupil Premium Income Secondary"/>
    <s v="Secondary Pupil premium pupil numbers multiplied by rate"/>
    <m/>
    <m/>
    <m/>
    <b v="0"/>
    <x v="0"/>
    <b v="1"/>
    <m/>
  </r>
  <r>
    <n v="0"/>
    <x v="2"/>
    <m/>
    <x v="110"/>
    <s v="SEC"/>
    <s v="DEFAULT"/>
    <s v="DEFAULT"/>
    <m/>
    <x v="60"/>
    <s v="MONTHLY"/>
    <s v=""/>
    <s v=""/>
    <s v=""/>
    <s v=""/>
    <s v=""/>
    <s v="Pupil Premium Service Children Income"/>
    <s v="Service children pupil numbers multiplied by rate"/>
    <m/>
    <m/>
    <m/>
    <b v="0"/>
    <x v="0"/>
    <b v="1"/>
    <m/>
  </r>
  <r>
    <n v="1"/>
    <x v="2"/>
    <m/>
    <x v="111"/>
    <s v="SEC"/>
    <s v="DEFAULT"/>
    <s v="DEFAULT"/>
    <m/>
    <x v="40"/>
    <s v="MONTHLY"/>
    <s v=""/>
    <s v=""/>
    <s v=""/>
    <s v=""/>
    <s v=""/>
    <s v="School Condition Allocation"/>
    <s v="Entered Value from EFSA Capital funding report"/>
    <m/>
    <m/>
    <m/>
    <b v="1"/>
    <x v="0"/>
    <b v="0"/>
    <m/>
  </r>
  <r>
    <n v="0"/>
    <x v="2"/>
    <m/>
    <x v="113"/>
    <s v="SEC"/>
    <s v="DEFAULT"/>
    <s v="DEFAULT"/>
    <m/>
    <x v="63"/>
    <s v="MONTHLY"/>
    <s v=""/>
    <s v=""/>
    <s v=""/>
    <s v=""/>
    <s v=""/>
    <s v="Teachers Pensions Grant Post 16"/>
    <s v="Post 16 pupil numbers multiplied by rate"/>
    <m/>
    <m/>
    <m/>
    <b v="0"/>
    <x v="0"/>
    <b v="1"/>
    <m/>
  </r>
  <r>
    <n v="0"/>
    <x v="2"/>
    <m/>
    <x v="102"/>
    <s v="SPE"/>
    <s v="DEFAULT"/>
    <s v="DEFAULT"/>
    <m/>
    <x v="46"/>
    <s v="MONTHLY"/>
    <s v=""/>
    <s v=""/>
    <s v=""/>
    <s v=""/>
    <s v=""/>
    <s v="DFC Core Amount"/>
    <s v="Lump Sum value from statistics"/>
    <m/>
    <m/>
    <m/>
    <b v="0"/>
    <x v="0"/>
    <b v="1"/>
    <m/>
  </r>
  <r>
    <n v="0"/>
    <x v="2"/>
    <m/>
    <x v="102"/>
    <s v="SPE"/>
    <s v="DEFAULT"/>
    <s v="DEFAULT"/>
    <m/>
    <x v="64"/>
    <s v="MONTHLY"/>
    <s v=""/>
    <s v=""/>
    <s v=""/>
    <s v=""/>
    <s v=""/>
    <s v="DFC Special"/>
    <s v="High needs places multiplied by Rate"/>
    <m/>
    <m/>
    <m/>
    <b v="0"/>
    <x v="0"/>
    <b v="1"/>
    <m/>
  </r>
  <r>
    <n v="0"/>
    <x v="2"/>
    <m/>
    <x v="103"/>
    <s v="SPE"/>
    <s v="DEFAULT"/>
    <s v="DEFAULT"/>
    <m/>
    <x v="51"/>
    <s v="MONTHLY"/>
    <s v=""/>
    <s v=""/>
    <s v=""/>
    <s v=""/>
    <s v=""/>
    <s v="ESFA Post 16 Funding Statement Total Calculated Line"/>
    <s v="Sum of Funding lines. Should match funding statement total."/>
    <m/>
    <m/>
    <m/>
    <b v="0"/>
    <x v="0"/>
    <b v="1"/>
    <m/>
  </r>
  <r>
    <n v="0"/>
    <x v="2"/>
    <m/>
    <x v="104"/>
    <s v="SPE"/>
    <s v="DEFAULT"/>
    <s v="DEFAULT"/>
    <m/>
    <x v="52"/>
    <s v="MONTHLY"/>
    <s v=""/>
    <s v=""/>
    <s v=""/>
    <s v=""/>
    <s v=""/>
    <s v="ESFA Pre 16 Funding Statement Total Calculated Line"/>
    <s v="Sum of Funding lines. Should match funding statement total."/>
    <m/>
    <m/>
    <m/>
    <b v="0"/>
    <x v="0"/>
    <b v="1"/>
    <m/>
  </r>
  <r>
    <n v="0"/>
    <x v="2"/>
    <m/>
    <x v="105"/>
    <s v="SPE"/>
    <s v="DEFAULT"/>
    <s v="DEFAULT"/>
    <m/>
    <x v="54"/>
    <s v="MONTHLY"/>
    <s v=""/>
    <s v=""/>
    <s v=""/>
    <s v=""/>
    <s v=""/>
    <s v="Post 16 High Needs"/>
    <s v="Post 16 High needs pupil numbers multiplied by rate"/>
    <m/>
    <m/>
    <m/>
    <b v="0"/>
    <x v="0"/>
    <b v="1"/>
    <m/>
  </r>
  <r>
    <n v="0"/>
    <x v="2"/>
    <m/>
    <x v="106"/>
    <s v="SPE"/>
    <s v="DEFAULT"/>
    <s v="DEFAULT"/>
    <m/>
    <x v="56"/>
    <s v="MONTHLY"/>
    <s v=""/>
    <s v=""/>
    <s v=""/>
    <s v=""/>
    <s v=""/>
    <s v="Pre 16 High Needs"/>
    <s v="Pre 16 High needs pupil numbers multiplied by rate"/>
    <m/>
    <m/>
    <m/>
    <b v="0"/>
    <x v="0"/>
    <b v="1"/>
    <m/>
  </r>
  <r>
    <n v="0"/>
    <x v="2"/>
    <m/>
    <x v="107"/>
    <s v="SPE"/>
    <s v="DEFAULT"/>
    <s v="DEFAULT"/>
    <m/>
    <x v="57"/>
    <s v="MONTHLY"/>
    <s v=""/>
    <s v=""/>
    <s v=""/>
    <s v=""/>
    <s v=""/>
    <s v="Pupil Premium Looked After Children Income"/>
    <s v="Looked after children pupil numbers multiplied by rate"/>
    <m/>
    <m/>
    <m/>
    <b v="0"/>
    <x v="0"/>
    <b v="1"/>
    <m/>
  </r>
  <r>
    <n v="0"/>
    <x v="2"/>
    <m/>
    <x v="108"/>
    <s v="SPE"/>
    <s v="DEFAULT"/>
    <s v="DEFAULT"/>
    <m/>
    <x v="58"/>
    <s v="MONTHLY"/>
    <s v=""/>
    <s v=""/>
    <s v=""/>
    <s v=""/>
    <s v=""/>
    <s v="Pupil Premium Income Primary"/>
    <s v="Primary Pupil premium pupil numbers multiplied by rate"/>
    <m/>
    <m/>
    <m/>
    <b v="0"/>
    <x v="0"/>
    <b v="1"/>
    <m/>
  </r>
  <r>
    <n v="0"/>
    <x v="2"/>
    <m/>
    <x v="109"/>
    <s v="SPE"/>
    <s v="DEFAULT"/>
    <s v="DEFAULT"/>
    <m/>
    <x v="59"/>
    <s v="MONTHLY"/>
    <s v=""/>
    <s v=""/>
    <s v=""/>
    <s v=""/>
    <s v=""/>
    <s v="Pupil Premium Income Secondary"/>
    <s v="Secondary Pupil premium pupil numbers multiplied by rate"/>
    <m/>
    <m/>
    <m/>
    <b v="0"/>
    <x v="0"/>
    <b v="1"/>
    <m/>
  </r>
  <r>
    <n v="0"/>
    <x v="2"/>
    <m/>
    <x v="110"/>
    <s v="SPE"/>
    <s v="DEFAULT"/>
    <s v="DEFAULT"/>
    <m/>
    <x v="60"/>
    <s v="MONTHLY"/>
    <s v=""/>
    <s v=""/>
    <s v=""/>
    <s v=""/>
    <s v=""/>
    <s v="Pupil Premium Service Children Income"/>
    <s v="Service children pupil numbers multiplied by rate"/>
    <m/>
    <m/>
    <m/>
    <b v="0"/>
    <x v="0"/>
    <b v="1"/>
    <m/>
  </r>
  <r>
    <n v="1"/>
    <x v="2"/>
    <m/>
    <x v="111"/>
    <s v="SPE"/>
    <s v="DEFAULT"/>
    <s v="DEFAULT"/>
    <m/>
    <x v="40"/>
    <s v="MONTHLY"/>
    <s v=""/>
    <s v=""/>
    <s v=""/>
    <s v=""/>
    <s v=""/>
    <s v="School Condition Allocation"/>
    <s v="Entered Value from EFSA Capital funding report"/>
    <m/>
    <m/>
    <m/>
    <b v="1"/>
    <x v="0"/>
    <b v="0"/>
    <m/>
  </r>
  <r>
    <n v="0"/>
    <x v="2"/>
    <m/>
    <x v="114"/>
    <s v="SPE"/>
    <s v="DEFAULT"/>
    <s v="DEFAULT"/>
    <m/>
    <x v="65"/>
    <s v="MONTHLY"/>
    <s v=""/>
    <s v=""/>
    <s v=""/>
    <s v=""/>
    <s v=""/>
    <s v="Teachers Pay Grant"/>
    <s v="Post 16 pupil numbers multiplied by rate"/>
    <m/>
    <m/>
    <m/>
    <b v="0"/>
    <x v="0"/>
    <b v="1"/>
    <m/>
  </r>
  <r>
    <n v="0"/>
    <x v="2"/>
    <m/>
    <x v="115"/>
    <s v="PRI"/>
    <s v="DEFAULT"/>
    <s v="DEFAULT"/>
    <m/>
    <x v="66"/>
    <s v="MONTHLY"/>
    <s v=""/>
    <s v=""/>
    <s v=""/>
    <s v=""/>
    <s v=""/>
    <s v="Recovery Premium Funding - Primary - Current Pupils"/>
    <m/>
    <m/>
    <m/>
    <m/>
    <b v="1"/>
    <x v="0"/>
    <b v="1"/>
    <m/>
  </r>
  <r>
    <n v="0"/>
    <x v="2"/>
    <m/>
    <x v="116"/>
    <s v="PRI"/>
    <s v="DEFAULT"/>
    <s v="DEFAULT"/>
    <m/>
    <x v="67"/>
    <s v="MONTHLY"/>
    <s v=""/>
    <s v=""/>
    <s v=""/>
    <s v=""/>
    <s v=""/>
    <s v="Recovery Premium Funding - Primary - Prior Year Pupils"/>
    <m/>
    <m/>
    <m/>
    <m/>
    <b v="1"/>
    <x v="0"/>
    <b v="1"/>
    <m/>
  </r>
  <r>
    <n v="0"/>
    <x v="2"/>
    <m/>
    <x v="117"/>
    <s v="SEC"/>
    <s v="DEFAULT"/>
    <s v="DEFAULT"/>
    <m/>
    <x v="68"/>
    <s v="MONTHLY"/>
    <s v=""/>
    <s v=""/>
    <s v=""/>
    <s v=""/>
    <s v=""/>
    <s v="Recovery Premium Funding - Secondary - Current Pupils"/>
    <m/>
    <m/>
    <m/>
    <m/>
    <b v="1"/>
    <x v="0"/>
    <b v="1"/>
    <m/>
  </r>
  <r>
    <n v="0"/>
    <x v="2"/>
    <m/>
    <x v="118"/>
    <s v="SEC"/>
    <s v="DEFAULT"/>
    <s v="DEFAULT"/>
    <m/>
    <x v="69"/>
    <s v="MONTHLY"/>
    <s v=""/>
    <s v=""/>
    <s v=""/>
    <s v=""/>
    <s v=""/>
    <s v="Recovery Premium Funding - Secondary - Prior Year Pupils"/>
    <m/>
    <m/>
    <m/>
    <m/>
    <b v="1"/>
    <x v="0"/>
    <b v="1"/>
    <m/>
  </r>
  <r>
    <n v="0"/>
    <x v="2"/>
    <m/>
    <x v="115"/>
    <s v="ALL"/>
    <s v="DEFAULT"/>
    <s v="DEFAULT"/>
    <m/>
    <x v="66"/>
    <s v="MONTHLY"/>
    <s v=""/>
    <s v=""/>
    <s v=""/>
    <s v=""/>
    <s v=""/>
    <s v="Recovery Premium Funding - Primary - Current Pupils"/>
    <m/>
    <m/>
    <m/>
    <m/>
    <b v="1"/>
    <x v="0"/>
    <b v="1"/>
    <m/>
  </r>
  <r>
    <n v="0"/>
    <x v="2"/>
    <m/>
    <x v="116"/>
    <s v="ALL"/>
    <s v="DEFAULT"/>
    <s v="DEFAULT"/>
    <m/>
    <x v="67"/>
    <s v="MONTHLY"/>
    <s v=""/>
    <s v=""/>
    <s v=""/>
    <s v=""/>
    <s v=""/>
    <s v="Recovery Premium Funding - Primary - Prior Year Pupils"/>
    <m/>
    <m/>
    <m/>
    <m/>
    <b v="1"/>
    <x v="0"/>
    <b v="1"/>
    <m/>
  </r>
  <r>
    <n v="0"/>
    <x v="2"/>
    <m/>
    <x v="117"/>
    <s v="ALL"/>
    <s v="DEFAULT"/>
    <s v="DEFAULT"/>
    <m/>
    <x v="68"/>
    <s v="MONTHLY"/>
    <s v=""/>
    <s v=""/>
    <s v=""/>
    <s v=""/>
    <s v=""/>
    <s v="Recovery Premium Funding - Secondary - Current Pupils"/>
    <m/>
    <m/>
    <m/>
    <m/>
    <b v="1"/>
    <x v="0"/>
    <b v="1"/>
    <m/>
  </r>
  <r>
    <n v="0"/>
    <x v="2"/>
    <m/>
    <x v="118"/>
    <s v="ALL"/>
    <s v="DEFAULT"/>
    <s v="DEFAULT"/>
    <m/>
    <x v="69"/>
    <s v="MONTHLY"/>
    <s v=""/>
    <s v=""/>
    <s v=""/>
    <s v=""/>
    <s v=""/>
    <s v="Recovery Premium Funding - Secondary - Prior Year Pupils"/>
    <m/>
    <m/>
    <m/>
    <m/>
    <b v="1"/>
    <x v="0"/>
    <b v="1"/>
    <m/>
  </r>
  <r>
    <n v="0"/>
    <x v="2"/>
    <m/>
    <x v="115"/>
    <s v="SPE"/>
    <s v="DEFAULT"/>
    <s v="DEFAULT"/>
    <m/>
    <x v="66"/>
    <s v="MONTHLY"/>
    <s v=""/>
    <s v=""/>
    <s v=""/>
    <s v=""/>
    <s v=""/>
    <s v="Recovery Premium Funding - Primary - Current Pupils"/>
    <m/>
    <m/>
    <m/>
    <m/>
    <b v="1"/>
    <x v="0"/>
    <b v="1"/>
    <m/>
  </r>
  <r>
    <n v="0"/>
    <x v="2"/>
    <m/>
    <x v="116"/>
    <s v="SPE"/>
    <s v="DEFAULT"/>
    <s v="DEFAULT"/>
    <m/>
    <x v="67"/>
    <s v="MONTHLY"/>
    <s v=""/>
    <s v=""/>
    <s v=""/>
    <s v=""/>
    <s v=""/>
    <s v="Recovery Premium Funding - Primary - Prior Year Pupils"/>
    <m/>
    <m/>
    <m/>
    <m/>
    <b v="1"/>
    <x v="0"/>
    <b v="1"/>
    <m/>
  </r>
  <r>
    <n v="0"/>
    <x v="2"/>
    <m/>
    <x v="117"/>
    <s v="SPE"/>
    <s v="DEFAULT"/>
    <s v="DEFAULT"/>
    <m/>
    <x v="68"/>
    <s v="MONTHLY"/>
    <s v=""/>
    <s v=""/>
    <s v=""/>
    <s v=""/>
    <s v=""/>
    <s v="Recovery Premium Funding - Secondary - Current Pupils"/>
    <m/>
    <m/>
    <m/>
    <m/>
    <b v="1"/>
    <x v="0"/>
    <b v="1"/>
    <m/>
  </r>
  <r>
    <n v="0"/>
    <x v="2"/>
    <m/>
    <x v="118"/>
    <s v="SPE"/>
    <s v="DEFAULT"/>
    <s v="DEFAULT"/>
    <m/>
    <x v="69"/>
    <s v="MONTHLY"/>
    <s v=""/>
    <s v=""/>
    <s v=""/>
    <s v=""/>
    <s v=""/>
    <s v="Recovery Premium Funding - Secondary - Prior Year Pupils"/>
    <m/>
    <m/>
    <m/>
    <m/>
    <b v="1"/>
    <x v="0"/>
    <b v="1"/>
    <m/>
  </r>
  <r>
    <m/>
    <x v="3"/>
    <m/>
    <x v="119"/>
    <s v="MAT"/>
    <m/>
    <m/>
    <m/>
    <x v="70"/>
    <s v="MONTHLY"/>
    <s v=""/>
    <s v=""/>
    <s v=""/>
    <s v=""/>
    <s v=""/>
    <s v="Central Contribution from Schools"/>
    <m/>
    <m/>
    <m/>
    <m/>
    <b v="1"/>
    <x v="0"/>
    <b v="1"/>
    <m/>
  </r>
  <r>
    <m/>
    <x v="3"/>
    <m/>
    <x v="119"/>
    <s v="PRI"/>
    <m/>
    <m/>
    <m/>
    <x v="71"/>
    <s v="MONTHLY"/>
    <s v=""/>
    <s v=""/>
    <s v=""/>
    <s v=""/>
    <s v=""/>
    <s v="GAG Funding 01 (grouped at nominal level)"/>
    <m/>
    <m/>
    <m/>
    <m/>
    <b v="0"/>
    <x v="0"/>
    <b v="1"/>
    <m/>
  </r>
  <r>
    <m/>
    <x v="3"/>
    <m/>
    <x v="119"/>
    <s v="SEC"/>
    <m/>
    <m/>
    <m/>
    <x v="71"/>
    <s v="MONTHLY"/>
    <s v=""/>
    <s v=""/>
    <s v=""/>
    <s v=""/>
    <s v=""/>
    <s v="GAG Funding 01 (grouped at nominal level)"/>
    <m/>
    <m/>
    <m/>
    <m/>
    <b v="0"/>
    <x v="0"/>
    <b v="1"/>
    <m/>
  </r>
  <r>
    <m/>
    <x v="3"/>
    <m/>
    <x v="119"/>
    <s v="SPE"/>
    <m/>
    <m/>
    <m/>
    <x v="71"/>
    <s v="MONTHLY"/>
    <s v=""/>
    <s v=""/>
    <s v=""/>
    <s v=""/>
    <s v=""/>
    <s v="GAG Funding 01 (grouped at nominal level)"/>
    <m/>
    <m/>
    <m/>
    <m/>
    <b v="0"/>
    <x v="0"/>
    <b v="1"/>
    <m/>
  </r>
  <r>
    <m/>
    <x v="3"/>
    <m/>
    <x v="119"/>
    <s v="ALL"/>
    <m/>
    <m/>
    <m/>
    <x v="71"/>
    <s v="MONTHLY"/>
    <s v=""/>
    <s v=""/>
    <s v=""/>
    <s v=""/>
    <s v=""/>
    <s v="GAG Funding 01 (grouped at nominal level)"/>
    <m/>
    <m/>
    <m/>
    <m/>
    <b v="0"/>
    <x v="0"/>
    <b v="1"/>
    <m/>
  </r>
  <r>
    <m/>
    <x v="3"/>
    <m/>
    <x v="119"/>
    <s v="PRI"/>
    <m/>
    <m/>
    <m/>
    <x v="72"/>
    <s v="MONTHLY"/>
    <s v=""/>
    <s v=""/>
    <s v=""/>
    <s v=""/>
    <s v=""/>
    <s v="GAG Funding 02 (grouped at nominal level)"/>
    <m/>
    <m/>
    <m/>
    <m/>
    <b v="0"/>
    <x v="0"/>
    <b v="1"/>
    <m/>
  </r>
  <r>
    <m/>
    <x v="3"/>
    <m/>
    <x v="119"/>
    <s v="SEC"/>
    <m/>
    <m/>
    <m/>
    <x v="72"/>
    <s v="MONTHLY"/>
    <s v=""/>
    <s v=""/>
    <s v=""/>
    <s v=""/>
    <s v=""/>
    <s v="GAG Funding 02 (grouped at nominal level)"/>
    <m/>
    <m/>
    <m/>
    <m/>
    <b v="0"/>
    <x v="0"/>
    <b v="1"/>
    <m/>
  </r>
  <r>
    <m/>
    <x v="3"/>
    <m/>
    <x v="119"/>
    <s v="SPE"/>
    <m/>
    <m/>
    <m/>
    <x v="72"/>
    <s v="MONTHLY"/>
    <s v=""/>
    <s v=""/>
    <s v=""/>
    <s v=""/>
    <s v=""/>
    <s v="GAG Funding 02 (grouped at nominal level)"/>
    <m/>
    <m/>
    <m/>
    <m/>
    <b v="0"/>
    <x v="0"/>
    <b v="1"/>
    <m/>
  </r>
  <r>
    <m/>
    <x v="3"/>
    <m/>
    <x v="119"/>
    <s v="ALL"/>
    <m/>
    <m/>
    <m/>
    <x v="72"/>
    <s v="MONTHLY"/>
    <s v=""/>
    <s v=""/>
    <s v=""/>
    <s v=""/>
    <s v=""/>
    <s v="GAG Funding 02 (grouped at nominal level)"/>
    <m/>
    <m/>
    <m/>
    <m/>
    <b v="0"/>
    <x v="0"/>
    <b v="1"/>
    <m/>
  </r>
  <r>
    <m/>
    <x v="3"/>
    <m/>
    <x v="119"/>
    <s v="PRI"/>
    <m/>
    <m/>
    <m/>
    <x v="73"/>
    <s v="MONTHLY"/>
    <s v=""/>
    <s v=""/>
    <s v=""/>
    <s v=""/>
    <s v=""/>
    <s v="GAG Funding 03 (grouped at nominal level)"/>
    <m/>
    <m/>
    <m/>
    <m/>
    <b v="0"/>
    <x v="0"/>
    <b v="1"/>
    <m/>
  </r>
  <r>
    <m/>
    <x v="3"/>
    <m/>
    <x v="119"/>
    <s v="SEC"/>
    <m/>
    <m/>
    <m/>
    <x v="73"/>
    <s v="MONTHLY"/>
    <s v=""/>
    <s v=""/>
    <s v=""/>
    <s v=""/>
    <s v=""/>
    <s v="GAG Funding 03 (grouped at nominal level)"/>
    <m/>
    <m/>
    <m/>
    <m/>
    <b v="0"/>
    <x v="0"/>
    <b v="1"/>
    <m/>
  </r>
  <r>
    <m/>
    <x v="3"/>
    <m/>
    <x v="119"/>
    <s v="SPE"/>
    <m/>
    <m/>
    <m/>
    <x v="73"/>
    <s v="MONTHLY"/>
    <s v=""/>
    <s v=""/>
    <s v=""/>
    <s v=""/>
    <s v=""/>
    <s v="GAG Funding 03 (grouped at nominal level)"/>
    <m/>
    <m/>
    <m/>
    <m/>
    <b v="0"/>
    <x v="0"/>
    <b v="1"/>
    <m/>
  </r>
  <r>
    <m/>
    <x v="3"/>
    <m/>
    <x v="119"/>
    <s v="ALL"/>
    <m/>
    <m/>
    <m/>
    <x v="73"/>
    <s v="MONTHLY"/>
    <s v=""/>
    <s v=""/>
    <s v=""/>
    <s v=""/>
    <s v=""/>
    <s v="GAG Funding 03 (grouped at nominal level)"/>
    <m/>
    <m/>
    <m/>
    <m/>
    <b v="0"/>
    <x v="0"/>
    <b v="1"/>
    <m/>
  </r>
  <r>
    <m/>
    <x v="3"/>
    <m/>
    <x v="119"/>
    <s v="SEC"/>
    <m/>
    <m/>
    <m/>
    <x v="74"/>
    <s v="MONTHLY"/>
    <s v=""/>
    <s v=""/>
    <s v=""/>
    <s v=""/>
    <s v=""/>
    <s v="GAG Total Post 16 High Needs Funding Statement"/>
    <m/>
    <m/>
    <m/>
    <m/>
    <b v="0"/>
    <x v="0"/>
    <b v="1"/>
    <m/>
  </r>
  <r>
    <m/>
    <x v="3"/>
    <m/>
    <x v="119"/>
    <s v="SPE"/>
    <m/>
    <m/>
    <m/>
    <x v="74"/>
    <s v="MONTHLY"/>
    <s v=""/>
    <s v=""/>
    <s v=""/>
    <s v=""/>
    <s v=""/>
    <s v="GAG Total Post 16 High Needs Funding Statement"/>
    <m/>
    <m/>
    <m/>
    <m/>
    <b v="0"/>
    <x v="0"/>
    <b v="1"/>
    <m/>
  </r>
  <r>
    <m/>
    <x v="3"/>
    <m/>
    <x v="119"/>
    <s v="ALL"/>
    <m/>
    <m/>
    <m/>
    <x v="74"/>
    <s v="MONTHLY"/>
    <s v=""/>
    <s v=""/>
    <s v=""/>
    <s v=""/>
    <s v=""/>
    <s v="GAG Total Post 16 High Needs Funding Statement"/>
    <m/>
    <m/>
    <m/>
    <m/>
    <b v="0"/>
    <x v="0"/>
    <b v="1"/>
    <m/>
  </r>
  <r>
    <m/>
    <x v="3"/>
    <m/>
    <x v="119"/>
    <s v="PRI"/>
    <m/>
    <m/>
    <m/>
    <x v="75"/>
    <s v="MONTHLY"/>
    <s v=""/>
    <s v=""/>
    <s v=""/>
    <s v=""/>
    <s v=""/>
    <s v="GAG Total Pre 16 High Needs Funding Statement"/>
    <m/>
    <m/>
    <m/>
    <m/>
    <b v="0"/>
    <x v="0"/>
    <b v="1"/>
    <m/>
  </r>
  <r>
    <m/>
    <x v="3"/>
    <m/>
    <x v="119"/>
    <s v="SEC"/>
    <m/>
    <m/>
    <m/>
    <x v="75"/>
    <s v="MONTHLY"/>
    <s v=""/>
    <s v=""/>
    <s v=""/>
    <s v=""/>
    <s v=""/>
    <s v="GAG Total Pre 16 High Needs Funding Statement"/>
    <m/>
    <m/>
    <m/>
    <m/>
    <b v="0"/>
    <x v="0"/>
    <b v="1"/>
    <m/>
  </r>
  <r>
    <m/>
    <x v="3"/>
    <m/>
    <x v="119"/>
    <s v="SPE"/>
    <m/>
    <m/>
    <m/>
    <x v="75"/>
    <s v="MONTHLY"/>
    <s v=""/>
    <s v=""/>
    <s v=""/>
    <s v=""/>
    <s v=""/>
    <s v="GAG Total Pre 16 High Needs Funding Statement"/>
    <m/>
    <m/>
    <m/>
    <m/>
    <b v="0"/>
    <x v="0"/>
    <b v="1"/>
    <m/>
  </r>
  <r>
    <m/>
    <x v="3"/>
    <m/>
    <x v="119"/>
    <s v="ALL"/>
    <m/>
    <m/>
    <m/>
    <x v="75"/>
    <s v="MONTHLY"/>
    <s v=""/>
    <s v=""/>
    <s v=""/>
    <s v=""/>
    <s v=""/>
    <s v="GAG Total Pre 16 High Needs Funding Statement"/>
    <m/>
    <m/>
    <m/>
    <m/>
    <b v="0"/>
    <x v="0"/>
    <b v="1"/>
    <m/>
  </r>
  <r>
    <m/>
    <x v="3"/>
    <m/>
    <x v="119"/>
    <s v="PRI"/>
    <m/>
    <m/>
    <m/>
    <x v="76"/>
    <s v="MONTHLY"/>
    <s v=""/>
    <s v=""/>
    <s v=""/>
    <s v=""/>
    <s v=""/>
    <s v="SCA Grant"/>
    <m/>
    <m/>
    <m/>
    <m/>
    <b v="0"/>
    <x v="0"/>
    <b v="1"/>
    <m/>
  </r>
  <r>
    <m/>
    <x v="3"/>
    <m/>
    <x v="119"/>
    <s v="SEC"/>
    <m/>
    <m/>
    <m/>
    <x v="76"/>
    <s v="MONTHLY"/>
    <s v=""/>
    <s v=""/>
    <s v=""/>
    <s v=""/>
    <s v=""/>
    <s v="SCA Grant"/>
    <m/>
    <m/>
    <m/>
    <m/>
    <b v="0"/>
    <x v="0"/>
    <b v="1"/>
    <m/>
  </r>
  <r>
    <m/>
    <x v="3"/>
    <m/>
    <x v="119"/>
    <s v="SPE"/>
    <m/>
    <m/>
    <m/>
    <x v="76"/>
    <s v="MONTHLY"/>
    <s v=""/>
    <s v=""/>
    <s v=""/>
    <s v=""/>
    <s v=""/>
    <s v="SCA Grant"/>
    <m/>
    <m/>
    <m/>
    <m/>
    <b v="0"/>
    <x v="0"/>
    <b v="1"/>
    <m/>
  </r>
  <r>
    <m/>
    <x v="3"/>
    <m/>
    <x v="119"/>
    <s v="ALL"/>
    <m/>
    <m/>
    <m/>
    <x v="76"/>
    <s v="MONTHLY"/>
    <s v=""/>
    <s v=""/>
    <s v=""/>
    <s v=""/>
    <s v=""/>
    <s v="SCA Grant"/>
    <m/>
    <m/>
    <m/>
    <m/>
    <b v="0"/>
    <x v="0"/>
    <b v="1"/>
    <m/>
  </r>
  <r>
    <m/>
    <x v="3"/>
    <m/>
    <x v="119"/>
    <s v="PRI"/>
    <m/>
    <m/>
    <m/>
    <x v="77"/>
    <s v="MONTHLY"/>
    <s v=""/>
    <s v=""/>
    <s v=""/>
    <s v=""/>
    <s v=""/>
    <s v="Apprentice Levy Allowance"/>
    <m/>
    <m/>
    <m/>
    <m/>
    <b v="0"/>
    <x v="0"/>
    <b v="1"/>
    <m/>
  </r>
  <r>
    <m/>
    <x v="3"/>
    <m/>
    <x v="119"/>
    <s v="SEC"/>
    <m/>
    <m/>
    <m/>
    <x v="77"/>
    <s v="MONTHLY"/>
    <s v=""/>
    <s v=""/>
    <s v=""/>
    <s v=""/>
    <s v=""/>
    <s v="Apprentice Levy Allowance"/>
    <m/>
    <m/>
    <m/>
    <m/>
    <b v="0"/>
    <x v="0"/>
    <b v="1"/>
    <m/>
  </r>
  <r>
    <m/>
    <x v="3"/>
    <m/>
    <x v="119"/>
    <s v="SPE"/>
    <m/>
    <m/>
    <m/>
    <x v="77"/>
    <s v="MONTHLY"/>
    <s v=""/>
    <s v=""/>
    <s v=""/>
    <s v=""/>
    <s v=""/>
    <s v="Apprentice Levy Allowance"/>
    <m/>
    <m/>
    <m/>
    <m/>
    <b v="0"/>
    <x v="0"/>
    <b v="1"/>
    <m/>
  </r>
  <r>
    <m/>
    <x v="3"/>
    <m/>
    <x v="119"/>
    <s v="ALL"/>
    <m/>
    <m/>
    <m/>
    <x v="77"/>
    <s v="MONTHLY"/>
    <s v=""/>
    <s v=""/>
    <s v=""/>
    <s v=""/>
    <s v=""/>
    <s v="Apprentice Levy Allowance"/>
    <m/>
    <m/>
    <m/>
    <m/>
    <b v="0"/>
    <x v="0"/>
    <b v="1"/>
    <m/>
  </r>
  <r>
    <m/>
    <x v="3"/>
    <m/>
    <x v="119"/>
    <s v="SPE"/>
    <m/>
    <m/>
    <m/>
    <x v="78"/>
    <s v="MONTHLY"/>
    <s v=""/>
    <s v=""/>
    <s v=""/>
    <s v=""/>
    <s v=""/>
    <s v="Teachers Pay Grant"/>
    <m/>
    <m/>
    <m/>
    <m/>
    <b v="0"/>
    <x v="0"/>
    <b v="1"/>
    <m/>
  </r>
  <r>
    <m/>
    <x v="3"/>
    <m/>
    <x v="119"/>
    <s v="SEC"/>
    <m/>
    <m/>
    <m/>
    <x v="79"/>
    <s v="MONTHLY"/>
    <s v=""/>
    <s v=""/>
    <s v=""/>
    <s v=""/>
    <s v=""/>
    <s v="Teachers Pensions Grant"/>
    <m/>
    <m/>
    <m/>
    <m/>
    <b v="0"/>
    <x v="0"/>
    <b v="1"/>
    <m/>
  </r>
  <r>
    <m/>
    <x v="3"/>
    <m/>
    <x v="119"/>
    <s v="SPE"/>
    <m/>
    <m/>
    <m/>
    <x v="79"/>
    <s v="MONTHLY"/>
    <s v=""/>
    <s v=""/>
    <s v=""/>
    <s v=""/>
    <s v=""/>
    <s v="Teachers Pensions Grant"/>
    <m/>
    <m/>
    <m/>
    <m/>
    <b v="0"/>
    <x v="0"/>
    <b v="1"/>
    <m/>
  </r>
  <r>
    <m/>
    <x v="3"/>
    <m/>
    <x v="119"/>
    <s v="ALL"/>
    <m/>
    <m/>
    <m/>
    <x v="79"/>
    <s v="MONTHLY"/>
    <s v=""/>
    <s v=""/>
    <s v=""/>
    <s v=""/>
    <s v=""/>
    <s v="Teachers Pensions Grant"/>
    <m/>
    <m/>
    <m/>
    <m/>
    <b v="0"/>
    <x v="0"/>
    <b v="1"/>
    <m/>
  </r>
  <r>
    <m/>
    <x v="3"/>
    <m/>
    <x v="119"/>
    <s v="PRI"/>
    <m/>
    <m/>
    <m/>
    <x v="80"/>
    <s v="M05_APR-AUG"/>
    <s v=""/>
    <s v=""/>
    <s v=""/>
    <s v=""/>
    <s v=""/>
    <s v="Pupil Premium LAC 5/12ths Apr-Aug"/>
    <m/>
    <m/>
    <m/>
    <m/>
    <b v="0"/>
    <x v="0"/>
    <b v="1"/>
    <m/>
  </r>
  <r>
    <m/>
    <x v="3"/>
    <m/>
    <x v="119"/>
    <s v="SEC"/>
    <m/>
    <m/>
    <m/>
    <x v="80"/>
    <s v="M05_APR-AUG"/>
    <s v=""/>
    <s v=""/>
    <s v=""/>
    <s v=""/>
    <s v=""/>
    <s v="Pupil Premium LAC 5/12ths Apr-Aug"/>
    <m/>
    <m/>
    <m/>
    <m/>
    <b v="0"/>
    <x v="0"/>
    <b v="1"/>
    <m/>
  </r>
  <r>
    <m/>
    <x v="3"/>
    <m/>
    <x v="119"/>
    <s v="SPE"/>
    <m/>
    <m/>
    <m/>
    <x v="80"/>
    <s v="M05_APR-AUG"/>
    <s v=""/>
    <s v=""/>
    <s v=""/>
    <s v=""/>
    <s v=""/>
    <s v="Pupil Premium LAC 5/12ths Apr-Aug"/>
    <m/>
    <m/>
    <m/>
    <m/>
    <b v="0"/>
    <x v="0"/>
    <b v="1"/>
    <m/>
  </r>
  <r>
    <m/>
    <x v="3"/>
    <m/>
    <x v="119"/>
    <s v="ALL"/>
    <m/>
    <m/>
    <m/>
    <x v="80"/>
    <s v="M05_APR-AUG"/>
    <s v=""/>
    <s v=""/>
    <s v=""/>
    <s v=""/>
    <s v=""/>
    <s v="Pupil Premium LAC 5/12ths Apr-Aug"/>
    <m/>
    <m/>
    <m/>
    <m/>
    <b v="0"/>
    <x v="0"/>
    <b v="1"/>
    <m/>
  </r>
  <r>
    <m/>
    <x v="3"/>
    <m/>
    <x v="119"/>
    <s v="PRI"/>
    <m/>
    <m/>
    <m/>
    <x v="81"/>
    <s v="M07_SEP-MAR"/>
    <s v=""/>
    <s v=""/>
    <s v=""/>
    <s v=""/>
    <s v=""/>
    <s v="Pupil Premium LAC 7/12ths Sep-Mar"/>
    <m/>
    <m/>
    <m/>
    <m/>
    <b v="0"/>
    <x v="0"/>
    <b v="1"/>
    <m/>
  </r>
  <r>
    <m/>
    <x v="3"/>
    <m/>
    <x v="119"/>
    <s v="SEC"/>
    <m/>
    <m/>
    <m/>
    <x v="81"/>
    <s v="M07_SEP-MAR"/>
    <s v=""/>
    <s v=""/>
    <s v=""/>
    <s v=""/>
    <s v=""/>
    <s v="Pupil Premium LAC 7/12ths Sep-Mar"/>
    <m/>
    <m/>
    <m/>
    <m/>
    <b v="0"/>
    <x v="0"/>
    <b v="1"/>
    <m/>
  </r>
  <r>
    <m/>
    <x v="3"/>
    <m/>
    <x v="119"/>
    <s v="SPE"/>
    <m/>
    <m/>
    <m/>
    <x v="81"/>
    <s v="M07_SEP-MAR"/>
    <s v=""/>
    <s v=""/>
    <s v=""/>
    <s v=""/>
    <s v=""/>
    <s v="Pupil Premium LAC 7/12ths Sep-Mar"/>
    <m/>
    <m/>
    <m/>
    <m/>
    <b v="0"/>
    <x v="0"/>
    <b v="1"/>
    <m/>
  </r>
  <r>
    <m/>
    <x v="3"/>
    <m/>
    <x v="119"/>
    <s v="ALL"/>
    <m/>
    <m/>
    <m/>
    <x v="81"/>
    <s v="M07_SEP-MAR"/>
    <s v=""/>
    <s v=""/>
    <s v=""/>
    <s v=""/>
    <s v=""/>
    <s v="Pupil Premium LAC 7/12ths Sep-Mar"/>
    <m/>
    <m/>
    <m/>
    <m/>
    <b v="0"/>
    <x v="0"/>
    <b v="1"/>
    <m/>
  </r>
  <r>
    <m/>
    <x v="3"/>
    <m/>
    <x v="119"/>
    <s v="PRI"/>
    <m/>
    <m/>
    <m/>
    <x v="82"/>
    <s v="M05_APR-AUG"/>
    <s v=""/>
    <s v=""/>
    <s v=""/>
    <s v=""/>
    <s v=""/>
    <s v="Pupil Premium Primary 5/12ths Apr-Aug"/>
    <m/>
    <m/>
    <m/>
    <m/>
    <b v="0"/>
    <x v="0"/>
    <b v="1"/>
    <m/>
  </r>
  <r>
    <m/>
    <x v="3"/>
    <m/>
    <x v="119"/>
    <s v="SPE"/>
    <m/>
    <m/>
    <m/>
    <x v="82"/>
    <s v="M05_APR-AUG"/>
    <s v=""/>
    <s v=""/>
    <s v=""/>
    <s v=""/>
    <s v=""/>
    <s v="Pupil Premium Primary 5/12ths Apr-Aug"/>
    <m/>
    <m/>
    <m/>
    <m/>
    <b v="0"/>
    <x v="0"/>
    <b v="1"/>
    <m/>
  </r>
  <r>
    <m/>
    <x v="3"/>
    <m/>
    <x v="119"/>
    <s v="ALL"/>
    <m/>
    <m/>
    <m/>
    <x v="82"/>
    <s v="M05_APR-AUG"/>
    <s v=""/>
    <s v=""/>
    <s v=""/>
    <s v=""/>
    <s v=""/>
    <s v="Pupil Premium Primary 5/12ths Apr-Aug"/>
    <m/>
    <m/>
    <m/>
    <m/>
    <b v="0"/>
    <x v="0"/>
    <b v="1"/>
    <m/>
  </r>
  <r>
    <m/>
    <x v="3"/>
    <m/>
    <x v="119"/>
    <s v="PRI"/>
    <m/>
    <m/>
    <m/>
    <x v="83"/>
    <s v="M07_SEP-MAR"/>
    <s v=""/>
    <s v=""/>
    <s v=""/>
    <s v=""/>
    <s v=""/>
    <s v="Pupil Premium Primary 7/12ths Sep-Mar"/>
    <m/>
    <m/>
    <m/>
    <m/>
    <b v="0"/>
    <x v="0"/>
    <b v="1"/>
    <m/>
  </r>
  <r>
    <m/>
    <x v="3"/>
    <m/>
    <x v="119"/>
    <s v="SPE"/>
    <m/>
    <m/>
    <m/>
    <x v="83"/>
    <s v="M07_SEP-MAR"/>
    <s v=""/>
    <s v=""/>
    <s v=""/>
    <s v=""/>
    <s v=""/>
    <s v="Pupil Premium Primary 7/12ths Sep-Mar"/>
    <m/>
    <m/>
    <m/>
    <m/>
    <b v="0"/>
    <x v="0"/>
    <b v="1"/>
    <m/>
  </r>
  <r>
    <m/>
    <x v="3"/>
    <m/>
    <x v="119"/>
    <s v="ALL"/>
    <m/>
    <m/>
    <m/>
    <x v="83"/>
    <s v="M07_SEP-MAR"/>
    <s v=""/>
    <s v=""/>
    <s v=""/>
    <s v=""/>
    <s v=""/>
    <s v="Pupil Premium Primary 7/12ths Sep-Mar"/>
    <m/>
    <m/>
    <m/>
    <m/>
    <b v="0"/>
    <x v="0"/>
    <b v="1"/>
    <m/>
  </r>
  <r>
    <m/>
    <x v="3"/>
    <m/>
    <x v="119"/>
    <s v="SEC"/>
    <m/>
    <m/>
    <m/>
    <x v="84"/>
    <s v="M05_APR-AUG"/>
    <s v=""/>
    <s v=""/>
    <s v=""/>
    <s v=""/>
    <s v=""/>
    <s v="Pupil Premium Secondary 5/12ths Apr-Aug"/>
    <m/>
    <m/>
    <m/>
    <m/>
    <b v="0"/>
    <x v="0"/>
    <b v="1"/>
    <m/>
  </r>
  <r>
    <m/>
    <x v="3"/>
    <m/>
    <x v="119"/>
    <s v="SPE"/>
    <m/>
    <m/>
    <m/>
    <x v="84"/>
    <s v="M05_APR-AUG"/>
    <s v=""/>
    <s v=""/>
    <s v=""/>
    <s v=""/>
    <s v=""/>
    <s v="Pupil Premium Secondary 5/12ths Apr-Aug"/>
    <m/>
    <m/>
    <m/>
    <m/>
    <b v="0"/>
    <x v="0"/>
    <b v="1"/>
    <m/>
  </r>
  <r>
    <m/>
    <x v="3"/>
    <m/>
    <x v="119"/>
    <s v="ALL"/>
    <m/>
    <m/>
    <m/>
    <x v="84"/>
    <s v="M05_APR-AUG"/>
    <s v=""/>
    <s v=""/>
    <s v=""/>
    <s v=""/>
    <s v=""/>
    <s v="Pupil Premium Secondary 5/12ths Apr-Aug"/>
    <m/>
    <m/>
    <m/>
    <m/>
    <b v="0"/>
    <x v="0"/>
    <b v="1"/>
    <m/>
  </r>
  <r>
    <m/>
    <x v="3"/>
    <m/>
    <x v="119"/>
    <s v="SEC"/>
    <m/>
    <m/>
    <m/>
    <x v="85"/>
    <s v="M07_SEP-MAR"/>
    <s v=""/>
    <s v=""/>
    <s v=""/>
    <s v=""/>
    <s v=""/>
    <s v="Pupil Premium Secondary 7/12ths Sep-Mar"/>
    <m/>
    <m/>
    <m/>
    <m/>
    <b v="0"/>
    <x v="0"/>
    <b v="1"/>
    <m/>
  </r>
  <r>
    <m/>
    <x v="3"/>
    <m/>
    <x v="119"/>
    <s v="SPE"/>
    <m/>
    <m/>
    <m/>
    <x v="85"/>
    <s v="M07_SEP-MAR"/>
    <s v=""/>
    <s v=""/>
    <s v=""/>
    <s v=""/>
    <s v=""/>
    <s v="Pupil Premium Secondary 7/12ths Sep-Mar"/>
    <m/>
    <m/>
    <m/>
    <m/>
    <b v="0"/>
    <x v="0"/>
    <b v="1"/>
    <m/>
  </r>
  <r>
    <m/>
    <x v="3"/>
    <m/>
    <x v="119"/>
    <s v="ALL"/>
    <m/>
    <m/>
    <m/>
    <x v="85"/>
    <s v="M07_SEP-MAR"/>
    <s v=""/>
    <s v=""/>
    <s v=""/>
    <s v=""/>
    <s v=""/>
    <s v="Pupil Premium Secondary 7/12ths Sep-Mar"/>
    <m/>
    <m/>
    <m/>
    <m/>
    <b v="0"/>
    <x v="0"/>
    <b v="1"/>
    <m/>
  </r>
  <r>
    <m/>
    <x v="3"/>
    <m/>
    <x v="119"/>
    <s v="PRI"/>
    <m/>
    <m/>
    <m/>
    <x v="86"/>
    <s v="M05_APR-AUG"/>
    <s v=""/>
    <s v=""/>
    <s v=""/>
    <s v=""/>
    <s v=""/>
    <s v="Pupil Premium Service 5/12ths Apr-Aug"/>
    <m/>
    <m/>
    <m/>
    <m/>
    <b v="0"/>
    <x v="0"/>
    <b v="1"/>
    <m/>
  </r>
  <r>
    <m/>
    <x v="3"/>
    <m/>
    <x v="119"/>
    <s v="SEC"/>
    <m/>
    <m/>
    <m/>
    <x v="86"/>
    <s v="M05_APR-AUG"/>
    <s v=""/>
    <s v=""/>
    <s v=""/>
    <s v=""/>
    <s v=""/>
    <s v="Pupil Premium Service 5/12ths Apr-Aug"/>
    <m/>
    <m/>
    <m/>
    <m/>
    <b v="0"/>
    <x v="0"/>
    <b v="1"/>
    <m/>
  </r>
  <r>
    <m/>
    <x v="3"/>
    <m/>
    <x v="119"/>
    <s v="SPE"/>
    <m/>
    <m/>
    <m/>
    <x v="86"/>
    <s v="M05_APR-AUG"/>
    <s v=""/>
    <s v=""/>
    <s v=""/>
    <s v=""/>
    <s v=""/>
    <s v="Pupil Premium Service 5/12ths Apr-Aug"/>
    <m/>
    <m/>
    <m/>
    <m/>
    <b v="0"/>
    <x v="0"/>
    <b v="1"/>
    <m/>
  </r>
  <r>
    <m/>
    <x v="3"/>
    <m/>
    <x v="119"/>
    <s v="ALL"/>
    <m/>
    <m/>
    <m/>
    <x v="86"/>
    <s v="M05_APR-AUG"/>
    <s v=""/>
    <s v=""/>
    <s v=""/>
    <s v=""/>
    <s v=""/>
    <s v="Pupil Premium Service 5/12ths Apr-Aug"/>
    <m/>
    <m/>
    <m/>
    <m/>
    <b v="0"/>
    <x v="0"/>
    <b v="1"/>
    <m/>
  </r>
  <r>
    <m/>
    <x v="3"/>
    <m/>
    <x v="119"/>
    <s v="PRI"/>
    <m/>
    <m/>
    <m/>
    <x v="87"/>
    <s v="M07_SEP-MAR"/>
    <s v=""/>
    <s v=""/>
    <s v=""/>
    <s v=""/>
    <s v=""/>
    <s v="Pupil Premium Service 7/12ths Sep-Mar"/>
    <m/>
    <m/>
    <m/>
    <m/>
    <b v="0"/>
    <x v="0"/>
    <b v="1"/>
    <m/>
  </r>
  <r>
    <m/>
    <x v="3"/>
    <m/>
    <x v="119"/>
    <s v="SEC"/>
    <m/>
    <m/>
    <m/>
    <x v="87"/>
    <s v="M07_SEP-MAR"/>
    <s v=""/>
    <s v=""/>
    <s v=""/>
    <s v=""/>
    <s v=""/>
    <s v="Pupil Premium Service 7/12ths Sep-Mar"/>
    <m/>
    <m/>
    <m/>
    <m/>
    <b v="0"/>
    <x v="0"/>
    <b v="1"/>
    <m/>
  </r>
  <r>
    <m/>
    <x v="3"/>
    <m/>
    <x v="119"/>
    <s v="SPE"/>
    <m/>
    <m/>
    <m/>
    <x v="87"/>
    <s v="M07_SEP-MAR"/>
    <s v=""/>
    <s v=""/>
    <s v=""/>
    <s v=""/>
    <s v=""/>
    <s v="Pupil Premium Service 7/12ths Sep-Mar"/>
    <m/>
    <m/>
    <m/>
    <m/>
    <b v="0"/>
    <x v="0"/>
    <b v="1"/>
    <m/>
  </r>
  <r>
    <m/>
    <x v="3"/>
    <m/>
    <x v="119"/>
    <s v="ALL"/>
    <m/>
    <m/>
    <m/>
    <x v="87"/>
    <s v="M07_SEP-MAR"/>
    <s v=""/>
    <s v=""/>
    <s v=""/>
    <s v=""/>
    <s v=""/>
    <s v="Pupil Premium Service 7/12ths Sep-Mar"/>
    <m/>
    <m/>
    <m/>
    <m/>
    <b v="0"/>
    <x v="0"/>
    <b v="1"/>
    <m/>
  </r>
  <r>
    <m/>
    <x v="3"/>
    <m/>
    <x v="119"/>
    <s v="PRI"/>
    <m/>
    <m/>
    <m/>
    <x v="88"/>
    <s v="10.JUN"/>
    <s v=""/>
    <s v=""/>
    <s v=""/>
    <s v=""/>
    <s v=""/>
    <s v="Recovery Premium Current Year census - PRI"/>
    <m/>
    <m/>
    <m/>
    <m/>
    <b v="0"/>
    <x v="0"/>
    <b v="1"/>
    <m/>
  </r>
  <r>
    <m/>
    <x v="3"/>
    <m/>
    <x v="119"/>
    <s v="ALL"/>
    <m/>
    <m/>
    <m/>
    <x v="88"/>
    <s v="10.JUN"/>
    <s v=""/>
    <s v=""/>
    <s v=""/>
    <s v=""/>
    <s v=""/>
    <s v="Recovery Premium Current Year census - PRI"/>
    <m/>
    <m/>
    <m/>
    <m/>
    <b v="0"/>
    <x v="0"/>
    <b v="1"/>
    <m/>
  </r>
  <r>
    <m/>
    <x v="3"/>
    <m/>
    <x v="119"/>
    <s v="SPE"/>
    <m/>
    <m/>
    <m/>
    <x v="88"/>
    <s v="10.JUN"/>
    <s v=""/>
    <s v=""/>
    <s v=""/>
    <s v=""/>
    <s v=""/>
    <s v="Recovery Premium Current Year census - PRI"/>
    <m/>
    <m/>
    <m/>
    <m/>
    <b v="0"/>
    <x v="0"/>
    <b v="1"/>
    <m/>
  </r>
  <r>
    <m/>
    <x v="3"/>
    <m/>
    <x v="119"/>
    <s v="PRI"/>
    <m/>
    <m/>
    <m/>
    <x v="89"/>
    <s v="SEPT_DEC_MAR"/>
    <s v=""/>
    <s v=""/>
    <s v=""/>
    <s v=""/>
    <s v=""/>
    <s v="Recovery Premium Previous Year census - PRI"/>
    <m/>
    <m/>
    <m/>
    <m/>
    <b v="0"/>
    <x v="0"/>
    <b v="1"/>
    <m/>
  </r>
  <r>
    <m/>
    <x v="3"/>
    <m/>
    <x v="119"/>
    <s v="ALL"/>
    <m/>
    <m/>
    <m/>
    <x v="89"/>
    <s v="SEPT_DEC_MAR"/>
    <s v=""/>
    <s v=""/>
    <s v=""/>
    <s v=""/>
    <s v=""/>
    <s v="Recovery Premium Previous Year census - PRI"/>
    <m/>
    <m/>
    <m/>
    <m/>
    <b v="0"/>
    <x v="0"/>
    <b v="1"/>
    <m/>
  </r>
  <r>
    <m/>
    <x v="3"/>
    <m/>
    <x v="119"/>
    <s v="SPE"/>
    <m/>
    <m/>
    <m/>
    <x v="89"/>
    <s v="SEPT_DEC_MAR"/>
    <s v=""/>
    <s v=""/>
    <s v=""/>
    <s v=""/>
    <s v=""/>
    <s v="Recovery Premium Previous Year census - PRI"/>
    <m/>
    <m/>
    <m/>
    <m/>
    <b v="0"/>
    <x v="0"/>
    <b v="1"/>
    <m/>
  </r>
  <r>
    <m/>
    <x v="3"/>
    <m/>
    <x v="119"/>
    <s v="SEC"/>
    <m/>
    <m/>
    <m/>
    <x v="90"/>
    <s v="10.JUN"/>
    <s v=""/>
    <s v=""/>
    <s v=""/>
    <s v=""/>
    <s v=""/>
    <s v="Recovery Premium Current Year census - SEC"/>
    <m/>
    <m/>
    <m/>
    <m/>
    <b v="0"/>
    <x v="0"/>
    <b v="1"/>
    <m/>
  </r>
  <r>
    <m/>
    <x v="3"/>
    <m/>
    <x v="119"/>
    <s v="ALL"/>
    <m/>
    <m/>
    <m/>
    <x v="90"/>
    <s v="10.JUN"/>
    <s v=""/>
    <s v=""/>
    <s v=""/>
    <s v=""/>
    <s v=""/>
    <s v="Recovery Premium Current Year census - SEC"/>
    <m/>
    <m/>
    <m/>
    <m/>
    <b v="0"/>
    <x v="0"/>
    <b v="1"/>
    <m/>
  </r>
  <r>
    <m/>
    <x v="3"/>
    <m/>
    <x v="119"/>
    <s v="SPE"/>
    <m/>
    <m/>
    <m/>
    <x v="90"/>
    <s v="10.JUN"/>
    <s v=""/>
    <s v=""/>
    <s v=""/>
    <s v=""/>
    <s v=""/>
    <s v="Recovery Premium Current Year census - SEC"/>
    <m/>
    <m/>
    <m/>
    <m/>
    <b v="0"/>
    <x v="0"/>
    <b v="1"/>
    <m/>
  </r>
  <r>
    <m/>
    <x v="3"/>
    <m/>
    <x v="119"/>
    <s v="SEC"/>
    <m/>
    <m/>
    <m/>
    <x v="91"/>
    <s v="SEPT_DEC_MAR"/>
    <s v=""/>
    <s v=""/>
    <s v=""/>
    <s v=""/>
    <s v=""/>
    <s v="Recovery Premium Previous Year census - SEC"/>
    <m/>
    <m/>
    <m/>
    <m/>
    <b v="0"/>
    <x v="0"/>
    <b v="1"/>
    <m/>
  </r>
  <r>
    <m/>
    <x v="3"/>
    <m/>
    <x v="119"/>
    <s v="ALL"/>
    <m/>
    <m/>
    <m/>
    <x v="91"/>
    <s v="SEPT_DEC_MAR"/>
    <s v=""/>
    <s v=""/>
    <s v=""/>
    <s v=""/>
    <s v=""/>
    <s v="Recovery Premium Previous Year census - SEC"/>
    <m/>
    <m/>
    <m/>
    <m/>
    <b v="0"/>
    <x v="0"/>
    <b v="1"/>
    <m/>
  </r>
  <r>
    <m/>
    <x v="3"/>
    <m/>
    <x v="119"/>
    <s v="SPE"/>
    <m/>
    <m/>
    <m/>
    <x v="91"/>
    <s v="SEPT_DEC_MAR"/>
    <s v=""/>
    <s v=""/>
    <s v=""/>
    <s v=""/>
    <s v=""/>
    <s v="Recovery Premium Previous Year census - SEC"/>
    <m/>
    <m/>
    <m/>
    <m/>
    <b v="0"/>
    <x v="0"/>
    <b v="1"/>
    <m/>
  </r>
  <r>
    <m/>
    <x v="3"/>
    <m/>
    <x v="119"/>
    <s v="PRI"/>
    <m/>
    <m/>
    <m/>
    <x v="92"/>
    <s v="MONTHLY"/>
    <s v=""/>
    <s v=""/>
    <s v=""/>
    <s v=""/>
    <s v=""/>
    <s v="DFC Grant - 5/12ths Apr - Aug"/>
    <m/>
    <m/>
    <m/>
    <m/>
    <b v="0"/>
    <x v="0"/>
    <b v="1"/>
    <m/>
  </r>
  <r>
    <m/>
    <x v="3"/>
    <m/>
    <x v="119"/>
    <s v="SEC"/>
    <m/>
    <m/>
    <m/>
    <x v="92"/>
    <s v="MONTHLY"/>
    <s v=""/>
    <s v=""/>
    <s v=""/>
    <s v=""/>
    <s v=""/>
    <s v="DFC Grant - 5/12ths Apr - Aug"/>
    <m/>
    <m/>
    <m/>
    <m/>
    <b v="0"/>
    <x v="0"/>
    <b v="1"/>
    <m/>
  </r>
  <r>
    <m/>
    <x v="3"/>
    <m/>
    <x v="119"/>
    <s v="SPE"/>
    <m/>
    <m/>
    <m/>
    <x v="92"/>
    <s v="MONTHLY"/>
    <s v=""/>
    <s v=""/>
    <s v=""/>
    <s v=""/>
    <s v=""/>
    <s v="DFC Grant - 5/12ths Apr - Aug"/>
    <m/>
    <m/>
    <m/>
    <m/>
    <b v="0"/>
    <x v="0"/>
    <b v="1"/>
    <m/>
  </r>
  <r>
    <m/>
    <x v="3"/>
    <m/>
    <x v="119"/>
    <s v="ALL"/>
    <m/>
    <m/>
    <m/>
    <x v="92"/>
    <s v="MONTHLY"/>
    <s v=""/>
    <s v=""/>
    <s v=""/>
    <s v=""/>
    <s v=""/>
    <s v="DFC Grant - 5/12ths Apr - Aug"/>
    <m/>
    <m/>
    <m/>
    <m/>
    <b v="0"/>
    <x v="0"/>
    <b v="1"/>
    <m/>
  </r>
  <r>
    <m/>
    <x v="3"/>
    <m/>
    <x v="119"/>
    <s v="PRI"/>
    <m/>
    <m/>
    <m/>
    <x v="93"/>
    <s v="MONTHLY"/>
    <s v=""/>
    <s v=""/>
    <s v=""/>
    <s v=""/>
    <s v=""/>
    <s v="DFC Grant - 7/12ths Sep - Mar"/>
    <m/>
    <m/>
    <m/>
    <m/>
    <b v="0"/>
    <x v="0"/>
    <b v="1"/>
    <m/>
  </r>
  <r>
    <m/>
    <x v="3"/>
    <m/>
    <x v="119"/>
    <s v="SEC"/>
    <m/>
    <m/>
    <m/>
    <x v="93"/>
    <s v="MONTHLY"/>
    <s v=""/>
    <s v=""/>
    <s v=""/>
    <s v=""/>
    <s v=""/>
    <s v="DFC Grant - 7/12ths Sep - Mar"/>
    <m/>
    <m/>
    <m/>
    <m/>
    <b v="0"/>
    <x v="0"/>
    <b v="1"/>
    <m/>
  </r>
  <r>
    <m/>
    <x v="3"/>
    <m/>
    <x v="119"/>
    <s v="SPE"/>
    <m/>
    <m/>
    <m/>
    <x v="93"/>
    <s v="MONTHLY"/>
    <s v=""/>
    <s v=""/>
    <s v=""/>
    <s v=""/>
    <s v=""/>
    <s v="DFC Grant - 7/12ths Sep - Mar"/>
    <m/>
    <m/>
    <m/>
    <m/>
    <b v="0"/>
    <x v="0"/>
    <b v="1"/>
    <m/>
  </r>
  <r>
    <m/>
    <x v="3"/>
    <m/>
    <x v="119"/>
    <s v="ALL"/>
    <m/>
    <m/>
    <m/>
    <x v="93"/>
    <s v="MONTHLY"/>
    <s v=""/>
    <s v=""/>
    <s v=""/>
    <s v=""/>
    <s v=""/>
    <s v="DFC Grant - 7/12ths Sep - Mar"/>
    <m/>
    <m/>
    <m/>
    <m/>
    <b v="0"/>
    <x v="0"/>
    <b v="1"/>
    <m/>
  </r>
  <r>
    <m/>
    <x v="3"/>
    <m/>
    <x v="119"/>
    <s v="PRI"/>
    <m/>
    <m/>
    <m/>
    <x v="94"/>
    <s v="MONTHLY"/>
    <s v=""/>
    <s v=""/>
    <s v=""/>
    <s v=""/>
    <s v=""/>
    <s v="PE Grant"/>
    <m/>
    <m/>
    <m/>
    <m/>
    <b v="0"/>
    <x v="0"/>
    <b v="1"/>
    <m/>
  </r>
  <r>
    <m/>
    <x v="3"/>
    <m/>
    <x v="119"/>
    <s v="SPE"/>
    <m/>
    <m/>
    <m/>
    <x v="94"/>
    <s v="MONTHLY"/>
    <s v=""/>
    <s v=""/>
    <s v=""/>
    <s v=""/>
    <s v=""/>
    <s v="PE Grant"/>
    <m/>
    <m/>
    <m/>
    <m/>
    <b v="0"/>
    <x v="0"/>
    <b v="1"/>
    <m/>
  </r>
  <r>
    <m/>
    <x v="3"/>
    <m/>
    <x v="119"/>
    <s v="ALL"/>
    <m/>
    <m/>
    <m/>
    <x v="94"/>
    <s v="MONTHLY"/>
    <s v=""/>
    <s v=""/>
    <s v=""/>
    <s v=""/>
    <s v=""/>
    <s v="PE Grant"/>
    <m/>
    <m/>
    <m/>
    <m/>
    <b v="0"/>
    <x v="0"/>
    <b v="1"/>
    <m/>
  </r>
  <r>
    <m/>
    <x v="3"/>
    <m/>
    <x v="119"/>
    <s v="PRI"/>
    <m/>
    <m/>
    <m/>
    <x v="95"/>
    <s v="MONTHLY"/>
    <s v=""/>
    <s v=""/>
    <s v=""/>
    <s v=""/>
    <s v=""/>
    <s v="UIFSM"/>
    <m/>
    <m/>
    <m/>
    <m/>
    <b v="0"/>
    <x v="0"/>
    <b v="1"/>
    <m/>
  </r>
  <r>
    <m/>
    <x v="3"/>
    <m/>
    <x v="119"/>
    <s v="SPE"/>
    <m/>
    <m/>
    <m/>
    <x v="95"/>
    <s v="MONTHLY"/>
    <s v=""/>
    <s v=""/>
    <s v=""/>
    <s v=""/>
    <s v=""/>
    <s v="UIFSM"/>
    <m/>
    <m/>
    <m/>
    <m/>
    <b v="0"/>
    <x v="0"/>
    <b v="1"/>
    <m/>
  </r>
  <r>
    <m/>
    <x v="3"/>
    <m/>
    <x v="119"/>
    <s v="ALL"/>
    <m/>
    <m/>
    <m/>
    <x v="95"/>
    <s v="MONTHLY"/>
    <s v=""/>
    <s v=""/>
    <s v=""/>
    <s v=""/>
    <s v=""/>
    <s v="UIFSM"/>
    <m/>
    <m/>
    <m/>
    <m/>
    <b v="0"/>
    <x v="0"/>
    <b v="1"/>
    <m/>
  </r>
  <r>
    <m/>
    <x v="3"/>
    <m/>
    <x v="119"/>
    <s v="PRI"/>
    <m/>
    <m/>
    <m/>
    <x v="40"/>
    <s v="MONTHLY"/>
    <s v=""/>
    <s v=""/>
    <s v=""/>
    <s v=""/>
    <s v=""/>
    <s v="Mainstream Schools Additional Grant"/>
    <m/>
    <m/>
    <m/>
    <m/>
    <b v="0"/>
    <x v="0"/>
    <b v="0"/>
    <m/>
  </r>
  <r>
    <m/>
    <x v="3"/>
    <m/>
    <x v="119"/>
    <s v="SEC"/>
    <m/>
    <m/>
    <m/>
    <x v="40"/>
    <s v="MONTHLY"/>
    <s v=""/>
    <s v=""/>
    <s v=""/>
    <s v=""/>
    <s v=""/>
    <s v="Mainstream Schools Additional Grant"/>
    <m/>
    <m/>
    <m/>
    <m/>
    <b v="0"/>
    <x v="0"/>
    <b v="0"/>
    <m/>
  </r>
  <r>
    <m/>
    <x v="3"/>
    <m/>
    <x v="119"/>
    <s v="SPE"/>
    <m/>
    <m/>
    <m/>
    <x v="40"/>
    <s v="MONTHLY"/>
    <s v=""/>
    <s v=""/>
    <s v=""/>
    <s v=""/>
    <s v=""/>
    <s v="Mainstream Schools Additional Grant"/>
    <m/>
    <m/>
    <m/>
    <m/>
    <b v="0"/>
    <x v="0"/>
    <b v="0"/>
    <m/>
  </r>
  <r>
    <m/>
    <x v="3"/>
    <m/>
    <x v="119"/>
    <s v="ALL"/>
    <m/>
    <m/>
    <m/>
    <x v="40"/>
    <s v="MONTHLY"/>
    <s v=""/>
    <s v=""/>
    <s v=""/>
    <s v=""/>
    <s v=""/>
    <s v="Mainstream Schools Additional Grant"/>
    <m/>
    <m/>
    <m/>
    <m/>
    <b v="0"/>
    <x v="0"/>
    <b v="0"/>
    <m/>
  </r>
  <r>
    <m/>
    <x v="3"/>
    <m/>
    <x v="119"/>
    <s v="PRI"/>
    <m/>
    <m/>
    <m/>
    <x v="40"/>
    <s v="MONTHLY"/>
    <s v=""/>
    <s v=""/>
    <s v=""/>
    <s v=""/>
    <s v=""/>
    <s v="Total Teachers' Pay Additional Grant"/>
    <m/>
    <m/>
    <m/>
    <m/>
    <b v="0"/>
    <x v="0"/>
    <b v="0"/>
    <m/>
  </r>
  <r>
    <m/>
    <x v="3"/>
    <m/>
    <x v="119"/>
    <s v="SEC"/>
    <m/>
    <m/>
    <m/>
    <x v="40"/>
    <s v="MONTHLY"/>
    <s v=""/>
    <s v=""/>
    <s v=""/>
    <s v=""/>
    <s v=""/>
    <s v="Total Teachers' Pay Additional Grant"/>
    <m/>
    <m/>
    <m/>
    <m/>
    <b v="0"/>
    <x v="0"/>
    <b v="0"/>
    <m/>
  </r>
  <r>
    <m/>
    <x v="3"/>
    <m/>
    <x v="119"/>
    <s v="ALL"/>
    <m/>
    <m/>
    <m/>
    <x v="40"/>
    <s v="MONTHLY"/>
    <s v=""/>
    <s v=""/>
    <s v=""/>
    <s v=""/>
    <s v=""/>
    <s v="Total Teachers' Pay Additional Grant"/>
    <m/>
    <m/>
    <m/>
    <m/>
    <b v="0"/>
    <x v="0"/>
    <b v="0"/>
    <m/>
  </r>
  <r>
    <m/>
    <x v="4"/>
    <m/>
    <x v="119"/>
    <s v="PRI"/>
    <m/>
    <m/>
    <m/>
    <x v="96"/>
    <s v="MONTHLY"/>
    <s v=""/>
    <s v=""/>
    <s v=""/>
    <s v=""/>
    <s v=""/>
    <s v="Central Charge School"/>
    <m/>
    <m/>
    <m/>
    <m/>
    <b v="1"/>
    <x v="0"/>
    <b v="1"/>
    <m/>
  </r>
  <r>
    <m/>
    <x v="4"/>
    <m/>
    <x v="119"/>
    <s v="SEC"/>
    <m/>
    <m/>
    <m/>
    <x v="96"/>
    <s v="MONTHLY"/>
    <s v=""/>
    <s v=""/>
    <s v=""/>
    <s v=""/>
    <s v=""/>
    <s v="Central Charge School"/>
    <m/>
    <m/>
    <m/>
    <m/>
    <b v="1"/>
    <x v="0"/>
    <b v="1"/>
    <m/>
  </r>
  <r>
    <m/>
    <x v="4"/>
    <m/>
    <x v="119"/>
    <s v="SPE"/>
    <m/>
    <m/>
    <m/>
    <x v="96"/>
    <s v="MONTHLY"/>
    <s v=""/>
    <s v=""/>
    <s v=""/>
    <s v=""/>
    <s v=""/>
    <s v="Central Charge School"/>
    <m/>
    <m/>
    <m/>
    <m/>
    <b v="1"/>
    <x v="0"/>
    <b v="1"/>
    <m/>
  </r>
  <r>
    <m/>
    <x v="4"/>
    <m/>
    <x v="119"/>
    <s v="ALL"/>
    <m/>
    <m/>
    <m/>
    <x v="96"/>
    <s v="MONTHLY"/>
    <s v=""/>
    <s v=""/>
    <s v=""/>
    <s v=""/>
    <s v=""/>
    <s v="Central Charge School"/>
    <m/>
    <m/>
    <m/>
    <m/>
    <b v="1"/>
    <x v="0"/>
    <b v="1"/>
    <m/>
  </r>
  <r>
    <m/>
    <x v="4"/>
    <m/>
    <x v="119"/>
    <s v="PRI"/>
    <m/>
    <m/>
    <m/>
    <x v="97"/>
    <s v="MONTHLY"/>
    <s v=""/>
    <s v=""/>
    <s v=""/>
    <s v=""/>
    <s v=""/>
    <s v="Apprentice Levy"/>
    <m/>
    <m/>
    <m/>
    <m/>
    <b v="0"/>
    <x v="0"/>
    <b v="1"/>
    <m/>
  </r>
  <r>
    <m/>
    <x v="4"/>
    <m/>
    <x v="119"/>
    <s v="SEC"/>
    <m/>
    <m/>
    <m/>
    <x v="97"/>
    <s v="MONTHLY"/>
    <s v=""/>
    <s v=""/>
    <s v=""/>
    <s v=""/>
    <s v=""/>
    <s v="Apprentice Levy"/>
    <m/>
    <m/>
    <m/>
    <m/>
    <b v="0"/>
    <x v="0"/>
    <b v="1"/>
    <m/>
  </r>
  <r>
    <m/>
    <x v="4"/>
    <m/>
    <x v="119"/>
    <s v="SPE"/>
    <m/>
    <m/>
    <m/>
    <x v="97"/>
    <s v="MONTHLY"/>
    <s v=""/>
    <s v=""/>
    <s v=""/>
    <s v=""/>
    <s v=""/>
    <s v="Apprentice Levy"/>
    <m/>
    <m/>
    <m/>
    <m/>
    <b v="0"/>
    <x v="0"/>
    <b v="1"/>
    <m/>
  </r>
  <r>
    <m/>
    <x v="4"/>
    <m/>
    <x v="119"/>
    <s v="ALL"/>
    <m/>
    <m/>
    <m/>
    <x v="97"/>
    <s v="MONTHLY"/>
    <s v=""/>
    <s v=""/>
    <s v=""/>
    <s v=""/>
    <s v=""/>
    <s v="Apprentice Levy"/>
    <m/>
    <m/>
    <m/>
    <m/>
    <b v="0"/>
    <x v="0"/>
    <b v="1"/>
    <m/>
  </r>
  <r>
    <m/>
    <x v="4"/>
    <m/>
    <x v="119"/>
    <s v="PRI"/>
    <m/>
    <m/>
    <m/>
    <x v="98"/>
    <s v="MONTHLY"/>
    <s v=""/>
    <s v=""/>
    <s v=""/>
    <s v=""/>
    <s v=""/>
    <s v="RPA Insurance"/>
    <m/>
    <m/>
    <m/>
    <m/>
    <b v="0"/>
    <x v="0"/>
    <b v="1"/>
    <m/>
  </r>
  <r>
    <m/>
    <x v="4"/>
    <m/>
    <x v="119"/>
    <s v="SEC"/>
    <m/>
    <m/>
    <m/>
    <x v="98"/>
    <s v="MONTHLY"/>
    <s v=""/>
    <s v=""/>
    <s v=""/>
    <s v=""/>
    <s v=""/>
    <s v="RPA Insurance"/>
    <m/>
    <m/>
    <m/>
    <m/>
    <b v="0"/>
    <x v="0"/>
    <b v="1"/>
    <m/>
  </r>
  <r>
    <m/>
    <x v="4"/>
    <m/>
    <x v="119"/>
    <s v="ALL"/>
    <m/>
    <m/>
    <m/>
    <x v="98"/>
    <s v="MONTHLY"/>
    <s v=""/>
    <s v=""/>
    <s v=""/>
    <s v=""/>
    <s v=""/>
    <s v="RPA Insurance"/>
    <m/>
    <m/>
    <m/>
    <m/>
    <b v="0"/>
    <x v="0"/>
    <b v="1"/>
    <m/>
  </r>
  <r>
    <m/>
    <x v="4"/>
    <m/>
    <x v="119"/>
    <s v="SPE"/>
    <m/>
    <m/>
    <m/>
    <x v="99"/>
    <s v="MONTHLY"/>
    <s v=""/>
    <s v=""/>
    <s v=""/>
    <s v=""/>
    <s v=""/>
    <s v="RPA Insurance"/>
    <m/>
    <m/>
    <m/>
    <m/>
    <b v="0"/>
    <x v="0"/>
    <b v="1"/>
    <m/>
  </r>
  <r>
    <n v="1"/>
    <x v="5"/>
    <m/>
    <x v="120"/>
    <s v="ALL"/>
    <s v="DEFAULT"/>
    <s v="DEFAULT"/>
    <m/>
    <x v="8"/>
    <s v="MONTHLY"/>
    <s v=""/>
    <s v=""/>
    <s v=""/>
    <s v=""/>
    <s v=""/>
    <s v="Brought Forward Balance Capital"/>
    <m/>
    <m/>
    <n v="0"/>
    <m/>
    <b v="1"/>
    <x v="0"/>
    <b v="0"/>
    <m/>
  </r>
  <r>
    <n v="1"/>
    <x v="5"/>
    <m/>
    <x v="120"/>
    <s v="MAT"/>
    <s v="DEFAULT"/>
    <s v="DEFAULT"/>
    <m/>
    <x v="8"/>
    <s v="MONTHLY"/>
    <s v=""/>
    <s v=""/>
    <s v=""/>
    <s v=""/>
    <s v=""/>
    <s v="Brought Forward Balance Capital"/>
    <m/>
    <m/>
    <n v="0"/>
    <m/>
    <b v="1"/>
    <x v="0"/>
    <b v="0"/>
    <m/>
  </r>
  <r>
    <n v="1"/>
    <x v="5"/>
    <m/>
    <x v="120"/>
    <s v="PRI"/>
    <s v="DEFAULT"/>
    <s v="DEFAULT"/>
    <m/>
    <x v="8"/>
    <s v="MONTHLY"/>
    <s v=""/>
    <s v=""/>
    <s v=""/>
    <s v=""/>
    <s v=""/>
    <s v="Brought Forward Balance Capital"/>
    <m/>
    <m/>
    <n v="0"/>
    <m/>
    <b v="1"/>
    <x v="0"/>
    <b v="0"/>
    <m/>
  </r>
  <r>
    <n v="1"/>
    <x v="5"/>
    <m/>
    <x v="120"/>
    <s v="SEC"/>
    <s v="DEFAULT"/>
    <s v="DEFAULT"/>
    <m/>
    <x v="8"/>
    <s v="MONTHLY"/>
    <s v=""/>
    <s v=""/>
    <s v=""/>
    <s v=""/>
    <s v=""/>
    <s v="Brought Forward Balance Capital"/>
    <m/>
    <m/>
    <n v="0"/>
    <m/>
    <b v="1"/>
    <x v="0"/>
    <b v="0"/>
    <m/>
  </r>
  <r>
    <n v="1"/>
    <x v="5"/>
    <m/>
    <x v="120"/>
    <s v="SPE"/>
    <s v="DEFAULT"/>
    <s v="DEFAULT"/>
    <m/>
    <x v="8"/>
    <s v="MONTHLY"/>
    <s v=""/>
    <s v=""/>
    <s v=""/>
    <s v=""/>
    <s v=""/>
    <s v="Brought Forward Balance Capital"/>
    <m/>
    <m/>
    <n v="0"/>
    <m/>
    <b v="1"/>
    <x v="0"/>
    <b v="0"/>
    <m/>
  </r>
  <r>
    <n v="1"/>
    <x v="5"/>
    <m/>
    <x v="121"/>
    <s v="ALL"/>
    <s v="DEFAULT"/>
    <s v="DEFAULT"/>
    <m/>
    <x v="8"/>
    <s v="MONTHLY"/>
    <s v=""/>
    <s v=""/>
    <s v=""/>
    <s v=""/>
    <s v=""/>
    <s v="Brought Forward Balance Revenue"/>
    <m/>
    <m/>
    <n v="0"/>
    <m/>
    <b v="1"/>
    <x v="0"/>
    <b v="0"/>
    <m/>
  </r>
  <r>
    <n v="1"/>
    <x v="5"/>
    <m/>
    <x v="121"/>
    <s v="MAT"/>
    <s v="DEFAULT"/>
    <s v="DEFAULT"/>
    <m/>
    <x v="8"/>
    <s v="MONTHLY"/>
    <s v=""/>
    <s v=""/>
    <s v=""/>
    <s v=""/>
    <s v=""/>
    <s v="Brought Forward Balance Revenue"/>
    <m/>
    <m/>
    <n v="0"/>
    <m/>
    <b v="1"/>
    <x v="0"/>
    <b v="0"/>
    <m/>
  </r>
  <r>
    <n v="1"/>
    <x v="5"/>
    <m/>
    <x v="121"/>
    <s v="PRI"/>
    <s v="DEFAULT"/>
    <s v="DEFAULT"/>
    <m/>
    <x v="8"/>
    <s v="MONTHLY"/>
    <s v=""/>
    <s v=""/>
    <s v=""/>
    <s v=""/>
    <s v=""/>
    <s v="Brought Forward Balance Revenue"/>
    <m/>
    <m/>
    <n v="0"/>
    <m/>
    <b v="1"/>
    <x v="0"/>
    <b v="0"/>
    <m/>
  </r>
  <r>
    <n v="1"/>
    <x v="5"/>
    <m/>
    <x v="121"/>
    <s v="SEC"/>
    <s v="DEFAULT"/>
    <s v="DEFAULT"/>
    <m/>
    <x v="8"/>
    <s v="MONTHLY"/>
    <s v=""/>
    <s v=""/>
    <s v=""/>
    <s v=""/>
    <s v=""/>
    <s v="Brought Forward Balance Revenue"/>
    <m/>
    <m/>
    <n v="0"/>
    <m/>
    <b v="1"/>
    <x v="0"/>
    <b v="0"/>
    <m/>
  </r>
  <r>
    <n v="1"/>
    <x v="5"/>
    <m/>
    <x v="121"/>
    <s v="SPE"/>
    <s v="DEFAULT"/>
    <s v="DEFAULT"/>
    <m/>
    <x v="8"/>
    <s v="MONTHLY"/>
    <s v=""/>
    <s v=""/>
    <s v=""/>
    <s v=""/>
    <s v=""/>
    <s v="Brought Forward Balance Revenue"/>
    <m/>
    <m/>
    <n v="0"/>
    <m/>
    <b v="1"/>
    <x v="0"/>
    <b v="0"/>
    <m/>
  </r>
  <r>
    <m/>
    <x v="6"/>
    <s v="APBUD2324"/>
    <x v="119"/>
    <s v="SEC"/>
    <m/>
    <m/>
    <m/>
    <x v="8"/>
    <m/>
    <s v=""/>
    <s v=""/>
    <s v=""/>
    <s v=""/>
    <s v=""/>
    <m/>
    <m/>
    <m/>
    <m/>
    <m/>
    <b v="1"/>
    <x v="0"/>
    <b v="0"/>
    <m/>
  </r>
  <r>
    <m/>
    <x v="6"/>
    <s v="MASTER_OG"/>
    <x v="119"/>
    <s v="PRI"/>
    <m/>
    <m/>
    <m/>
    <x v="8"/>
    <m/>
    <s v=""/>
    <s v=""/>
    <s v=""/>
    <s v=""/>
    <s v=""/>
    <m/>
    <m/>
    <m/>
    <m/>
    <m/>
    <b v="1"/>
    <x v="0"/>
    <b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C7983A-DD19-4023-8F1E-2F74D52ED41A}"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4:F30" firstHeaderRow="1" firstDataRow="1" firstDataCol="1"/>
  <pivotFields count="19">
    <pivotField showAll="0"/>
    <pivotField showAll="0"/>
    <pivotField showAll="0"/>
    <pivotField showAll="0"/>
    <pivotField showAll="0"/>
    <pivotField showAll="0"/>
    <pivotField showAll="0"/>
    <pivotField showAll="0"/>
    <pivotField axis="axisRow" showAll="0">
      <items count="6">
        <item x="3"/>
        <item x="0"/>
        <item x="2"/>
        <item x="1"/>
        <item x="4"/>
        <item t="default"/>
      </items>
    </pivotField>
    <pivotField showAll="0"/>
    <pivotField dataField="1" showAll="0"/>
    <pivotField showAll="0"/>
    <pivotField showAll="0"/>
    <pivotField showAll="0"/>
    <pivotField showAll="0"/>
    <pivotField showAll="0"/>
    <pivotField showAll="0"/>
    <pivotField showAll="0"/>
    <pivotField showAll="0"/>
  </pivotFields>
  <rowFields count="1">
    <field x="8"/>
  </rowFields>
  <rowItems count="6">
    <i>
      <x/>
    </i>
    <i>
      <x v="1"/>
    </i>
    <i>
      <x v="2"/>
    </i>
    <i>
      <x v="3"/>
    </i>
    <i>
      <x v="4"/>
    </i>
    <i t="grand">
      <x/>
    </i>
  </rowItems>
  <colItems count="1">
    <i/>
  </colItems>
  <dataFields count="1">
    <dataField name="Count of SchoolCode"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97DBC1-53DE-4D75-8787-AE7D988C5AFD}" name="PivotTable1" cacheId="7" applyNumberFormats="0" applyBorderFormats="0" applyFontFormats="0" applyPatternFormats="0" applyAlignmentFormats="0" applyWidthHeightFormats="1" dataCaption="Values" updatedVersion="8" minRefreshableVersion="3" showDrill="0" itemPrintTitles="1" createdVersion="7" indent="0" compact="0" compactData="0" multipleFieldFilters="0">
  <location ref="D4:E12" firstHeaderRow="1" firstDataRow="1" firstDataCol="1"/>
  <pivotFields count="17">
    <pivotField axis="axisRow" compact="0" outline="0" showAll="0" sortType="ascending">
      <items count="8">
        <item x="6"/>
        <item x="5"/>
        <item x="4"/>
        <item x="2"/>
        <item x="3"/>
        <item x="1"/>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0"/>
  </rowFields>
  <rowItems count="8">
    <i>
      <x/>
    </i>
    <i>
      <x v="1"/>
    </i>
    <i>
      <x v="2"/>
    </i>
    <i>
      <x v="3"/>
    </i>
    <i>
      <x v="4"/>
    </i>
    <i>
      <x v="5"/>
    </i>
    <i>
      <x v="6"/>
    </i>
    <i t="grand">
      <x/>
    </i>
  </rowItems>
  <colItems count="1">
    <i/>
  </colItems>
  <dataFields count="1">
    <dataField name="Count of FinanceCode" fld="2" subtotal="count" baseField="0" baseItem="0"/>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6FB45D-6D63-4601-93BD-029923AB8532}" name="PivotTable2" cacheId="8" applyNumberFormats="0" applyBorderFormats="0" applyFontFormats="0" applyPatternFormats="0" applyAlignmentFormats="0" applyWidthHeightFormats="1" dataCaption="Values" updatedVersion="8" minRefreshableVersion="3" showDrill="0" itemPrintTitles="1" createdVersion="7" indent="0" compact="0" compactData="0" multipleFieldFilters="0" fieldListSortAscending="1">
  <location ref="G4:H11" firstHeaderRow="1" firstDataRow="1" firstDataCol="1"/>
  <pivotFields count="11">
    <pivotField axis="axisRow" compact="0" outline="0" showAll="0" sortType="ascending">
      <items count="8">
        <item x="5"/>
        <item x="4"/>
        <item m="1" x="6"/>
        <item x="2"/>
        <item x="3"/>
        <item x="1"/>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0"/>
  </rowFields>
  <rowItems count="7">
    <i>
      <x/>
    </i>
    <i>
      <x v="1"/>
    </i>
    <i>
      <x v="3"/>
    </i>
    <i>
      <x v="4"/>
    </i>
    <i>
      <x v="5"/>
    </i>
    <i>
      <x v="6"/>
    </i>
    <i t="grand">
      <x/>
    </i>
  </rowItems>
  <colItems count="1">
    <i/>
  </colItems>
  <dataFields count="1">
    <dataField name="Count of FinanceCode" fld="2" subtotal="count" baseField="0" baseItem="0"/>
  </dataField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7BD82C-47F4-4327-8D2F-EBC36CFAAAE3}" name="PivotTable4"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J4:L6" firstHeaderRow="1" firstDataRow="1" firstDataCol="2"/>
  <pivotFields count="33">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4">
        <item m="1" x="2"/>
        <item m="1" x="3"/>
        <item x="1"/>
        <item x="0"/>
      </items>
    </pivotField>
    <pivotField compact="0" outline="0" showAll="0" defaultSubtotal="0"/>
    <pivotField axis="axisRow" compact="0" outline="0" showAll="0" sortType="ascending" defaultSubtotal="0">
      <items count="3">
        <item m="1" x="2"/>
        <item x="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s>
  <rowFields count="2">
    <field x="18"/>
    <field x="20"/>
  </rowFields>
  <rowItems count="2">
    <i>
      <x v="2"/>
      <x v="1"/>
    </i>
    <i>
      <x v="3"/>
      <x v="2"/>
    </i>
  </rowItems>
  <colItems count="1">
    <i/>
  </colItems>
  <dataFields count="1">
    <dataField name="Sum of YearValue" fld="32" baseField="1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76429E-9AB8-4D00-98EA-38A87462642A}" name="PivotTable3" cacheId="9" applyNumberFormats="0" applyBorderFormats="0" applyFontFormats="0" applyPatternFormats="0" applyAlignmentFormats="0" applyWidthHeightFormats="1" dataCaption="Values" updatedVersion="8" minRefreshableVersion="3" showDrill="0" itemPrintTitles="1" createdVersion="7" indent="0" compact="0" compactData="0" multipleFieldFilters="0" fieldListSortAscending="1">
  <location ref="A4:B12" firstHeaderRow="1" firstDataRow="1" firstDataCol="1"/>
  <pivotFields count="24">
    <pivotField dataField="1" compact="0" outline="0" showAll="0">
      <extLst>
        <ext xmlns:x14="http://schemas.microsoft.com/office/spreadsheetml/2009/9/main" uri="{2946ED86-A175-432a-8AC1-64E0C546D7DE}">
          <x14:pivotField fillDownLabels="1"/>
        </ext>
      </extLst>
    </pivotField>
    <pivotField axis="axisRow" compact="0" outline="0" showAll="0">
      <items count="8">
        <item x="6"/>
        <item x="4"/>
        <item x="2"/>
        <item x="3"/>
        <item x="1"/>
        <item x="0"/>
        <item x="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1"/>
  </rowFields>
  <rowItems count="8">
    <i>
      <x/>
    </i>
    <i>
      <x v="1"/>
    </i>
    <i>
      <x v="2"/>
    </i>
    <i>
      <x v="3"/>
    </i>
    <i>
      <x v="4"/>
    </i>
    <i>
      <x v="5"/>
    </i>
    <i>
      <x v="6"/>
    </i>
    <i t="grand">
      <x/>
    </i>
  </rowItems>
  <colItems count="1">
    <i/>
  </colItems>
  <dataFields count="1">
    <dataField name="Sum of Will Import if 0"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A8B0EC-F532-42AC-8897-4CB48F1A5BC7}" name="PivotTable6"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E38:H54" firstHeaderRow="1" firstDataRow="1" firstDataCol="3"/>
  <pivotFields count="24">
    <pivotField compact="0" outline="0" showAll="0" defaultSubtotal="0"/>
    <pivotField axis="axisRow" compact="0" outline="0" showAll="0" defaultSubtotal="0">
      <items count="7">
        <item h="1" x="6"/>
        <item h="1" x="5"/>
        <item h="1" x="4"/>
        <item h="1" x="2"/>
        <item h="1" x="3"/>
        <item x="1"/>
        <item h="1" x="0"/>
      </items>
    </pivotField>
    <pivotField compact="0" outline="0" showAll="0" defaultSubtotal="0"/>
    <pivotField axis="axisRow" compact="0" outline="0" showAll="0" defaultSubtotal="0">
      <items count="176">
        <item x="120"/>
        <item x="12"/>
        <item x="102"/>
        <item x="13"/>
        <item x="14"/>
        <item x="15"/>
        <item x="16"/>
        <item x="17"/>
        <item x="104"/>
        <item x="84"/>
        <item x="85"/>
        <item x="86"/>
        <item x="87"/>
        <item x="88"/>
        <item x="89"/>
        <item x="90"/>
        <item x="91"/>
        <item x="92"/>
        <item x="95"/>
        <item x="96"/>
        <item x="97"/>
        <item x="98"/>
        <item x="107"/>
        <item x="108"/>
        <item x="109"/>
        <item x="110"/>
        <item x="111"/>
        <item x="20"/>
        <item x="19"/>
        <item x="21"/>
        <item x="22"/>
        <item x="112"/>
        <item x="31"/>
        <item x="32"/>
        <item x="113"/>
        <item x="33"/>
        <item x="56"/>
        <item x="57"/>
        <item x="58"/>
        <item x="59"/>
        <item x="60"/>
        <item x="61"/>
        <item x="62"/>
        <item x="63"/>
        <item x="64"/>
        <item x="65"/>
        <item x="66"/>
        <item x="67"/>
        <item x="68"/>
        <item x="69"/>
        <item x="70"/>
        <item x="71"/>
        <item x="72"/>
        <item x="73"/>
        <item x="74"/>
        <item x="75"/>
        <item x="76"/>
        <item x="77"/>
        <item x="78"/>
        <item x="79"/>
        <item x="80"/>
        <item x="81"/>
        <item x="82"/>
        <item x="83"/>
        <item x="41"/>
        <item x="42"/>
        <item x="43"/>
        <item x="44"/>
        <item x="45"/>
        <item x="46"/>
        <item x="121"/>
        <item x="47"/>
        <item x="48"/>
        <item x="49"/>
        <item x="50"/>
        <item x="51"/>
        <item x="52"/>
        <item x="53"/>
        <item x="54"/>
        <item x="0"/>
        <item x="1"/>
        <item x="2"/>
        <item x="3"/>
        <item x="4"/>
        <item x="5"/>
        <item x="55"/>
        <item x="103"/>
        <item x="99"/>
        <item x="100"/>
        <item x="115"/>
        <item x="116"/>
        <item x="117"/>
        <item x="118"/>
        <item m="1" x="175"/>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x="34"/>
        <item x="35"/>
        <item x="36"/>
        <item x="6"/>
        <item x="7"/>
        <item x="8"/>
        <item x="9"/>
        <item x="10"/>
        <item x="11"/>
        <item x="18"/>
        <item x="23"/>
        <item x="24"/>
        <item x="25"/>
        <item x="26"/>
        <item x="27"/>
        <item x="28"/>
        <item x="29"/>
        <item x="30"/>
        <item x="37"/>
        <item x="38"/>
        <item x="39"/>
        <item x="40"/>
        <item x="93"/>
        <item x="94"/>
        <item x="101"/>
        <item x="105"/>
        <item x="106"/>
        <item x="114"/>
        <item x="119"/>
      </items>
    </pivotField>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axis="axisRow" compact="0" outline="0" showAll="0" defaultSubtotal="0">
      <items count="7">
        <item h="1" x="3"/>
        <item h="1" x="1"/>
        <item h="1" x="2"/>
        <item x="0"/>
        <item h="1" x="4"/>
        <item h="1" x="5"/>
        <item h="1" x="6"/>
      </items>
    </pivotField>
    <pivotField compact="0" outline="0" showAll="0" defaultSubtotal="0"/>
    <pivotField compact="0" outline="0" showAll="0" defaultSubtotal="0"/>
  </pivotFields>
  <rowFields count="3">
    <field x="1"/>
    <field x="3"/>
    <field x="21"/>
  </rowFields>
  <rowItems count="16">
    <i>
      <x v="5"/>
      <x v="36"/>
      <x v="3"/>
    </i>
    <i r="1">
      <x v="37"/>
      <x v="3"/>
    </i>
    <i r="1">
      <x v="38"/>
      <x v="3"/>
    </i>
    <i r="1">
      <x v="39"/>
      <x v="3"/>
    </i>
    <i r="1">
      <x v="40"/>
      <x v="3"/>
    </i>
    <i r="1">
      <x v="41"/>
      <x v="3"/>
    </i>
    <i r="1">
      <x v="42"/>
      <x v="3"/>
    </i>
    <i r="1">
      <x v="43"/>
      <x v="3"/>
    </i>
    <i r="1">
      <x v="44"/>
      <x v="3"/>
    </i>
    <i r="1">
      <x v="45"/>
      <x v="3"/>
    </i>
    <i r="1">
      <x v="46"/>
      <x v="3"/>
    </i>
    <i r="1">
      <x v="47"/>
      <x v="3"/>
    </i>
    <i r="1">
      <x v="48"/>
      <x v="3"/>
    </i>
    <i r="1">
      <x v="49"/>
      <x v="3"/>
    </i>
    <i r="1">
      <x v="50"/>
      <x v="3"/>
    </i>
    <i r="1">
      <x v="51"/>
      <x v="3"/>
    </i>
  </rowItems>
  <colItems count="1">
    <i/>
  </colItems>
  <dataFields count="1">
    <dataField name="Count of SchoolCode" fld="4" subtotal="count" baseField="0" baseItem="0"/>
  </dataFields>
  <pivotTableStyleInfo name="PivotStyleLight16" showRowHeaders="1" showColHeaders="1" showRowStripes="0" showColStripes="0" showLastColumn="1"/>
  <filters count="1">
    <filter fld="3" type="captionBeginsWith" evalOrder="-1" id="1" stringValue1="PUPIL_C">
      <autoFilter ref="A1">
        <filterColumn colId="0">
          <customFilters>
            <customFilter val="PUPIL_C*"/>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19BFC47-ED97-49B6-8BF0-E4C1C3A10682}" name="PivotTable5"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24:C54" firstHeaderRow="1" firstDataRow="1" firstDataCol="2"/>
  <pivotFields count="24">
    <pivotField compact="0" outline="0" showAll="0" defaultSubtotal="0"/>
    <pivotField axis="axisRow" compact="0" outline="0" showAll="0" defaultSubtotal="0">
      <items count="7">
        <item h="1" x="6"/>
        <item h="1" x="5"/>
        <item x="4"/>
        <item h="1" x="2"/>
        <item x="3"/>
        <item h="1" x="1"/>
        <item h="1" x="0"/>
      </items>
    </pivotField>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29">
        <item x="7"/>
        <item x="42"/>
        <item x="43"/>
        <item x="39"/>
        <item x="70"/>
        <item x="96"/>
        <item x="46"/>
        <item x="47"/>
        <item x="48"/>
        <item x="49"/>
        <item x="50"/>
        <item x="64"/>
        <item x="52"/>
        <item x="30"/>
        <item x="31"/>
        <item x="32"/>
        <item x="33"/>
        <item x="34"/>
        <item x="35"/>
        <item x="36"/>
        <item x="71"/>
        <item x="72"/>
        <item x="73"/>
        <item x="74"/>
        <item x="75"/>
        <item m="1" x="123"/>
        <item x="76"/>
        <item x="54"/>
        <item x="53"/>
        <item x="56"/>
        <item x="55"/>
        <item x="77"/>
        <item x="97"/>
        <item x="41"/>
        <item x="44"/>
        <item m="1" x="126"/>
        <item m="1" x="118"/>
        <item m="1" x="113"/>
        <item m="1" x="112"/>
        <item m="1" x="127"/>
        <item m="1" x="121"/>
        <item x="78"/>
        <item x="61"/>
        <item x="62"/>
        <item m="1" x="122"/>
        <item x="63"/>
        <item x="79"/>
        <item x="80"/>
        <item x="81"/>
        <item x="82"/>
        <item x="83"/>
        <item x="84"/>
        <item x="85"/>
        <item x="86"/>
        <item x="87"/>
        <item x="21"/>
        <item x="22"/>
        <item x="23"/>
        <item x="24"/>
        <item x="25"/>
        <item x="26"/>
        <item x="27"/>
        <item x="0"/>
        <item x="1"/>
        <item x="2"/>
        <item x="3"/>
        <item x="4"/>
        <item x="5"/>
        <item x="9"/>
        <item x="10"/>
        <item x="11"/>
        <item x="12"/>
        <item x="13"/>
        <item x="14"/>
        <item x="15"/>
        <item x="16"/>
        <item x="17"/>
        <item x="18"/>
        <item x="19"/>
        <item x="20"/>
        <item x="58"/>
        <item x="59"/>
        <item x="57"/>
        <item x="29"/>
        <item x="60"/>
        <item m="1" x="117"/>
        <item m="1" x="111"/>
        <item m="1" x="125"/>
        <item m="1" x="115"/>
        <item m="1" x="114"/>
        <item m="1" x="120"/>
        <item m="1" x="119"/>
        <item m="1" x="128"/>
        <item m="1" x="116"/>
        <item m="1" x="124"/>
        <item m="1" x="110"/>
        <item x="98"/>
        <item x="99"/>
        <item x="92"/>
        <item x="93"/>
        <item x="94"/>
        <item x="28"/>
        <item x="95"/>
        <item x="6"/>
        <item x="40"/>
        <item x="45"/>
        <item x="8"/>
        <item m="1" x="109"/>
        <item x="65"/>
        <item x="37"/>
        <item x="38"/>
        <item x="51"/>
        <item x="66"/>
        <item x="67"/>
        <item x="68"/>
        <item x="69"/>
        <item x="88"/>
        <item x="89"/>
        <item x="90"/>
        <item x="91"/>
        <item m="1" x="100"/>
        <item m="1" x="101"/>
        <item m="1" x="102"/>
        <item m="1" x="103"/>
        <item m="1" x="104"/>
        <item m="1" x="105"/>
        <item m="1" x="106"/>
        <item m="1" x="107"/>
        <item m="1" x="10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2">
    <field x="1"/>
    <field x="8"/>
  </rowFields>
  <rowItems count="30">
    <i>
      <x v="2"/>
      <x v="5"/>
    </i>
    <i r="1">
      <x v="32"/>
    </i>
    <i r="1">
      <x v="96"/>
    </i>
    <i r="1">
      <x v="97"/>
    </i>
    <i>
      <x v="4"/>
      <x v="4"/>
    </i>
    <i r="1">
      <x v="20"/>
    </i>
    <i r="1">
      <x v="21"/>
    </i>
    <i r="1">
      <x v="22"/>
    </i>
    <i r="1">
      <x v="23"/>
    </i>
    <i r="1">
      <x v="24"/>
    </i>
    <i r="1">
      <x v="26"/>
    </i>
    <i r="1">
      <x v="31"/>
    </i>
    <i r="1">
      <x v="41"/>
    </i>
    <i r="1">
      <x v="46"/>
    </i>
    <i r="1">
      <x v="47"/>
    </i>
    <i r="1">
      <x v="48"/>
    </i>
    <i r="1">
      <x v="49"/>
    </i>
    <i r="1">
      <x v="50"/>
    </i>
    <i r="1">
      <x v="51"/>
    </i>
    <i r="1">
      <x v="52"/>
    </i>
    <i r="1">
      <x v="53"/>
    </i>
    <i r="1">
      <x v="54"/>
    </i>
    <i r="1">
      <x v="98"/>
    </i>
    <i r="1">
      <x v="99"/>
    </i>
    <i r="1">
      <x v="100"/>
    </i>
    <i r="1">
      <x v="102"/>
    </i>
    <i r="1">
      <x v="116"/>
    </i>
    <i r="1">
      <x v="117"/>
    </i>
    <i r="1">
      <x v="118"/>
    </i>
    <i r="1">
      <x v="119"/>
    </i>
  </rowItems>
  <colItems count="1">
    <i/>
  </colItems>
  <dataFields count="1">
    <dataField name="Count of SchoolCode" fld="4" subtotal="count" baseField="0" baseItem="0"/>
  </dataFields>
  <pivotTableStyleInfo name="PivotStyleLight16" showRowHeaders="1" showColHeaders="1" showRowStripes="0" showColStripes="0" showLastColumn="1"/>
  <filters count="1">
    <filter fld="8" type="captionNotBeginsWith" evalOrder="-1" id="1" stringValue1="UPLIFT">
      <autoFilter ref="A1">
        <filterColumn colId="0">
          <customFilters>
            <customFilter operator="notEqual" val="UPLIFT*"/>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0" xr16:uid="{5A67F31B-3FA4-4D04-8714-79909F1E691F}" autoFormatId="16" applyNumberFormats="0" applyBorderFormats="0" applyFontFormats="0" applyPatternFormats="0" applyAlignmentFormats="0" applyWidthHeightFormats="0">
  <queryTableRefresh nextId="4">
    <queryTableFields count="3">
      <queryTableField id="1" name="groupingCodeCode" tableColumnId="1"/>
      <queryTableField id="2" name="title" tableColumnId="2"/>
      <queryTableField id="3" name="groupingCodeTypeCode"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1" xr16:uid="{358C2949-1A7C-4064-B819-962F68AAA8B6}" autoFormatId="16" applyNumberFormats="0" applyBorderFormats="0" applyFontFormats="0" applyPatternFormats="0" applyAlignmentFormats="0" applyWidthHeightFormats="0">
  <queryTableRefresh nextId="10" unboundColumnsLeft="6">
    <queryTableFields count="9">
      <queryTableField id="9" dataBound="0" tableColumnId="4"/>
      <queryTableField id="8" dataBound="0" tableColumnId="5"/>
      <queryTableField id="7" dataBound="0" tableColumnId="6"/>
      <queryTableField id="6" dataBound="0" tableColumnId="7"/>
      <queryTableField id="5" dataBound="0" tableColumnId="8"/>
      <queryTableField id="4" dataBound="0" tableColumnId="9"/>
      <queryTableField id="1" name="fundCode" tableColumnId="1"/>
      <queryTableField id="2" name="title" tableColumnId="2"/>
      <queryTableField id="3" name="fundEnabled"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20E120E0-7357-44FE-A062-7A08CCB1978E}" autoFormatId="16" applyNumberFormats="0" applyBorderFormats="0" applyFontFormats="0" applyPatternFormats="0" applyAlignmentFormats="0" applyWidthHeightFormats="0">
  <queryTableRefresh nextId="10" unboundColumnsLeft="6">
    <queryTableFields count="9">
      <queryTableField id="9" dataBound="0" tableColumnId="4"/>
      <queryTableField id="8" dataBound="0" tableColumnId="5"/>
      <queryTableField id="7" dataBound="0" tableColumnId="6"/>
      <queryTableField id="6" dataBound="0" tableColumnId="7"/>
      <queryTableField id="5" dataBound="0" tableColumnId="8"/>
      <queryTableField id="4" dataBound="0" tableColumnId="9"/>
      <queryTableField id="1" name="activityCode" tableColumnId="1"/>
      <queryTableField id="2" name="title" tableColumnId="2"/>
      <queryTableField id="3" name="activityEnabled"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4" xr16:uid="{BF57AE7D-0061-49D9-B617-E1DC20480C3F}" autoFormatId="16" applyNumberFormats="0" applyBorderFormats="0" applyFontFormats="0" applyPatternFormats="0" applyAlignmentFormats="0" applyWidthHeightFormats="0">
  <queryTableRefresh nextId="10" unboundColumnsLeft="6">
    <queryTableFields count="9">
      <queryTableField id="9" dataBound="0" tableColumnId="4"/>
      <queryTableField id="8" dataBound="0" tableColumnId="5"/>
      <queryTableField id="7" dataBound="0" tableColumnId="6"/>
      <queryTableField id="6" dataBound="0" tableColumnId="7"/>
      <queryTableField id="5" dataBound="0" tableColumnId="8"/>
      <queryTableField id="4" dataBound="0" tableColumnId="9"/>
      <queryTableField id="1" name="ledgerCode" tableColumnId="1"/>
      <queryTableField id="2" name="title" tableColumnId="2"/>
      <queryTableField id="3" name="ledgerEnabled"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458CB6D5-8D2B-42A5-B916-8E305E8C0FFB}" autoFormatId="16" applyNumberFormats="0" applyBorderFormats="0" applyFontFormats="0" applyPatternFormats="0" applyAlignmentFormats="0" applyWidthHeightFormats="0">
  <queryTableRefresh nextId="10" unboundColumnsLeft="6">
    <queryTableFields count="9">
      <queryTableField id="9" dataBound="0" tableColumnId="4"/>
      <queryTableField id="8" dataBound="0" tableColumnId="5"/>
      <queryTableField id="7" dataBound="0" tableColumnId="6"/>
      <queryTableField id="6" dataBound="0" tableColumnId="7"/>
      <queryTableField id="5" dataBound="0" tableColumnId="8"/>
      <queryTableField id="4" dataBound="0" tableColumnId="9"/>
      <queryTableField id="1" name="customGroupingCode" tableColumnId="1"/>
      <queryTableField id="2" name="title" tableColumnId="2"/>
      <queryTableField id="3" name="customGroupingEnabled" tableColumnId="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44" xr16:uid="{0DEB6278-6B37-461B-9279-CD439926FA7A}" autoFormatId="16" applyNumberFormats="0" applyBorderFormats="0" applyFontFormats="0" applyPatternFormats="0" applyAlignmentFormats="0" applyWidthHeightFormats="0">
  <queryTableRefresh nextId="10" unboundColumnsLeft="6">
    <queryTableFields count="9">
      <queryTableField id="9" dataBound="0" tableColumnId="4"/>
      <queryTableField id="8" dataBound="0" tableColumnId="5"/>
      <queryTableField id="7" dataBound="0" tableColumnId="6"/>
      <queryTableField id="6" dataBound="0" tableColumnId="7"/>
      <queryTableField id="5" dataBound="0" tableColumnId="8"/>
      <queryTableField id="4" dataBound="0" tableColumnId="9"/>
      <queryTableField id="1" name="schoolHubCode" tableColumnId="1"/>
      <queryTableField id="2" name="title" tableColumnId="2"/>
      <queryTableField id="3" name="schoolHubEnabled" tableColumnId="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6" backgroundRefresh="0" connectionId="47" xr16:uid="{111DCAA7-61E1-4E88-B1BF-15163FB3B509}" autoFormatId="16" applyNumberFormats="0" applyBorderFormats="0" applyFontFormats="0" applyPatternFormats="0" applyAlignmentFormats="0" applyWidthHeightFormats="0">
  <queryTableRefresh nextId="10" unboundColumnsLeft="6">
    <queryTableFields count="9">
      <queryTableField id="9" dataBound="0" tableColumnId="4"/>
      <queryTableField id="8" dataBound="0" tableColumnId="5"/>
      <queryTableField id="7" dataBound="0" tableColumnId="6"/>
      <queryTableField id="6" dataBound="0" tableColumnId="7"/>
      <queryTableField id="5" dataBound="0" tableColumnId="8"/>
      <queryTableField id="4" dataBound="0" tableColumnId="9"/>
      <queryTableField id="1" name="schoolTypeCode" tableColumnId="1"/>
      <queryTableField id="2" name="title" tableColumnId="2"/>
      <queryTableField id="3" name="schoolTypeEnabled" tableColumnId="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25" xr16:uid="{76C50AC6-1F9B-4325-8B1D-55AAB28A7FBC}" autoFormatId="16" applyNumberFormats="0" applyBorderFormats="0" applyFontFormats="0" applyPatternFormats="0" applyAlignmentFormats="0" applyWidthHeightFormats="0">
  <queryTableRefresh nextId="13" unboundColumnsLeft="7">
    <queryTableFields count="11">
      <queryTableField id="10" dataBound="0" tableColumnId="4"/>
      <queryTableField id="9" dataBound="0" tableColumnId="5"/>
      <queryTableField id="8" dataBound="0" tableColumnId="6"/>
      <queryTableField id="7" dataBound="0" tableColumnId="7"/>
      <queryTableField id="6" dataBound="0" tableColumnId="8"/>
      <queryTableField id="5" dataBound="0" tableColumnId="9"/>
      <queryTableField id="4" dataBound="0" tableColumnId="10"/>
      <queryTableField id="1" name="schoolLocalAuthorityCode" tableColumnId="1"/>
      <queryTableField id="2" name="title" tableColumnId="2"/>
      <queryTableField id="3" name="schoolLocalAuthorityEnabled" tableColumnId="3"/>
      <queryTableField id="12" name="Index" tableColumnId="12"/>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45" xr16:uid="{771B37E8-7ABA-4BB2-AA54-5B2B744B3925}" autoFormatId="16" applyNumberFormats="0" applyBorderFormats="0" applyFontFormats="0" applyPatternFormats="0" applyAlignmentFormats="0" applyWidthHeightFormats="0">
  <queryTableRefresh nextId="20" unboundColumnsLeft="9">
    <queryTableFields count="18">
      <queryTableField id="18" dataBound="0" tableColumnId="10"/>
      <queryTableField id="17" dataBound="0" tableColumnId="11"/>
      <queryTableField id="16" dataBound="0" tableColumnId="12"/>
      <queryTableField id="15" dataBound="0" tableColumnId="13"/>
      <queryTableField id="14" dataBound="0" tableColumnId="14"/>
      <queryTableField id="13" dataBound="0" tableColumnId="15"/>
      <queryTableField id="12" dataBound="0" tableColumnId="16"/>
      <queryTableField id="11" dataBound="0" tableColumnId="17"/>
      <queryTableField id="10" dataBound="0" tableColumnId="18"/>
      <queryTableField id="1" name="schoolLocalAuthority" tableColumnId="1"/>
      <queryTableField id="2" name="schoolCode" tableColumnId="2"/>
      <queryTableField id="3" name="schoolHub" tableColumnId="3"/>
      <queryTableField id="4" name="schoolType" tableColumnId="4"/>
      <queryTableField id="5" name="title" tableColumnId="5"/>
      <queryTableField id="6" name="londonWeighting" tableColumnId="6"/>
      <queryTableField id="7" name="uniqueReferenceNumber" tableColumnId="7"/>
      <queryTableField id="8" name="teachingHours" tableColumnId="8"/>
      <queryTableField id="9" name="schoolEnabled" tableColumnId="9"/>
    </queryTableFields>
    <queryTableDeletedFields count="1">
      <deletedField name="SchLookup"/>
    </queryTableDeleted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6" xr16:uid="{D8F8E28C-EF25-4AFE-B6FE-875F016D4850}" autoFormatId="16" applyNumberFormats="0" applyBorderFormats="0" applyFontFormats="0" applyPatternFormats="0" applyAlignmentFormats="0" applyWidthHeightFormats="0">
  <queryTableRefresh nextId="21" unboundColumnsLeft="6">
    <queryTableFields count="15">
      <queryTableField id="14" dataBound="0" tableColumnId="9"/>
      <queryTableField id="13" dataBound="0" tableColumnId="10"/>
      <queryTableField id="12" dataBound="0" tableColumnId="11"/>
      <queryTableField id="11" dataBound="0" tableColumnId="12"/>
      <queryTableField id="10" dataBound="0" tableColumnId="13"/>
      <queryTableField id="9" dataBound="0" tableColumnId="14"/>
      <queryTableField id="1" name="departmentCode" tableColumnId="1"/>
      <queryTableField id="2" name="title" tableColumnId="2"/>
      <queryTableField id="3" name="availableToAllSchools" tableColumnId="3"/>
      <queryTableField id="4" name="schoolCodes" tableColumnId="4"/>
      <queryTableField id="15" name="activityCode" tableColumnId="15"/>
      <queryTableField id="5" name="fundCode" tableColumnId="5"/>
      <queryTableField id="6" name="ledgerCode" tableColumnId="6"/>
      <queryTableField id="7" name="defaultFinanceCode" tableColumnId="7"/>
      <queryTableField id="8" name="departmentEnabled" tableColumnId="8"/>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2" connectionId="8" xr16:uid="{CB0F5D26-E6CE-4ED3-9E58-424627398FA5}" autoFormatId="16" applyNumberFormats="0" applyBorderFormats="0" applyFontFormats="0" applyPatternFormats="0" applyAlignmentFormats="0" applyWidthHeightFormats="0">
  <queryTableRefresh nextId="44" unboundColumnsLeft="15">
    <queryTableFields count="26">
      <queryTableField id="27" dataBound="0" tableColumnId="21"/>
      <queryTableField id="26" dataBound="0" tableColumnId="22"/>
      <queryTableField id="25" dataBound="0" tableColumnId="23"/>
      <queryTableField id="24" dataBound="0" tableColumnId="24"/>
      <queryTableField id="23" dataBound="0" tableColumnId="25"/>
      <queryTableField id="22" dataBound="0" tableColumnId="26"/>
      <queryTableField id="21" dataBound="0" tableColumnId="27"/>
      <queryTableField id="32" dataBound="0" tableColumnId="1"/>
      <queryTableField id="42" dataBound="0" tableColumnId="9"/>
      <queryTableField id="41" dataBound="0" tableColumnId="8"/>
      <queryTableField id="31" dataBound="0" tableColumnId="2"/>
      <queryTableField id="36" dataBound="0" tableColumnId="5"/>
      <queryTableField id="37" dataBound="0" tableColumnId="6"/>
      <queryTableField id="40" dataBound="0" tableColumnId="7"/>
      <queryTableField id="28" dataBound="0" tableColumnId="28"/>
      <queryTableField id="10" name="FinanceCode" tableColumnId="10"/>
      <queryTableField id="11" name="Title" tableColumnId="11"/>
      <queryTableField id="12" name="FinanceCodeTypeCode" tableColumnId="12"/>
      <queryTableField id="33" name="GroupingCode" tableColumnId="3"/>
      <queryTableField id="14" name="CustomGrouping" tableColumnId="14"/>
      <queryTableField id="15" name="LedgerCode" tableColumnId="15"/>
      <queryTableField id="16" name="AvailableToAllSchools" tableColumnId="16"/>
      <queryTableField id="17" name="SchoolCodes" tableColumnId="17"/>
      <queryTableField id="18" name="FinanceCodeEnabled" tableColumnId="18"/>
      <queryTableField id="35" name="BalanceToScenario" tableColumnId="4"/>
      <queryTableField id="43" name="IsBalanceSheet" tableColumnId="13"/>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9" xr16:uid="{E7B2AC49-E0DC-4092-8850-7F274687A270}" autoFormatId="16" applyNumberFormats="0" applyBorderFormats="0" applyFontFormats="0" applyPatternFormats="0" applyAlignmentFormats="0" applyWidthHeightFormats="0">
  <queryTableRefresh nextId="24" unboundColumnsLeft="13" unboundColumnsRight="1">
    <queryTableFields count="23">
      <queryTableField id="20" dataBound="0" tableColumnId="10"/>
      <queryTableField id="19" dataBound="0" tableColumnId="11"/>
      <queryTableField id="18" dataBound="0" tableColumnId="12"/>
      <queryTableField id="17" dataBound="0" tableColumnId="13"/>
      <queryTableField id="16" dataBound="0" tableColumnId="14"/>
      <queryTableField id="15" dataBound="0" tableColumnId="15"/>
      <queryTableField id="14" dataBound="0" tableColumnId="16"/>
      <queryTableField id="13" dataBound="0" tableColumnId="17"/>
      <queryTableField id="23" dataBound="0" tableColumnId="22"/>
      <queryTableField id="22" dataBound="0" tableColumnId="23"/>
      <queryTableField id="12" dataBound="0" tableColumnId="18"/>
      <queryTableField id="11" dataBound="0" tableColumnId="19"/>
      <queryTableField id="10" dataBound="0" tableColumnId="20"/>
      <queryTableField id="1" name="financeCode" tableColumnId="1"/>
      <queryTableField id="2" name="title" tableColumnId="2"/>
      <queryTableField id="3" name="groupingCode" tableColumnId="3"/>
      <queryTableField id="4" name="customGrouping" tableColumnId="4"/>
      <queryTableField id="5" name="availableToAllSchools" tableColumnId="5"/>
      <queryTableField id="6" name="schoolCodes" tableColumnId="6"/>
      <queryTableField id="7" name="financeCodeTypeCode" tableColumnId="7"/>
      <queryTableField id="8" name="ledgerCode" tableColumnId="8"/>
      <queryTableField id="9" name="financeCodeEnabled" tableColumnId="9"/>
      <queryTableField id="21" dataBound="0" tableColumnId="21"/>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3" connectionId="4" xr16:uid="{607E4F26-5063-4DA6-BB74-AAAD9D9D2FDD}" autoFormatId="16" applyNumberFormats="0" applyBorderFormats="0" applyFontFormats="0" applyPatternFormats="0" applyAlignmentFormats="0" applyWidthHeightFormats="0">
  <queryTableRefresh nextId="75" unboundColumnsLeft="19">
    <queryTableFields count="55">
      <queryTableField id="45" dataBound="0" tableColumnId="43"/>
      <queryTableField id="44" dataBound="0" tableColumnId="44"/>
      <queryTableField id="50" dataBound="0" tableColumnId="38"/>
      <queryTableField id="49" dataBound="0" tableColumnId="49"/>
      <queryTableField id="53" dataBound="0" tableColumnId="4"/>
      <queryTableField id="58" dataBound="0" tableColumnId="50"/>
      <queryTableField id="59" dataBound="0" tableColumnId="51"/>
      <queryTableField id="60" dataBound="0" tableColumnId="52"/>
      <queryTableField id="61" dataBound="0" tableColumnId="53"/>
      <queryTableField id="74" dataBound="0" tableColumnId="55"/>
      <queryTableField id="54" dataBound="0" tableColumnId="5"/>
      <queryTableField id="67" dataBound="0" tableColumnId="42"/>
      <queryTableField id="43" dataBound="0" tableColumnId="45"/>
      <queryTableField id="48" dataBound="0" tableColumnId="46"/>
      <queryTableField id="55" dataBound="0" tableColumnId="16"/>
      <queryTableField id="47" dataBound="0" tableColumnId="47"/>
      <queryTableField id="56" dataBound="0" tableColumnId="27"/>
      <queryTableField id="46" dataBound="0" tableColumnId="48"/>
      <queryTableField id="57" dataBound="0" tableColumnId="41"/>
      <queryTableField id="1" name="CalculatorCode" tableColumnId="1"/>
      <queryTableField id="2" name="Title" tableColumnId="2"/>
      <queryTableField id="6" name="SourceSelectAllSchools" tableColumnId="6"/>
      <queryTableField id="7" name="SourceSelectAllFunds" tableColumnId="7"/>
      <queryTableField id="8" name="SourceSelectAllDepartments" tableColumnId="8"/>
      <queryTableField id="9" name="SourceDepartmentsAcrossLedgers" tableColumnId="9"/>
      <queryTableField id="10" name="SourceIncludeScenarioRow" tableColumnId="10"/>
      <queryTableField id="11" name="SourceUseLastYear" tableColumnId="11"/>
      <queryTableField id="12" name="SourceSchoolLocalAuthority" tableColumnId="12"/>
      <queryTableField id="13" name="SourceConstant" tableColumnId="13"/>
      <queryTableField id="14" name="SourceSchoolHubSelectedScenarioRow" tableColumnId="14"/>
      <queryTableField id="15" name="SourceSchoolTypeSelectedScenarioRow" tableColumnId="15"/>
      <queryTableField id="17" name="DivisorSelectAllSchools" tableColumnId="17"/>
      <queryTableField id="18" name="DivisorSelectAllFunds" tableColumnId="18"/>
      <queryTableField id="19" name="DivisorSelectAllDepartments" tableColumnId="19"/>
      <queryTableField id="20" name="DivisorDepartmentsAcrossLedgers" tableColumnId="20"/>
      <queryTableField id="21" name="DivisorIncludeScenarioRow" tableColumnId="21"/>
      <queryTableField id="22" name="DivisorUseLastYear" tableColumnId="22"/>
      <queryTableField id="23" name="DivisorSchoolLocalAuthority" tableColumnId="23"/>
      <queryTableField id="24" name="DivisorConstant" tableColumnId="24"/>
      <queryTableField id="25" name="DivisorSchoolHubSelectedScenarioRow" tableColumnId="25"/>
      <queryTableField id="26" name="DivisorSchoolTypeSelectedScenarioRow" tableColumnId="26"/>
      <queryTableField id="28" name="MultiplierSelectAllSchools" tableColumnId="28"/>
      <queryTableField id="29" name="MultiplierSelectAllFunds" tableColumnId="29"/>
      <queryTableField id="30" name="MultiplierSelectAllDepartments" tableColumnId="30"/>
      <queryTableField id="31" name="MultiplierDepartmentsAcrossLedgers" tableColumnId="31"/>
      <queryTableField id="32" name="MultiplierIncludeScenarioRow" tableColumnId="32"/>
      <queryTableField id="33" name="MultiplierUseLastYear" tableColumnId="33"/>
      <queryTableField id="34" name="MultiplierSchoolLocalAuthority" tableColumnId="34"/>
      <queryTableField id="35" name="MultiplierConstant" tableColumnId="35"/>
      <queryTableField id="36" name="MultiplierSchoolHubSelectedScenarioRow" tableColumnId="36"/>
      <queryTableField id="37" name="MultiplierSchoolTypeSelectedScenarioRow" tableColumnId="37"/>
      <queryTableField id="39" name="CalculatorEnabled" tableColumnId="39"/>
      <queryTableField id="40" name="CalculatorLockRows" tableColumnId="40"/>
      <queryTableField id="51" name="CalculatorTypeCode" tableColumnId="3"/>
      <queryTableField id="68" name="LockCheck" tableColumnId="54"/>
    </queryTableFields>
    <queryTableDeletedFields count="1">
      <deletedField name="Hidden"/>
    </queryTableDeleted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4" connectionId="3" xr16:uid="{55449EA7-DD97-4270-AEAB-B5DDA24A1071}" autoFormatId="16" applyNumberFormats="0" applyBorderFormats="0" applyFontFormats="0" applyPatternFormats="0" applyAlignmentFormats="0" applyWidthHeightFormats="0">
  <queryTableRefresh nextId="13" unboundColumnsLeft="3">
    <queryTableFields count="6">
      <queryTableField id="8" dataBound="0" tableColumnId="7"/>
      <queryTableField id="9" dataBound="0" tableColumnId="9"/>
      <queryTableField id="7" dataBound="0" tableColumnId="8"/>
      <queryTableField id="4" name="CalculatorCode" tableColumnId="4"/>
      <queryTableField id="5" name="FinanceCode" tableColumnId="5"/>
      <queryTableField id="6" name="Type" tableColumnId="6"/>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1" connectionId="48" xr16:uid="{C802C4E4-1D71-4A1C-8E6B-0E6E0171AD9B}" autoFormatId="16" applyNumberFormats="0" applyBorderFormats="0" applyFontFormats="0" applyPatternFormats="0" applyAlignmentFormats="0" applyWidthHeightFormats="0">
  <queryTableRefresh nextId="21">
    <queryTableFields count="20">
      <queryTableField id="1" name="ScenarioCode" tableColumnId="1"/>
      <queryTableField id="2" name="StaffRoleGroupCode" tableColumnId="2"/>
      <queryTableField id="3" name="Title" tableColumnId="3"/>
      <queryTableField id="4" name="GrossSalaryFinanceCode" tableColumnId="4"/>
      <queryTableField id="5" name="LeaveRebateFinanceCode" tableColumnId="5"/>
      <queryTableField id="6" name="AllowanceTypesFinanceCode" tableColumnId="6"/>
      <queryTableField id="7" name="AdjustmentsFinanceCode" tableColumnId="7"/>
      <queryTableField id="8" name="MinimumWageTopupFinanceCode" tableColumnId="8"/>
      <queryTableField id="9" name="LivingWageTopupFinanceCode" tableColumnId="9"/>
      <queryTableField id="10" name="EmployersNiFinanceCode" tableColumnId="10"/>
      <queryTableField id="11" name="PensionFinanceCode" tableColumnId="11"/>
      <queryTableField id="12" name="OptOutPensionFinanceCode" tableColumnId="12"/>
      <queryTableField id="13" name="OtherSalaryCostsFinanceCode" tableColumnId="13"/>
      <queryTableField id="14" name="WeeklyFteFinanceCode" tableColumnId="14"/>
      <queryTableField id="15" name="AnnualFteFinanceCode" tableColumnId="15"/>
      <queryTableField id="16" name="WeeklyFteLeaveAdjustmentFinanceCode" tableColumnId="16"/>
      <queryTableField id="17" name="AnnualFteLeaveAdjustmentFinanceCode" tableColumnId="17"/>
      <queryTableField id="18" name="TeachingRoleGroup" tableColumnId="18"/>
      <queryTableField id="19" name="StaffRoleGroupEnabled" tableColumnId="19"/>
      <queryTableField id="20" name="IncrementCount" tableColumnId="20"/>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1" connectionId="29" xr16:uid="{19B8D583-C433-40A4-9900-289C46439B7B}" autoFormatId="16" applyNumberFormats="0" applyBorderFormats="0" applyFontFormats="0" applyPatternFormats="0" applyAlignmentFormats="0" applyWidthHeightFormats="0">
  <queryTableRefresh nextId="19" unboundColumnsLeft="1">
    <queryTableFields count="14">
      <queryTableField id="13" dataBound="0" tableColumnId="13"/>
      <queryTableField id="1" name="Column1" tableColumnId="1"/>
      <queryTableField id="2" name="FundingType" tableColumnId="2"/>
      <queryTableField id="3" name="School" tableColumnId="3"/>
      <queryTableField id="4" name="Finance Code" tableColumnId="4"/>
      <queryTableField id="5" name="Department" tableColumnId="5"/>
      <queryTableField id="6" name="Fund" tableColumnId="6"/>
      <queryTableField id="7" name="Description" tableColumnId="7"/>
      <queryTableField id="10" name="2023/24" tableColumnId="10"/>
      <queryTableField id="11" name="2024/25" tableColumnId="11"/>
      <queryTableField id="12" name="2025/26" tableColumnId="12"/>
      <queryTableField id="14" name="2026/27" tableColumnId="14"/>
      <queryTableField id="17" name="2027/28" tableColumnId="8"/>
      <queryTableField id="18" name="2028/29" tableColumnId="9"/>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8" xr16:uid="{97D43E6F-58EC-4687-9E3F-F037D001392D}" autoFormatId="16" applyNumberFormats="0" applyBorderFormats="0" applyFontFormats="0" applyPatternFormats="0" applyAlignmentFormats="0" applyWidthHeightFormats="0">
  <queryTableRefresh nextId="15" unboundColumnsLeft="1" unboundColumnsRight="8">
    <queryTableFields count="14">
      <queryTableField id="14" dataBound="0" tableColumnId="14"/>
      <queryTableField id="1" name="School" tableColumnId="1"/>
      <queryTableField id="2" name="Primary" tableColumnId="2"/>
      <queryTableField id="3" name="KS3" tableColumnId="3"/>
      <queryTableField id="4" name="KS4" tableColumnId="4"/>
      <queryTableField id="5" name="KS5" tableColumnId="5"/>
      <queryTableField id="6" dataBound="0" tableColumnId="6"/>
      <queryTableField id="7" dataBound="0" tableColumnId="7"/>
      <queryTableField id="8" dataBound="0" tableColumnId="8"/>
      <queryTableField id="9" dataBound="0" tableColumnId="9"/>
      <queryTableField id="10" dataBound="0" tableColumnId="10"/>
      <queryTableField id="11" dataBound="0" tableColumnId="11"/>
      <queryTableField id="12" dataBound="0" tableColumnId="12"/>
      <queryTableField id="13" dataBound="0" tableColumnId="13"/>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ExternalData_3" connectionId="31" xr16:uid="{8DE211FD-7749-4F04-B5F1-4CF4F6F06FB5}" autoFormatId="16" applyNumberFormats="0" applyBorderFormats="0" applyFontFormats="0" applyPatternFormats="0" applyAlignmentFormats="0" applyWidthHeightFormats="0">
  <queryTableRefresh nextId="32" unboundColumnsRight="12">
    <queryTableFields count="18">
      <queryTableField id="1" name="School" tableColumnId="1"/>
      <queryTableField id="2" name="School Title" tableColumnId="2"/>
      <queryTableField id="3" name="Type" tableColumnId="3"/>
      <queryTableField id="27" name="2023/24" tableColumnId="4"/>
      <queryTableField id="5" name="2024/25" tableColumnId="5"/>
      <queryTableField id="6" name="2025/26" tableColumnId="6"/>
      <queryTableField id="9" dataBound="0" tableColumnId="9"/>
      <queryTableField id="10" dataBound="0" tableColumnId="10"/>
      <queryTableField id="11" dataBound="0" tableColumnId="11"/>
      <queryTableField id="12" dataBound="0" tableColumnId="12"/>
      <queryTableField id="13" dataBound="0" tableColumnId="13"/>
      <queryTableField id="25" dataBound="0" tableColumnId="20"/>
      <queryTableField id="14" dataBound="0" tableColumnId="14"/>
      <queryTableField id="15" dataBound="0" tableColumnId="15"/>
      <queryTableField id="16" dataBound="0" tableColumnId="16"/>
      <queryTableField id="17" dataBound="0" tableColumnId="17"/>
      <queryTableField id="18" dataBound="0" tableColumnId="18"/>
      <queryTableField id="26" dataBound="0" tableColumnId="21"/>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ExternalData_1" connectionId="32" xr16:uid="{B8990BC7-7581-45C4-A4E2-17AB5EB58D73}" autoFormatId="16" applyNumberFormats="0" applyBorderFormats="0" applyFontFormats="0" applyPatternFormats="0" applyAlignmentFormats="0" applyWidthHeightFormats="0">
  <queryTableRefresh nextId="55" unboundColumnsLeft="23">
    <queryTableFields count="38">
      <queryTableField id="40" dataBound="0" tableColumnId="30"/>
      <queryTableField id="39" dataBound="0" tableColumnId="31"/>
      <queryTableField id="38" dataBound="0" tableColumnId="32"/>
      <queryTableField id="37" dataBound="0" tableColumnId="33"/>
      <queryTableField id="36" dataBound="0" tableColumnId="34"/>
      <queryTableField id="35" dataBound="0" tableColumnId="35"/>
      <queryTableField id="34" dataBound="0" tableColumnId="36"/>
      <queryTableField id="33" dataBound="0" tableColumnId="37"/>
      <queryTableField id="32" dataBound="0" tableColumnId="38"/>
      <queryTableField id="31" dataBound="0" tableColumnId="39"/>
      <queryTableField id="43" dataBound="0" tableColumnId="3"/>
      <queryTableField id="44" dataBound="0" tableColumnId="4"/>
      <queryTableField id="45" dataBound="0" tableColumnId="5"/>
      <queryTableField id="46" dataBound="0" tableColumnId="6"/>
      <queryTableField id="47" dataBound="0" tableColumnId="7"/>
      <queryTableField id="53" dataBound="0" tableColumnId="10"/>
      <queryTableField id="51" dataBound="0" tableColumnId="12"/>
      <queryTableField id="50" dataBound="0" tableColumnId="11"/>
      <queryTableField id="52" dataBound="0" tableColumnId="9"/>
      <queryTableField id="49" dataBound="0" tableColumnId="8"/>
      <queryTableField id="54" dataBound="0" tableColumnId="25"/>
      <queryTableField id="30" dataBound="0" tableColumnId="40"/>
      <queryTableField id="42" dataBound="0" tableColumnId="2"/>
      <queryTableField id="13" name="ScenarioCode" tableColumnId="13"/>
      <queryTableField id="14" name="FinanceCode" tableColumnId="14"/>
      <queryTableField id="15" name="SchoolCode" tableColumnId="15"/>
      <queryTableField id="16" name="LedgerCode" tableColumnId="16"/>
      <queryTableField id="17" name="DepartmentCode" tableColumnId="17"/>
      <queryTableField id="18" name="FundCode" tableColumnId="18"/>
      <queryTableField id="19" name="CalculatorCode" tableColumnId="19"/>
      <queryTableField id="20" name="MonthProfileCode" tableColumnId="20"/>
      <queryTableField id="21" name="Description" tableColumnId="21"/>
      <queryTableField id="22" name="Notes" tableColumnId="22"/>
      <queryTableField id="23" name="YearNotes" tableColumnId="23"/>
      <queryTableField id="24" name="MatEditOnly" tableColumnId="24"/>
      <queryTableField id="26" name="FinancialYearCode" tableColumnId="26"/>
      <queryTableField id="27" name="Calculated" tableColumnId="27"/>
      <queryTableField id="28" name="YearValue" tableColumnId="28"/>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ExternalData_2" connectionId="49" xr16:uid="{ACAA5CF1-D347-4CD4-84F7-67F5161EC8BE}" autoFormatId="16" applyNumberFormats="0" applyBorderFormats="0" applyFontFormats="0" applyPatternFormats="0" applyAlignmentFormats="0" applyWidthHeightFormats="0">
  <queryTableRefresh nextId="58" unboundColumnsLeft="22">
    <queryTableFields count="37">
      <queryTableField id="41" dataBound="0" tableColumnId="31"/>
      <queryTableField id="40" dataBound="0" tableColumnId="32"/>
      <queryTableField id="39" dataBound="0" tableColumnId="33"/>
      <queryTableField id="38" dataBound="0" tableColumnId="34"/>
      <queryTableField id="37" dataBound="0" tableColumnId="35"/>
      <queryTableField id="36" dataBound="0" tableColumnId="36"/>
      <queryTableField id="35" dataBound="0" tableColumnId="37"/>
      <queryTableField id="34" dataBound="0" tableColumnId="38"/>
      <queryTableField id="33" dataBound="0" tableColumnId="39"/>
      <queryTableField id="32" dataBound="0" tableColumnId="40"/>
      <queryTableField id="51" dataBound="0" tableColumnId="5"/>
      <queryTableField id="50" dataBound="0" tableColumnId="4"/>
      <queryTableField id="49" dataBound="0" tableColumnId="3"/>
      <queryTableField id="48" dataBound="0" tableColumnId="2"/>
      <queryTableField id="52" dataBound="0" tableColumnId="6"/>
      <queryTableField id="57" dataBound="0" tableColumnId="11"/>
      <queryTableField id="55" dataBound="0" tableColumnId="9"/>
      <queryTableField id="54" dataBound="0" tableColumnId="8"/>
      <queryTableField id="56" dataBound="0" tableColumnId="10"/>
      <queryTableField id="53" dataBound="0" tableColumnId="7"/>
      <queryTableField id="31" dataBound="0" tableColumnId="41"/>
      <queryTableField id="47" dataBound="0" tableColumnId="1"/>
      <queryTableField id="14" name="ScenarioCode" tableColumnId="14"/>
      <queryTableField id="15" name="FinanceCode" tableColumnId="15"/>
      <queryTableField id="16" name="SchoolCode" tableColumnId="16"/>
      <queryTableField id="17" name="LedgerCode" tableColumnId="17"/>
      <queryTableField id="18" name="DepartmentCode" tableColumnId="18"/>
      <queryTableField id="19" name="FundCode" tableColumnId="19"/>
      <queryTableField id="20" name="CalculatorCode" tableColumnId="20"/>
      <queryTableField id="21" name="MonthProfileCode" tableColumnId="21"/>
      <queryTableField id="22" name="Description" tableColumnId="22"/>
      <queryTableField id="23" name="Notes" tableColumnId="23"/>
      <queryTableField id="24" name="YearNotes" tableColumnId="24"/>
      <queryTableField id="25" name="MatEditOnly" tableColumnId="25"/>
      <queryTableField id="27" name="FinancialYearCode" tableColumnId="27"/>
      <queryTableField id="28" name="Calculated" tableColumnId="28"/>
      <queryTableField id="29" name="YearValue" tableColumnId="29"/>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ExternalData_6" connectionId="12" xr16:uid="{E946E2DB-2C2A-4BF6-AF82-4BA897848270}" autoFormatId="16" applyNumberFormats="0" applyBorderFormats="0" applyFontFormats="0" applyPatternFormats="0" applyAlignmentFormats="0" applyWidthHeightFormats="0">
  <queryTableRefresh nextId="14">
    <queryTableFields count="7">
      <queryTableField id="7" name="SchoolCode" tableColumnId="7"/>
      <queryTableField id="4" name="UKPRN" tableColumnId="4"/>
      <queryTableField id="3" name="Name" tableColumnId="3"/>
      <queryTableField id="1" name="Funding Type" tableColumnId="1"/>
      <queryTableField id="5" name="File Name" tableColumnId="5"/>
      <queryTableField id="2" name="Amount" tableColumnId="2"/>
      <queryTableField id="13" name="Mapped Description" tableColumnId="8"/>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ExternalData_7" connectionId="13" xr16:uid="{1115F775-BDA2-4405-B30F-8019F6500489}" autoFormatId="16" applyNumberFormats="0" applyBorderFormats="0" applyFontFormats="0" applyPatternFormats="0" applyAlignmentFormats="0" applyWidthHeightFormats="0">
  <queryTableRefresh nextId="38">
    <queryTableFields count="10">
      <queryTableField id="35" name="SchoolCode" tableColumnId="10"/>
      <queryTableField id="28" name="SchoolName" tableColumnId="6"/>
      <queryTableField id="29" name="URN" tableColumnId="7"/>
      <queryTableField id="33" name="Header - Cleaned" tableColumnId="9"/>
      <queryTableField id="25" name="Header" tableColumnId="1"/>
      <queryTableField id="2" name="Rate" tableColumnId="2"/>
      <queryTableField id="3" name="Weighting" tableColumnId="3"/>
      <queryTableField id="4" name="Pupils" tableColumnId="4"/>
      <queryTableField id="26" name="Total" tableColumnId="5"/>
      <queryTableField id="30" name="Mapped Description" tableColumnId="8"/>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ExternalData_5" connectionId="17" xr16:uid="{813F0680-A06D-4962-8120-CD482A6A0E06}" autoFormatId="16" applyNumberFormats="0" applyBorderFormats="0" applyFontFormats="0" applyPatternFormats="0" applyAlignmentFormats="0" applyWidthHeightFormats="0">
  <queryTableRefresh nextId="71" unboundColumnsLeft="24">
    <queryTableFields count="39">
      <queryTableField id="41" dataBound="0" tableColumnId="1"/>
      <queryTableField id="40" dataBound="0" tableColumnId="2"/>
      <queryTableField id="39" dataBound="0" tableColumnId="3"/>
      <queryTableField id="38" dataBound="0" tableColumnId="4"/>
      <queryTableField id="37" dataBound="0" tableColumnId="5"/>
      <queryTableField id="36" dataBound="0" tableColumnId="6"/>
      <queryTableField id="35" dataBound="0" tableColumnId="7"/>
      <queryTableField id="34" dataBound="0" tableColumnId="8"/>
      <queryTableField id="33" dataBound="0" tableColumnId="9"/>
      <queryTableField id="32" dataBound="0" tableColumnId="10"/>
      <queryTableField id="31" dataBound="0" tableColumnId="11"/>
      <queryTableField id="48" dataBound="0" tableColumnId="33"/>
      <queryTableField id="47" dataBound="0" tableColumnId="32"/>
      <queryTableField id="46" dataBound="0" tableColumnId="31"/>
      <queryTableField id="45" dataBound="0" tableColumnId="30"/>
      <queryTableField id="49" dataBound="0" tableColumnId="34"/>
      <queryTableField id="54" dataBound="0" tableColumnId="39"/>
      <queryTableField id="52" dataBound="0" tableColumnId="37"/>
      <queryTableField id="51" dataBound="0" tableColumnId="36"/>
      <queryTableField id="53" dataBound="0" tableColumnId="38"/>
      <queryTableField id="50" dataBound="0" tableColumnId="35"/>
      <queryTableField id="55" dataBound="0" tableColumnId="40"/>
      <queryTableField id="30" dataBound="0" tableColumnId="12"/>
      <queryTableField id="42" dataBound="0" tableColumnId="25"/>
      <queryTableField id="13" name="ScenarioCode" tableColumnId="13"/>
      <queryTableField id="14" name="FinanceCode" tableColumnId="14"/>
      <queryTableField id="15" name="SchoolCode" tableColumnId="15"/>
      <queryTableField id="16" name="LedgerCode" tableColumnId="16"/>
      <queryTableField id="17" name="DepartmentCode" tableColumnId="17"/>
      <queryTableField id="18" name="FundCode" tableColumnId="18"/>
      <queryTableField id="20" name="MonthProfileCode" tableColumnId="20"/>
      <queryTableField id="68" name="CalculatorCode" tableColumnId="29"/>
      <queryTableField id="21" name="Description" tableColumnId="21"/>
      <queryTableField id="22" name="Notes" tableColumnId="22"/>
      <queryTableField id="23" name="YearNotes" tableColumnId="23"/>
      <queryTableField id="24" name="MatEditOnly" tableColumnId="24"/>
      <queryTableField id="26" name="FinancialYearCode" tableColumnId="26"/>
      <queryTableField id="27" name="Calculated" tableColumnId="27"/>
      <queryTableField id="28" name="YearValue" tableColumnId="28"/>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ExternalData_3" connectionId="22" xr16:uid="{22FCF633-1741-4EC0-9524-F22836B4C5A9}" autoFormatId="16" applyNumberFormats="0" applyBorderFormats="0" applyFontFormats="0" applyPatternFormats="0" applyAlignmentFormats="0" applyWidthHeightFormats="0">
  <queryTableRefresh nextId="55" unboundColumnsLeft="24">
    <queryTableFields count="39">
      <queryTableField id="42" dataBound="0" tableColumnId="1"/>
      <queryTableField id="41" dataBound="0" tableColumnId="2"/>
      <queryTableField id="40" dataBound="0" tableColumnId="3"/>
      <queryTableField id="39" dataBound="0" tableColumnId="4"/>
      <queryTableField id="38" dataBound="0" tableColumnId="5"/>
      <queryTableField id="37" dataBound="0" tableColumnId="6"/>
      <queryTableField id="36" dataBound="0" tableColumnId="7"/>
      <queryTableField id="35" dataBound="0" tableColumnId="8"/>
      <queryTableField id="34" dataBound="0" tableColumnId="9"/>
      <queryTableField id="33" dataBound="0" tableColumnId="10"/>
      <queryTableField id="32" dataBound="0" tableColumnId="11"/>
      <queryTableField id="47" dataBound="0" tableColumnId="32"/>
      <queryTableField id="46" dataBound="0" tableColumnId="31"/>
      <queryTableField id="45" dataBound="0" tableColumnId="30"/>
      <queryTableField id="44" dataBound="0" tableColumnId="26"/>
      <queryTableField id="48" dataBound="0" tableColumnId="33"/>
      <queryTableField id="53" dataBound="0" tableColumnId="38"/>
      <queryTableField id="51" dataBound="0" tableColumnId="36"/>
      <queryTableField id="50" dataBound="0" tableColumnId="35"/>
      <queryTableField id="52" dataBound="0" tableColumnId="37"/>
      <queryTableField id="49" dataBound="0" tableColumnId="34"/>
      <queryTableField id="54" dataBound="0" tableColumnId="39"/>
      <queryTableField id="31" dataBound="0" tableColumnId="12"/>
      <queryTableField id="43" dataBound="0" tableColumnId="13"/>
      <queryTableField id="14" name="ScenarioCode" tableColumnId="14"/>
      <queryTableField id="15" name="FinanceCode" tableColumnId="15"/>
      <queryTableField id="16" name="SchoolCode" tableColumnId="16"/>
      <queryTableField id="17" name="LedgerCode" tableColumnId="17"/>
      <queryTableField id="18" name="DepartmentCode" tableColumnId="18"/>
      <queryTableField id="19" name="FundCode" tableColumnId="19"/>
      <queryTableField id="20" name="CalculatorCode" tableColumnId="20"/>
      <queryTableField id="21" name="MonthProfileCode" tableColumnId="21"/>
      <queryTableField id="22" name="Description" tableColumnId="22"/>
      <queryTableField id="23" name="Notes" tableColumnId="23"/>
      <queryTableField id="24" name="YearNotes" tableColumnId="24"/>
      <queryTableField id="25" name="MatEditOnly" tableColumnId="25"/>
      <queryTableField id="27" name="FinancialYearCode" tableColumnId="27"/>
      <queryTableField id="28" name="Calculated" tableColumnId="28"/>
      <queryTableField id="29" name="YearValue" tableColumnId="29"/>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ExternalData_4" connectionId="7" xr16:uid="{212B729C-06CE-4D36-928C-4DCE3C0A673B}" autoFormatId="16" applyNumberFormats="0" applyBorderFormats="0" applyFontFormats="0" applyPatternFormats="0" applyAlignmentFormats="0" applyWidthHeightFormats="0">
  <queryTableRefresh nextId="56" unboundColumnsLeft="25">
    <queryTableFields count="40">
      <queryTableField id="42" dataBound="0" tableColumnId="1"/>
      <queryTableField id="41" dataBound="0" tableColumnId="2"/>
      <queryTableField id="40" dataBound="0" tableColumnId="3"/>
      <queryTableField id="39" dataBound="0" tableColumnId="4"/>
      <queryTableField id="38" dataBound="0" tableColumnId="5"/>
      <queryTableField id="37" dataBound="0" tableColumnId="6"/>
      <queryTableField id="36" dataBound="0" tableColumnId="7"/>
      <queryTableField id="35" dataBound="0" tableColumnId="8"/>
      <queryTableField id="34" dataBound="0" tableColumnId="9"/>
      <queryTableField id="33" dataBound="0" tableColumnId="10"/>
      <queryTableField id="32" dataBound="0" tableColumnId="11"/>
      <queryTableField id="48" dataBound="0" tableColumnId="33"/>
      <queryTableField id="47" dataBound="0" tableColumnId="32"/>
      <queryTableField id="46" dataBound="0" tableColumnId="31"/>
      <queryTableField id="45" dataBound="0" tableColumnId="30"/>
      <queryTableField id="49" dataBound="0" tableColumnId="34"/>
      <queryTableField id="54" dataBound="0" tableColumnId="39"/>
      <queryTableField id="52" dataBound="0" tableColumnId="37"/>
      <queryTableField id="51" dataBound="0" tableColumnId="36"/>
      <queryTableField id="53" dataBound="0" tableColumnId="38"/>
      <queryTableField id="50" dataBound="0" tableColumnId="35"/>
      <queryTableField id="55" dataBound="0" tableColumnId="40"/>
      <queryTableField id="31" dataBound="0" tableColumnId="12"/>
      <queryTableField id="43" dataBound="0" tableColumnId="13"/>
      <queryTableField id="44" dataBound="0" tableColumnId="26"/>
      <queryTableField id="14" name="ScenarioCode" tableColumnId="14"/>
      <queryTableField id="15" name="FinanceCode" tableColumnId="15"/>
      <queryTableField id="16" name="SchoolCode" tableColumnId="16"/>
      <queryTableField id="17" name="LedgerCode" tableColumnId="17"/>
      <queryTableField id="18" name="DepartmentCode" tableColumnId="18"/>
      <queryTableField id="19" name="FundCode" tableColumnId="19"/>
      <queryTableField id="20" name="CalculatorCode" tableColumnId="20"/>
      <queryTableField id="21" name="MonthProfileCode" tableColumnId="21"/>
      <queryTableField id="22" name="Description" tableColumnId="22"/>
      <queryTableField id="23" name="Notes" tableColumnId="23"/>
      <queryTableField id="24" name="YearNotes" tableColumnId="24"/>
      <queryTableField id="25" name="MatEditOnly" tableColumnId="25"/>
      <queryTableField id="27" name="FinancialYearCode" tableColumnId="27"/>
      <queryTableField id="28" name="Calculated" tableColumnId="28"/>
      <queryTableField id="29" name="YearValue" tableColumnId="29"/>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ExternalData_6" connectionId="2" xr16:uid="{928FA325-5715-4405-89E6-0F2A4484F70F}" autoFormatId="16" applyNumberFormats="0" applyBorderFormats="0" applyFontFormats="0" applyPatternFormats="0" applyAlignmentFormats="0" applyWidthHeightFormats="0">
  <queryTableRefresh nextId="54" unboundColumnsLeft="24">
    <queryTableFields count="39">
      <queryTableField id="40" dataBound="0" tableColumnId="1"/>
      <queryTableField id="39" dataBound="0" tableColumnId="2"/>
      <queryTableField id="38" dataBound="0" tableColumnId="3"/>
      <queryTableField id="37" dataBound="0" tableColumnId="4"/>
      <queryTableField id="36" dataBound="0" tableColumnId="5"/>
      <queryTableField id="35" dataBound="0" tableColumnId="6"/>
      <queryTableField id="34" dataBound="0" tableColumnId="7"/>
      <queryTableField id="46" dataBound="0" tableColumnId="32"/>
      <queryTableField id="33" dataBound="0" tableColumnId="8"/>
      <queryTableField id="32" dataBound="0" tableColumnId="9"/>
      <queryTableField id="31" dataBound="0" tableColumnId="10"/>
      <queryTableField id="45" dataBound="0" tableColumnId="31"/>
      <queryTableField id="44" dataBound="0" tableColumnId="30"/>
      <queryTableField id="43" dataBound="0" tableColumnId="29"/>
      <queryTableField id="42" dataBound="0" tableColumnId="25"/>
      <queryTableField id="47" dataBound="0" tableColumnId="33"/>
      <queryTableField id="52" dataBound="0" tableColumnId="38"/>
      <queryTableField id="50" dataBound="0" tableColumnId="36"/>
      <queryTableField id="49" dataBound="0" tableColumnId="35"/>
      <queryTableField id="51" dataBound="0" tableColumnId="37"/>
      <queryTableField id="48" dataBound="0" tableColumnId="34"/>
      <queryTableField id="53" dataBound="0" tableColumnId="39"/>
      <queryTableField id="30" dataBound="0" tableColumnId="11"/>
      <queryTableField id="41" dataBound="0" tableColumnId="12"/>
      <queryTableField id="13" name="ScenarioCode" tableColumnId="13"/>
      <queryTableField id="14" name="FinanceCode" tableColumnId="14"/>
      <queryTableField id="15" name="SchoolCode" tableColumnId="15"/>
      <queryTableField id="16" name="LedgerCode" tableColumnId="16"/>
      <queryTableField id="17" name="DepartmentCode" tableColumnId="17"/>
      <queryTableField id="18" name="FundCode" tableColumnId="18"/>
      <queryTableField id="19" name="CalculatorCode" tableColumnId="19"/>
      <queryTableField id="20" name="MonthProfileCode" tableColumnId="20"/>
      <queryTableField id="21" name="Description" tableColumnId="21"/>
      <queryTableField id="22" name="Notes" tableColumnId="22"/>
      <queryTableField id="23" name="YearNotes" tableColumnId="23"/>
      <queryTableField id="24" name="MatEditOnly" tableColumnId="24"/>
      <queryTableField id="26" name="FinancialYearCode" tableColumnId="26"/>
      <queryTableField id="27" name="Calculated" tableColumnId="27"/>
      <queryTableField id="28" name="YearValue" tableColumnId="28"/>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ExternalData_1" connectionId="14" xr16:uid="{7E15556B-5D9A-46E9-B390-CEA09263885C}" autoFormatId="16" applyNumberFormats="0" applyBorderFormats="0" applyFontFormats="0" applyPatternFormats="0" applyAlignmentFormats="0" applyWidthHeightFormats="0">
  <queryTableRefresh nextId="18" unboundColumnsRight="2">
    <queryTableFields count="8">
      <queryTableField id="1" name="SchoolCode" tableColumnId="1"/>
      <queryTableField id="2" name="Title" tableColumnId="2"/>
      <queryTableField id="17" dataBound="0" tableColumnId="3"/>
      <queryTableField id="4" name="Pre 16" tableColumnId="4"/>
      <queryTableField id="5" name="SFS" tableColumnId="5"/>
      <queryTableField id="6" name="Post 16" tableColumnId="6"/>
      <queryTableField id="7" dataBound="0" tableColumnId="7"/>
      <queryTableField id="8" dataBound="0" tableColumnId="8"/>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ExternalData_1" connectionId="35" xr16:uid="{A86350A1-109C-4E84-8FF3-3EBBC9C7788C}" autoFormatId="16" applyNumberFormats="0" applyBorderFormats="0" applyFontFormats="0" applyPatternFormats="0" applyAlignmentFormats="0" applyWidthHeightFormats="0">
  <queryTableRefresh nextId="94">
    <queryTableFields count="25">
      <queryTableField id="10" name="Will Import if 0" tableColumnId="10"/>
      <queryTableField id="1" name="Tab" tableColumnId="1"/>
      <queryTableField id="13" name="ScenarioCode" tableColumnId="13"/>
      <queryTableField id="14" name="FinanceCode" tableColumnId="14"/>
      <queryTableField id="15" name="SchoolCode" tableColumnId="15"/>
      <queryTableField id="16" name="LedgerCode" tableColumnId="16"/>
      <queryTableField id="17" name="DepartmentCode" tableColumnId="17"/>
      <queryTableField id="18" name="FundCode" tableColumnId="18"/>
      <queryTableField id="19" name="CalculatorCode" tableColumnId="19"/>
      <queryTableField id="20" name="MonthProfileCode" tableColumnId="20"/>
      <queryTableField id="21" name="StaffMemberCode" tableColumnId="21"/>
      <queryTableField id="22" name="StaffRoleCode" tableColumnId="22"/>
      <queryTableField id="33" name="ContractReference" tableColumnId="33"/>
      <queryTableField id="23" name="ContractDateFrom" tableColumnId="23"/>
      <queryTableField id="24" name="ContractDateTo" tableColumnId="24"/>
      <queryTableField id="25" name="Description" tableColumnId="25"/>
      <queryTableField id="26" name="Notes" tableColumnId="26"/>
      <queryTableField id="84" name="MAT edit only required" tableColumnId="9"/>
      <queryTableField id="76" name="FundCode Issue" tableColumnId="3"/>
      <queryTableField id="85" name="Space in ScenarioCode" tableColumnId="11"/>
      <queryTableField id="36" name="YearNotes" tableColumnId="34"/>
      <queryTableField id="27" name="MatEditOnly" tableColumnId="27"/>
      <queryTableField id="29" name="FinancialYearCode" tableColumnId="29"/>
      <queryTableField id="30" name="Calculated" tableColumnId="30"/>
      <queryTableField id="31" name="YearValue" tableColumnId="31"/>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ExternalData_3" connectionId="41" xr16:uid="{58D908BC-4815-4022-A5EA-7042F85FFDC4}" autoFormatId="16" applyNumberFormats="0" applyBorderFormats="0" applyFontFormats="0" applyPatternFormats="0" applyAlignmentFormats="0" applyWidthHeightFormats="0">
  <queryTableRefresh nextId="22">
    <queryTableFields count="18">
      <queryTableField id="20" name="Approvers" tableColumnId="17"/>
      <queryTableField id="1" name="Tab" tableColumnId="1"/>
      <queryTableField id="2" name="ScenarioCode" tableColumnId="2"/>
      <queryTableField id="3" name="FinanceCode" tableColumnId="3"/>
      <queryTableField id="4" name="SchoolCode" tableColumnId="4"/>
      <queryTableField id="5" name="LedgerCode" tableColumnId="5"/>
      <queryTableField id="6" name="DepartmentCode" tableColumnId="6"/>
      <queryTableField id="7" name="FundCode" tableColumnId="7"/>
      <queryTableField id="8" name="CalculatorCode" tableColumnId="8"/>
      <queryTableField id="9" name="MonthProfileCode" tableColumnId="9"/>
      <queryTableField id="10" name="StaffMemberCode" tableColumnId="10"/>
      <queryTableField id="11" name="StaffRoleCode" tableColumnId="11"/>
      <queryTableField id="18" name="ContractReference" tableColumnId="18"/>
      <queryTableField id="12" name="ContractDateFrom" tableColumnId="12"/>
      <queryTableField id="13" name="ContractDateTo" tableColumnId="13"/>
      <queryTableField id="14" name="Description" tableColumnId="14"/>
      <queryTableField id="15" name="Notes" tableColumnId="15"/>
      <queryTableField id="16" name="MatEditOnly" tableColumnId="16"/>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ExternalData_5" connectionId="43" xr16:uid="{71F08C75-C425-4C21-AB30-7B20DF49C0AA}" autoFormatId="16" applyNumberFormats="0" applyBorderFormats="0" applyFontFormats="0" applyPatternFormats="0" applyAlignmentFormats="0" applyWidthHeightFormats="0">
  <queryTableRefresh nextId="13">
    <queryTableFields count="11">
      <queryTableField id="1" name="Tab" tableColumnId="1"/>
      <queryTableField id="2" name="ScenarioCode" tableColumnId="2"/>
      <queryTableField id="3" name="FinanceCode" tableColumnId="3"/>
      <queryTableField id="4" name="SchoolCode" tableColumnId="4"/>
      <queryTableField id="5" name="LedgerCode" tableColumnId="5"/>
      <queryTableField id="6" name="DepartmentCode" tableColumnId="6"/>
      <queryTableField id="7" name="Description" tableColumnId="7"/>
      <queryTableField id="11" name="YearNotes" tableColumnId="11"/>
      <queryTableField id="8" name="FinancialYearCode" tableColumnId="8"/>
      <queryTableField id="9" name="Calculated" tableColumnId="9"/>
      <queryTableField id="10" name="YearValue" tableColumnId="10"/>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ExternalData_6" connectionId="28" xr16:uid="{9BD0C0D8-E8BD-4306-A64F-7185EB8A7984}" autoFormatId="16" applyNumberFormats="0" applyBorderFormats="0" applyFontFormats="0" applyPatternFormats="0" applyAlignmentFormats="0" applyWidthHeightFormats="0">
  <queryTableRefresh nextId="17">
    <queryTableFields count="16">
      <queryTableField id="1" name="ScenarioCode" tableColumnId="1"/>
      <queryTableField id="2" name="FinanceCode" tableColumnId="2"/>
      <queryTableField id="3" name="SchoolCode" tableColumnId="3"/>
      <queryTableField id="4" name="LedgerCode" tableColumnId="4"/>
      <queryTableField id="5" name="DepartmentCode" tableColumnId="5"/>
      <queryTableField id="6" name="FundCode" tableColumnId="6"/>
      <queryTableField id="7" name="CalculatorCode" tableColumnId="7"/>
      <queryTableField id="8" name="MonthProfileCode" tableColumnId="8"/>
      <queryTableField id="9" name="Description" tableColumnId="9"/>
      <queryTableField id="10" name="Notes" tableColumnId="10"/>
      <queryTableField id="11" name="YearNotes" tableColumnId="11"/>
      <queryTableField id="12" name="MatEditOnly" tableColumnId="12"/>
      <queryTableField id="13" name="FinancialYearCode" tableColumnId="13"/>
      <queryTableField id="14" name="Calculated" tableColumnId="14"/>
      <queryTableField id="15" name="YearValue" tableColumnId="15"/>
      <queryTableField id="16" name="Tab" tableColumnId="16"/>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ExternalData_1" connectionId="26" xr16:uid="{F4BE8408-2DDB-4534-B57B-1FC7F0090784}" autoFormatId="16" applyNumberFormats="0" applyBorderFormats="0" applyFontFormats="0" applyPatternFormats="0" applyAlignmentFormats="0" applyWidthHeightFormats="0">
  <queryTableRefresh nextId="22">
    <queryTableFields count="10">
      <queryTableField id="1" name="ScenarioCode" tableColumnId="1"/>
      <queryTableField id="2" name="FinanceCode" tableColumnId="2"/>
      <queryTableField id="3" name="SchoolCode" tableColumnId="3"/>
      <queryTableField id="4" name="LedgerCode" tableColumnId="4"/>
      <queryTableField id="5" name="DepartmentCode" tableColumnId="5"/>
      <queryTableField id="9" name="Description" tableColumnId="9"/>
      <queryTableField id="13" name="FinancialYearCode" tableColumnId="13"/>
      <queryTableField id="14" name="Calculated" tableColumnId="14"/>
      <queryTableField id="20" name="FinancialMonthIndexNumber" tableColumnId="18"/>
      <queryTableField id="21" name="MonthValue" tableColumnId="19"/>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22.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23.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_rels/table24.xml.rels><?xml version="1.0" encoding="UTF-8" standalone="yes"?>
<Relationships xmlns="http://schemas.openxmlformats.org/package/2006/relationships"><Relationship Id="rId1" Type="http://schemas.openxmlformats.org/officeDocument/2006/relationships/queryTable" Target="../queryTables/queryTable17.xml"/></Relationships>
</file>

<file path=xl/tables/_rels/table25.xml.rels><?xml version="1.0" encoding="UTF-8" standalone="yes"?>
<Relationships xmlns="http://schemas.openxmlformats.org/package/2006/relationships"><Relationship Id="rId1" Type="http://schemas.openxmlformats.org/officeDocument/2006/relationships/queryTable" Target="../queryTables/queryTable18.xml"/></Relationships>
</file>

<file path=xl/tables/_rels/table29.xml.rels><?xml version="1.0" encoding="UTF-8" standalone="yes"?>
<Relationships xmlns="http://schemas.openxmlformats.org/package/2006/relationships"><Relationship Id="rId1" Type="http://schemas.openxmlformats.org/officeDocument/2006/relationships/queryTable" Target="../queryTables/queryTable19.xml"/></Relationships>
</file>

<file path=xl/tables/_rels/table30.xml.rels><?xml version="1.0" encoding="UTF-8" standalone="yes"?>
<Relationships xmlns="http://schemas.openxmlformats.org/package/2006/relationships"><Relationship Id="rId1" Type="http://schemas.openxmlformats.org/officeDocument/2006/relationships/queryTable" Target="../queryTables/queryTable20.xml"/></Relationships>
</file>

<file path=xl/tables/_rels/table32.xml.rels><?xml version="1.0" encoding="UTF-8" standalone="yes"?>
<Relationships xmlns="http://schemas.openxmlformats.org/package/2006/relationships"><Relationship Id="rId1" Type="http://schemas.openxmlformats.org/officeDocument/2006/relationships/queryTable" Target="../queryTables/queryTable21.xml"/></Relationships>
</file>

<file path=xl/tables/_rels/table33.xml.rels><?xml version="1.0" encoding="UTF-8" standalone="yes"?>
<Relationships xmlns="http://schemas.openxmlformats.org/package/2006/relationships"><Relationship Id="rId1" Type="http://schemas.openxmlformats.org/officeDocument/2006/relationships/queryTable" Target="../queryTables/queryTable22.xml"/></Relationships>
</file>

<file path=xl/tables/_rels/table34.xml.rels><?xml version="1.0" encoding="UTF-8" standalone="yes"?>
<Relationships xmlns="http://schemas.openxmlformats.org/package/2006/relationships"><Relationship Id="rId1" Type="http://schemas.openxmlformats.org/officeDocument/2006/relationships/queryTable" Target="../queryTables/queryTable23.xml"/></Relationships>
</file>

<file path=xl/tables/_rels/table35.xml.rels><?xml version="1.0" encoding="UTF-8" standalone="yes"?>
<Relationships xmlns="http://schemas.openxmlformats.org/package/2006/relationships"><Relationship Id="rId1" Type="http://schemas.openxmlformats.org/officeDocument/2006/relationships/queryTable" Target="../queryTables/queryTable24.xml"/></Relationships>
</file>

<file path=xl/tables/_rels/table37.xml.rels><?xml version="1.0" encoding="UTF-8" standalone="yes"?>
<Relationships xmlns="http://schemas.openxmlformats.org/package/2006/relationships"><Relationship Id="rId1" Type="http://schemas.openxmlformats.org/officeDocument/2006/relationships/queryTable" Target="../queryTables/queryTable25.xml"/></Relationships>
</file>

<file path=xl/tables/_rels/table39.xml.rels><?xml version="1.0" encoding="UTF-8" standalone="yes"?>
<Relationships xmlns="http://schemas.openxmlformats.org/package/2006/relationships"><Relationship Id="rId1" Type="http://schemas.openxmlformats.org/officeDocument/2006/relationships/queryTable" Target="../queryTables/queryTable26.xml"/></Relationships>
</file>

<file path=xl/tables/_rels/table43.xml.rels><?xml version="1.0" encoding="UTF-8" standalone="yes"?>
<Relationships xmlns="http://schemas.openxmlformats.org/package/2006/relationships"><Relationship Id="rId1" Type="http://schemas.openxmlformats.org/officeDocument/2006/relationships/queryTable" Target="../queryTables/queryTable27.xml"/></Relationships>
</file>

<file path=xl/tables/_rels/table44.xml.rels><?xml version="1.0" encoding="UTF-8" standalone="yes"?>
<Relationships xmlns="http://schemas.openxmlformats.org/package/2006/relationships"><Relationship Id="rId1" Type="http://schemas.openxmlformats.org/officeDocument/2006/relationships/queryTable" Target="../queryTables/queryTable28.xml"/></Relationships>
</file>

<file path=xl/tables/_rels/table45.xml.rels><?xml version="1.0" encoding="UTF-8" standalone="yes"?>
<Relationships xmlns="http://schemas.openxmlformats.org/package/2006/relationships"><Relationship Id="rId1" Type="http://schemas.openxmlformats.org/officeDocument/2006/relationships/queryTable" Target="../queryTables/queryTable29.xml"/></Relationships>
</file>

<file path=xl/tables/_rels/table46.xml.rels><?xml version="1.0" encoding="UTF-8" standalone="yes"?>
<Relationships xmlns="http://schemas.openxmlformats.org/package/2006/relationships"><Relationship Id="rId1" Type="http://schemas.openxmlformats.org/officeDocument/2006/relationships/queryTable" Target="../queryTables/queryTable30.xml"/></Relationships>
</file>

<file path=xl/tables/_rels/table47.xml.rels><?xml version="1.0" encoding="UTF-8" standalone="yes"?>
<Relationships xmlns="http://schemas.openxmlformats.org/package/2006/relationships"><Relationship Id="rId1" Type="http://schemas.openxmlformats.org/officeDocument/2006/relationships/queryTable" Target="../queryTables/queryTable31.xml"/></Relationships>
</file>

<file path=xl/tables/_rels/table48.xml.rels><?xml version="1.0" encoding="UTF-8" standalone="yes"?>
<Relationships xmlns="http://schemas.openxmlformats.org/package/2006/relationships"><Relationship Id="rId1" Type="http://schemas.openxmlformats.org/officeDocument/2006/relationships/queryTable" Target="../queryTables/queryTable3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F47053-6C01-4B92-A575-AF956E45C248}" name="Parameters" displayName="Parameters" ref="A3:B12" totalsRowShown="0" headerRowDxfId="674" dataDxfId="672" headerRowBorderDxfId="673" tableBorderDxfId="671" totalsRowBorderDxfId="670">
  <autoFilter ref="A3:B12" xr:uid="{FF707411-DA8B-47BB-B300-C95A49C58187}"/>
  <tableColumns count="2">
    <tableColumn id="1" xr3:uid="{960B41EB-C810-4B07-A40C-FF149CB5EAF9}" name="Parameter" dataDxfId="669"/>
    <tableColumn id="2" xr3:uid="{B2510555-4901-4AE3-9C63-5DE1F9D5E624}" name="Value" dataDxfId="668"/>
  </tableColumns>
  <tableStyleInfo name="IMP Colours"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1F5FF24D-D2C1-4559-B728-E9336855F0F4}" name="S3_CHECKLIST" displayName="S3_CHECKLIST" ref="A2:C43" totalsRowShown="0" headerRowDxfId="667" dataDxfId="666">
  <autoFilter ref="A2:C43" xr:uid="{1F5FF24D-D2C1-4559-B728-E9336855F0F4}"/>
  <tableColumns count="3">
    <tableColumn id="1" xr3:uid="{2E92A014-A18A-4550-8856-1CD62EB5ADD4}" name="Task" dataDxfId="665"/>
    <tableColumn id="2" xr3:uid="{DECC2C51-7DA8-4863-B076-C7E67E5B0C38}" name="Note" dataDxfId="664"/>
    <tableColumn id="3" xr3:uid="{8DBBBA9A-A9EB-434B-88E3-F9F36B493AE7}" name="Check" dataDxfId="663"/>
  </tableColumns>
  <tableStyleInfo name="IMP Colours"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412151A4-276A-4AB5-A1FA-1A7E8DD3661B}" name="Table_System_Grouping_Codes" displayName="Table_System_Grouping_Codes" ref="A1:C509" tableType="queryTable" totalsRowShown="0">
  <autoFilter ref="A1:C509" xr:uid="{412151A4-276A-4AB5-A1FA-1A7E8DD3661B}"/>
  <sortState xmlns:xlrd2="http://schemas.microsoft.com/office/spreadsheetml/2017/richdata2" ref="A2:C509">
    <sortCondition ref="A1:A509"/>
  </sortState>
  <tableColumns count="3">
    <tableColumn id="1" xr3:uid="{35E2E077-5462-401E-88A5-F2C8893EE22C}" uniqueName="1" name="groupingCodeCode" queryTableFieldId="1"/>
    <tableColumn id="2" xr3:uid="{86D6DBF6-2928-4B7B-8FE4-954F7E030524}" uniqueName="2" name="title" queryTableFieldId="2"/>
    <tableColumn id="3" xr3:uid="{A277FF64-DB00-4C25-89D3-44E54802D69B}" uniqueName="3" name="groupingCodeTypeCode" queryTableFieldId="3"/>
  </tableColumns>
  <tableStyleInfo name="IMP Colours"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628A74DB-5F1F-4E60-9573-98A7EE325AB1}" name="FUNDS" displayName="FUNDS" ref="A2:I3" tableType="queryTable" totalsRowShown="0">
  <autoFilter ref="A2:I3" xr:uid="{628A74DB-5F1F-4E60-9573-98A7EE325AB1}"/>
  <tableColumns count="9">
    <tableColumn id="4" xr3:uid="{647F978B-BE36-4061-A030-B103E2685958}" uniqueName="4" name="Code is Blank" queryTableFieldId="9" dataDxfId="662">
      <calculatedColumnFormula>ISBLANK(FUNDS[[#This Row],[FundCode]])</calculatedColumnFormula>
    </tableColumn>
    <tableColumn id="5" xr3:uid="{5D0E8387-01D7-49A7-84D8-6AF09536DEF1}" uniqueName="5" name="Title is Blank" queryTableFieldId="8" dataDxfId="661">
      <calculatedColumnFormula>ISBLANK(FUNDS[[#This Row],[Title]])</calculatedColumnFormula>
    </tableColumn>
    <tableColumn id="6" xr3:uid="{F983AB0A-FD27-4D65-B8E3-D42548D18A42}" uniqueName="6" name="Enabled is blank" queryTableFieldId="7" dataDxfId="660">
      <calculatedColumnFormula>ISBLANK(FUNDS[[#This Row],[FundEnabled]])</calculatedColumnFormula>
    </tableColumn>
    <tableColumn id="7" xr3:uid="{30642E4E-19DB-47DB-9C9B-01757BA2C06F}" uniqueName="7" name="Code length Check" queryTableFieldId="6" dataDxfId="659">
      <calculatedColumnFormula>IF(LEN(FUNDS[[#This Row],[FundCode]])&lt;100,FALSE,TRUE)</calculatedColumnFormula>
    </tableColumn>
    <tableColumn id="8" xr3:uid="{E47D063C-1C03-4C6C-98D0-B9439374892B}" uniqueName="8" name="Title length check" queryTableFieldId="5" dataDxfId="658">
      <calculatedColumnFormula>IF(LEN(FUNDS[[#This Row],[Title]])&lt;100,FALSE,TRUE)</calculatedColumnFormula>
    </tableColumn>
    <tableColumn id="9" xr3:uid="{AFC46404-DA30-4501-8434-064A520BC077}" uniqueName="9" name="Will import if zero" queryTableFieldId="4" dataDxfId="657">
      <calculatedColumnFormula>COUNTIF(FUNDS[[#This Row],[Code is Blank]:[Title length check]],"TRUE")</calculatedColumnFormula>
    </tableColumn>
    <tableColumn id="1" xr3:uid="{E156D2D5-1052-4B5F-846C-B445CC2184B6}" uniqueName="1" name="FundCode" queryTableFieldId="1"/>
    <tableColumn id="2" xr3:uid="{CB11BC76-922D-492F-BA89-3543291A47C7}" uniqueName="2" name="Title" queryTableFieldId="2"/>
    <tableColumn id="3" xr3:uid="{AF400F7D-A0D4-48C4-A222-8E7457F12ABF}" uniqueName="3" name="FundEnabled" queryTableFieldId="3"/>
  </tableColumns>
  <tableStyleInfo name="IMP Colours"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25837ED4-9BBD-448F-8389-6F2C0EB1A8A5}" name="ACTIVITIES" displayName="ACTIVITIES" ref="A2:I3" tableType="queryTable" totalsRowShown="0">
  <autoFilter ref="A2:I3" xr:uid="{25837ED4-9BBD-448F-8389-6F2C0EB1A8A5}"/>
  <tableColumns count="9">
    <tableColumn id="4" xr3:uid="{7CDD8B48-B434-474E-879B-516E284A8B2E}" uniqueName="4" name="Code is Blank" queryTableFieldId="9" dataDxfId="656">
      <calculatedColumnFormula>ISBLANK(ACTIVITIES[[#This Row],[ActivityCode]])</calculatedColumnFormula>
    </tableColumn>
    <tableColumn id="5" xr3:uid="{BD61AED6-FC41-4685-A7C3-DB3ABC03C856}" uniqueName="5" name="Title is Blank" queryTableFieldId="8" dataDxfId="655">
      <calculatedColumnFormula>ISBLANK(ACTIVITIES[[#This Row],[Title]])</calculatedColumnFormula>
    </tableColumn>
    <tableColumn id="6" xr3:uid="{B60F7B7C-2CA0-4C3B-B2DF-B3273DC7F6AF}" uniqueName="6" name="Code length Check" queryTableFieldId="7" dataDxfId="654">
      <calculatedColumnFormula>IF(LEN(ACTIVITIES[[#This Row],[ActivityCode]])&lt;100,FALSE,TRUE)</calculatedColumnFormula>
    </tableColumn>
    <tableColumn id="7" xr3:uid="{55E4BDBA-6619-4F7B-AF41-46689D83B4DD}" uniqueName="7" name="Title length check" queryTableFieldId="6" dataDxfId="653">
      <calculatedColumnFormula>IF(LEN(ACTIVITIES[[#This Row],[Title]])&lt;100,FALSE,TRUE)</calculatedColumnFormula>
    </tableColumn>
    <tableColumn id="8" xr3:uid="{0B6CE84D-9F69-4BFC-B3CA-A6F9261AD649}" uniqueName="8" name="Enabled is blank" queryTableFieldId="5" dataDxfId="652">
      <calculatedColumnFormula>ISBLANK(ACTIVITIES[[#This Row],[ActivityEnabled]])</calculatedColumnFormula>
    </tableColumn>
    <tableColumn id="9" xr3:uid="{062053E7-3660-4E04-95A2-21EA06B90805}" uniqueName="9" name="Will import if zero" queryTableFieldId="4" dataDxfId="651">
      <calculatedColumnFormula>COUNTIF(ACTIVITIES[[#This Row],[Code is Blank]:[Enabled is blank]],"TRUE")</calculatedColumnFormula>
    </tableColumn>
    <tableColumn id="1" xr3:uid="{7C73D07C-1D13-4F75-A5CF-135A9854B0B7}" uniqueName="1" name="ActivityCode" queryTableFieldId="1"/>
    <tableColumn id="2" xr3:uid="{1AA29A2C-BB7A-4DC8-8A20-39AFF66C2919}" uniqueName="2" name="Title" queryTableFieldId="2"/>
    <tableColumn id="3" xr3:uid="{9883E666-4643-479B-8A31-2D66EB67792B}" uniqueName="3" name="ActivityEnabled" queryTableFieldId="3"/>
  </tableColumns>
  <tableStyleInfo name="IMP Colours"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EF902390-CCF2-4FC5-859A-F225440DAF7D}" name="LEDGER" displayName="LEDGER" ref="A2:I4" tableType="queryTable" totalsRowShown="0">
  <autoFilter ref="A2:I4" xr:uid="{EF902390-CCF2-4FC5-859A-F225440DAF7D}"/>
  <tableColumns count="9">
    <tableColumn id="4" xr3:uid="{C10F86A7-9CE2-4F8B-863D-A534EFDCEE84}" uniqueName="4" name="Code is Blank" queryTableFieldId="9" dataDxfId="650">
      <calculatedColumnFormula>ISBLANK(LEDGER[[#This Row],[LedgerCode]])</calculatedColumnFormula>
    </tableColumn>
    <tableColumn id="5" xr3:uid="{D94E4388-71D3-4CC5-9BC9-F032A05A388A}" uniqueName="5" name="Title is Blank" queryTableFieldId="8" dataDxfId="649">
      <calculatedColumnFormula>ISBLANK(LEDGER[[#This Row],[Title]])</calculatedColumnFormula>
    </tableColumn>
    <tableColumn id="6" xr3:uid="{00F26016-1ED8-4D0C-8C47-E3BB03CC2277}" uniqueName="6" name="Enabled is blank" queryTableFieldId="7" dataDxfId="648">
      <calculatedColumnFormula>ISBLANK(LEDGER[[#This Row],[LedgerEnabled]])</calculatedColumnFormula>
    </tableColumn>
    <tableColumn id="7" xr3:uid="{35ECD76D-4E61-4C67-BC8D-CC178483A3B1}" uniqueName="7" name="Code length Check" queryTableFieldId="6" dataDxfId="647">
      <calculatedColumnFormula>IF(LEN(LEDGER[[#This Row],[LedgerCode]])&lt;100,FALSE,TRUE)</calculatedColumnFormula>
    </tableColumn>
    <tableColumn id="8" xr3:uid="{70CCF9B5-E5C5-474A-BAB0-075E564EACD2}" uniqueName="8" name="Title length check" queryTableFieldId="5" dataDxfId="646">
      <calculatedColumnFormula>IF(LEN(LEDGER[[#This Row],[Title]])&lt;100,FALSE,TRUE)</calculatedColumnFormula>
    </tableColumn>
    <tableColumn id="9" xr3:uid="{B6C18D03-1643-4C5F-BAF7-D3D3E9D22C87}" uniqueName="9" name="Will import if zero" queryTableFieldId="4" dataDxfId="645">
      <calculatedColumnFormula>COUNTIF(LEDGER[[#This Row],[Code is Blank]:[Title length check]],"TRUE")</calculatedColumnFormula>
    </tableColumn>
    <tableColumn id="1" xr3:uid="{518B2D95-8D38-4545-A30F-6AEF038A81BA}" uniqueName="1" name="LedgerCode" queryTableFieldId="1"/>
    <tableColumn id="2" xr3:uid="{DEEC53FF-C771-49CB-8D74-05A656797458}" uniqueName="2" name="Title" queryTableFieldId="2"/>
    <tableColumn id="3" xr3:uid="{0760B237-AAD2-448D-8A26-518869C21DAF}" uniqueName="3" name="LedgerEnabled" queryTableFieldId="3"/>
  </tableColumns>
  <tableStyleInfo name="IMP Colours"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A8457A34-A884-4953-8AA7-40579E5582A2}" name="CUSTGROUP" displayName="CUSTGROUP" ref="A2:I3" tableType="queryTable" totalsRowShown="0">
  <autoFilter ref="A2:I3" xr:uid="{A8457A34-A884-4953-8AA7-40579E5582A2}"/>
  <tableColumns count="9">
    <tableColumn id="4" xr3:uid="{12C317C9-6E03-4CF5-AFA7-0D02001D7944}" uniqueName="4" name="Code is Blank" queryTableFieldId="9" dataDxfId="644">
      <calculatedColumnFormula>ISBLANK(CUSTGROUP[[#This Row],[CustomGroupingCode]])</calculatedColumnFormula>
    </tableColumn>
    <tableColumn id="5" xr3:uid="{AEDB652A-DB8F-4A23-A4DF-0C65420D8BF6}" uniqueName="5" name="Title is Blank" queryTableFieldId="8" dataDxfId="643">
      <calculatedColumnFormula>ISBLANK(CUSTGROUP[[#This Row],[Title]])</calculatedColumnFormula>
    </tableColumn>
    <tableColumn id="6" xr3:uid="{2C1AC003-83E5-4398-98A0-26CF3F165F35}" uniqueName="6" name="Code length Check" queryTableFieldId="7" dataDxfId="642">
      <calculatedColumnFormula>IF(LEN(CUSTGROUP[[#This Row],[CustomGroupingCode]])&lt;100,FALSE,TRUE)</calculatedColumnFormula>
    </tableColumn>
    <tableColumn id="7" xr3:uid="{18AD517B-E758-4337-9D22-ACBA9AC17522}" uniqueName="7" name="Title length check" queryTableFieldId="6" dataDxfId="641">
      <calculatedColumnFormula>IF(LEN(CUSTGROUP[[#This Row],[Title]])&lt;100,FALSE,TRUE)</calculatedColumnFormula>
    </tableColumn>
    <tableColumn id="8" xr3:uid="{BE3D45A9-C0CE-48DB-B1F5-5AA11C310951}" uniqueName="8" name="Enabled is blank" queryTableFieldId="5" dataDxfId="640">
      <calculatedColumnFormula>ISBLANK(CUSTGROUP[[#This Row],[CustomGroupingEnabled]])</calculatedColumnFormula>
    </tableColumn>
    <tableColumn id="9" xr3:uid="{D5B4E649-D7A4-45EB-A8C7-6CD91591FFEF}" uniqueName="9" name="Will import if zero" queryTableFieldId="4" dataDxfId="639">
      <calculatedColumnFormula>COUNTIF(CUSTGROUP[[#This Row],[Code is Blank]:[Enabled is blank]],"TRUE")</calculatedColumnFormula>
    </tableColumn>
    <tableColumn id="1" xr3:uid="{14275754-FAAE-4DE6-92A6-BF507984C28A}" uniqueName="1" name="CustomGroupingCode" queryTableFieldId="1"/>
    <tableColumn id="2" xr3:uid="{6390F261-4E8E-4541-9749-ED0A888B9D84}" uniqueName="2" name="Title" queryTableFieldId="2"/>
    <tableColumn id="3" xr3:uid="{74566CF9-868B-4E5D-BD49-AC9B629E005C}" uniqueName="3" name="CustomGroupingEnabled" queryTableFieldId="3"/>
  </tableColumns>
  <tableStyleInfo name="IMP Colours"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5002DEF9-E9B4-4163-B362-24E4DB4CD841}" name="SCHHUB" displayName="SCHHUB" ref="A2:I3" tableType="queryTable" totalsRowShown="0">
  <autoFilter ref="A2:I3" xr:uid="{5002DEF9-E9B4-4163-B362-24E4DB4CD841}"/>
  <tableColumns count="9">
    <tableColumn id="4" xr3:uid="{02F65753-DABD-4D58-87E6-B5D18BEA3476}" uniqueName="4" name="Code is Blank" queryTableFieldId="9" dataDxfId="638">
      <calculatedColumnFormula>ISBLANK(SCHHUB[[#This Row],[SchoolHubCode]])</calculatedColumnFormula>
    </tableColumn>
    <tableColumn id="5" xr3:uid="{3B9E484B-1D29-4EA7-8190-FD80B439522B}" uniqueName="5" name="Title is Blank" queryTableFieldId="8" dataDxfId="637">
      <calculatedColumnFormula>ISBLANK(SCHHUB[[#This Row],[Title]])</calculatedColumnFormula>
    </tableColumn>
    <tableColumn id="6" xr3:uid="{8C27303F-6ADF-47C2-B743-E0FDE499BC43}" uniqueName="6" name="Enabled is blank" queryTableFieldId="7" dataDxfId="636">
      <calculatedColumnFormula>ISBLANK(SCHHUB[[#This Row],[SchoolHubEnabled]])</calculatedColumnFormula>
    </tableColumn>
    <tableColumn id="7" xr3:uid="{B8158E2E-B416-4FB8-9B95-A0378916903A}" uniqueName="7" name="Code length Check" queryTableFieldId="6" dataDxfId="635">
      <calculatedColumnFormula>IF(LEN(SCHHUB[[#This Row],[SchoolHubCode]])&lt;100,FALSE,TRUE)</calculatedColumnFormula>
    </tableColumn>
    <tableColumn id="8" xr3:uid="{77414025-9772-468D-AB17-B79D47951E19}" uniqueName="8" name="Title length check" queryTableFieldId="5" dataDxfId="634">
      <calculatedColumnFormula>IF(LEN(SCHHUB[[#This Row],[Title]])&lt;100,FALSE,TRUE)</calculatedColumnFormula>
    </tableColumn>
    <tableColumn id="9" xr3:uid="{66B4917E-B133-4D9E-BE12-9C9E6C24E257}" uniqueName="9" name="Will import if zero" queryTableFieldId="4" dataDxfId="633">
      <calculatedColumnFormula>COUNTIF(SCHHUB[[#This Row],[Code is Blank]:[Title length check]],"TRUE")</calculatedColumnFormula>
    </tableColumn>
    <tableColumn id="1" xr3:uid="{8B1F8CD9-4A53-4721-965F-7EE364DD1394}" uniqueName="1" name="SchoolHubCode" queryTableFieldId="1"/>
    <tableColumn id="2" xr3:uid="{5D7BC313-9C75-4355-932A-22C2906DBAB4}" uniqueName="2" name="Title" queryTableFieldId="2"/>
    <tableColumn id="3" xr3:uid="{AD5FC7CC-0DD6-4005-8CD9-A5A78B130130}" uniqueName="3" name="SchoolHubEnabled" queryTableFieldId="3"/>
  </tableColumns>
  <tableStyleInfo name="IMP Colours"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1556302A-49CB-47FF-A632-0F55B919CDFB}" name="SCHTYPE" displayName="SCHTYPE" ref="A2:I5" tableType="queryTable" totalsRowShown="0">
  <autoFilter ref="A2:I5" xr:uid="{1556302A-49CB-47FF-A632-0F55B919CDFB}"/>
  <tableColumns count="9">
    <tableColumn id="4" xr3:uid="{6A488160-C17A-4D43-B8EA-C0C408825DE3}" uniqueName="4" name="Code is Blank" queryTableFieldId="9" dataDxfId="632">
      <calculatedColumnFormula>ISBLANK(SCHTYPE[[#This Row],[SchoolTypeCode]])</calculatedColumnFormula>
    </tableColumn>
    <tableColumn id="5" xr3:uid="{7B92682D-AF3F-4CD0-AE97-8C283BC91F8F}" uniqueName="5" name="Title is Blank" queryTableFieldId="8" dataDxfId="631">
      <calculatedColumnFormula>ISBLANK(SCHTYPE[[#This Row],[Title]])</calculatedColumnFormula>
    </tableColumn>
    <tableColumn id="6" xr3:uid="{A84C6580-5776-4A44-8438-A67A2DA53780}" uniqueName="6" name="Enabled is blank" queryTableFieldId="7" dataDxfId="630">
      <calculatedColumnFormula>ISBLANK(SCHTYPE[[#This Row],[SchoolTypeEnabled]])</calculatedColumnFormula>
    </tableColumn>
    <tableColumn id="7" xr3:uid="{1056107B-D0B7-4812-AFB7-EB79F2D1498B}" uniqueName="7" name="Code length Check" queryTableFieldId="6" dataDxfId="629">
      <calculatedColumnFormula>IF(LEN(SCHTYPE[[#This Row],[SchoolTypeCode]])&lt;100,FALSE,TRUE)</calculatedColumnFormula>
    </tableColumn>
    <tableColumn id="8" xr3:uid="{425ABFA5-3A59-48D5-BB79-548460D3FD56}" uniqueName="8" name="Title length check" queryTableFieldId="5" dataDxfId="628">
      <calculatedColumnFormula>IF(LEN(SCHTYPE[[#This Row],[Title]])&lt;100,FALSE,TRUE)</calculatedColumnFormula>
    </tableColumn>
    <tableColumn id="9" xr3:uid="{D34AE081-97ED-412C-A22C-7AFB28710FAB}" uniqueName="9" name="Will import if zero" queryTableFieldId="4" dataDxfId="627">
      <calculatedColumnFormula>COUNTIF(SCHTYPE[[#This Row],[Code is Blank]:[Title length check]],"TRUE")</calculatedColumnFormula>
    </tableColumn>
    <tableColumn id="1" xr3:uid="{7842E380-E131-4B7F-8170-271BCCC24EB8}" uniqueName="1" name="SchoolTypeCode" queryTableFieldId="1"/>
    <tableColumn id="2" xr3:uid="{AA7F1AA8-7130-498D-BE9F-0CF9D0D41923}" uniqueName="2" name="Title" queryTableFieldId="2"/>
    <tableColumn id="3" xr3:uid="{6A57B9A4-F04F-4A9C-9AEE-5C8A98B20DE2}" uniqueName="3" name="SchoolTypeEnabled" queryTableFieldId="3"/>
  </tableColumns>
  <tableStyleInfo name="IMP Colours"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B805B82-6B3B-4C6C-BF54-7270C6C60CBD}" name="LA" displayName="LA" ref="A2:K5" tableType="queryTable" totalsRowShown="0">
  <autoFilter ref="A2:K5" xr:uid="{8B805B82-6B3B-4C6C-BF54-7270C6C60CBD}"/>
  <tableColumns count="11">
    <tableColumn id="4" xr3:uid="{DF106622-FD24-44B4-BB0A-42A1ADB1715A}" uniqueName="4" name="Code is Blank" queryTableFieldId="10" dataDxfId="626">
      <calculatedColumnFormula>ISBLANK(LA[[#This Row],[SchoolLocalAuthorityCode]])</calculatedColumnFormula>
    </tableColumn>
    <tableColumn id="5" xr3:uid="{E74A6B55-BE53-4A8B-BC42-457F8DE960D0}" uniqueName="5" name="Title is Blank" queryTableFieldId="9" dataDxfId="625">
      <calculatedColumnFormula>ISBLANK(LA[[#This Row],[Title]])</calculatedColumnFormula>
    </tableColumn>
    <tableColumn id="6" xr3:uid="{D00632DA-E487-4580-A10E-33CE679A64E4}" uniqueName="6" name="Enabled is blank" queryTableFieldId="8" dataDxfId="624">
      <calculatedColumnFormula>ISBLANK(LA[[#This Row],[SchoolLocalAuthorityEnabled]])</calculatedColumnFormula>
    </tableColumn>
    <tableColumn id="7" xr3:uid="{A7D1E8ED-3176-45E8-8061-7CADD28DD92A}" uniqueName="7" name="Code length Check" queryTableFieldId="7" dataDxfId="623">
      <calculatedColumnFormula>IF(LEN(LA[[#This Row],[SchoolLocalAuthorityCode]])&lt;100,FALSE,TRUE)</calculatedColumnFormula>
    </tableColumn>
    <tableColumn id="8" xr3:uid="{41F10A8F-DB15-4E59-BCE9-5F92DA42195A}" uniqueName="8" name="Title length check" queryTableFieldId="6" dataDxfId="622">
      <calculatedColumnFormula>IF(LEN(LA[[#This Row],[Title]])&lt;100,FALSE,TRUE)</calculatedColumnFormula>
    </tableColumn>
    <tableColumn id="9" xr3:uid="{1538572D-BD22-42F8-B8D3-D3CA8C25863E}" uniqueName="9" name="Will import if zero" queryTableFieldId="5" dataDxfId="621">
      <calculatedColumnFormula>COUNTIF(LA[[#This Row],[Code is Blank]:[Title length check]],"TRUE")</calculatedColumnFormula>
    </tableColumn>
    <tableColumn id="10" xr3:uid="{721E897E-C437-48B9-877C-0EF487A496E3}" uniqueName="10" name="LA" queryTableFieldId="4" dataDxfId="620">
      <calculatedColumnFormula>IF(LA[[#This Row],[SchoolLocalAuthorityCode]]="DEFAULT","LA0","LA"&amp;LA[[#This Row],[Index]])</calculatedColumnFormula>
    </tableColumn>
    <tableColumn id="1" xr3:uid="{534C042C-AC51-4246-AD89-F16809405488}" uniqueName="1" name="SchoolLocalAuthorityCode" queryTableFieldId="1"/>
    <tableColumn id="2" xr3:uid="{1A80A7DD-9BEA-4D92-BF3C-39B54D216A9C}" uniqueName="2" name="Title" queryTableFieldId="2"/>
    <tableColumn id="3" xr3:uid="{252D77CD-12FB-4E13-9350-0FB7033C1DED}" uniqueName="3" name="SchoolLocalAuthorityEnabled" queryTableFieldId="3"/>
    <tableColumn id="12" xr3:uid="{7CAA1325-B56C-4FBB-8B74-EEB66AD44F4D}" uniqueName="12" name="Index" queryTableFieldId="12" dataDxfId="619"/>
  </tableColumns>
  <tableStyleInfo name="IMP Colours"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A4D9A0A-C321-435D-90CD-5A1046B42701}" name="SCHOOLS" displayName="SCHOOLS" ref="A2:R12" tableType="queryTable" totalsRowShown="0" dataDxfId="618">
  <autoFilter ref="A2:R12" xr:uid="{DA4D9A0A-C321-435D-90CD-5A1046B42701}"/>
  <sortState xmlns:xlrd2="http://schemas.microsoft.com/office/spreadsheetml/2017/richdata2" ref="A3:R12">
    <sortCondition ref="M2:M12"/>
  </sortState>
  <tableColumns count="18">
    <tableColumn id="10" xr3:uid="{6D02F427-3A5A-4FFB-9F84-CD2D8EA8AF30}" uniqueName="10" name="HubIssues" queryTableFieldId="18" dataDxfId="617">
      <calculatedColumnFormula>IF(COUNTIF(SCHHUB[SchoolHubCode],SCHOOLS[[#This Row],[SchoolHub]])&gt;0,0,1)</calculatedColumnFormula>
    </tableColumn>
    <tableColumn id="11" xr3:uid="{6FD66D5F-A2BC-466B-BC54-EC83A835BE36}" uniqueName="11" name="SchTypeIssue" queryTableFieldId="17" dataDxfId="616">
      <calculatedColumnFormula>IF(COUNTIF(SCHTYPE[SchoolTypeCode],SCHOOLS[[#This Row],[SchoolType]])&gt;0,0,1)</calculatedColumnFormula>
    </tableColumn>
    <tableColumn id="12" xr3:uid="{400A36F7-94B4-4C69-874C-1D68E1C1313D}" uniqueName="12" name="Blank Data" queryTableFieldId="16" dataDxfId="615">
      <calculatedColumnFormula>COUNTBLANK(SCHOOLS[[#This Row],[SchoolLocalAuthority]:[SchoolEnabled]])</calculatedColumnFormula>
    </tableColumn>
    <tableColumn id="13" xr3:uid="{E6FAD7A2-7CAD-49F8-A13E-EB1C8B3C1B14}" uniqueName="13" name="Code length Check" queryTableFieldId="15" dataDxfId="614">
      <calculatedColumnFormula>IF(LEN(SCHOOLS[[#This Row],[SchoolCode]])&lt;100,0,1)</calculatedColumnFormula>
    </tableColumn>
    <tableColumn id="14" xr3:uid="{74141D7C-56A1-4608-95B9-BE9746A9E7A3}" uniqueName="14" name="Title length check" queryTableFieldId="14" dataDxfId="613">
      <calculatedColumnFormula>IF(LEN(SCHOOLS[[#This Row],[Title]])&lt;100,0,1)</calculatedColumnFormula>
    </tableColumn>
    <tableColumn id="15" xr3:uid="{3A31FD40-8800-41E8-B982-266097A7E444}" uniqueName="15" name="Will Import if 0" queryTableFieldId="13" dataDxfId="612">
      <calculatedColumnFormula>SUM(SCHOOLS[[#This Row],[HubIssues]:[Title length check]])</calculatedColumnFormula>
    </tableColumn>
    <tableColumn id="16" xr3:uid="{4333A5BD-2318-41E1-AFD1-6AEA2A123A04}" uniqueName="16" name="London Weighting Type" queryTableFieldId="12" dataDxfId="611"/>
    <tableColumn id="17" xr3:uid="{3C53C0BC-2E08-430A-B384-03DE84CF99D4}" uniqueName="17" name="LA" queryTableFieldId="11" dataDxfId="610">
      <calculatedColumnFormula>_xlfn.XLOOKUP(SCHOOLS[[#This Row],[SchoolLocalAuthority]],LA[SchoolLocalAuthorityCode],LA[LA])</calculatedColumnFormula>
    </tableColumn>
    <tableColumn id="18" xr3:uid="{060FEE50-B822-46A6-B33C-B650752CB461}" uniqueName="18" name="School Type" queryTableFieldId="10" dataDxfId="609"/>
    <tableColumn id="1" xr3:uid="{D937B452-6F4C-4640-B873-A1EF9A6DF0E6}" uniqueName="1" name="SchoolLocalAuthority" queryTableFieldId="1" dataDxfId="608"/>
    <tableColumn id="2" xr3:uid="{93901B63-C4EA-4B93-90F6-02A51668A358}" uniqueName="2" name="SchoolCode" queryTableFieldId="2" dataDxfId="607"/>
    <tableColumn id="3" xr3:uid="{AE22671B-DD90-475C-AA05-D5BDCBE34B45}" uniqueName="3" name="SchoolHub" queryTableFieldId="3" dataDxfId="606"/>
    <tableColumn id="4" xr3:uid="{4589ECD5-F6EA-4D25-B2B1-78E7C6384875}" uniqueName="4" name="SchoolType" queryTableFieldId="4" dataDxfId="605"/>
    <tableColumn id="5" xr3:uid="{744DE506-056E-4707-B5EE-79AA8D4F9395}" uniqueName="5" name="Title" queryTableFieldId="5" dataDxfId="604"/>
    <tableColumn id="6" xr3:uid="{972EDCC8-8A54-439A-BC97-7910ABCEA38F}" uniqueName="6" name="LondonWeighting" queryTableFieldId="6" dataDxfId="603"/>
    <tableColumn id="7" xr3:uid="{4588E49D-4AB3-4D87-ADBF-29E021026DC0}" uniqueName="7" name="UniqueReferenceNumber" queryTableFieldId="7" dataDxfId="602"/>
    <tableColumn id="8" xr3:uid="{751D36F7-7B06-489C-83A4-942B9541124F}" uniqueName="8" name="TeachingHours" queryTableFieldId="8" dataDxfId="601"/>
    <tableColumn id="9" xr3:uid="{81FD026F-DABB-4430-B816-24488A3566C7}" uniqueName="9" name="SchoolEnabled" queryTableFieldId="9" dataDxfId="600"/>
  </tableColumns>
  <tableStyleInfo name="IMP Colours"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D09D5FF4-DBBC-467A-8456-D9FBA836DE96}" name="DEPTS" displayName="DEPTS" ref="A2:O3" tableType="queryTable" insertRow="1" totalsRowShown="0">
  <autoFilter ref="A2:O3" xr:uid="{D09D5FF4-DBBC-467A-8456-D9FBA836DE96}"/>
  <tableColumns count="15">
    <tableColumn id="9" xr3:uid="{DFE458CE-568A-45EC-B15D-6C7068B42AB6}" uniqueName="9" name="FundIssue" queryTableFieldId="14" dataDxfId="599">
      <calculatedColumnFormula>IF(COUNTIF(FUNDS[FundCode],DEPTS[[#This Row],[FundCode]])&gt;0,0,1)</calculatedColumnFormula>
    </tableColumn>
    <tableColumn id="10" xr3:uid="{B45DD6AB-1F37-4C6C-AB49-DB646B64808D}" uniqueName="10" name="ActivityIssue" queryTableFieldId="13" dataDxfId="598">
      <calculatedColumnFormula>IF(COUNTIF(ACTIVITIES[ActivityCode],DEPTS[[#This Row],[ActivityCode]])&gt;0,0,1)</calculatedColumnFormula>
    </tableColumn>
    <tableColumn id="11" xr3:uid="{6FC28A5F-ACDB-4951-8190-F25B98F6C77A}" uniqueName="11" name="LedgerIssue" queryTableFieldId="12" dataDxfId="597">
      <calculatedColumnFormula>IF(COUNTIF(LEDGER[LedgerCode],DEPTS[[#This Row],[LedgerCode]])&gt;0,0,1)</calculatedColumnFormula>
    </tableColumn>
    <tableColumn id="12" xr3:uid="{DA72281A-94D6-4F05-A0E6-AA8DAD73E856}" uniqueName="12" name="Code length Check" queryTableFieldId="11" dataDxfId="596">
      <calculatedColumnFormula>IF(LEN(DEPTS[[#This Row],[DepartmentCode]])&lt;100,0,1)</calculatedColumnFormula>
    </tableColumn>
    <tableColumn id="13" xr3:uid="{0F57334E-8239-4F3C-99AC-B567FF1D4799}" uniqueName="13" name="Title length check" queryTableFieldId="10" dataDxfId="595">
      <calculatedColumnFormula>IF(LEN(DEPTS[[#This Row],[Title]])&lt;100,0,1)</calculatedColumnFormula>
    </tableColumn>
    <tableColumn id="14" xr3:uid="{C8EDC873-C5F9-45F6-8CDD-E640BE094B3E}" uniqueName="14" name="Will Import if 0" queryTableFieldId="9" dataDxfId="594">
      <calculatedColumnFormula>SUM(DEPTS[[#This Row],[FundIssue]:[Title length check]])</calculatedColumnFormula>
    </tableColumn>
    <tableColumn id="1" xr3:uid="{B6B165DA-4971-4E44-98A4-4B659B522007}" uniqueName="1" name="DepartmentCode" queryTableFieldId="1" dataDxfId="593"/>
    <tableColumn id="2" xr3:uid="{2951C894-F671-4804-959D-D98D617FADF5}" uniqueName="2" name="Title" queryTableFieldId="2" dataDxfId="592"/>
    <tableColumn id="3" xr3:uid="{BCAB7A2B-B2E4-4CFD-9707-B9A02631EDB9}" uniqueName="3" name="AvailableToAllSchools" queryTableFieldId="3"/>
    <tableColumn id="4" xr3:uid="{D9C002A7-80FC-401E-B62F-90DD5471CDCC}" uniqueName="4" name="SchoolCodes" queryTableFieldId="4"/>
    <tableColumn id="15" xr3:uid="{90019D96-4E56-4B9A-AF8F-02F55C74FDA3}" uniqueName="15" name="ActivityCode" queryTableFieldId="15"/>
    <tableColumn id="5" xr3:uid="{E0A5B7BC-C3C4-45DA-9BED-5871A2AE0C25}" uniqueName="5" name="FundCode" queryTableFieldId="5"/>
    <tableColumn id="6" xr3:uid="{5812642E-4C27-4F1C-B041-7852DD128697}" uniqueName="6" name="LedgerCode" queryTableFieldId="6"/>
    <tableColumn id="7" xr3:uid="{CBB8BF7D-EFBD-425C-807C-612ACC7CFAD6}" uniqueName="7" name="DefaultFinanceCode" queryTableFieldId="7"/>
    <tableColumn id="8" xr3:uid="{6AAC0BC2-32A6-4ED4-B029-CAD84872FBA9}" uniqueName="8" name="DepartmentEnabled" queryTableFieldId="8"/>
  </tableColumns>
  <tableStyleInfo name="IMP Colours"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5EA4D66C-4324-423A-9DFC-142E16EB7A64}" name="FC_import" displayName="FC_import" ref="A1:Z76" tableType="queryTable" totalsRowShown="0">
  <autoFilter ref="A1:Z76" xr:uid="{5EA4D66C-4324-423A-9DFC-142E16EB7A64}">
    <filterColumn colId="15">
      <filters>
        <filter val="FUNDING_PUPPREM_PRI"/>
        <filter val="PE_GRANT"/>
        <filter val="UIFSM_ANNUAL"/>
        <filter val="UIFSM_FIN"/>
        <filter val="UIFSM_PRO"/>
        <filter val="UIFSM_PRO_CALC"/>
      </filters>
    </filterColumn>
    <filterColumn colId="17">
      <filters>
        <filter val="FUNDING"/>
      </filters>
    </filterColumn>
  </autoFilter>
  <tableColumns count="26">
    <tableColumn id="21" xr3:uid="{C5707904-D1E1-4E49-AB2F-08B0C5CB8454}" uniqueName="21" name="LedgerIssue" queryTableFieldId="27" dataDxfId="591" totalsRowDxfId="590">
      <calculatedColumnFormula>IF(COUNTIF(LEDGER[LedgerCode],FC_import[[#This Row],[LedgerCode]])&gt;0,0,1)</calculatedColumnFormula>
    </tableColumn>
    <tableColumn id="22" xr3:uid="{896083E5-7E7B-459A-8470-4712D2B591AD}" uniqueName="22" name="GroupingCodeIssue" queryTableFieldId="26" dataDxfId="589" totalsRowDxfId="588">
      <calculatedColumnFormula>IF(COUNTIF(Table_System_Grouping_Codes[groupingCodeCode],FC_import[[#This Row],[GroupingCode]])&gt;0,0,1)</calculatedColumnFormula>
    </tableColumn>
    <tableColumn id="23" xr3:uid="{C1D22611-82E8-421C-857B-573AC2BC6DBA}" uniqueName="23" name="CustGrIssue" queryTableFieldId="25" dataDxfId="587" totalsRowDxfId="586">
      <calculatedColumnFormula>IF(COUNTIF(CUSTGROUP[CustomGroupingCode],FC_import[[#This Row],[CustomGrouping]])&gt;0,0,1)</calculatedColumnFormula>
    </tableColumn>
    <tableColumn id="24" xr3:uid="{9781541E-8551-4C97-9B05-A7E525481784}" uniqueName="24" name="SchCodeIssue" queryTableFieldId="24" dataDxfId="585" totalsRowDxfId="584">
      <calculatedColumnFormula array="1">IF(FC_import[[#This Row],[AvailableToAllSchools]]=TRUE,0,COUNTA(_xlfn.TEXTSPLIT(FC_import[[#This Row],[SchoolCodes]],",",,TRUE))-SUM(COUNTIF(SCHOOLS[SchoolCode],_xlfn.TEXTSPLIT(FC_import[[#This Row],[SchoolCodes]],",",,TRUE))))</calculatedColumnFormula>
    </tableColumn>
    <tableColumn id="25" xr3:uid="{849392A8-FB91-4A3B-808E-14B4F7AA7B17}" uniqueName="25" name="DupCode" queryTableFieldId="23" dataDxfId="583" totalsRowDxfId="582">
      <calculatedColumnFormula>IF(FC_import[[#This Row],[FinanceCodeTypeCode]]="BUDGET",0,COUNTIF(P:P,P2)-1)</calculatedColumnFormula>
    </tableColumn>
    <tableColumn id="26" xr3:uid="{571AC8CF-811C-48C7-9975-38D24DDDBA17}" uniqueName="26" name="DupDesc" queryTableFieldId="22" dataDxfId="581" totalsRowDxfId="580">
      <calculatedColumnFormula>IF(FC_import[[#This Row],[FinanceCodeTypeCode]]="BUDGET",0,COUNTIF(Q:Q,Q2)-1)</calculatedColumnFormula>
    </tableColumn>
    <tableColumn id="27" xr3:uid="{AD4EC197-9895-4E1A-8DC9-502C0D67BF3B}" uniqueName="27" name="FCTypeIss" queryTableFieldId="21" dataDxfId="579" totalsRowDxfId="578">
      <calculatedColumnFormula>COUNTIF(Lookup!$A$2:$A$7,R2)-1</calculatedColumnFormula>
    </tableColumn>
    <tableColumn id="1" xr3:uid="{28B7A64A-7397-4010-A2D7-D0FA18E4AB4B}" uniqueName="1" name="Code length Check" queryTableFieldId="32" dataDxfId="577" totalsRowDxfId="576">
      <calculatedColumnFormula>IF(LEN(FC_import[[#This Row],[FinanceCode]])&lt;100,0,1)</calculatedColumnFormula>
    </tableColumn>
    <tableColumn id="9" xr3:uid="{5049E3C5-E717-47F9-A3CE-9A56946738D8}" uniqueName="9" name="Code Blank Check" queryTableFieldId="42" dataDxfId="575" totalsRowDxfId="574">
      <calculatedColumnFormula>IF(TRIM(FC_import[[#This Row],[FinanceCode]])="",1,0)</calculatedColumnFormula>
    </tableColumn>
    <tableColumn id="8" xr3:uid="{B113A871-8AF7-43CF-8657-73FAFA00C50A}" uniqueName="8" name="Title Blank Check" queryTableFieldId="41" dataDxfId="573" totalsRowDxfId="572">
      <calculatedColumnFormula>IF(TRIM(FC_import[[#This Row],[Title]])="",1,0)</calculatedColumnFormula>
    </tableColumn>
    <tableColumn id="2" xr3:uid="{BE1FB2D1-2EFC-45B3-8B6B-3527E2424C71}" uniqueName="2" name="Title length check" queryTableFieldId="31" dataDxfId="571" totalsRowDxfId="570">
      <calculatedColumnFormula>IF(LEN(FC_import[[#This Row],[Title]])&lt;100,0,1)</calculatedColumnFormula>
    </tableColumn>
    <tableColumn id="5" xr3:uid="{A011DD98-6B82-404A-B647-BCE8674C5232}" uniqueName="5" name="Balance to Scenario Blank" queryTableFieldId="36" dataDxfId="569" totalsRowDxfId="568">
      <calculatedColumnFormula>IF(ISBLANK(FC_import[[#This Row],[BalanceToScenario]]),1,0)</calculatedColumnFormula>
    </tableColumn>
    <tableColumn id="6" xr3:uid="{2F1EE942-5953-4E23-BCBD-0486BD5893A9}" uniqueName="6" name="Code is Uppercase" queryTableFieldId="37" dataDxfId="567" totalsRowDxfId="566">
      <calculatedColumnFormula>IF(EXACT(FC_import[[#This Row],[FinanceCode]],UPPER(FC_import[[#This Row],[FinanceCode]])),0,1)</calculatedColumnFormula>
    </tableColumn>
    <tableColumn id="7" xr3:uid="{970233D1-1AA3-47D1-B8D3-317B9F8CC9BC}" uniqueName="7" name="Space in Code" queryTableFieldId="40" dataDxfId="565" totalsRowDxfId="564">
      <calculatedColumnFormula>IF(SUBSTITUTE(TEXT(FC_import[[#This Row],[FinanceCode]],10)," ","")=TEXT(FC_import[[#This Row],[FinanceCode]],10),0,1)</calculatedColumnFormula>
    </tableColumn>
    <tableColumn id="28" xr3:uid="{B59172EB-8A86-42ED-8898-B5731E0CA760}" uniqueName="28" name="Will Import if 0" queryTableFieldId="28" dataDxfId="563" totalsRowDxfId="562">
      <calculatedColumnFormula>SUM(FC_import[[#This Row],[LedgerIssue]:[CustGrIssue]],FC_import[[#This Row],[DupCode]:[Space in Code]])</calculatedColumnFormula>
    </tableColumn>
    <tableColumn id="10" xr3:uid="{604576A9-ADEE-4A45-9551-1FCD43FF2093}" uniqueName="10" name="FinanceCode" queryTableFieldId="10" totalsRowDxfId="561"/>
    <tableColumn id="11" xr3:uid="{60E576A9-13DD-4C6F-8375-364C77FB858C}" uniqueName="11" name="Title" queryTableFieldId="11" totalsRowDxfId="560"/>
    <tableColumn id="12" xr3:uid="{53595452-B315-456E-A326-2D025B8E7E4D}" uniqueName="12" name="FinanceCodeTypeCode" queryTableFieldId="12"/>
    <tableColumn id="3" xr3:uid="{12D9A24D-34E5-469A-96E9-FCC519D2C80C}" uniqueName="3" name="GroupingCode" queryTableFieldId="33"/>
    <tableColumn id="14" xr3:uid="{2754AD65-F567-4F8E-B75A-0211DEBE173C}" uniqueName="14" name="CustomGrouping" queryTableFieldId="14"/>
    <tableColumn id="15" xr3:uid="{543F87E6-38A8-4361-AE11-AB0A492E20F6}" uniqueName="15" name="LedgerCode" queryTableFieldId="15"/>
    <tableColumn id="16" xr3:uid="{695218EB-45DA-4AFF-8875-C647C48F2DBB}" uniqueName="16" name="AvailableToAllSchools" queryTableFieldId="16"/>
    <tableColumn id="17" xr3:uid="{B6E5FA43-530B-4171-84C8-A9B1F7C8AE14}" uniqueName="17" name="SchoolCodes" queryTableFieldId="17"/>
    <tableColumn id="18" xr3:uid="{F4DADB91-C0F7-4D55-860B-7EFD376636A0}" uniqueName="18" name="FinanceCodeEnabled" queryTableFieldId="18"/>
    <tableColumn id="4" xr3:uid="{8E4DF5B6-7717-4213-8C0D-6686678FB766}" uniqueName="4" name="BalanceToScenario" queryTableFieldId="35"/>
    <tableColumn id="13" xr3:uid="{4931211E-00AE-43CC-A5D7-19A022F6C54C}" uniqueName="13" name="IsBalanceSheet" queryTableFieldId="43"/>
  </tableColumns>
  <tableStyleInfo name="IMP Colours"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3A7D6F9-2D09-44F8-8DFE-8480BE3FDF45}" name="FC" displayName="FC" ref="A1:O667" totalsRowShown="0" headerRowDxfId="559">
  <autoFilter ref="A1:O667" xr:uid="{741E6E31-0837-4BFD-B681-C1236F866D53}"/>
  <tableColumns count="15">
    <tableColumn id="1" xr3:uid="{8854AE89-FB10-4D4D-AEB5-9174AB35B2A6}" name="School Type" dataDxfId="558"/>
    <tableColumn id="12" xr3:uid="{845DEE48-A977-4CFA-8849-5D6B26EE9983}" name="LA" dataDxfId="557"/>
    <tableColumn id="2" xr3:uid="{9DFA0C68-DFA5-4C65-9713-E17EE1196993}" name="London Weighting" dataDxfId="556"/>
    <tableColumn id="14" xr3:uid="{CCE5D13B-6CA7-4402-9054-83BB7F48C4C0}" name="Key stage" dataDxfId="555"/>
    <tableColumn id="3" xr3:uid="{3574C077-F902-49F8-9FA2-11704F23A8E7}" name="FinanceCode" dataDxfId="554"/>
    <tableColumn id="4" xr3:uid="{B482A557-E150-42A8-ABB9-8C6D6099D9D9}" name="Title" dataDxfId="553"/>
    <tableColumn id="5" xr3:uid="{D4AA4FCB-F789-4A66-9C82-853F32854274}" name="FinanceCodeTypeCode" dataDxfId="552"/>
    <tableColumn id="6" xr3:uid="{318443AD-3189-4CF1-BD43-288EB7F766E9}" name="GroupingCode2" dataDxfId="551"/>
    <tableColumn id="7" xr3:uid="{BC4F4DA7-0C8F-467A-9791-FFEFBBBBC6E8}" name="CustomGrouping" dataDxfId="550"/>
    <tableColumn id="8" xr3:uid="{A1897454-CCC4-48CF-B9E9-F384A8FE16E3}" name="LedgerCode" dataDxfId="549"/>
    <tableColumn id="9" xr3:uid="{4A9DD5B6-A19E-4BDA-88B6-ACCB944AE22B}" name="AvailableToAllSchools" dataDxfId="548"/>
    <tableColumn id="10" xr3:uid="{3C8E0225-6194-4FDB-BA8D-25096879C2AA}" name="SchoolCodes" dataDxfId="547"/>
    <tableColumn id="11" xr3:uid="{8571C8C1-FD71-466E-B0E0-919EB01A2452}" name="FinanceCodeEnabled" dataDxfId="546"/>
    <tableColumn id="15" xr3:uid="{1EE9EC0D-44E0-40DD-8E1D-C125F8681999}" name="BalanceToScenario" dataDxfId="545"/>
    <tableColumn id="13" xr3:uid="{67CB9608-DF66-462F-A9CB-7A4692113CFF}" name="IsBalanceSheet" dataDxfId="544"/>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D6B2A659-78D0-4096-9837-1A71A9D178CC}" name="FinanceCodesBudget" displayName="FinanceCodesBudget" ref="A2:W3" tableType="queryTable" insertRow="1" totalsRowShown="0">
  <autoFilter ref="A2:W3" xr:uid="{D6B2A659-78D0-4096-9837-1A71A9D178CC}"/>
  <tableColumns count="23">
    <tableColumn id="10" xr3:uid="{CDA9AD6C-036B-4F36-9DD7-F4F1F341B5AD}" uniqueName="10" name="LedgerIssue" queryTableFieldId="20" dataDxfId="543">
      <calculatedColumnFormula>IF(COUNTIF(LEDGER[LedgerCode],FinanceCodesBudget[[#This Row],[LedgerCode]])&gt;0,0,1)</calculatedColumnFormula>
    </tableColumn>
    <tableColumn id="11" xr3:uid="{D33D702C-BFC1-4F5F-9BAF-F642C437E26E}" uniqueName="11" name="GroupingCodeIssue" queryTableFieldId="19" dataDxfId="542">
      <calculatedColumnFormula>IF(COUNTIF(Table_System_Grouping_Codes[groupingCodeCode],FinanceCodesBudget[[#This Row],[GroupingCode]])&gt;0,0,1)</calculatedColumnFormula>
    </tableColumn>
    <tableColumn id="12" xr3:uid="{1557BCCB-7A1B-428D-9E3F-3A49BB60AE86}" uniqueName="12" name="CustGrIssue" queryTableFieldId="18" dataDxfId="541">
      <calculatedColumnFormula>IF(COUNTIF(CUSTGROUP[CustomGroupingCode],FinanceCodesBudget[[#This Row],[CustomGrouping]])&gt;0,0,1)</calculatedColumnFormula>
    </tableColumn>
    <tableColumn id="13" xr3:uid="{7AE22DFC-0727-4C7B-85C5-3AA72EAF619D}" uniqueName="13" name="SchCodeIssue" queryTableFieldId="17" dataDxfId="540">
      <calculatedColumnFormula array="1">IF(FinanceCodesBudget[[#This Row],[AvailableToAllSchools]]=TRUE,0,COUNTA(_xlfn.TEXTSPLIT(FinanceCodesBudget[[#This Row],[SchoolCodes]],",",,TRUE))-SUM(COUNTIF(SCHOOLS[SchoolCode],_xlfn.TEXTSPLIT(FinanceCodesBudget[[#This Row],[SchoolCodes]],",",,TRUE))))</calculatedColumnFormula>
    </tableColumn>
    <tableColumn id="14" xr3:uid="{39E65482-1CC4-49B2-9F1D-ECF729FE0B25}" uniqueName="14" name="DupCode" queryTableFieldId="16" dataDxfId="539">
      <calculatedColumnFormula>IF(FinanceCodesBudget[[#This Row],[FinanceCodeTypeCode]]="BUDGET",0,COUNTIF(FinanceCodesBudget[FinanceCode],FinanceCodesBudget[[#This Row],[FinanceCode]])-1)</calculatedColumnFormula>
    </tableColumn>
    <tableColumn id="15" xr3:uid="{9D2E531F-3CE1-4B35-B50F-598CD46D32C6}" uniqueName="15" name="DupDesc" queryTableFieldId="15" dataDxfId="538">
      <calculatedColumnFormula>IF(FinanceCodesBudget[[#This Row],[FinanceCodeTypeCode]]="BUDGET",0,COUNTIF(FinanceCodesBudget[Title],FinanceCodesBudget[[#This Row],[Title]])-1)</calculatedColumnFormula>
    </tableColumn>
    <tableColumn id="16" xr3:uid="{43EE3FCB-77E3-4A76-9BC6-982E972BB021}" uniqueName="16" name="FCTypeIss" queryTableFieldId="14" dataDxfId="537">
      <calculatedColumnFormula>COUNTIF(Lookup!$A$2:$A$7,FinanceCodesBudget[[#This Row],[FinanceCodeTypeCode]])-1</calculatedColumnFormula>
    </tableColumn>
    <tableColumn id="17" xr3:uid="{506FB20D-33DA-4FD6-99A4-47D5DBAB02C6}" uniqueName="17" name="Code length Check" queryTableFieldId="13" dataDxfId="536">
      <calculatedColumnFormula>IF(LEN(FinanceCodesBudget[[#This Row],[FinanceCode]])&lt;100,0,1)</calculatedColumnFormula>
    </tableColumn>
    <tableColumn id="22" xr3:uid="{08F658F0-1F84-4111-8779-C0BF5E066BC9}" uniqueName="22" name="Blank Code" queryTableFieldId="23" dataDxfId="535">
      <calculatedColumnFormula>IF(TRIM(FinanceCodesBudget[[#This Row],[FinanceCode]])="",1,0)</calculatedColumnFormula>
    </tableColumn>
    <tableColumn id="23" xr3:uid="{F9976122-70B2-4874-8F32-FD5AF35935E7}" uniqueName="23" name="Blank Title" queryTableFieldId="22" dataDxfId="534">
      <calculatedColumnFormula>IF(TRIM(FinanceCodesBudget[[#This Row],[Title]])="",1,0)</calculatedColumnFormula>
    </tableColumn>
    <tableColumn id="18" xr3:uid="{2CDC9D89-8BB4-44F7-80BA-A1A39CD5CAF2}" uniqueName="18" name="Title length check" queryTableFieldId="12" dataDxfId="533">
      <calculatedColumnFormula>IF(LEN(FinanceCodesBudget[[#This Row],[Title]])&lt;100,0,1)</calculatedColumnFormula>
    </tableColumn>
    <tableColumn id="19" xr3:uid="{3E73B000-6EF7-41ED-A062-22805F12D857}" uniqueName="19" name="Balance to Scenario Blank" queryTableFieldId="11" dataDxfId="532">
      <calculatedColumnFormula>IF(ISBLANK(FinanceCodesBudget[[#This Row],[BalanceToScenario]]),1,0)</calculatedColumnFormula>
    </tableColumn>
    <tableColumn id="20" xr3:uid="{C7DC1C77-208F-4CEE-8DDC-BE0A3817223D}" uniqueName="20" name="Will Import if 0" queryTableFieldId="10" dataDxfId="531">
      <calculatedColumnFormula>SUM(FinanceCodesBudget[[#This Row],[LedgerIssue]:[CustGrIssue]],FinanceCodesBudget[[#This Row],[DupCode]:[Balance to Scenario Blank]])</calculatedColumnFormula>
    </tableColumn>
    <tableColumn id="1" xr3:uid="{31C7ADA0-CCE6-4530-9E9B-ACC55AB8663F}" uniqueName="1" name="FinanceCode" queryTableFieldId="1"/>
    <tableColumn id="2" xr3:uid="{3A72B9F9-FD57-43D9-948F-E6BC4B74967B}" uniqueName="2" name="Title" queryTableFieldId="2"/>
    <tableColumn id="3" xr3:uid="{A7A01D9E-3E73-42B9-86AE-8F5FFFB2FF37}" uniqueName="3" name="GroupingCode" queryTableFieldId="3"/>
    <tableColumn id="4" xr3:uid="{81BF9725-73C0-471E-812D-902D9826937F}" uniqueName="4" name="CustomGrouping" queryTableFieldId="4"/>
    <tableColumn id="5" xr3:uid="{767AC536-0DD9-44D5-9692-F489CAB35D3C}" uniqueName="5" name="AvailableToAllSchools" queryTableFieldId="5"/>
    <tableColumn id="6" xr3:uid="{D3541680-7121-42E5-9C51-616B6B9220FF}" uniqueName="6" name="SchoolCodes" queryTableFieldId="6"/>
    <tableColumn id="7" xr3:uid="{C4F31748-474E-455C-BD48-6284C73115C8}" uniqueName="7" name="FinanceCodeTypeCode" queryTableFieldId="7"/>
    <tableColumn id="8" xr3:uid="{FBE34298-1482-4903-A38F-C3046F16D3F8}" uniqueName="8" name="LedgerCode" queryTableFieldId="8"/>
    <tableColumn id="9" xr3:uid="{28674020-9AEC-41F3-81E7-DC608C0B4931}" uniqueName="9" name="FinanceCodeEnabled" queryTableFieldId="9"/>
    <tableColumn id="21" xr3:uid="{B4741C31-4EF1-4AA0-B1DD-AB28391B478C}" uniqueName="21" name="BalanceToScenario" queryTableFieldId="21">
      <calculatedColumnFormula>FALSE</calculatedColumnFormula>
    </tableColumn>
  </tableColumns>
  <tableStyleInfo name="IMP Colours"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18E64CE-FD7E-452B-8244-7E1BD7D5AC67}" name="CALCS" displayName="CALCS" ref="A1:AN751" totalsRowShown="0" headerRowDxfId="530" dataDxfId="529">
  <autoFilter ref="A1:AN751" xr:uid="{118E64CE-FD7E-452B-8244-7E1BD7D5AC67}"/>
  <tableColumns count="40">
    <tableColumn id="2" xr3:uid="{F2F847C3-65FE-4626-A23E-081125881930}" name="School Type" dataDxfId="528"/>
    <tableColumn id="12" xr3:uid="{8E91802A-EC0C-4537-97CC-5FE6A97FC318}" name="London Weighting" dataDxfId="527"/>
    <tableColumn id="44" xr3:uid="{0DD67AAC-DD29-437A-AB23-984F95B5545C}" name="LA" dataDxfId="526"/>
    <tableColumn id="5" xr3:uid="{F377ACDE-45ED-4899-986D-CC183A188295}" name="KeyStage" dataDxfId="525"/>
    <tableColumn id="3" xr3:uid="{3E0F8D0F-272A-4A5F-BA47-81EDD23589ED}" name="CalculatorCode" dataDxfId="524"/>
    <tableColumn id="4" xr3:uid="{9D17A073-E457-49C2-800B-1CA0C62A9145}" name="Title" dataDxfId="523"/>
    <tableColumn id="6" xr3:uid="{FC94EE29-B50C-4251-9566-E3111B08FE50}" name="SourceSelectAllSchools" dataDxfId="522"/>
    <tableColumn id="7" xr3:uid="{1012B055-8000-4F87-A227-5A32785900AD}" name="SourceSelectAllFunds" dataDxfId="521"/>
    <tableColumn id="8" xr3:uid="{30A30099-388A-47FA-9B06-316D02CC3B46}" name="SourceSelectAllDepartments" dataDxfId="520"/>
    <tableColumn id="9" xr3:uid="{70B327FE-FFCF-4CD6-941E-DA1E30275FCB}" name="SourceDepartmentsAcrossLedgers" dataDxfId="519"/>
    <tableColumn id="10" xr3:uid="{83DB0BA3-0B96-43D7-B6D0-2C443F23188F}" name="SourceIncludeScenarioRow" dataDxfId="518"/>
    <tableColumn id="11" xr3:uid="{5718289A-741A-4576-808E-2436A66AA3F6}" name="SourceUseLastYear" dataDxfId="517"/>
    <tableColumn id="38" xr3:uid="{9C7EF0A7-1A00-4873-BCC2-E77AA146310F}" name="SourceSchoolLocalAuthority" dataDxfId="516"/>
    <tableColumn id="39" xr3:uid="{51DE2644-123B-4188-87E7-5DC1829DFC10}" name="SourceConstant" dataDxfId="515"/>
    <tableColumn id="31" xr3:uid="{909B7A03-FFCE-43B6-8325-C1EEB26804F7}" name="SourceSchoolHubSelectedScenarioRow" dataDxfId="514"/>
    <tableColumn id="32" xr3:uid="{04236CDE-A085-4B2F-B88D-3A8FF994CC90}" name="SourceSchoolTypeSelectedScenarioRow" dataDxfId="513"/>
    <tableColumn id="14" xr3:uid="{F6944CA5-92EE-40CA-8595-D0CC06DCAE5A}" name="DivisorSelectAllSchools" dataDxfId="512"/>
    <tableColumn id="15" xr3:uid="{CC5C433D-2921-44AA-AA30-A940A1203D6A}" name="DivisorSelectAllFunds" dataDxfId="511"/>
    <tableColumn id="16" xr3:uid="{C5B0856A-8BF5-45B2-A2E3-FE19ED2FEA07}" name="DivisorSelectAllDepartments" dataDxfId="510"/>
    <tableColumn id="17" xr3:uid="{40A2A90C-0949-412B-AFAC-595C9C48E8C4}" name="DivisorDepartmentsAcrossLedgers" dataDxfId="509"/>
    <tableColumn id="18" xr3:uid="{60A8F398-5026-417C-B3B9-252CA07B3224}" name="DivisorIncludeScenarioRow" dataDxfId="508"/>
    <tableColumn id="19" xr3:uid="{76934B6E-2471-4FC5-ADD5-316410C9B561}" name="DivisorUseLastYear" dataDxfId="507"/>
    <tableColumn id="20" xr3:uid="{70C0DFBA-0202-4BF5-83CC-A6F3C46CB3D4}" name="DivisorSchoolLocalAuthority" dataDxfId="506"/>
    <tableColumn id="21" xr3:uid="{06BB9E59-778B-451D-BCDE-EE2B9444012C}" name="DivisorConstant" dataDxfId="505"/>
    <tableColumn id="33" xr3:uid="{335DE9FD-D06E-465B-B0AC-532608F520F3}" name="DivisorSchoolHubSelectedScenarioRow" dataDxfId="504"/>
    <tableColumn id="34" xr3:uid="{1D3BC5AC-C657-4174-9745-CF29BE9FF267}" name="DivisorSchoolTypeSelectedScenarioRow" dataDxfId="503"/>
    <tableColumn id="22" xr3:uid="{D8F43F62-69AE-4733-ADC7-070B6CBB758C}" name="MultiplierSelectAllSchools" dataDxfId="502"/>
    <tableColumn id="23" xr3:uid="{09A17F9A-D2B4-44BC-A941-98DCB734FF7E}" name="MultiplierSelectAllFunds" dataDxfId="501"/>
    <tableColumn id="24" xr3:uid="{65755931-A22C-418E-91F5-A9E941CD3FB9}" name="MultiplierSelectAllDepartments" dataDxfId="500"/>
    <tableColumn id="25" xr3:uid="{9ACA9610-485E-4AD0-A7F4-DE117B245F2B}" name="MultiplierDepartmentsAcrossLedgers" dataDxfId="499"/>
    <tableColumn id="26" xr3:uid="{30923841-563B-47F1-8782-E88B3C36FBF9}" name="MultiplierIncludeScenarioRow" dataDxfId="498"/>
    <tableColumn id="27" xr3:uid="{896FE49C-3D1C-4ADC-979E-895644A9AC67}" name="MultiplierUseLastYear" dataDxfId="497"/>
    <tableColumn id="28" xr3:uid="{C7E0D381-00B3-45B9-912C-A1029E1D56DD}" name="MultiplierSchoolLocalAuthority" dataDxfId="496"/>
    <tableColumn id="29" xr3:uid="{9767D633-F78B-462A-9757-F9C137552655}" name="MultiplierConstant" dataDxfId="495"/>
    <tableColumn id="35" xr3:uid="{47F08A8E-637F-451A-B781-466277FA78A9}" name="MultiplierSchoolHubSelectedScenarioRow" dataDxfId="494"/>
    <tableColumn id="36" xr3:uid="{41CE45E9-E023-4B57-82D6-C1D80288AAEC}" name="MultiplierSchoolTypeSelectedScenarioRow" dataDxfId="493"/>
    <tableColumn id="30" xr3:uid="{CDF11DB5-C2AD-4D5A-9DE9-FDA0EBBBE7E1}" name="CalculatorEnabled" dataDxfId="492"/>
    <tableColumn id="37" xr3:uid="{6AD10B2B-7F39-4104-A675-DAA8A181FDEA}" name="CalculatorLockRows" dataDxfId="491"/>
    <tableColumn id="13" xr3:uid="{BEA10EA5-415D-4CFD-8130-E69EB655E315}" name="CalculatorTypeCode" dataDxfId="490"/>
    <tableColumn id="40" xr3:uid="{B8207B21-0FFA-4522-A802-963F2E3A0CF4}" name="LockCheck" dataDxfId="489"/>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05EBA97-F389-4558-A8AE-0A208A382D19}" name="CALCFC" displayName="CALCFC" ref="A1:G1723" totalsRowShown="0" headerRowDxfId="488" dataDxfId="487">
  <autoFilter ref="A1:G1723" xr:uid="{105EBA97-F389-4558-A8AE-0A208A382D19}"/>
  <tableColumns count="7">
    <tableColumn id="7" xr3:uid="{306369A0-6A57-4F2C-A474-5274CB2D36AE}" name="LA" dataDxfId="486"/>
    <tableColumn id="3" xr3:uid="{7F29F2CC-E238-4FAC-B269-87D38E8636C0}" name="London Weighting" dataDxfId="485"/>
    <tableColumn id="4" xr3:uid="{61877402-8839-40C9-ABD3-2CB29CD9EBAB}" name="School Type" dataDxfId="484">
      <calculatedColumnFormula>_xlfn.XLOOKUP(CALCFC[[#This Row],[CalculatorCode2]],CALCS[CalculatorCode],CALCS[School Type])</calculatedColumnFormula>
    </tableColumn>
    <tableColumn id="2" xr3:uid="{2343520E-6117-4163-BB64-8F0908355404}" name="Key Stage" dataDxfId="483"/>
    <tableColumn id="5" xr3:uid="{FF21D477-D726-4FF5-8D64-FF37799C323B}" name="CalculatorCode2" dataDxfId="482"/>
    <tableColumn id="6" xr3:uid="{C8BBC34C-70D8-4269-B846-F992656C1AC4}" name="FinanceCode" dataDxfId="481"/>
    <tableColumn id="8" xr3:uid="{EC6D12BF-25DC-4E31-9A04-4BF4E0158BD0}" name="Type" dataDxfId="480"/>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98052FAC-EA1E-4D01-AEED-212E99AA101B}" name="Calculators" displayName="Calculators" ref="A1:BC95" tableType="queryTable" totalsRowShown="0">
  <autoFilter ref="A1:BC95" xr:uid="{98052FAC-EA1E-4D01-AEED-212E99AA101B}">
    <filterColumn colId="19">
      <filters>
        <filter val="DFC_PUPIL_NUR"/>
        <filter val="DFC_PUPIL_PRI"/>
        <filter val="FTE_NUR"/>
        <filter val="FUNDED_FS"/>
        <filter val="FUNDED_KS1"/>
        <filter val="FUNDED_KS2"/>
        <filter val="FUNDED_PRI"/>
        <filter val="PEG_CORE"/>
        <filter val="PEG_PUPIL"/>
        <filter val="PUP_PREM_PRI_5/12"/>
        <filter val="PUP_PREM_PRI_7/12"/>
        <filter val="PUPIL_SPRING_FS"/>
        <filter val="PUPIL_SPRING_KS1"/>
        <filter val="PUPIL_SPRING_KS2"/>
        <filter val="PUPIL_SPRING_NUR"/>
        <filter val="PUPILY00_LY"/>
        <filter val="PUPILY01_LY"/>
        <filter val="PUPILY02_LY"/>
        <filter val="PUPILY03_LY"/>
        <filter val="PUPILY04_LY"/>
        <filter val="PUPILY05_LY"/>
        <filter val="PUPILY06_LY"/>
        <filter val="PUPILYNN_LY"/>
        <filter val="PUPINCOME_PRI"/>
        <filter val="RPA_NUR"/>
        <filter val="TOTAL_PEG"/>
        <filter val="TOTAL_PP_PUPILS_PRI"/>
        <filter val="UIFSM_CALC"/>
        <filter val="UIFSM_FACTOR"/>
        <filter val="UIFSM_FIN"/>
        <filter val="UIFSM_FIN_INC"/>
        <filter val="UIFSM_PRO"/>
        <filter val="UIFSM_PRO_INC"/>
        <filter val="UIFSM_PRO_RATE"/>
        <filter val="UIFSM_TOTAL"/>
        <filter val="UPLIFT_FSFUNDED"/>
        <filter val="UPLIFT_FSINYR"/>
        <filter val="UPLIFT_KS1FUNDED"/>
        <filter val="UPLIFT_KS1INYR"/>
        <filter val="UPLIFT_KS2FUNDED"/>
        <filter val="UPLIFT_KS2INYR"/>
      </filters>
    </filterColumn>
  </autoFilter>
  <tableColumns count="55">
    <tableColumn id="43" xr3:uid="{561571F7-C540-48C1-AEB4-1D1EB52CE02B}" uniqueName="43" name="Blank Data" queryTableFieldId="45" dataDxfId="479">
      <calculatedColumnFormula>COUNTBLANK(V2:AD2)+COUNTBLANK(AF2:AN2)+COUNTBLANK(AP2:AX2)+COUNTBLANK(AZ2:AZ2)</calculatedColumnFormula>
    </tableColumn>
    <tableColumn id="44" xr3:uid="{E27FBE0B-FF6D-4DF2-98DF-9982CBBB1391}" uniqueName="44" name="Finance Code Issue" queryTableFieldId="44" dataDxfId="478">
      <calculatedColumnFormula>SUMIFS(CalculatorFC[FinCodeIssue],CalculatorFC[CalculatorCode],Calculators[[#This Row],[CalculatorCode]])</calculatedColumnFormula>
    </tableColumn>
    <tableColumn id="38" xr3:uid="{C5C5EBE2-4F51-4913-AC14-A16E21415FDB}" uniqueName="38" name="Code length Check" queryTableFieldId="50" dataDxfId="477">
      <calculatedColumnFormula>IF(LEN(Calculators[[#This Row],[CalculatorCode]])&lt;100,0,1)</calculatedColumnFormula>
    </tableColumn>
    <tableColumn id="49" xr3:uid="{D6421682-10D4-49F5-8EDF-578D28812758}" uniqueName="49" name="Title length check" queryTableFieldId="49" dataDxfId="476">
      <calculatedColumnFormula>IF(LEN(Calculators[[#This Row],[Title]])&lt;100,0,1)</calculatedColumnFormula>
    </tableColumn>
    <tableColumn id="4" xr3:uid="{589CA934-4BE7-4EC9-8586-111E82E2B6DF}" uniqueName="4" name="CalculatorTypeCode Issue" queryTableFieldId="53" dataDxfId="475">
      <calculatedColumnFormula>(COUNTIF(CalculatorTypeCode[CalculatorTypeCode],Calculators[[#This Row],[CalculatorTypeCode]])-1)*-1</calculatedColumnFormula>
    </tableColumn>
    <tableColumn id="50" xr3:uid="{A177679D-B8CE-4E65-8F21-E559BD5EBB63}" uniqueName="50" name="Source TRUE/FALSE Check" queryTableFieldId="58" dataDxfId="474">
      <calculatedColumnFormula>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calculatedColumnFormula>
    </tableColumn>
    <tableColumn id="51" xr3:uid="{388538A2-F8E0-4D00-AA8D-E5D9B591723C}" uniqueName="51" name="Divisor TRUE/FALSE Check" queryTableFieldId="59" dataDxfId="473">
      <calculatedColumnFormula>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calculatedColumnFormula>
    </tableColumn>
    <tableColumn id="52" xr3:uid="{B8E98D3F-3E07-438C-90D3-F4F162AC0C28}" uniqueName="52" name="Multiplier TRUE/FALSE Check" queryTableFieldId="60" dataDxfId="472">
      <calculatedColumnFormula>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calculatedColumnFormula>
    </tableColumn>
    <tableColumn id="53" xr3:uid="{13C2D440-E07E-4D51-B6CA-AEBC7BDF9387}" uniqueName="53" name="Other TRUE/FALSE Check" queryTableFieldId="61" dataDxfId="471">
      <calculatedColumnFormula>IF(OR(Calculators[[#This Row],[CalculatorEnabled]]=TRUE,Calculators[[#This Row],[CalculatorEnabled]]=FALSE),0,1)</calculatedColumnFormula>
    </tableColumn>
    <tableColumn id="55" xr3:uid="{4C049D09-CE1B-45A4-B035-B2FBF0F4F2CA}" uniqueName="55" name="Title Blanck Check" queryTableFieldId="74" dataDxfId="470">
      <calculatedColumnFormula>IF(ISBLANK(Calculators[[#This Row],[Title]])=TRUE,1,0)</calculatedColumnFormula>
    </tableColumn>
    <tableColumn id="5" xr3:uid="{AEA7DA96-6E71-4933-8236-AAFDF23BDF3D}" uniqueName="5" name="Code is Uppercase" queryTableFieldId="54" dataDxfId="469">
      <calculatedColumnFormula>IF(EXACT(Calculators[[#This Row],[CalculatorCode]],UPPER(Calculators[[#This Row],[CalculatorCode]])),0,1)</calculatedColumnFormula>
    </tableColumn>
    <tableColumn id="42" xr3:uid="{FA11522A-4966-4209-8D45-A6F650A1FD0B}" uniqueName="42" name="Space in Code" queryTableFieldId="67" dataDxfId="468">
      <calculatedColumnFormula>IF(SUBSTITUTE(TEXT(Calculators[[#This Row],[CalculatorCode]],10)," ","")=TEXT(Calculators[[#This Row],[CalculatorCode]],10),0,1)</calculatedColumnFormula>
    </tableColumn>
    <tableColumn id="45" xr3:uid="{531657E4-7991-4274-9DBA-CF5A3FD63966}" uniqueName="45" name="Will import if 0" queryTableFieldId="43" dataDxfId="467">
      <calculatedColumnFormula>SUM(Calculators[[#This Row],[Blank Data]:[Space in Code]])</calculatedColumnFormula>
    </tableColumn>
    <tableColumn id="46" xr3:uid="{622E880B-C27B-41A1-8478-F384B93A16E1}" uniqueName="46" name="SourceFinanceCodes" queryTableFieldId="48" dataDxfId="466">
      <calculatedColumnFormula array="1">_xlfn.TEXTJOIN(",",TRUE,IF(CalculatorFC[CalculatorCode]&amp;CalculatorFC[Type]=Calculators[[#This Row],[CalculatorCode]]&amp;Calculators[[#Headers],[SourceFinanceCodes]],CalculatorFC[FinanceCode],""))</calculatedColumnFormula>
    </tableColumn>
    <tableColumn id="16" xr3:uid="{614EBB54-243F-42FF-AA20-EADDCDFDA8AF}" uniqueName="16" name="SourceGroupingCodes" queryTableFieldId="55" dataDxfId="465">
      <calculatedColumnFormula array="1">_xlfn.TEXTJOIN(",",TRUE,IF(CalculatorFC[CalculatorCode]&amp;CalculatorFC[Type]=Calculators[[#This Row],[CalculatorCode]]&amp;Calculators[[#Headers],[SourceGroupingCodes]],CalculatorFC[FinanceCode],""))</calculatedColumnFormula>
    </tableColumn>
    <tableColumn id="47" xr3:uid="{F9449B60-F7DF-42F6-A4CA-ED6D0861AC48}" uniqueName="47" name="DivisorFinanceCodes" queryTableFieldId="47" dataDxfId="464">
      <calculatedColumnFormula array="1">_xlfn.TEXTJOIN(",",TRUE,IF(CalculatorFC[CalculatorCode]&amp;CalculatorFC[Type]=Calculators[[#This Row],[CalculatorCode]]&amp;Calculators[[#Headers],[DivisorFinanceCodes]],CalculatorFC[FinanceCode],""))</calculatedColumnFormula>
    </tableColumn>
    <tableColumn id="27" xr3:uid="{BF483B69-EA1D-4761-971C-09F57641DE8A}" uniqueName="27" name="DivisorGroupingCodes" queryTableFieldId="56" dataDxfId="463">
      <calculatedColumnFormula array="1">_xlfn.TEXTJOIN(",",TRUE,IF(CalculatorFC[CalculatorCode]&amp;CalculatorFC[Type]=Calculators[[#This Row],[CalculatorCode]]&amp;Calculators[[#Headers],[DivisorGroupingCodes]],CalculatorFC[FinanceCode],""))</calculatedColumnFormula>
    </tableColumn>
    <tableColumn id="48" xr3:uid="{78B491E8-CE6B-454F-BB96-9A0B78EE9877}" uniqueName="48" name="MultiplierFinanceCodes" queryTableFieldId="46" dataDxfId="462">
      <calculatedColumnFormula array="1">_xlfn.TEXTJOIN(",",TRUE,IF(CalculatorFC[CalculatorCode]&amp;CalculatorFC[Type]=Calculators[[#This Row],[CalculatorCode]]&amp;Calculators[[#Headers],[MultiplierFinanceCodes]],CalculatorFC[FinanceCode],""))</calculatedColumnFormula>
    </tableColumn>
    <tableColumn id="41" xr3:uid="{2066E8C2-4B67-46E6-A1B2-9F1B574B5DE2}" uniqueName="41" name="MultiplierGroupingCodes" queryTableFieldId="57" dataDxfId="461">
      <calculatedColumnFormula array="1">_xlfn.TEXTJOIN(",",TRUE,IF(CalculatorFC[CalculatorCode]&amp;CalculatorFC[Type]=Calculators[[#This Row],[CalculatorCode]]&amp;Calculators[[#Headers],[MultiplierGroupingCodes]],CalculatorFC[FinanceCode],""))</calculatedColumnFormula>
    </tableColumn>
    <tableColumn id="1" xr3:uid="{F85CCF13-E214-4266-8139-31948C25A0BD}" uniqueName="1" name="CalculatorCode" queryTableFieldId="1" dataDxfId="460"/>
    <tableColumn id="2" xr3:uid="{7A4B8447-1A2A-4AB4-B586-0943EA5CE49C}" uniqueName="2" name="Title" queryTableFieldId="2" dataDxfId="459"/>
    <tableColumn id="6" xr3:uid="{B477D3E8-618B-4490-A884-DD3C13AFD00C}" uniqueName="6" name="SourceSelectAllSchools" queryTableFieldId="6"/>
    <tableColumn id="7" xr3:uid="{091297E3-243F-4E2A-BD5A-6C22B4ACCF64}" uniqueName="7" name="SourceSelectAllFunds" queryTableFieldId="7"/>
    <tableColumn id="8" xr3:uid="{063883BE-909F-41DA-B500-6A9C8F275E78}" uniqueName="8" name="SourceSelectAllDepartments" queryTableFieldId="8"/>
    <tableColumn id="9" xr3:uid="{01F9D629-A0F2-407E-89D7-8B41E30AE5CD}" uniqueName="9" name="SourceDepartmentsAcrossLedgers" queryTableFieldId="9"/>
    <tableColumn id="10" xr3:uid="{F296B6D9-2988-4D13-9DF9-9FB9EDA47EA7}" uniqueName="10" name="SourceIncludeScenarioRow" queryTableFieldId="10"/>
    <tableColumn id="11" xr3:uid="{6842C634-5747-4D03-AD3F-DB21E79F2C1E}" uniqueName="11" name="SourceUseLastYear" queryTableFieldId="11"/>
    <tableColumn id="12" xr3:uid="{B21D368A-0786-405E-9A4D-AA73F14B7671}" uniqueName="12" name="SourceSchoolLocalAuthority" queryTableFieldId="12"/>
    <tableColumn id="13" xr3:uid="{5DAE39CB-D362-4A20-83EA-FF3E4C4B833C}" uniqueName="13" name="SourceConstant" queryTableFieldId="13"/>
    <tableColumn id="14" xr3:uid="{6AF3B0B5-1515-44EA-A7D0-C7371FD68CAE}" uniqueName="14" name="SourceSchoolHubSelectedScenarioRow" queryTableFieldId="14"/>
    <tableColumn id="15" xr3:uid="{D0D72E8E-A215-43EE-8002-E5C6F20FAC73}" uniqueName="15" name="SourceSchoolTypeSelectedScenarioRow" queryTableFieldId="15"/>
    <tableColumn id="17" xr3:uid="{5DB8A06A-F2D9-48D4-A2B1-A2914758D732}" uniqueName="17" name="DivisorSelectAllSchools" queryTableFieldId="17"/>
    <tableColumn id="18" xr3:uid="{AC837DB0-82AB-4084-9114-E47637EDD839}" uniqueName="18" name="DivisorSelectAllFunds" queryTableFieldId="18"/>
    <tableColumn id="19" xr3:uid="{D2387196-BD5B-42B4-B1D0-838BCB6ECA2D}" uniqueName="19" name="DivisorSelectAllDepartments" queryTableFieldId="19"/>
    <tableColumn id="20" xr3:uid="{8F1E434C-675E-435B-B963-072EC674B91C}" uniqueName="20" name="DivisorDepartmentsAcrossLedgers" queryTableFieldId="20"/>
    <tableColumn id="21" xr3:uid="{45F49078-F8CE-4DCB-96C3-BD94CB51AD8A}" uniqueName="21" name="DivisorIncludeScenarioRow" queryTableFieldId="21"/>
    <tableColumn id="22" xr3:uid="{14B82919-EB21-4E5C-9640-E435C5C9FF46}" uniqueName="22" name="DivisorUseLastYear" queryTableFieldId="22"/>
    <tableColumn id="23" xr3:uid="{C4967305-F27D-4B1C-AFE8-3DCE69D6D744}" uniqueName="23" name="DivisorSchoolLocalAuthority" queryTableFieldId="23"/>
    <tableColumn id="24" xr3:uid="{E8CDF727-D791-4C76-802F-C2C772DAD866}" uniqueName="24" name="DivisorConstant" queryTableFieldId="24"/>
    <tableColumn id="25" xr3:uid="{74F06DDA-E147-4278-B540-4BB5575B1734}" uniqueName="25" name="DivisorSchoolHubSelectedScenarioRow" queryTableFieldId="25"/>
    <tableColumn id="26" xr3:uid="{C21A6C4E-015C-4701-AA18-18F8F7B78ED9}" uniqueName="26" name="DivisorSchoolTypeSelectedScenarioRow" queryTableFieldId="26"/>
    <tableColumn id="28" xr3:uid="{A367EE70-B63E-479E-BC8C-ACC19A8293EB}" uniqueName="28" name="MultiplierSelectAllSchools" queryTableFieldId="28"/>
    <tableColumn id="29" xr3:uid="{9B2FC62F-7DF0-413A-B296-A4F0265FB309}" uniqueName="29" name="MultiplierSelectAllFunds" queryTableFieldId="29"/>
    <tableColumn id="30" xr3:uid="{DCCDAC07-0E30-4622-A5AA-D1B71D3E7D50}" uniqueName="30" name="MultiplierSelectAllDepartments" queryTableFieldId="30"/>
    <tableColumn id="31" xr3:uid="{03F9C5E4-E844-4547-AED8-E3CAC6750A8B}" uniqueName="31" name="MultiplierDepartmentsAcrossLedgers" queryTableFieldId="31"/>
    <tableColumn id="32" xr3:uid="{564B1CB4-0276-413D-8A8A-162F10A7E115}" uniqueName="32" name="MultiplierIncludeScenarioRow" queryTableFieldId="32"/>
    <tableColumn id="33" xr3:uid="{2DDC7050-4FB5-40CF-9118-AF2C082B5D73}" uniqueName="33" name="MultiplierUseLastYear" queryTableFieldId="33"/>
    <tableColumn id="34" xr3:uid="{524C954E-3140-4764-9DA3-816AB56F08A9}" uniqueName="34" name="MultiplierSchoolLocalAuthority" queryTableFieldId="34"/>
    <tableColumn id="35" xr3:uid="{EE31E2FD-DBB1-49D5-935B-4A6B0B66DCD5}" uniqueName="35" name="MultiplierConstant" queryTableFieldId="35"/>
    <tableColumn id="36" xr3:uid="{74FBC634-7930-476C-A7EF-923A99A7129E}" uniqueName="36" name="MultiplierSchoolHubSelectedScenarioRow" queryTableFieldId="36"/>
    <tableColumn id="37" xr3:uid="{C186FF2F-10D2-4B15-9A05-8BFC77F268D8}" uniqueName="37" name="MultiplierSchoolTypeSelectedScenarioRow" queryTableFieldId="37"/>
    <tableColumn id="39" xr3:uid="{E102B3BC-84A6-4288-A894-8EFC9553295C}" uniqueName="39" name="CalculatorEnabled" queryTableFieldId="39"/>
    <tableColumn id="40" xr3:uid="{AED12844-F7F1-4CAD-A83D-09FAAA1330EA}" uniqueName="40" name="CalculatorLockRows" queryTableFieldId="40"/>
    <tableColumn id="3" xr3:uid="{E89FB469-3E56-4FE1-A51F-4B5116DA4012}" uniqueName="3" name="CalculatorTypeCode" queryTableFieldId="51"/>
    <tableColumn id="54" xr3:uid="{90819C36-04C5-4E89-B1D0-3EE013F45B15}" uniqueName="54" name="LockCheck" queryTableFieldId="68"/>
  </tableColumns>
  <tableStyleInfo name="IMP Colours"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5913DA77-34C2-4D4D-966A-A0905C79E587}" name="CalculatorFC" displayName="CalculatorFC" ref="A1:F377" tableType="queryTable" totalsRowShown="0">
  <autoFilter ref="A1:F377" xr:uid="{5913DA77-34C2-4D4D-966A-A0905C79E587}"/>
  <tableColumns count="6">
    <tableColumn id="7" xr3:uid="{1A0E0F0F-C828-41DF-B159-7FC00E6EEC4B}" uniqueName="7" name="FinCodeIssue" queryTableFieldId="8" dataDxfId="458">
      <calculatedColumnFormula>IF(IFERROR(FIND("Grouping",CalculatorFC[[#This Row],[Type]],1),0)=0,IF(COUNTIF(FC_import[FinanceCode],CalculatorFC[[#This Row],[FinanceCode]])+COUNTIF(FinanceCodesBudget[FinanceCode],CalculatorFC[[#This Row],[FinanceCode]])&gt;0,0,1),IF(COUNTIF(Table_System_Grouping_Codes[groupingCodeCode],CalculatorFC[[#This Row],[FinanceCode]])&gt;0,0,1))</calculatedColumnFormula>
    </tableColumn>
    <tableColumn id="9" xr3:uid="{230C17F8-41E2-4D01-B72F-208DF4389990}" uniqueName="9" name="CalcCodeIssue" queryTableFieldId="9" dataDxfId="457">
      <calculatedColumnFormula>1-COUNTIF(Calculators[CalculatorCode],CalculatorFC[[#This Row],[CalculatorCode]])</calculatedColumnFormula>
    </tableColumn>
    <tableColumn id="8" xr3:uid="{1225B8FF-099D-4931-951A-840269890F65}" uniqueName="8" name="Will import if zero" queryTableFieldId="7" dataDxfId="456">
      <calculatedColumnFormula>SUM(CalculatorFC[[#This Row],[FinCodeIssue]:[CalcCodeIssue]])</calculatedColumnFormula>
    </tableColumn>
    <tableColumn id="4" xr3:uid="{971DCBB9-FE12-4550-A985-8203FD63A272}" uniqueName="4" name="CalculatorCode" queryTableFieldId="4" dataDxfId="455"/>
    <tableColumn id="5" xr3:uid="{72F82FB2-DA29-4FDD-B221-2C6D04C92BA2}" uniqueName="5" name="FinanceCode" queryTableFieldId="5"/>
    <tableColumn id="6" xr3:uid="{B1DB18E3-49E0-4CC2-AE00-9FEA9C80CDD3}" uniqueName="6" name="Type" queryTableFieldId="6"/>
  </tableColumns>
  <tableStyleInfo name="IMP Colours"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B25B4B6-5E86-4631-9797-022D35249CC6}" name="MONTHPRF" displayName="MONTHPRF" ref="A1:W24" totalsRowShown="0" headerRowDxfId="454" dataDxfId="453">
  <autoFilter ref="A1:W24" xr:uid="{1B25B4B6-5E86-4631-9797-022D35249CC6}"/>
  <tableColumns count="23">
    <tableColumn id="1" xr3:uid="{95944630-74B2-4096-B219-859A3DEA4476}" name="Totals 100" dataDxfId="452">
      <calculatedColumnFormula>IF(SUM(K2:V2)=100,0,1)</calculatedColumnFormula>
    </tableColumn>
    <tableColumn id="2" xr3:uid="{74FE713D-1C70-48B0-9448-3CEBD2E09A2D}" name="No Blanks" dataDxfId="451">
      <calculatedColumnFormula>COUNTBLANK(I2:W2)</calculatedColumnFormula>
    </tableColumn>
    <tableColumn id="22" xr3:uid="{4EB384DE-4717-413E-A8A3-05D7D88112A0}" name="TRUE/FALSE Check" dataDxfId="450">
      <calculatedColumnFormula>IF(OR(MONTHPRF[[#This Row],[Enabled]]=TRUE,MONTHPRF[[#This Row],[Enabled]]=FALSE),0,1)</calculatedColumnFormula>
    </tableColumn>
    <tableColumn id="19" xr3:uid="{FFF318F1-A72A-48D0-AECD-E9793763F639}" name="Code length Check" dataDxfId="449">
      <calculatedColumnFormula>IF(LEN(MONTHPRF[[#This Row],[Code]])&lt;100,0,1)</calculatedColumnFormula>
    </tableColumn>
    <tableColumn id="20" xr3:uid="{0CE54EF6-4E1F-4577-B3EB-42B59E2C3846}" name="Title length check" dataDxfId="448">
      <calculatedColumnFormula>IF(LEN(MONTHPRF[[#This Row],[Title]])&lt;100,0,1)</calculatedColumnFormula>
    </tableColumn>
    <tableColumn id="21" xr3:uid="{AD98B13F-3F07-4C92-95A4-9C75A02E295E}" name="Code is Uppercase" dataDxfId="447">
      <calculatedColumnFormula>IF(EXACT(MONTHPRF[[#This Row],[Code]],UPPER(MONTHPRF[[#This Row],[Code]])),0,1)</calculatedColumnFormula>
    </tableColumn>
    <tableColumn id="23" xr3:uid="{1B5B9693-2BDC-4659-AB59-48A7369EF279}" name="Space in Code" dataDxfId="446">
      <calculatedColumnFormula>IF(SUBSTITUTE(TEXT(MONTHPRF[[#This Row],[Code]],10)," ","")=TEXT(MONTHPRF[[#This Row],[Code]],10),0,1)</calculatedColumnFormula>
    </tableColumn>
    <tableColumn id="3" xr3:uid="{43983931-BB2E-446A-A397-45396EB8C027}" name="Will import if zero" dataDxfId="445">
      <calculatedColumnFormula>SUM(MONTHPRF[[#This Row],[Totals 100]:[Space in Code]])</calculatedColumnFormula>
    </tableColumn>
    <tableColumn id="4" xr3:uid="{6323CA98-4B3F-4348-A490-BC08D96B049F}" name="Code" dataDxfId="444"/>
    <tableColumn id="5" xr3:uid="{8D558998-0CCC-4A63-8092-4E3767B94CCE}" name="Title" dataDxfId="443"/>
    <tableColumn id="6" xr3:uid="{8B7A2E83-C42A-438D-B0E6-7CA68AC57A32}" name="Period01Percentage" dataDxfId="442"/>
    <tableColumn id="7" xr3:uid="{97135C02-56CB-49C6-A7C8-5F63FEE8259C}" name="Period02Percentage" dataDxfId="441"/>
    <tableColumn id="8" xr3:uid="{1AD980F2-F8A8-46BC-8D28-81F47CDD7EC4}" name="Period03Percentage" dataDxfId="440"/>
    <tableColumn id="9" xr3:uid="{0234260F-6743-43DC-9C12-337855F3E683}" name="Period04Percentage" dataDxfId="439"/>
    <tableColumn id="10" xr3:uid="{FD335AC1-B6A5-4D79-A011-6308E794CE13}" name="Period05Percentage" dataDxfId="438"/>
    <tableColumn id="11" xr3:uid="{28AF1573-3DCC-4EDD-8CD3-6BD4F30ECDA2}" name="Period06Percentage" dataDxfId="437"/>
    <tableColumn id="12" xr3:uid="{CCDE71A3-4BEB-49CD-9B77-33E029D32620}" name="Period07Percentage" dataDxfId="436"/>
    <tableColumn id="13" xr3:uid="{391D7221-FB29-4ADA-878C-4A86738EF4F2}" name="Period08Percentage" dataDxfId="435"/>
    <tableColumn id="14" xr3:uid="{9C1C79CA-0837-4E2A-9DF2-E155D32D6021}" name="Period09Percentage" dataDxfId="434"/>
    <tableColumn id="15" xr3:uid="{1FCE6198-48A1-4327-AAA8-4098F141E9CF}" name="Period10Percentage" dataDxfId="433"/>
    <tableColumn id="16" xr3:uid="{B7DB1760-0D13-4392-81F3-835A0957672A}" name="Period11Percentage" dataDxfId="432"/>
    <tableColumn id="17" xr3:uid="{145FDAE2-3747-41DD-BC32-61DAF8F122E8}" name="Period12Percentage" dataDxfId="431"/>
    <tableColumn id="18" xr3:uid="{52C06F8B-C2CC-4E26-A27C-E2CA2A14EA3C}" name="Enabled" dataDxfId="430"/>
  </tableColumns>
  <tableStyleInfo name="IMP Colours"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C9E165B6-5C83-40FD-A0B6-B837EEE4188C}" name="PROJPUPIL" displayName="PROJPUPIL" ref="A1:M175" totalsRowShown="0" headerRowDxfId="407">
  <autoFilter ref="A1:M175" xr:uid="{CE10AF93-B14F-4644-B593-FC98F98BE3E3}"/>
  <tableColumns count="13">
    <tableColumn id="17" xr3:uid="{1E21D169-BAF1-4BCC-A414-FED7EFDC6D6B}" name="Column1"/>
    <tableColumn id="16" xr3:uid="{74F8513A-96D4-49B0-B280-5FBD4375197D}" name="FundingType"/>
    <tableColumn id="1" xr3:uid="{2ACFCB21-E3AF-455C-BE3C-360C9F547F1D}" name="School" dataDxfId="406"/>
    <tableColumn id="2" xr3:uid="{C991AB2E-D7C2-4191-969B-C431B8185F2E}" name="Finance Code" dataDxfId="405"/>
    <tableColumn id="3" xr3:uid="{70E3E40D-80BB-4EE6-95ED-EE27C49349D1}" name="Department" dataDxfId="404"/>
    <tableColumn id="4" xr3:uid="{F7A44B0E-D920-4EF2-B9D8-A06FD866AA4D}" name="Fund" dataDxfId="403"/>
    <tableColumn id="5" xr3:uid="{6D13545D-35BA-4CDE-A619-6E6D78DB5C45}" name="Description" dataDxfId="402"/>
    <tableColumn id="8" xr3:uid="{ECC9059F-4859-44F2-8D72-F49D48DD72B2}" name="2023/24" dataDxfId="401"/>
    <tableColumn id="9" xr3:uid="{5F7CB720-5404-47CD-AE20-82A501A8479E}" name="2024/25" dataDxfId="400"/>
    <tableColumn id="10" xr3:uid="{02E80CCB-F042-45CA-BB5B-C916A3D61ACA}" name="2025/26" dataDxfId="399"/>
    <tableColumn id="11" xr3:uid="{200B618C-CC51-4226-8997-50C4E01152DA}" name="2026/27" dataDxfId="398"/>
    <tableColumn id="12" xr3:uid="{21F0B970-C7F4-44C2-83E1-01E9DFA05636}" name="2027/28" dataDxfId="397"/>
    <tableColumn id="6" xr3:uid="{7AD8B0AE-84D2-41C0-8E08-3BA16F095267}" name="2028/29" dataDxfId="39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9835623-0A88-479B-8A50-978BA819F6D3}" name="SRG" displayName="SRG" ref="A2:T19" tableType="queryTable" totalsRowShown="0" headerRowDxfId="429" dataDxfId="428">
  <autoFilter ref="A2:T19" xr:uid="{49835623-0A88-479B-8A50-978BA819F6D3}"/>
  <tableColumns count="20">
    <tableColumn id="1" xr3:uid="{A90251D9-6E63-4F1E-ABD1-30FDACEDBE38}" uniqueName="1" name="ScenarioCode" queryTableFieldId="1" dataDxfId="427"/>
    <tableColumn id="2" xr3:uid="{062B7E7A-59B4-4372-8177-7E57D4709E02}" uniqueName="2" name="StaffRoleGroupCode" queryTableFieldId="2" dataDxfId="426"/>
    <tableColumn id="3" xr3:uid="{73CE7F03-3BB8-4635-94F1-E645FFD14732}" uniqueName="3" name="Title" queryTableFieldId="3" dataDxfId="425"/>
    <tableColumn id="4" xr3:uid="{825DC31A-DF9F-4552-991B-A39BDDC4751D}" uniqueName="4" name="GrossSalaryFinanceCode" queryTableFieldId="4" dataDxfId="424"/>
    <tableColumn id="5" xr3:uid="{4005BFE5-B5A9-41BD-92A5-D7B25AB0F8C6}" uniqueName="5" name="LeaveRebateFinanceCode" queryTableFieldId="5" dataDxfId="423"/>
    <tableColumn id="6" xr3:uid="{7A4AB99C-6B1B-4C38-A2D7-49C29C299277}" uniqueName="6" name="AllowanceTypesFinanceCode" queryTableFieldId="6" dataDxfId="422"/>
    <tableColumn id="7" xr3:uid="{05499969-738E-4D82-9DED-DD32A43B2325}" uniqueName="7" name="AdjustmentsFinanceCode" queryTableFieldId="7" dataDxfId="421"/>
    <tableColumn id="8" xr3:uid="{C9E660F2-3235-4B8A-9CF1-46D7474C139D}" uniqueName="8" name="MinimumWageTopupFinanceCode" queryTableFieldId="8" dataDxfId="420"/>
    <tableColumn id="9" xr3:uid="{06C16BFF-3375-416E-A698-B1A7FDD92F06}" uniqueName="9" name="LivingWageTopupFinanceCode" queryTableFieldId="9" dataDxfId="419"/>
    <tableColumn id="10" xr3:uid="{5DBF6349-3A38-4B66-9678-E563691AF141}" uniqueName="10" name="EmployersNiFinanceCode" queryTableFieldId="10" dataDxfId="418"/>
    <tableColumn id="11" xr3:uid="{0A645FE7-4980-4D2C-9FEF-1CC78923D5FD}" uniqueName="11" name="PensionFinanceCode" queryTableFieldId="11" dataDxfId="417"/>
    <tableColumn id="12" xr3:uid="{7E1C1712-538C-430F-B3D7-22987AE317A7}" uniqueName="12" name="OptOutPensionFinanceCode" queryTableFieldId="12" dataDxfId="416"/>
    <tableColumn id="13" xr3:uid="{0EC79474-3E86-4040-BCF1-7CE222BE5EBB}" uniqueName="13" name="OtherSalaryCostsFinanceCode" queryTableFieldId="13" dataDxfId="415"/>
    <tableColumn id="14" xr3:uid="{749A468E-7A23-4ECE-807C-F57C5BE5B9D8}" uniqueName="14" name="WeeklyFteFinanceCode" queryTableFieldId="14" dataDxfId="414"/>
    <tableColumn id="15" xr3:uid="{0DAE0AD0-CB71-4474-A174-4733B6808788}" uniqueName="15" name="AnnualFteFinanceCode" queryTableFieldId="15" dataDxfId="413"/>
    <tableColumn id="16" xr3:uid="{F31E4A9B-94A6-435C-BD6D-9AEE55D2DD24}" uniqueName="16" name="WeeklyFteLeaveAdjustmentFinanceCode" queryTableFieldId="16" dataDxfId="412"/>
    <tableColumn id="17" xr3:uid="{10C69FBE-18B9-468C-ABB7-85850AC50CB1}" uniqueName="17" name="AnnualFteLeaveAdjustmentFinanceCode" queryTableFieldId="17" dataDxfId="411"/>
    <tableColumn id="18" xr3:uid="{4CD1D798-7FC7-4AB1-98EF-E7604524FF5C}" uniqueName="18" name="TeachingRoleGroup" queryTableFieldId="18" dataDxfId="410"/>
    <tableColumn id="19" xr3:uid="{D1BEE53B-17A9-4E0E-9FB8-1455E579AAC4}" uniqueName="19" name="StaffRoleGroupEnabled" queryTableFieldId="19" dataDxfId="409"/>
    <tableColumn id="20" xr3:uid="{6BE964B3-424E-4F5B-8BC1-DAF8E375DFFA}" uniqueName="20" name="IncrementCount" queryTableFieldId="20" dataDxfId="408"/>
  </tableColumns>
  <tableStyleInfo name="IMP Colours"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8DF88836-6D59-46E7-AA43-A8A9EBAD4B62}" name="PROJ_PUPIL" displayName="PROJ_PUPIL" ref="A1:N30" tableType="queryTable" totalsRowShown="0">
  <autoFilter ref="A1:N30" xr:uid="{8DF88836-6D59-46E7-AA43-A8A9EBAD4B62}">
    <filterColumn colId="1">
      <filters>
        <filter val="Secondary Only"/>
      </filters>
    </filterColumn>
  </autoFilter>
  <tableColumns count="14">
    <tableColumn id="13" xr3:uid="{B242F46B-3728-4F0B-9026-EE1E7083BBD4}" uniqueName="13" name="School Title" queryTableFieldId="13" dataDxfId="395">
      <calculatedColumnFormula>_xlfn.XLOOKUP(PROJ_PUPIL[[#This Row],[School]],SCHOOLS[SchoolCode],SCHOOLS[Title])</calculatedColumnFormula>
    </tableColumn>
    <tableColumn id="1" xr3:uid="{08D8B124-A79A-46F7-9528-76A82AE46A3B}" uniqueName="1" name="Column1" queryTableFieldId="1" dataDxfId="394"/>
    <tableColumn id="2" xr3:uid="{DF2CE114-5270-4677-A88F-0E5DEFEA699A}" uniqueName="2" name="FundingType" queryTableFieldId="2" dataDxfId="393"/>
    <tableColumn id="3" xr3:uid="{6382BF3B-EFA7-4BBA-A474-53FC651C4A31}" uniqueName="3" name="School" queryTableFieldId="3"/>
    <tableColumn id="4" xr3:uid="{E7BC959A-0056-48AA-9F37-671D23C1AC3F}" uniqueName="4" name="Finance Code" queryTableFieldId="4" dataDxfId="392"/>
    <tableColumn id="5" xr3:uid="{5B917A50-678E-49D2-A817-7DB920F19FAC}" uniqueName="5" name="Department" queryTableFieldId="5" dataDxfId="391"/>
    <tableColumn id="6" xr3:uid="{1E4DF339-23B5-4B02-A3A2-51AFD3B8C792}" uniqueName="6" name="Fund" queryTableFieldId="6" dataDxfId="390"/>
    <tableColumn id="7" xr3:uid="{9E56BECC-451B-46A5-8558-EBB058EAFB1D}" uniqueName="7" name="Description" queryTableFieldId="7" dataDxfId="389"/>
    <tableColumn id="10" xr3:uid="{C7E42269-B1C5-4574-BC64-D8290E8CE27E}" uniqueName="10" name="2023/24" queryTableFieldId="10"/>
    <tableColumn id="11" xr3:uid="{C4EE814E-2610-4079-A1EE-3829B791D16C}" uniqueName="11" name="2024/25" queryTableFieldId="11"/>
    <tableColumn id="12" xr3:uid="{EE5B411D-2DD8-47C7-B31E-C59237156C05}" uniqueName="12" name="2025/26" queryTableFieldId="12"/>
    <tableColumn id="14" xr3:uid="{AE633AC1-4459-4C43-9898-92C5AC0811E7}" uniqueName="14" name="2026/27" queryTableFieldId="14" dataDxfId="388"/>
    <tableColumn id="8" xr3:uid="{14F6B916-F255-487F-8AA0-67C1A0F7DB1C}" uniqueName="8" name="2027/28" queryTableFieldId="17"/>
    <tableColumn id="9" xr3:uid="{FC1E024C-25AF-41EB-A904-4EC454B2428E}" uniqueName="9" name="2028/29" queryTableFieldId="18"/>
  </tableColumns>
  <tableStyleInfo name="IMP Colours"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ED5F5AFF-D48F-4E1F-A0A2-C6957A4B45DC}" name="Funding_Statement_Check_25_26" displayName="Funding_Statement_Check_25_26" ref="A3:N4" tableType="queryTable" totalsRowShown="0">
  <autoFilter ref="A3:N4" xr:uid="{ED5F5AFF-D48F-4E1F-A0A2-C6957A4B45DC}"/>
  <tableColumns count="14">
    <tableColumn id="14" xr3:uid="{74369FC4-2034-41D7-B718-926694C7704A}" uniqueName="14" name="School Title" queryTableFieldId="14" dataDxfId="387">
      <calculatedColumnFormula>_xlfn.XLOOKUP(Funding_Statement_Check_25_26[[#This Row],[School]],SCHOOLS[SchoolCode],SCHOOLS[Title])</calculatedColumnFormula>
    </tableColumn>
    <tableColumn id="1" xr3:uid="{C8E9BF14-C89C-4621-8EA8-50F332D6B733}" uniqueName="1" name="School" queryTableFieldId="1" dataDxfId="386"/>
    <tableColumn id="2" xr3:uid="{ECEE8FB4-4E8E-4DAA-8480-7A5622F3091D}" uniqueName="2" name="Primary" queryTableFieldId="2"/>
    <tableColumn id="3" xr3:uid="{DED7128C-FD85-4D79-BF8D-4A931DAEED5F}" uniqueName="3" name="KS3" queryTableFieldId="3"/>
    <tableColumn id="4" xr3:uid="{A8B48FF0-77B3-48E2-8F30-296AA1D60763}" uniqueName="4" name="KS4" queryTableFieldId="4"/>
    <tableColumn id="5" xr3:uid="{16736E06-9D58-4A9B-8993-24983A0CA7F9}" uniqueName="5" name="KS5" queryTableFieldId="5"/>
    <tableColumn id="6" xr3:uid="{E0A50DD1-AB86-430C-BE5B-74594EAA6992}" uniqueName="6" name="PRIMARY FS" queryTableFieldId="6"/>
    <tableColumn id="7" xr3:uid="{1EA076B0-52F6-401C-8A0B-821FFE301190}" uniqueName="7" name="KS3 FS" queryTableFieldId="7"/>
    <tableColumn id="8" xr3:uid="{C111EBF4-580A-472A-8EB0-C0F912FBBAB1}" uniqueName="8" name="KS4 FS" queryTableFieldId="8"/>
    <tableColumn id="9" xr3:uid="{6C99E83B-9394-4D6E-B189-FC6B7DF2A882}" uniqueName="9" name="KS5 FS" queryTableFieldId="9"/>
    <tableColumn id="10" xr3:uid="{867EBF2B-A5DE-4A77-80FF-D341FEE4026A}" uniqueName="10" name="PRIMARY VAR" queryTableFieldId="10" dataDxfId="385">
      <calculatedColumnFormula>Funding_Statement_Check_25_26[[#This Row],[Primary]]-Funding_Statement_Check_25_26[[#This Row],[PRIMARY FS]]</calculatedColumnFormula>
    </tableColumn>
    <tableColumn id="11" xr3:uid="{AE750BBA-9AEE-46E9-98F5-A082396EDC19}" uniqueName="11" name="KS3 VAR" queryTableFieldId="11">
      <calculatedColumnFormula>Funding_Statement_Check_25_26[[#This Row],[KS3]]-Funding_Statement_Check_25_26[[#This Row],[KS3 FS]]</calculatedColumnFormula>
    </tableColumn>
    <tableColumn id="12" xr3:uid="{B545F120-8961-4788-886E-35A92EDC4159}" uniqueName="12" name="KS4 VAR" queryTableFieldId="12">
      <calculatedColumnFormula>Funding_Statement_Check_25_26[[#This Row],[KS4]]-Funding_Statement_Check_25_26[[#This Row],[KS4 FS]]</calculatedColumnFormula>
    </tableColumn>
    <tableColumn id="13" xr3:uid="{AFBF33C9-26C8-48DC-A68F-D18ED312D62B}" uniqueName="13" name="KS5 VAR" queryTableFieldId="13">
      <calculatedColumnFormula>Funding_Statement_Check_25_26[[#This Row],[KS5]]-Funding_Statement_Check_25_26[[#This Row],[KS5 FS]]</calculatedColumnFormula>
    </tableColumn>
  </tableColumns>
  <tableStyleInfo name="IMP Colours"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27B6503-0BF4-41D3-9A27-727066780CD9}" name="Pupil_Number_Check" displayName="Pupil_Number_Check" ref="AB3:AS12" tableType="queryTable" totalsRowShown="0">
  <autoFilter ref="AB3:AS12" xr:uid="{C27B6503-0BF4-41D3-9A27-727066780CD9}"/>
  <tableColumns count="18">
    <tableColumn id="1" xr3:uid="{86FD47E2-3BF1-4D0F-A706-C69606ECB416}" uniqueName="1" name="School" queryTableFieldId="1" dataDxfId="384"/>
    <tableColumn id="2" xr3:uid="{74E64665-220D-454B-8190-2AFF9BC4E5AA}" uniqueName="2" name="School Title" queryTableFieldId="2" dataDxfId="383"/>
    <tableColumn id="3" xr3:uid="{468E5786-D62A-465E-A48A-F6F48E83B792}" uniqueName="3" name="Type" queryTableFieldId="3" dataDxfId="382"/>
    <tableColumn id="4" xr3:uid="{F2B78A74-2764-4337-83DA-24D59D5A8722}" uniqueName="4" name="2023/24" queryTableFieldId="27"/>
    <tableColumn id="5" xr3:uid="{C9A552D5-4039-462F-A406-C4B11DF8253B}" uniqueName="5" name="2024/25" queryTableFieldId="5"/>
    <tableColumn id="6" xr3:uid="{240F6BC7-99E3-4672-9948-FAE819A68266}" uniqueName="6" name="2025/26" queryTableFieldId="6"/>
    <tableColumn id="9" xr3:uid="{EE3B0FAE-1DF4-4967-881E-481F6BD6A88D}" uniqueName="9" name="Year 1" queryTableFieldId="9" dataDxfId="381"/>
    <tableColumn id="10" xr3:uid="{513FAD26-715A-43A2-8543-44879C0DC62E}" uniqueName="10" name="Year 2" queryTableFieldId="10" dataDxfId="380"/>
    <tableColumn id="11" xr3:uid="{2D195FE7-4AD1-46CD-8C6D-4B238A2C9E05}" uniqueName="11" name="Year 3" queryTableFieldId="11" dataDxfId="379"/>
    <tableColumn id="12" xr3:uid="{A8B5A9CB-65A3-4254-8B56-2630A8E1332E}" uniqueName="12" name="Year 4" queryTableFieldId="12" dataDxfId="378"/>
    <tableColumn id="13" xr3:uid="{534C0350-A82A-4485-9E52-72CA15B2523E}" uniqueName="13" name="Year 5" queryTableFieldId="13" dataDxfId="377"/>
    <tableColumn id="20" xr3:uid="{4D094753-7808-4337-B684-54ABB8676842}" uniqueName="20" name="Year 6" queryTableFieldId="25" dataDxfId="376"/>
    <tableColumn id="14" xr3:uid="{C15CD18F-33BF-401D-B48D-8700885013CE}" uniqueName="14" name="Variance Yr1" queryTableFieldId="14" dataDxfId="375">
      <calculatedColumnFormula>Pupil_Number_Check[[#This Row],[2023/24]]-Pupil_Number_Check[[#This Row],[Year 1]]</calculatedColumnFormula>
    </tableColumn>
    <tableColumn id="15" xr3:uid="{6218636C-70BB-4CA4-97D4-CD515E99814F}" uniqueName="15" name="Variance Yr2" queryTableFieldId="15">
      <calculatedColumnFormula>Pupil_Number_Check[[#This Row],[2024/25]]-Pupil_Number_Check[[#This Row],[Year 2]]</calculatedColumnFormula>
    </tableColumn>
    <tableColumn id="16" xr3:uid="{4AD3B0AA-3C50-4E5C-987A-AD3DB897B1E3}" uniqueName="16" name="Variance Yr3" queryTableFieldId="16">
      <calculatedColumnFormula>Pupil_Number_Check[[#This Row],[2025/26]]-Pupil_Number_Check[[#This Row],[Year 3]]</calculatedColumnFormula>
    </tableColumn>
    <tableColumn id="17" xr3:uid="{C3C59A6D-2D6E-444A-8AA6-9D34AC2C2E3C}" uniqueName="17" name="Variance Yr4" queryTableFieldId="17">
      <calculatedColumnFormula>#REF!-Pupil_Number_Check[[#This Row],[Year 4]]</calculatedColumnFormula>
    </tableColumn>
    <tableColumn id="18" xr3:uid="{CF08A401-64DD-4B87-975D-455FB19C1453}" uniqueName="18" name="Variance Yr5" queryTableFieldId="18">
      <calculatedColumnFormula>#REF!-Pupil_Number_Check[[#This Row],[Year 5]]</calculatedColumnFormula>
    </tableColumn>
    <tableColumn id="21" xr3:uid="{7364B779-6871-4143-870F-2F44CAC472DD}" uniqueName="21" name="Variance Yr6" queryTableFieldId="26">
      <calculatedColumnFormula>#REF!-Pupil_Number_Check[[#This Row],[Year 6]]</calculatedColumnFormula>
    </tableColumn>
  </tableColumns>
  <tableStyleInfo name="IMP Colours"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1A832F57-4DFC-44C8-8AF3-870BC4894418}" name="PUPILS" displayName="PUPILS" ref="A1:O227" totalsRowShown="0" headerRowDxfId="374" dataDxfId="373">
  <autoFilter ref="A1:O227" xr:uid="{9DBDA118-9B75-4B7F-85B4-49AD3F4ABC5E}">
    <filterColumn colId="2">
      <filters>
        <filter val="PUPIL_UIFSM_JAN"/>
        <filter val="PUPIL_UIFSM_OCT"/>
      </filters>
    </filterColumn>
  </autoFilter>
  <tableColumns count="15">
    <tableColumn id="1" xr3:uid="{47249ECE-B71C-494D-8485-F32AC063CAC2}" name="School Type" dataDxfId="372"/>
    <tableColumn id="2" xr3:uid="{626E41EF-9A3F-4DF2-9E2D-351A3537FE68}" name="ScenarioCode" dataDxfId="371"/>
    <tableColumn id="3" xr3:uid="{E34C62E0-9EB9-4CE5-9BC9-04045D1C83D1}" name="FinanceCode" dataDxfId="370"/>
    <tableColumn id="4" xr3:uid="{A9F227B8-3748-4921-B061-5E8F00120FAF}" name="SchoolCode" dataDxfId="369"/>
    <tableColumn id="5" xr3:uid="{1DCC7195-BB6A-428D-9544-654AABA7D895}" name="LedgerCode" dataDxfId="368">
      <calculatedColumnFormula array="1">IF(_xlfn.XLOOKUP(PUPILS[[#This Row],[FinanceCode]],FC[FinanceCode],FC[AvailableToAllSchools])=TRUE,(_xlfn.XLOOKUP(PUPILS[[#This Row],[FinanceCode]],FC[FinanceCode],FC[LedgerCode])),_xlfn.XLOOKUP(1,(FC[FinanceCode]=PUPILS[[#This Row],[FinanceCode]])*(IF(FIND(PUPILS[[#This Row],[SchoolCode]],FC[SchoolCodes])&gt;=1,1,0)),FC[LedgerCode]))</calculatedColumnFormula>
    </tableColumn>
    <tableColumn id="6" xr3:uid="{C391A182-2B39-4BEC-B6BD-D9D53E102462}" name="DepartmentCode" dataDxfId="367"/>
    <tableColumn id="7" xr3:uid="{0D8D5082-C128-4B0E-AB53-55E033C01750}" name="FundCode" dataDxfId="366"/>
    <tableColumn id="8" xr3:uid="{A746FA00-D452-4EDB-A8DB-82FC91304D06}" name="CalculatorCode" dataDxfId="365"/>
    <tableColumn id="9" xr3:uid="{B24656F5-056C-421A-A346-891F730612F0}" name="MonthProfileCode" dataDxfId="364"/>
    <tableColumn id="14" xr3:uid="{FD10C7F9-89D7-4CD3-82FD-91787404F021}" name="Description" dataDxfId="363"/>
    <tableColumn id="15" xr3:uid="{3CCE13BA-C4D2-4799-B298-7D6352C980DB}" name="Notes" dataDxfId="362"/>
    <tableColumn id="32" xr3:uid="{BA2209C8-FBB2-43FD-82B6-A241EBF3F1DB}" name="YearNotes" dataDxfId="361"/>
    <tableColumn id="16" xr3:uid="{5CC25E74-C152-4F99-ABEC-D16FC03AC57D}" name="MatEditOnly" dataDxfId="360"/>
    <tableColumn id="19" xr3:uid="{09210A8C-122E-4A09-92F5-291305DB66D7}" name="Calculated" dataDxfId="359"/>
    <tableColumn id="20" xr3:uid="{2BBA674A-6634-4202-A606-7709974E969F}" name="YearValue" dataDxfId="358"/>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2C6145CD-781C-4F4C-8682-D7318259FBFC}" name="STATS" displayName="STATS" ref="A1:S479" totalsRowShown="0" headerRowDxfId="357" dataDxfId="356">
  <autoFilter ref="A1:S479" xr:uid="{9DBDA118-9B75-4B7F-85B4-49AD3F4ABC5E}"/>
  <tableColumns count="19">
    <tableColumn id="1" xr3:uid="{624B902B-7B8F-4C03-A7EB-86A7E2ECEC98}" name="School Type" dataDxfId="355"/>
    <tableColumn id="10" xr3:uid="{5AD92FB3-4FF8-40DF-A46C-E39ED0DA2F48}" name="LA" dataDxfId="354"/>
    <tableColumn id="31" xr3:uid="{4F0CA078-F8BB-476C-87FB-68AD4B4398CF}" name="London Weighting" dataDxfId="353">
      <calculatedColumnFormula>_xlfn.XLOOKUP(STATS[[#This Row],[FinanceCode]],FC[FinanceCode],FC[London Weighting]," ")</calculatedColumnFormula>
    </tableColumn>
    <tableColumn id="12" xr3:uid="{0C5E3F88-2F9E-44A9-939E-3EA1708D442A}" name="Key Stage" dataDxfId="352"/>
    <tableColumn id="2" xr3:uid="{1302E90E-7403-464A-B2E4-2E407C40DFD4}" name="ScenarioCode" dataDxfId="351"/>
    <tableColumn id="3" xr3:uid="{0427FB81-2BC7-4437-ABE8-805A99A0BF27}" name="FinanceCode" dataDxfId="350"/>
    <tableColumn id="4" xr3:uid="{81B83FDF-2D25-4CBC-880C-AEC3B09088BE}" name="SchoolCode" dataDxfId="349"/>
    <tableColumn id="5" xr3:uid="{F961965B-410F-4437-ADAE-28AD6EAB2E21}" name="LedgerCode" dataDxfId="348"/>
    <tableColumn id="6" xr3:uid="{7AAB0FB7-AABF-4FDC-B2E5-08A4B18E0927}" name="DepartmentCode" dataDxfId="347"/>
    <tableColumn id="7" xr3:uid="{70B61984-1643-407D-B105-2533A23C1143}" name="FundCode" dataDxfId="346"/>
    <tableColumn id="8" xr3:uid="{93755D54-7FDC-436F-B5C5-CF4401323669}" name="CalculatorCode" dataDxfId="345"/>
    <tableColumn id="9" xr3:uid="{969AC5BD-BC7D-4088-9588-96448256ECB1}" name="MonthProfileCode" dataDxfId="344"/>
    <tableColumn id="14" xr3:uid="{5C0E95E0-C5DB-4A84-9D2C-A210CD280B95}" name="Description" dataDxfId="343"/>
    <tableColumn id="15" xr3:uid="{D7B4B7EE-9F69-4916-8A05-4BB25233A939}" name="Notes" dataDxfId="342"/>
    <tableColumn id="34" xr3:uid="{772D2801-C865-4A5B-92EC-EB0CAAEB1401}" name="YearNotes" dataDxfId="341"/>
    <tableColumn id="16" xr3:uid="{FA4305A1-BA39-4A54-AF36-C747037030C0}" name="MatEditOnly" dataDxfId="340"/>
    <tableColumn id="18" xr3:uid="{0A406FD8-E8F4-42C5-9D21-03B35847E169}" name="FinancialYearCode" dataDxfId="339"/>
    <tableColumn id="19" xr3:uid="{B1E7F75B-2B75-47B4-A375-E345E994CE8A}" name="Calculated" dataDxfId="338"/>
    <tableColumn id="20" xr3:uid="{E19D7268-48D3-433C-AC32-E32AA54C4A78}" name="YearValue" dataDxfId="337"/>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CF4E086-1948-47C4-ACC0-D202C1D0A70C}" name="FUNDING" displayName="FUNDING" ref="A1:P334" totalsRowShown="0" headerRowDxfId="336" dataDxfId="335">
  <autoFilter ref="A1:P334" xr:uid="{9DBDA118-9B75-4B7F-85B4-49AD3F4ABC5E}">
    <filterColumn colId="0">
      <filters>
        <filter val="Primary"/>
      </filters>
    </filterColumn>
  </autoFilter>
  <tableColumns count="16">
    <tableColumn id="1" xr3:uid="{2D7246F4-FC62-44A0-A31D-2CE7D289BD8F}" name="School Type" dataDxfId="334"/>
    <tableColumn id="2" xr3:uid="{98667872-0A71-45A5-8F7E-7E31D0BA8D1C}" name="ScenarioCode" dataDxfId="333"/>
    <tableColumn id="3" xr3:uid="{BF596DC0-A974-4808-8D9F-822ACE6C5B11}" name="FinanceCode" dataDxfId="332"/>
    <tableColumn id="4" xr3:uid="{DF6A2172-1411-45F8-85E7-BA0DE6F07C1C}" name="SchoolCode" dataDxfId="331"/>
    <tableColumn id="5" xr3:uid="{B01B4B4C-7362-465D-871E-784D64B2B1AD}" name="LedgerCode" dataDxfId="330"/>
    <tableColumn id="6" xr3:uid="{1D67CFF1-C9E3-4B5B-B87C-312328E9C7AE}" name="DepartmentCode" dataDxfId="329"/>
    <tableColumn id="7" xr3:uid="{7B76C5BD-DD5D-417A-B812-B7077C98E237}" name="FundCode" dataDxfId="328"/>
    <tableColumn id="8" xr3:uid="{14E9B6B4-C37D-4BDC-8CDE-6CA92706EEFB}" name="CalculatorCode" dataDxfId="327"/>
    <tableColumn id="9" xr3:uid="{F1F2F131-022A-4BAC-B50E-FA59E8D64EC2}" name="MonthProfileCode" dataDxfId="326"/>
    <tableColumn id="14" xr3:uid="{0B976D17-C996-43BE-95A8-8159C38E8E1B}" name="Description" dataDxfId="325"/>
    <tableColumn id="15" xr3:uid="{2629E77B-7789-46DC-AD6E-5C1830A1695F}" name="Notes" dataDxfId="324"/>
    <tableColumn id="32" xr3:uid="{AA6AA39D-EED5-430A-A230-852E220DC949}" name="YearNotes" dataDxfId="323"/>
    <tableColumn id="16" xr3:uid="{2D5165FF-AB99-498A-B378-E9FAE7F9D2D4}" name="MatEditOnly" dataDxfId="322"/>
    <tableColumn id="18" xr3:uid="{49B0BBB1-CC9B-41B9-82A6-06C90F7B3935}" name="FinancialYearCode" dataDxfId="321"/>
    <tableColumn id="19" xr3:uid="{323DA6E9-8600-4731-991B-BF2DBCB898E5}" name="Calculated" dataDxfId="320"/>
    <tableColumn id="20" xr3:uid="{458B8B20-B3AA-4767-A1C8-A2C71E7DA2C9}" name="YearValue" dataDxfId="319"/>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D5CAB8D0-AF3A-40DA-BA5D-B28EF26760B2}" name="Pupils_import" displayName="Pupils_import" ref="A1:AL52" tableType="queryTable" totalsRowShown="0">
  <autoFilter ref="A1:AL52" xr:uid="{D5CAB8D0-AF3A-40DA-BA5D-B28EF26760B2}">
    <filterColumn colId="24">
      <filters>
        <filter val="FUNDED_KS3_ADJ"/>
        <filter val="FUNDED_KS4_ADJ"/>
        <filter val="FUNDED_KS5_ADJ"/>
        <filter val="FUNDED_PRI_ADJ"/>
      </filters>
    </filterColumn>
  </autoFilter>
  <tableColumns count="38">
    <tableColumn id="30" xr3:uid="{CF1D180D-2AD6-49E3-B760-2027F2148642}" uniqueName="30" name="Column1" queryTableFieldId="40" dataDxfId="318">
      <calculatedColumnFormula>Y2&amp;Z2&amp;TRIM(AF2)&amp;AJ2&amp;AB2</calculatedColumnFormula>
    </tableColumn>
    <tableColumn id="31" xr3:uid="{599C1736-AD85-4B87-87CC-A8845B68FA93}" uniqueName="31" name="DuplicateLine" queryTableFieldId="39" dataDxfId="317">
      <calculatedColumnFormula>COUNTIF(Pupils_import[Column1],Pupils_import[[#This Row],[Column1]])-1</calculatedColumnFormula>
    </tableColumn>
    <tableColumn id="32" xr3:uid="{2AB4DCE6-FC69-411E-AD26-776C74CC50A5}" uniqueName="32" name="FinanceCodeIssue" queryTableFieldId="38" dataDxfId="316">
      <calculatedColumnFormula array="1">IF(_xlfn.XLOOKUP(Pupils_import[[#This Row],[FinanceCode]],FC_import[FinanceCode],FC_import[AvailableToAllSchools],1,0,)=TRUE,0,IF(ISERROR(FIND(Pupils_import[[#This Row],[SchoolCode]],_xlfn.TEXTJOIN(",",TRUE,_xlfn.UNIQUE(IF(FC_import[FinanceCode]=Pupils_import[[#This Row],[FinanceCode]],FC_import[SchoolCodes],""))))),1,0))</calculatedColumnFormula>
    </tableColumn>
    <tableColumn id="33" xr3:uid="{8EF5ED66-1DF8-41A1-A498-056F065F0C3B}" uniqueName="33" name="LocationIssue" queryTableFieldId="37" dataDxfId="315">
      <calculatedColumnFormula>IF(COUNTIF(SCHOOLS[SchoolCode],Pupils_import[[#This Row],[SchoolCode]])&gt;0,0,1)</calculatedColumnFormula>
    </tableColumn>
    <tableColumn id="34" xr3:uid="{DF52E1ED-0B01-41FB-A074-C44297741654}" uniqueName="34" name="LedgerIssue" queryTableFieldId="36" dataDxfId="314">
      <calculatedColumnFormula>IF(COUNTIF(LEDGER[LedgerCode],Pupils_import[[#This Row],[LedgerCode]])&gt;0,0,1)</calculatedColumnFormula>
    </tableColumn>
    <tableColumn id="35" xr3:uid="{C2BA77D2-4B39-4CBD-A16A-2B5CFE44D5A7}" uniqueName="35" name="MonthProfileIssue" queryTableFieldId="35" dataDxfId="313">
      <calculatedColumnFormula>IF(ISBLANK(Pupils_import[[#This Row],[MonthProfileCode]]),1,IF(COUNTIF(MONTHPRF[Code],Pupils_import[[#This Row],[MonthProfileCode]])&gt;0,0,1))</calculatedColumnFormula>
    </tableColumn>
    <tableColumn id="36" xr3:uid="{0C245C24-393E-4C2C-8D11-8AE73CEA615C}" uniqueName="36" name="DepartmentIssue" queryTableFieldId="34" dataDxfId="312">
      <calculatedColumnFormula array="1">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calculatedColumnFormula>
    </tableColumn>
    <tableColumn id="37" xr3:uid="{5074A92B-D091-4FA3-906E-9129279F0D77}" uniqueName="37" name="FC/DEP Ledger Issue" queryTableFieldId="33" dataDxfId="311">
      <calculatedColumnFormula array="1">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calculatedColumnFormula>
    </tableColumn>
    <tableColumn id="38" xr3:uid="{8C38FFB7-2807-467F-A389-DC93294DBB22}" uniqueName="38" name="True/False Cal Issue" queryTableFieldId="32" dataDxfId="310">
      <calculatedColumnFormula>IF(ISBLANK(Pupils_import[[#This Row],[YearValue]])=Pupils_import[[#This Row],[Calculated]],0,1)</calculatedColumnFormula>
    </tableColumn>
    <tableColumn id="39" xr3:uid="{2C9541B1-F9D2-4073-B4EF-C4CAB98A9943}" uniqueName="39" name="Calc Issue" queryTableFieldId="31" dataDxfId="309">
      <calculatedColumnFormula>IF(ISBLANK(Pupils_import[[#This Row],[CalculatorCode]]),0,IF(COUNTIF(Calculators[CalculatorCode],Pupils_import[[#This Row],[CalculatorCode]])&gt;0,0,1))</calculatedColumnFormula>
    </tableColumn>
    <tableColumn id="3" xr3:uid="{C48C78E0-D191-40EE-9B88-4BD805844900}" uniqueName="3" name="Blank Description" queryTableFieldId="43" dataDxfId="308">
      <calculatedColumnFormula>IF(TRIM(Pupils_import[[#This Row],[Description]])="",1,0)</calculatedColumnFormula>
    </tableColumn>
    <tableColumn id="4" xr3:uid="{E3963B41-5942-4CAD-A6FA-FBED0DDC34D5}" uniqueName="4" name="Blank Mat edit only" queryTableFieldId="44" dataDxfId="307">
      <calculatedColumnFormula>IF(ISBLANK(Pupils_import[[#This Row],[MatEditOnly]]),1,0)</calculatedColumnFormula>
    </tableColumn>
    <tableColumn id="5" xr3:uid="{0C7333B0-E011-405E-95CE-78273C640A19}" uniqueName="5" name="Blank Year Code" queryTableFieldId="45" dataDxfId="306">
      <calculatedColumnFormula>IF(ISBLANK(Pupils_import[[#This Row],[FinancialYearCode]]),1,0)</calculatedColumnFormula>
    </tableColumn>
    <tableColumn id="6" xr3:uid="{DE060187-AC49-4868-988D-099D6CC19559}" uniqueName="6" name="Blank Calculated" queryTableFieldId="46" dataDxfId="305">
      <calculatedColumnFormula>IF(ISBLANK(Pupils_import[[#This Row],[Calculated]]),1,0)</calculatedColumnFormula>
    </tableColumn>
    <tableColumn id="7" xr3:uid="{1BBD5083-F629-45AD-9D1E-C7F990623552}" uniqueName="7" name="Codes are Uppercase" queryTableFieldId="47" dataDxfId="304">
      <calculatedColumnFormula>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calculatedColumnFormula>
    </tableColumn>
    <tableColumn id="10" xr3:uid="{674C5E52-B86F-4667-A484-BCCDB019D604}" uniqueName="10" name="Description Length Check" queryTableFieldId="53" dataDxfId="303">
      <calculatedColumnFormula>IF(LEN(Pupils_import[[#This Row],[Description]])&lt;100,0,1)</calculatedColumnFormula>
    </tableColumn>
    <tableColumn id="12" xr3:uid="{93B28F48-48EF-46F2-9171-7A59BE48F7B5}" uniqueName="12" name="Notes Length Check" queryTableFieldId="51" dataDxfId="302">
      <calculatedColumnFormula>IF(LEN(Pupils_import[[#This Row],[Notes]])&lt;4000,0,1)</calculatedColumnFormula>
    </tableColumn>
    <tableColumn id="11" xr3:uid="{817B2F72-3C3C-4DB6-BC24-7D1DF79C9B7E}" uniqueName="11" name="Year Notes length Check" queryTableFieldId="50" dataDxfId="301">
      <calculatedColumnFormula>IF(LEN(Pupils_import[[#This Row],[YearNotes]])&lt;4000,0,1)</calculatedColumnFormula>
    </tableColumn>
    <tableColumn id="9" xr3:uid="{4319F478-0BD4-49A1-93D2-546DECE59774}" uniqueName="9" name="TRUE/FALSE Check" queryTableFieldId="52" dataDxfId="300">
      <calculatedColumnFormula>IF(OR(Pupils_import[[#This Row],[MatEditOnly]]=TRUE,Pupils_import[[#This Row],[MatEditOnly]]=FALSE),IF(OR(Pupils_import[[#This Row],[Calculated]]=TRUE,Pupils_import[[#This Row],[Calculated]]=FALSE),0,1),1)</calculatedColumnFormula>
    </tableColumn>
    <tableColumn id="8" xr3:uid="{50C90111-49B5-4F95-B549-EEA639DA7171}" uniqueName="8" name="FinancialYearCode Check" queryTableFieldId="49" dataDxfId="299">
      <calculatedColumnFormula>IF(_xlfn.XLOOKUP(Pupils_import[[#This Row],[FinancialYearCode]],Years[Years],Years[Years],1)=Pupils_import[[#This Row],[FinancialYearCode]],0,1)</calculatedColumnFormula>
    </tableColumn>
    <tableColumn id="25" xr3:uid="{CB041B8E-A1D8-4F52-B877-907608529114}" uniqueName="25" name="MAT edit only required" queryTableFieldId="54" dataDxfId="298">
      <calculatedColumnFormula>IF(Pupils_import[[#This Row],[CalculatorCode]]="",0,IF(IF(_xlfn.XLOOKUP(Pupils_import[[#This Row],[CalculatorCode]],Calculators[CalculatorCode],Calculators[LockCheck])=1,TRUE,FALSE)=Pupils_import[[#This Row],[MatEditOnly]],0,1))</calculatedColumnFormula>
    </tableColumn>
    <tableColumn id="40" xr3:uid="{10BD6E5D-B39E-4404-A73E-7E7451E7FECA}" uniqueName="40" name="Will Import if 0" queryTableFieldId="30" dataDxfId="297">
      <calculatedColumnFormula>SUM(Pupils_import[[#This Row],[DuplicateLine]:[MAT edit only required]])</calculatedColumnFormula>
    </tableColumn>
    <tableColumn id="2" xr3:uid="{86C7711C-8F7D-4A71-855F-DCA868563282}" uniqueName="2" name="School Title" queryTableFieldId="42" dataDxfId="296">
      <calculatedColumnFormula>_xlfn.XLOOKUP(Pupils_import[[#This Row],[SchoolCode]],SCHOOLS[SchoolCode],SCHOOLS[Title])</calculatedColumnFormula>
    </tableColumn>
    <tableColumn id="13" xr3:uid="{352F84D1-B1D8-44E6-A80A-5663A9716B6F}" uniqueName="13" name="ScenarioCode" queryTableFieldId="13"/>
    <tableColumn id="14" xr3:uid="{CDAC4AA1-4AB0-422C-83B7-DC17B04F2A48}" uniqueName="14" name="FinanceCode" queryTableFieldId="14" dataDxfId="295"/>
    <tableColumn id="15" xr3:uid="{0DF868A8-2D04-4B5A-BF59-D179B85908DC}" uniqueName="15" name="SchoolCode" queryTableFieldId="15"/>
    <tableColumn id="16" xr3:uid="{21119291-0E6B-499B-86F2-5199D0B5BA08}" uniqueName="16" name="LedgerCode" queryTableFieldId="16" dataDxfId="294"/>
    <tableColumn id="17" xr3:uid="{406C4801-7EDE-482B-B6CA-702A1493E98C}" uniqueName="17" name="DepartmentCode" queryTableFieldId="17" dataDxfId="293"/>
    <tableColumn id="18" xr3:uid="{8B6F8665-B0F3-4095-932D-91C70236739D}" uniqueName="18" name="FundCode" queryTableFieldId="18"/>
    <tableColumn id="19" xr3:uid="{41BB4364-0EED-45C0-9A5B-931EF69CEFA7}" uniqueName="19" name="CalculatorCode" queryTableFieldId="19" dataDxfId="292"/>
    <tableColumn id="20" xr3:uid="{66A3E000-9D0B-47A4-8D42-BE70CD6824BA}" uniqueName="20" name="MonthProfileCode" queryTableFieldId="20" dataDxfId="291"/>
    <tableColumn id="21" xr3:uid="{ABAE86AB-2189-4FA9-A638-5DA56B13CA07}" uniqueName="21" name="Description" queryTableFieldId="21" dataDxfId="290"/>
    <tableColumn id="22" xr3:uid="{0F8365A0-FC77-4C6A-A3B3-FAFD06CE9761}" uniqueName="22" name="Notes" queryTableFieldId="22"/>
    <tableColumn id="23" xr3:uid="{DC887BED-DF11-4D4A-A4D1-95E5E5AEF87F}" uniqueName="23" name="YearNotes" queryTableFieldId="23"/>
    <tableColumn id="24" xr3:uid="{F4398CB6-6646-4069-B54A-F679C7D183F0}" uniqueName="24" name="MatEditOnly" queryTableFieldId="24"/>
    <tableColumn id="26" xr3:uid="{E17E8F13-46C6-469F-AD3C-5C6AC10EB248}" uniqueName="26" name="FinancialYearCode" queryTableFieldId="26" dataDxfId="289"/>
    <tableColumn id="27" xr3:uid="{9016AD63-4BB1-4C41-8960-F82DE29D92BC}" uniqueName="27" name="Calculated" queryTableFieldId="27"/>
    <tableColumn id="28" xr3:uid="{33FB1824-90BF-4B0D-9E2C-7B277D314182}" uniqueName="28" name="YearValue" queryTableFieldId="28"/>
  </tableColumns>
  <tableStyleInfo name="IMP Colours"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C7D61A0-2396-4EDB-A9B0-25548505BEDD}" name="Statistics_import" displayName="Statistics_import" ref="A1:AK2" tableType="queryTable" totalsRowShown="0">
  <autoFilter ref="A1:AK2" xr:uid="{8C7D61A0-2396-4EDB-A9B0-25548505BEDD}"/>
  <tableColumns count="37">
    <tableColumn id="31" xr3:uid="{1759D453-6A88-4C81-AEAF-BF0E8FFA8BAF}" uniqueName="31" name="Column1" queryTableFieldId="41" dataDxfId="288">
      <calculatedColumnFormula>X2&amp;Y2&amp;TRIM(AE2)&amp;AI2&amp;AA2</calculatedColumnFormula>
    </tableColumn>
    <tableColumn id="32" xr3:uid="{18C37FB1-D7E6-42C7-A84E-2B46A765D2BC}" uniqueName="32" name="DuplicateLine" queryTableFieldId="40" dataDxfId="287">
      <calculatedColumnFormula>COUNTIF(Statistics_import[Column1],Statistics_import[[#This Row],[Column1]])-1</calculatedColumnFormula>
    </tableColumn>
    <tableColumn id="33" xr3:uid="{C786D17E-7D00-470F-82A7-7F9B5C184538}" uniqueName="33" name="FinanceCodeIssue" queryTableFieldId="39" dataDxfId="286">
      <calculatedColumnFormula array="1">IF(_xlfn.XLOOKUP(Statistics_import[[#This Row],[FinanceCode]],FC_import[FinanceCode],FC_import[AvailableToAllSchools],1,0,)=TRUE,0,IF(ISERROR(FIND(Statistics_import[[#This Row],[SchoolCode]],_xlfn.TEXTJOIN(",",TRUE,_xlfn.UNIQUE(IF(FC_import[FinanceCode]=Statistics_import[[#This Row],[FinanceCode]],FC_import[SchoolCodes],""))))),1,0))</calculatedColumnFormula>
    </tableColumn>
    <tableColumn id="34" xr3:uid="{1B20B25D-5C4B-46FC-AE46-A440813573CE}" uniqueName="34" name="LocationIssue" queryTableFieldId="38" dataDxfId="285">
      <calculatedColumnFormula>IF(COUNTIF(SCHOOLS[SchoolCode],Statistics_import[[#This Row],[SchoolCode]])&gt;0,0,1)</calculatedColumnFormula>
    </tableColumn>
    <tableColumn id="35" xr3:uid="{2CD67284-4F1E-49DD-BDDD-F285ABA32044}" uniqueName="35" name="LedgerIssue" queryTableFieldId="37" dataDxfId="284">
      <calculatedColumnFormula>IF(COUNTIF(LEDGER[LedgerCode],Statistics_import[[#This Row],[LedgerCode]])&gt;0,0,1)</calculatedColumnFormula>
    </tableColumn>
    <tableColumn id="36" xr3:uid="{690C13B9-4676-408B-A091-27A853788DFC}" uniqueName="36" name="DepartmentIssue" queryTableFieldId="36" dataDxfId="283">
      <calculatedColumnFormula array="1">IF(_xlfn.XLOOKUP(Statistics_import[[#This Row],[DepartmentCode]]&amp;Statistics_import[[#This Row],[LedgerCode]],DEPTS[DepartmentCode]&amp;DEPTS[LedgerCode],DEPTS[AvailableToAllSchools],1,0,)=TRUE,0,IF(ISERROR(FIND(Statistics_import[[#This Row],[SchoolCode]],_xlfn.TEXTJOIN(",",TRUE,_xlfn.UNIQUE(IF(DEPTS[DepartmentCode]&amp;DEPTS[LedgerCode]=Statistics_import[[#This Row],[DepartmentCode]]&amp;Statistics_import[[#This Row],[LedgerCode]],DEPTS[SchoolCodes],""))))),1,0))</calculatedColumnFormula>
    </tableColumn>
    <tableColumn id="37" xr3:uid="{AED77DC2-C069-4669-A056-70B609F77DB5}" uniqueName="37" name="MonthProfileIssue" queryTableFieldId="35" dataDxfId="282">
      <calculatedColumnFormula>IF(ISBLANK(Statistics_import[[#This Row],[MonthProfileCode]]),1,IF(COUNTIF(MONTHPRF[Code],Statistics_import[[#This Row],[MonthProfileCode]])&gt;0,0,1))</calculatedColumnFormula>
    </tableColumn>
    <tableColumn id="38" xr3:uid="{FD5C13EA-47BB-4E2B-B375-F103DFA9815F}" uniqueName="38" name="FC/DEP Ledger Issue" queryTableFieldId="34" dataDxfId="281">
      <calculatedColumnFormula array="1">IF(_xlfn.XLOOKUP(Statistics_import[[#This Row],[DepartmentCode]]&amp;Statistics_import[[#This Row],[LedgerCode]],DEPTS[DepartmentCode]&amp;DEPTS[LedgerCode],DEPTS[AvailableToAllSchools])=TRUE,(IF((_xlfn.XLOOKUP(Statistics_import[[#This Row],[DepartmentCode]]&amp;Statistics_import[[#This Row],[LedgerCode]],DEPTS[DepartmentCode]&amp;DEPTS[LedgerCode],DEPTS[LedgerCode])=Statistics_import[[#This Row],[LedgerCode]]),0,1)),(IFERROR(IF(FIND(Statistics_import[[#This Row],[SchoolCode]],(_xlfn.TEXTJOIN(",",TRUE,IF(DEPTS[DepartmentCode]&amp;DEPTS[LedgerCode]=Statistics_import[[#This Row],[DepartmentCode]]&amp;Statistics_import[[#This Row],[LedgerCode]],DEPTS[SchoolCodes],"")))),0,1),1)))</calculatedColumnFormula>
    </tableColumn>
    <tableColumn id="39" xr3:uid="{11FF9194-8C1A-45D3-96A6-26806B145C13}" uniqueName="39" name="True/False Cal Issue" queryTableFieldId="33" dataDxfId="280">
      <calculatedColumnFormula>IF(ISBLANK(Statistics_import[[#This Row],[YearValue]])=Statistics_import[[#This Row],[Calculated]],0,1)</calculatedColumnFormula>
    </tableColumn>
    <tableColumn id="40" xr3:uid="{1A04C0CD-80F7-483D-9809-2BAC16EB1685}" uniqueName="40" name="Calc Issue" queryTableFieldId="32" dataDxfId="279">
      <calculatedColumnFormula>IF(ISBLANK(Statistics_import[[#This Row],[CalculatorCode]]),0,IF(COUNTIF(Calculators[CalculatorCode],Statistics_import[[#This Row],[CalculatorCode]])&gt;0,0,1))</calculatedColumnFormula>
    </tableColumn>
    <tableColumn id="5" xr3:uid="{BDF931D6-075B-4989-B1E4-8CCE583FB352}" uniqueName="5" name="Blank Description" queryTableFieldId="51" dataDxfId="278">
      <calculatedColumnFormula>IF(TRIM(Statistics_import[[#This Row],[Description]])="",1,0)</calculatedColumnFormula>
    </tableColumn>
    <tableColumn id="4" xr3:uid="{38F03CAD-194A-4ABE-87A8-88A1002780F3}" uniqueName="4" name="Blank Mat edit only" queryTableFieldId="50" dataDxfId="277">
      <calculatedColumnFormula>IF(ISBLANK(Statistics_import[[#This Row],[MatEditOnly]]),1,0)</calculatedColumnFormula>
    </tableColumn>
    <tableColumn id="3" xr3:uid="{7D6AD2D1-86C7-4A10-AF77-539420C232F9}" uniqueName="3" name="Blank Year Code" queryTableFieldId="49" dataDxfId="276">
      <calculatedColumnFormula>IF(ISBLANK(Statistics_import[[#This Row],[FinancialYearCode]]),1,0)</calculatedColumnFormula>
    </tableColumn>
    <tableColumn id="2" xr3:uid="{25FEE169-E671-4B26-9798-95F70F38A9BA}" uniqueName="2" name="Blank Calculated" queryTableFieldId="48" dataDxfId="275">
      <calculatedColumnFormula>IF(ISBLANK(Statistics_import[[#This Row],[Calculated]]),1,0)</calculatedColumnFormula>
    </tableColumn>
    <tableColumn id="6" xr3:uid="{424C8102-0AB9-4B8F-8576-B24EB801BF3B}" uniqueName="6" name="Codes are Uppercase" queryTableFieldId="52" dataDxfId="274">
      <calculatedColumnFormula>IF(EXACT(Statistics_import[[#This Row],[FinanceCode]],UPPER(Statistics_import[[#This Row],[FinanceCode]])),0,1)+IF(EXACT(Statistics_import[[#This Row],[SchoolCode]],UPPER(Statistics_import[[#This Row],[SchoolCode]])),0,1)+IF(EXACT(Statistics_import[[#This Row],[LedgerCode]],UPPER(Statistics_import[[#This Row],[LedgerCode]])),0,1)+IF(EXACT(Statistics_import[[#This Row],[DepartmentCode]],UPPER(Statistics_import[[#This Row],[DepartmentCode]])),0,1)+IF(EXACT(Statistics_import[[#This Row],[CalculatorCode]],UPPER(Statistics_import[[#This Row],[CalculatorCode]])),0,1)+IF(EXACT(Statistics_import[[#This Row],[MonthProfileCode]],UPPER(Statistics_import[[#This Row],[MonthProfileCode]])),0,1)</calculatedColumnFormula>
    </tableColumn>
    <tableColumn id="11" xr3:uid="{0AF08CF2-C72A-4DAE-BA3C-CD4C5114A730}" uniqueName="11" name="Description Length Check" queryTableFieldId="57" dataDxfId="273">
      <calculatedColumnFormula>IF(LEN(Statistics_import[[#This Row],[Description]])&lt;100,0,1)</calculatedColumnFormula>
    </tableColumn>
    <tableColumn id="9" xr3:uid="{370E6153-E8A2-4B4E-8534-DAA760528472}" uniqueName="9" name="Notes Length Check" queryTableFieldId="55" dataDxfId="272">
      <calculatedColumnFormula>IF(LEN(Statistics_import[[#This Row],[Notes]])&lt;4000,0,1)</calculatedColumnFormula>
    </tableColumn>
    <tableColumn id="8" xr3:uid="{9F44501E-0520-4E0A-B86F-9CC03E16192E}" uniqueName="8" name="Year Notes length Check" queryTableFieldId="54" dataDxfId="271">
      <calculatedColumnFormula>IF(LEN(Statistics_import[[#This Row],[YearNotes]])&lt;4000,0,1)</calculatedColumnFormula>
    </tableColumn>
    <tableColumn id="10" xr3:uid="{5D9917D3-329D-4C0C-B3D1-2E9D3483F1EF}" uniqueName="10" name="TRUE/FALSE Check" queryTableFieldId="56" dataDxfId="270">
      <calculatedColumnFormula>IF(OR(Statistics_import[[#This Row],[MatEditOnly]]=TRUE,Statistics_import[[#This Row],[MatEditOnly]]=FALSE),IF(OR(Statistics_import[[#This Row],[Calculated]]=TRUE,Statistics_import[[#This Row],[Calculated]]=FALSE),0,1),1)</calculatedColumnFormula>
    </tableColumn>
    <tableColumn id="7" xr3:uid="{3C33309E-B3BE-43A4-AF51-23C7F33F0B77}" uniqueName="7" name="FinancialYearCode Check" queryTableFieldId="53" dataDxfId="269">
      <calculatedColumnFormula>IF(_xlfn.XLOOKUP(Statistics_import[[#This Row],[FinancialYearCode]],Years[Years],Years[Years],1)=Statistics_import[[#This Row],[FinancialYearCode]],0,1)</calculatedColumnFormula>
    </tableColumn>
    <tableColumn id="41" xr3:uid="{D59F15ED-9A9A-4281-B193-5ED9D03377C6}" uniqueName="41" name="Will Import if 0" queryTableFieldId="31" dataDxfId="268">
      <calculatedColumnFormula>SUM(Statistics_import[[#This Row],[DuplicateLine]:[FinancialYearCode Check]])</calculatedColumnFormula>
    </tableColumn>
    <tableColumn id="1" xr3:uid="{2D93B6E5-DDE0-4AA2-88F3-82E38D97B79E}" uniqueName="1" name="School Title" queryTableFieldId="47" dataDxfId="267">
      <calculatedColumnFormula>_xlfn.XLOOKUP(Statistics_import[[#This Row],[SchoolCode]],SCHOOLS[SchoolCode],SCHOOLS[Title])</calculatedColumnFormula>
    </tableColumn>
    <tableColumn id="14" xr3:uid="{779F37EE-7775-4D49-B883-EB654E8269F8}" uniqueName="14" name="ScenarioCode" queryTableFieldId="14"/>
    <tableColumn id="15" xr3:uid="{1E2F0FED-3C74-473C-AD35-B18BADB7F662}" uniqueName="15" name="FinanceCode" queryTableFieldId="15" dataDxfId="266"/>
    <tableColumn id="16" xr3:uid="{A2093DB3-0415-499D-BD5F-67EEBD4FB5A1}" uniqueName="16" name="SchoolCode" queryTableFieldId="16"/>
    <tableColumn id="17" xr3:uid="{12410FE9-201C-4F7E-8733-DE4560612074}" uniqueName="17" name="LedgerCode" queryTableFieldId="17" dataDxfId="265"/>
    <tableColumn id="18" xr3:uid="{FD0BCBAA-B188-4B0F-A508-AB245CA2235D}" uniqueName="18" name="DepartmentCode" queryTableFieldId="18" dataDxfId="264"/>
    <tableColumn id="19" xr3:uid="{48A93FAE-724B-42FB-9E32-C549AF4B0EF5}" uniqueName="19" name="FundCode" queryTableFieldId="19"/>
    <tableColumn id="20" xr3:uid="{03AA560B-1421-40DF-966E-911A6AFE1F87}" uniqueName="20" name="CalculatorCode" queryTableFieldId="20" dataDxfId="263"/>
    <tableColumn id="21" xr3:uid="{759671F4-465B-4B3B-88C4-4E4592CCDF6B}" uniqueName="21" name="MonthProfileCode" queryTableFieldId="21" dataDxfId="262"/>
    <tableColumn id="22" xr3:uid="{BF1FCCF6-0B32-4DA1-84A8-4FEE863ED476}" uniqueName="22" name="Description" queryTableFieldId="22" dataDxfId="261"/>
    <tableColumn id="23" xr3:uid="{E7D06848-853D-436A-A00A-638F548ADD0B}" uniqueName="23" name="Notes" queryTableFieldId="23"/>
    <tableColumn id="24" xr3:uid="{D0AC44BE-61F1-46AC-864F-93E75CC3F671}" uniqueName="24" name="YearNotes" queryTableFieldId="24"/>
    <tableColumn id="25" xr3:uid="{95B37EB0-E1E0-45D6-92C4-F72A1B69D9E2}" uniqueName="25" name="MatEditOnly" queryTableFieldId="25"/>
    <tableColumn id="27" xr3:uid="{B95DA2B0-BBE9-41D4-B07D-511E5092FABE}" uniqueName="27" name="FinancialYearCode" queryTableFieldId="27" dataDxfId="260"/>
    <tableColumn id="28" xr3:uid="{81E1D66E-2973-49EA-8158-996DFD73726D}" uniqueName="28" name="Calculated" queryTableFieldId="28"/>
    <tableColumn id="29" xr3:uid="{619509B8-F993-41ED-B075-B285CF2F473E}" uniqueName="29" name="YearValue" queryTableFieldId="29"/>
  </tableColumns>
  <tableStyleInfo name="IMP Colours"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3CD4DD1-675B-46DC-90B1-F92D9B3D0606}" name="FS_Mapping" displayName="FS_Mapping" ref="A2:C47" totalsRowShown="0">
  <autoFilter ref="A2:C47" xr:uid="{B3CD4DD1-675B-46DC-90B1-F92D9B3D0606}"/>
  <tableColumns count="3">
    <tableColumn id="1" xr3:uid="{9A8B224A-795A-4F4D-9BA0-0F99BD3309FB}" name="Section" dataDxfId="259"/>
    <tableColumn id="2" xr3:uid="{06929CAD-A1CE-43B9-B0F8-956E62DA23E2}" name="Sub - section" dataDxfId="258"/>
    <tableColumn id="10" xr3:uid="{063FC107-9511-463F-B3B0-4BF862703149}" name="Description" dataDxfId="257"/>
  </tableColumns>
  <tableStyleInfo name="IMP Colours"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D8E815-E791-4119-A0B2-9CD586A895E9}" name="FS_Post_16" displayName="FS_Post_16" ref="P2:V3" tableType="queryTable" insertRow="1" totalsRowShown="0">
  <autoFilter ref="P2:V3" xr:uid="{BDD8E815-E791-4119-A0B2-9CD586A895E9}"/>
  <tableColumns count="7">
    <tableColumn id="7" xr3:uid="{4AD097CD-9640-4001-B175-9812F618715C}" uniqueName="7" name="SchoolCode" queryTableFieldId="7"/>
    <tableColumn id="4" xr3:uid="{90C00112-8DD6-4668-986F-E69343388F2E}" uniqueName="4" name="UKPRN" queryTableFieldId="4"/>
    <tableColumn id="3" xr3:uid="{AE031BF0-48BD-4CBC-8BAB-976BEC723004}" uniqueName="3" name="Name" queryTableFieldId="3"/>
    <tableColumn id="1" xr3:uid="{9DF2F3E4-8D01-47F9-9910-D597E606C2EC}" uniqueName="1" name="Funding Type" queryTableFieldId="1"/>
    <tableColumn id="5" xr3:uid="{FB6CB11F-9F36-4E87-BF9C-D1624931C4D3}" uniqueName="5" name="File Name" queryTableFieldId="5"/>
    <tableColumn id="2" xr3:uid="{C1CB11D5-24BA-4BA0-A23A-6FDCCA0DA971}" uniqueName="2" name="Amount" queryTableFieldId="2"/>
    <tableColumn id="8" xr3:uid="{14E5A450-8A2B-40AE-8102-2A0002B3D039}" uniqueName="8" name="Mapped Description" queryTableFieldId="13"/>
  </tableColumns>
  <tableStyleInfo name="IMP Colours"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0B0E457-6D1B-4D8F-B586-CE28B59A9EA4}" name="FS_Pre_16" displayName="FS_Pre_16" ref="A2:J3" tableType="queryTable" insertRow="1" totalsRowShown="0">
  <autoFilter ref="A2:J3" xr:uid="{30B0E457-6D1B-4D8F-B586-CE28B59A9EA4}"/>
  <tableColumns count="10">
    <tableColumn id="10" xr3:uid="{A0B50855-2F35-41D0-8A15-0B5370C89B0B}" uniqueName="10" name="SchoolCode" queryTableFieldId="35"/>
    <tableColumn id="6" xr3:uid="{AD6D0370-524C-4E04-861D-C9A8730E7DE6}" uniqueName="6" name="SchoolName" queryTableFieldId="28"/>
    <tableColumn id="7" xr3:uid="{D34D8C51-7D1C-4180-8721-489B9510CA9D}" uniqueName="7" name="URN" queryTableFieldId="29"/>
    <tableColumn id="9" xr3:uid="{FC0F8DF4-FDBD-454A-8FF0-2812BB326AD4}" uniqueName="9" name="Header - Cleaned" queryTableFieldId="33"/>
    <tableColumn id="1" xr3:uid="{D478DDAF-4E19-43A8-BEBA-E438B45B407E}" uniqueName="1" name="Header" queryTableFieldId="25" dataDxfId="256"/>
    <tableColumn id="2" xr3:uid="{CA21210C-A5BE-4B71-9FA9-69159B5C85F6}" uniqueName="2" name="Rate" queryTableFieldId="2"/>
    <tableColumn id="3" xr3:uid="{09439769-42C3-4687-BB68-9E218207ED5D}" uniqueName="3" name="Weighting" queryTableFieldId="3"/>
    <tableColumn id="4" xr3:uid="{DB64F653-B1BC-40A2-9443-6465139330B2}" uniqueName="4" name="Pupils" queryTableFieldId="4"/>
    <tableColumn id="5" xr3:uid="{C1DA62BC-08B6-45F4-A83B-56BEB69EA134}" uniqueName="5" name="Total" queryTableFieldId="26"/>
    <tableColumn id="8" xr3:uid="{FF29BDFF-9F41-424A-865B-4FE64179DF8A}" uniqueName="8" name="Mapped Description" queryTableFieldId="30"/>
  </tableColumns>
  <tableStyleInfo name="IMP Colours"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13CFC5CB-EF22-4EA8-ABB9-709A7A172EBA}" name="Funding_import" displayName="Funding_import" ref="A1:AM2" tableType="queryTable" insertRow="1" totalsRowShown="0">
  <autoFilter ref="A1:AM2" xr:uid="{13CFC5CB-EF22-4EA8-ABB9-709A7A172EBA}"/>
  <tableColumns count="39">
    <tableColumn id="1" xr3:uid="{ACE8D35A-AD34-4A54-A386-E5CDCF1AA540}" uniqueName="1" name="Column1" queryTableFieldId="41" dataDxfId="255">
      <calculatedColumnFormula>Z2&amp;AA2&amp;TRIM(AG2)&amp;AK2&amp;AC2</calculatedColumnFormula>
    </tableColumn>
    <tableColumn id="2" xr3:uid="{7999B32A-4002-483E-AE17-E8C4A19AF8D2}" uniqueName="2" name="DuplicateLine" queryTableFieldId="40" dataDxfId="254">
      <calculatedColumnFormula>COUNTIF(Funding_import[Column1],Funding_import[[#This Row],[Column1]])-1</calculatedColumnFormula>
    </tableColumn>
    <tableColumn id="3" xr3:uid="{DC398169-3E99-45BA-A9F7-540A2C4F9859}" uniqueName="3" name="FinanceCodeIssue" queryTableFieldId="39" dataDxfId="253">
      <calculatedColumnFormula array="1">IF(_xlfn.XLOOKUP(Funding_import[[#This Row],[FinanceCode]],FC_import[FinanceCode],FC_import[AvailableToAllSchools],1,0,)=TRUE,0,IF(ISERROR(FIND(Funding_import[[#This Row],[SchoolCode]],_xlfn.TEXTJOIN(",",TRUE,_xlfn.UNIQUE(IF(FC_import[FinanceCode]=Funding_import[[#This Row],[FinanceCode]],FC_import[SchoolCodes],""))))),1,0))</calculatedColumnFormula>
    </tableColumn>
    <tableColumn id="4" xr3:uid="{65E3A59E-4DA4-4F5F-ACE3-436AC62D5B4B}" uniqueName="4" name="LocationIssue" queryTableFieldId="38" dataDxfId="252">
      <calculatedColumnFormula>IF(COUNTIF(SCHOOLS[SchoolCode],Funding_import[[#This Row],[SchoolCode]])&gt;0,0,1)</calculatedColumnFormula>
    </tableColumn>
    <tableColumn id="5" xr3:uid="{FE7A1512-BA0F-4487-98F2-EE237F456B45}" uniqueName="5" name="LedgerIssue" queryTableFieldId="37" dataDxfId="251">
      <calculatedColumnFormula>IF(COUNTIF(LEDGER[LedgerCode],Funding_import[[#This Row],[LedgerCode]])&gt;0,0,1)</calculatedColumnFormula>
    </tableColumn>
    <tableColumn id="6" xr3:uid="{41CF8EF2-7EE0-430D-A584-BB659D01F569}" uniqueName="6" name="MonthProfileIssue" queryTableFieldId="36" dataDxfId="250">
      <calculatedColumnFormula>IF(ISBLANK(Funding_import[[#This Row],[MonthProfileCode]]),1,IF(COUNTIF(MONTHPRF[Code],Funding_import[[#This Row],[MonthProfileCode]])&gt;0,0,1))</calculatedColumnFormula>
    </tableColumn>
    <tableColumn id="7" xr3:uid="{FB07CF49-18AA-4435-92CB-E0AB27DCFCD8}" uniqueName="7" name="DepartmentIssue" queryTableFieldId="35" dataDxfId="249">
      <calculatedColumnFormula array="1">IF(_xlfn.XLOOKUP(Funding_import[[#This Row],[DepartmentCode]]&amp;Funding_import[[#This Row],[LedgerCode]],DEPTS[DepartmentCode]&amp;DEPTS[LedgerCode],DEPTS[AvailableToAllSchools],1,0,)=TRUE,0,IF(ISERROR(FIND(Funding_import[[#This Row],[SchoolCode]],_xlfn.TEXTJOIN(",",TRUE,_xlfn.UNIQUE(IF(DEPTS[DepartmentCode]&amp;DEPTS[LedgerCode]=Funding_import[[#This Row],[DepartmentCode]]&amp;Funding_import[[#This Row],[LedgerCode]],DEPTS[SchoolCodes],""))))),1,0))</calculatedColumnFormula>
    </tableColumn>
    <tableColumn id="8" xr3:uid="{D2A4AD7B-1318-4C8B-AF12-8BED7A7D5837}" uniqueName="8" name="FundCodeCheck" queryTableFieldId="34" dataDxfId="248">
      <calculatedColumnFormula>IF(Funding_import[[#This Row],[FundCode]]=0,0,IF(COUNTIF(FUNDS[FundCode],Funding_import[[#This Row],[FundCode]])&gt;0,0,1))</calculatedColumnFormula>
    </tableColumn>
    <tableColumn id="9" xr3:uid="{9CF14C50-AF78-4A77-92B3-BB70C29E14DC}" uniqueName="9" name="FC/DEP Ledger Issue" queryTableFieldId="33" dataDxfId="247">
      <calculatedColumnFormula array="1">IF(_xlfn.XLOOKUP(Funding_import[[#This Row],[DepartmentCode]]&amp;Funding_import[[#This Row],[LedgerCode]],DEPTS[DepartmentCode]&amp;DEPTS[LedgerCode],DEPTS[AvailableToAllSchools])=TRUE,(IF((_xlfn.XLOOKUP(Funding_import[[#This Row],[DepartmentCode]]&amp;Funding_import[[#This Row],[LedgerCode]],DEPTS[DepartmentCode]&amp;DEPTS[LedgerCode],DEPTS[LedgerCode])=Funding_import[[#This Row],[LedgerCode]]),0,1)),(IFERROR(IF(FIND(Funding_import[[#This Row],[SchoolCode]],(_xlfn.TEXTJOIN(",",TRUE,IF(DEPTS[DepartmentCode]&amp;DEPTS[LedgerCode]=Funding_import[[#This Row],[DepartmentCode]]&amp;Funding_import[[#This Row],[LedgerCode]],DEPTS[SchoolCodes],"")))),0,1),1)))</calculatedColumnFormula>
    </tableColumn>
    <tableColumn id="10" xr3:uid="{BF7A0367-3B74-4670-87C5-17444FE1ECD9}" uniqueName="10" name="True/False Cal Issue" queryTableFieldId="32" dataDxfId="246">
      <calculatedColumnFormula>IF(ISBLANK(Funding_import[[#This Row],[YearValue]])=Funding_import[[#This Row],[Calculated]],0,1)</calculatedColumnFormula>
    </tableColumn>
    <tableColumn id="11" xr3:uid="{8F52EA3F-C94D-47C1-8BB0-8BA7D0ABB00F}" uniqueName="11" name="Calc Issue" queryTableFieldId="31" dataDxfId="245">
      <calculatedColumnFormula>IF(ISBLANK(Funding_import[[#This Row],[CalculatorCode]]),0,IF(COUNTIF(Calculators[CalculatorCode],Funding_import[[#This Row],[CalculatorCode]])&gt;0,0,1))</calculatedColumnFormula>
    </tableColumn>
    <tableColumn id="33" xr3:uid="{CD721D3A-0B38-4B0B-9DD9-88E0CF81841D}" uniqueName="33" name="Blank Description" queryTableFieldId="48" dataDxfId="244">
      <calculatedColumnFormula>IF(TRIM(Funding_import[[#This Row],[Description]])="",1,0)</calculatedColumnFormula>
    </tableColumn>
    <tableColumn id="32" xr3:uid="{75756351-2A58-480B-81A1-6D3391952A94}" uniqueName="32" name="Blank Mat edit only" queryTableFieldId="47" dataDxfId="243">
      <calculatedColumnFormula>IF(ISBLANK(Funding_import[[#This Row],[MatEditOnly]]),1,0)</calculatedColumnFormula>
    </tableColumn>
    <tableColumn id="31" xr3:uid="{0C1E2582-688C-4823-8D2E-DB39F6235BD4}" uniqueName="31" name="Blank Year Code" queryTableFieldId="46" dataDxfId="242">
      <calculatedColumnFormula>IF(ISBLANK(Funding_import[[#This Row],[FinancialYearCode]]),1,0)</calculatedColumnFormula>
    </tableColumn>
    <tableColumn id="30" xr3:uid="{AB7F869E-510C-46F4-AF8E-DB96E128EACA}" uniqueName="30" name="Blank Calculated" queryTableFieldId="45" dataDxfId="241">
      <calculatedColumnFormula>IF(ISBLANK(Funding_import[[#This Row],[Calculated]]),1,0)</calculatedColumnFormula>
    </tableColumn>
    <tableColumn id="34" xr3:uid="{C58773EF-B69E-40AA-ABA3-1098F7A392BA}" uniqueName="34" name="Codes are Uppercase" queryTableFieldId="49" dataDxfId="240">
      <calculatedColumnFormula>IF(EXACT(Funding_import[[#This Row],[FinanceCode]],UPPER(Funding_import[[#This Row],[FinanceCode]])),0,1)+IF(EXACT(Funding_import[[#This Row],[SchoolCode]],UPPER(Funding_import[[#This Row],[SchoolCode]])),0,1)+IF(EXACT(Funding_import[[#This Row],[LedgerCode]],UPPER(Funding_import[[#This Row],[LedgerCode]])),0,1)+IF(EXACT(Funding_import[[#This Row],[DepartmentCode]],UPPER(Funding_import[[#This Row],[DepartmentCode]])),0,1)+IF(EXACT(Funding_import[[#This Row],[CalculatorCode]],UPPER(Funding_import[[#This Row],[CalculatorCode]])),0,1)+IF(EXACT(Funding_import[[#This Row],[MonthProfileCode]],UPPER(Funding_import[[#This Row],[MonthProfileCode]])),0,1)</calculatedColumnFormula>
    </tableColumn>
    <tableColumn id="39" xr3:uid="{6EFF4B0E-7D79-4CC0-88EC-69F600FFF583}" uniqueName="39" name="Description Length Check" queryTableFieldId="54" dataDxfId="239">
      <calculatedColumnFormula>IF(LEN(Funding_import[[#This Row],[Description]])&lt;100,0,1)</calculatedColumnFormula>
    </tableColumn>
    <tableColumn id="37" xr3:uid="{45DF01D0-F181-4BA9-9799-C550874E334D}" uniqueName="37" name="Notes Length Check" queryTableFieldId="52" dataDxfId="238">
      <calculatedColumnFormula>IF(LEN(Funding_import[[#This Row],[Notes]])&lt;4000,0,1)</calculatedColumnFormula>
    </tableColumn>
    <tableColumn id="36" xr3:uid="{ECDB1B82-D53E-4DF5-BC82-83D57835BDE7}" uniqueName="36" name="Year Notes length Check" queryTableFieldId="51" dataDxfId="237">
      <calculatedColumnFormula>IF(LEN(Funding_import[[#This Row],[YearNotes]])&lt;4000,0,1)</calculatedColumnFormula>
    </tableColumn>
    <tableColumn id="38" xr3:uid="{D602583A-A632-45CD-A91C-8BDB20573C83}" uniqueName="38" name="TRUE/FALSE Check" queryTableFieldId="53" dataDxfId="236">
      <calculatedColumnFormula>IF(OR(Funding_import[[#This Row],[MatEditOnly]]=TRUE,Funding_import[[#This Row],[MatEditOnly]]=FALSE),IF(OR(Funding_import[[#This Row],[Calculated]]=TRUE,Funding_import[[#This Row],[Calculated]]=FALSE),0,1),1)</calculatedColumnFormula>
    </tableColumn>
    <tableColumn id="35" xr3:uid="{84794753-3697-493B-80D9-A68667385346}" uniqueName="35" name="FinancialYearCode Check" queryTableFieldId="50" dataDxfId="235">
      <calculatedColumnFormula>IF(_xlfn.XLOOKUP(Funding_import[[#This Row],[FinancialYearCode]],Years[Years],Years[Years],1)=Funding_import[[#This Row],[FinancialYearCode]],0,1)</calculatedColumnFormula>
    </tableColumn>
    <tableColumn id="40" xr3:uid="{143A0CC7-22BB-4709-924E-D7A9DE4DF8F2}" uniqueName="40" name="MAT edit only required" queryTableFieldId="55" dataDxfId="234">
      <calculatedColumnFormula>IF(Funding_import[[#This Row],[CalculatorCode]]="",0,IF(IF(_xlfn.XLOOKUP(Funding_import[[#This Row],[CalculatorCode]],Calculators[CalculatorCode],Calculators[LockCheck])=1,TRUE,FALSE)=Funding_import[[#This Row],[MatEditOnly]],0,1))</calculatedColumnFormula>
    </tableColumn>
    <tableColumn id="12" xr3:uid="{993E5278-37F0-4072-BD5E-DFB562C75C82}" uniqueName="12" name="Will Import if 0" queryTableFieldId="30" dataDxfId="233">
      <calculatedColumnFormula>SUM(Funding_import[[#This Row],[DuplicateLine]:[MAT edit only required]])</calculatedColumnFormula>
    </tableColumn>
    <tableColumn id="25" xr3:uid="{7B458DF3-BFED-4FAF-B4D7-D39BF11DA276}" uniqueName="25" name="School Title" queryTableFieldId="42" dataDxfId="232">
      <calculatedColumnFormula>_xlfn.XLOOKUP(Funding_import[[#This Row],[SchoolCode]],SCHOOLS[SchoolCode],SCHOOLS[Title])</calculatedColumnFormula>
    </tableColumn>
    <tableColumn id="13" xr3:uid="{2FACD433-A5C8-4B38-9C7B-AD1CDB6B2F26}" uniqueName="13" name="ScenarioCode" queryTableFieldId="13"/>
    <tableColumn id="14" xr3:uid="{07BEA340-CBB1-4BC8-90DE-CE704B9805C3}" uniqueName="14" name="FinanceCode" queryTableFieldId="14" dataDxfId="231"/>
    <tableColumn id="15" xr3:uid="{DC4B9C37-3837-4E09-8B4A-372399EEFCDE}" uniqueName="15" name="SchoolCode" queryTableFieldId="15" dataDxfId="230"/>
    <tableColumn id="16" xr3:uid="{0871A68B-A29D-4767-AE93-6C30EB5D11C3}" uniqueName="16" name="LedgerCode" queryTableFieldId="16" dataDxfId="229"/>
    <tableColumn id="17" xr3:uid="{43BD336D-7AD2-49DA-9E57-CF868DE2A0B3}" uniqueName="17" name="DepartmentCode" queryTableFieldId="17" dataDxfId="228"/>
    <tableColumn id="18" xr3:uid="{4DE4E170-F8E5-40ED-8EA3-5A367F612B91}" uniqueName="18" name="FundCode" queryTableFieldId="18"/>
    <tableColumn id="20" xr3:uid="{85FCE5D0-DA7A-459B-A071-53583C718414}" uniqueName="20" name="MonthProfileCode" queryTableFieldId="20" dataDxfId="227"/>
    <tableColumn id="29" xr3:uid="{3E1B9C82-DCAB-4D93-ADDF-C72BD3BA7BB5}" uniqueName="29" name="CalculatorCode" queryTableFieldId="68" dataDxfId="226"/>
    <tableColumn id="21" xr3:uid="{719883E6-24FC-4FC7-BF76-4BFCB9D97053}" uniqueName="21" name="Description" queryTableFieldId="21" dataDxfId="225"/>
    <tableColumn id="22" xr3:uid="{9BFD3AD7-2769-4186-ACF5-588D60CEC3A1}" uniqueName="22" name="Notes" queryTableFieldId="22"/>
    <tableColumn id="23" xr3:uid="{450D18EF-232C-48CA-92D1-B55D0107849B}" uniqueName="23" name="YearNotes" queryTableFieldId="23"/>
    <tableColumn id="24" xr3:uid="{D2E771C8-2445-4D9C-961A-445D2941508D}" uniqueName="24" name="MatEditOnly" queryTableFieldId="24"/>
    <tableColumn id="26" xr3:uid="{FECE2FD2-D196-43AD-9AD0-4740F082FB39}" uniqueName="26" name="FinancialYearCode" queryTableFieldId="26" dataDxfId="224"/>
    <tableColumn id="27" xr3:uid="{0933A026-F7BF-4478-ACDE-F5296257C589}" uniqueName="27" name="Calculated" queryTableFieldId="27"/>
    <tableColumn id="28" xr3:uid="{54AB4450-FB98-4B27-9446-D1BAFB9402BC}" uniqueName="28" name="YearValue" queryTableFieldId="28" dataDxfId="223"/>
  </tableColumns>
  <tableStyleInfo name="IMP Colours"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6D99D928-EF05-4ED4-BD66-55158E2EA90A}" name="Income_import" displayName="Income_import" ref="A1:AM34" tableType="queryTable" totalsRowShown="0">
  <autoFilter ref="A1:AM34" xr:uid="{6D99D928-EF05-4ED4-BD66-55158E2EA90A}"/>
  <tableColumns count="39">
    <tableColumn id="1" xr3:uid="{81D1CB7B-865C-401D-92F0-1E292E354EF8}" uniqueName="1" name="Column1" queryTableFieldId="42" dataDxfId="222">
      <calculatedColumnFormula>Z2&amp;AA2&amp;TRIM(AG2)&amp;AK2&amp;AC2</calculatedColumnFormula>
    </tableColumn>
    <tableColumn id="2" xr3:uid="{7B3FFCE2-2885-4C95-933C-EEB7823418FC}" uniqueName="2" name="DuplicateLine" queryTableFieldId="41" dataDxfId="221">
      <calculatedColumnFormula>COUNTIF(Income_import[Column1],Income_import[[#This Row],[Column1]])-1</calculatedColumnFormula>
    </tableColumn>
    <tableColumn id="3" xr3:uid="{0C90C61E-FDE3-4D19-AF87-36A5DAA9F8DF}" uniqueName="3" name="FinanceCodeIssue" queryTableFieldId="40" dataDxfId="220">
      <calculatedColumnFormula array="1">IF(_xlfn.XLOOKUP(Income_import[[#This Row],[FinanceCode]],FinanceCodesBudget[FinanceCode],FinanceCodesBudget[AvailableToAllSchools],1,0,)=TRUE,0,IF(ISERROR(FIND(Income_import[[#This Row],[SchoolCode]],_xlfn.TEXTJOIN(",",TRUE,_xlfn.UNIQUE(IF(FinanceCodesBudget[FinanceCode]=Income_import[[#This Row],[FinanceCode]],FinanceCodesBudget[SchoolCodes],""))))),1,0))</calculatedColumnFormula>
    </tableColumn>
    <tableColumn id="4" xr3:uid="{75038744-1237-41B6-BDB5-D5780209087D}" uniqueName="4" name="LocationIssue" queryTableFieldId="39" dataDxfId="219">
      <calculatedColumnFormula>IF(COUNTIF(SCHOOLS[SchoolCode],Income_import[[#This Row],[SchoolCode]])&gt;0,0,1)</calculatedColumnFormula>
    </tableColumn>
    <tableColumn id="5" xr3:uid="{BAD57187-FDAD-4E3F-9774-4671B0F12A03}" uniqueName="5" name="LedgerIssue" queryTableFieldId="38" dataDxfId="218">
      <calculatedColumnFormula>IF(COUNTIF(LEDGER[],Income_import[[#This Row],[LedgerCode]])&gt;0,0,1)</calculatedColumnFormula>
    </tableColumn>
    <tableColumn id="6" xr3:uid="{E0584F93-B6E8-42CE-88F5-612AE2493A28}" uniqueName="6" name="MonthProfileIssue" queryTableFieldId="37" dataDxfId="217">
      <calculatedColumnFormula>IF(ISBLANK(Income_import[[#This Row],[MonthProfileCode]]),1,IF(COUNTIF(MONTHPRF[Code],Income_import[[#This Row],[MonthProfileCode]])&gt;0,0,1))</calculatedColumnFormula>
    </tableColumn>
    <tableColumn id="7" xr3:uid="{3B5BABCE-3476-4598-98C4-A30AD8073DC6}" uniqueName="7" name="DepartmentIssue" queryTableFieldId="36" dataDxfId="216">
      <calculatedColumnFormula array="1">IF(_xlfn.XLOOKUP(Income_import[[#This Row],[DepartmentCode]]&amp;Income_import[[#This Row],[LedgerCode]],DEPTS[DepartmentCode]&amp;DEPTS[LedgerCode],DEPTS[AvailableToAllSchools],1,0,)=TRUE,0,IF(ISERROR(FIND(Income_import[[#This Row],[SchoolCode]],_xlfn.TEXTJOIN(",",TRUE,_xlfn.UNIQUE(IF(DEPTS[DepartmentCode]&amp;DEPTS[LedgerCode]=Income_import[[#This Row],[DepartmentCode]]&amp;Income_import[[#This Row],[LedgerCode]],DEPTS[SchoolCodes],""))))),1,0))</calculatedColumnFormula>
    </tableColumn>
    <tableColumn id="8" xr3:uid="{270BFC5F-6872-4A87-B8A1-8F998388D1A2}" uniqueName="8" name="FundCodeCheck" queryTableFieldId="35" dataDxfId="215">
      <calculatedColumnFormula>IF(Income_import[[#This Row],[FundCode]]=0,0,IF(COUNTIF(FUNDS[FundCode],Income_import[[#This Row],[FundCode]])&gt;0,0,1))</calculatedColumnFormula>
    </tableColumn>
    <tableColumn id="9" xr3:uid="{1CA66284-7218-46DE-92F2-17F6D61BFF49}" uniqueName="9" name="FC/DEP Ledger Issue" queryTableFieldId="34" dataDxfId="214">
      <calculatedColumnFormula array="1">IF(_xlfn.XLOOKUP(Income_import[[#This Row],[DepartmentCode]]&amp;Income_import[[#This Row],[LedgerCode]],DEPTS[DepartmentCode]&amp;DEPTS[LedgerCode],DEPTS[AvailableToAllSchools])=TRUE,(IF((_xlfn.XLOOKUP(Income_import[[#This Row],[DepartmentCode]]&amp;Income_import[[#This Row],[LedgerCode]],DEPTS[DepartmentCode]&amp;DEPTS[LedgerCode],DEPTS[LedgerCode])=Income_import[[#This Row],[LedgerCode]]),0,1)),(IFERROR(IF(FIND(Income_import[[#This Row],[SchoolCode]],(_xlfn.TEXTJOIN(",",TRUE,IF(DEPTS[DepartmentCode]&amp;DEPTS[LedgerCode]=Income_import[[#This Row],[DepartmentCode]]&amp;Income_import[[#This Row],[LedgerCode]],DEPTS[SchoolCodes],"")))),0,1),1)))</calculatedColumnFormula>
    </tableColumn>
    <tableColumn id="10" xr3:uid="{49D084A0-A0CF-46E7-A018-106D041F594F}" uniqueName="10" name="True/False Cal Issue" queryTableFieldId="33" dataDxfId="213">
      <calculatedColumnFormula>IF(ISBLANK(Income_import[[#This Row],[YearValue]])=Income_import[[#This Row],[Calculated]],0,1)</calculatedColumnFormula>
    </tableColumn>
    <tableColumn id="11" xr3:uid="{7EBDDDE1-51B6-4D48-9719-13A79A1CEB19}" uniqueName="11" name="Calc Issue" queryTableFieldId="32" dataDxfId="212">
      <calculatedColumnFormula>IF(ISBLANK(Income_import[[#This Row],[CalculatorCode]]),0,IF(COUNTIF(Calculators[CalculatorCode],Income_import[[#This Row],[CalculatorCode]])&gt;0,0,1))</calculatedColumnFormula>
    </tableColumn>
    <tableColumn id="32" xr3:uid="{861BD1C6-505F-46E7-937F-B2A6442310CF}" uniqueName="32" name="Blank Description" queryTableFieldId="47" dataDxfId="211">
      <calculatedColumnFormula>IF(TRIM(Income_import[[#This Row],[Description]])="",1,0)</calculatedColumnFormula>
    </tableColumn>
    <tableColumn id="31" xr3:uid="{9AD34CF1-D992-4074-A640-5889C3569C96}" uniqueName="31" name="Blank Mat edit only" queryTableFieldId="46" dataDxfId="210">
      <calculatedColumnFormula>IF(ISBLANK(Income_import[[#This Row],[MatEditOnly]]),1,0)</calculatedColumnFormula>
    </tableColumn>
    <tableColumn id="30" xr3:uid="{C238AE5C-768D-4160-B604-BB68F2FC2002}" uniqueName="30" name="Blank Year Code" queryTableFieldId="45" dataDxfId="209">
      <calculatedColumnFormula>IF(ISBLANK(Income_import[[#This Row],[FinancialYearCode]]),1,0)</calculatedColumnFormula>
    </tableColumn>
    <tableColumn id="26" xr3:uid="{2E44A414-9548-4D60-B077-D64E1885EF9B}" uniqueName="26" name="Blank Calculated" queryTableFieldId="44" dataDxfId="208">
      <calculatedColumnFormula>IF(ISBLANK(Income_import[[#This Row],[Calculated]]),1,0)</calculatedColumnFormula>
    </tableColumn>
    <tableColumn id="33" xr3:uid="{CD462A29-2907-4082-BB73-FD48D99829E6}" uniqueName="33" name="Codes are Uppercase" queryTableFieldId="48" dataDxfId="207">
      <calculatedColumnFormula>IF(EXACT(Income_import[[#This Row],[FinanceCode]],UPPER(Income_import[[#This Row],[FinanceCode]])),0,1)+IF(EXACT(Income_import[[#This Row],[SchoolCode]],UPPER(Income_import[[#This Row],[SchoolCode]])),0,1)+IF(EXACT(Income_import[[#This Row],[LedgerCode]],UPPER(Income_import[[#This Row],[LedgerCode]])),0,1)+IF(EXACT(Income_import[[#This Row],[DepartmentCode]],UPPER(Income_import[[#This Row],[DepartmentCode]])),0,1)+IF(EXACT(Income_import[[#This Row],[CalculatorCode]],UPPER(Income_import[[#This Row],[CalculatorCode]])),0,1)+IF(EXACT(Income_import[[#This Row],[MonthProfileCode]],UPPER(Income_import[[#This Row],[MonthProfileCode]])),0,1)+IF(EXACT(Income_import[[#This Row],[FundCode]],UPPER(Income_import[[#This Row],[FundCode]])),0,1)</calculatedColumnFormula>
    </tableColumn>
    <tableColumn id="38" xr3:uid="{D64EC053-B06A-46BD-8134-7A037B2A4654}" uniqueName="38" name="Description Length Check" queryTableFieldId="53" dataDxfId="206">
      <calculatedColumnFormula>IF(LEN(Income_import[[#This Row],[Description]])&lt;100,0,1)</calculatedColumnFormula>
    </tableColumn>
    <tableColumn id="36" xr3:uid="{A22B8F38-3C7F-4DF1-AE8F-0C485F803833}" uniqueName="36" name="Notes Length Check" queryTableFieldId="51" dataDxfId="205">
      <calculatedColumnFormula>IF(LEN(Income_import[[#This Row],[Notes]])&lt;4000,0,1)</calculatedColumnFormula>
    </tableColumn>
    <tableColumn id="35" xr3:uid="{61D7A1D7-6FC3-4655-9FB0-3E065BBC99E5}" uniqueName="35" name="Year Notes length Check" queryTableFieldId="50" dataDxfId="204">
      <calculatedColumnFormula>IF(LEN(Income_import[[#This Row],[YearNotes]])&lt;4000,0,1)</calculatedColumnFormula>
    </tableColumn>
    <tableColumn id="37" xr3:uid="{F14BC0D6-CE59-4EA8-B1FA-D0811EC5EC09}" uniqueName="37" name="TRUE/FALSE Check" queryTableFieldId="52" dataDxfId="203">
      <calculatedColumnFormula>IF(OR(Income_import[[#This Row],[MatEditOnly]]=TRUE,Income_import[[#This Row],[MatEditOnly]]=FALSE),IF(OR(Income_import[[#This Row],[Calculated]]=TRUE,Income_import[[#This Row],[Calculated]]=FALSE),0,1),1)</calculatedColumnFormula>
    </tableColumn>
    <tableColumn id="34" xr3:uid="{CD7B149C-3028-4A62-9314-D82A14230718}" uniqueName="34" name="FinancialYearCode Check" queryTableFieldId="49" dataDxfId="202">
      <calculatedColumnFormula>IF(_xlfn.XLOOKUP(Income_import[[#This Row],[FinancialYearCode]],Years[Years],Years[Years],1)=Income_import[[#This Row],[FinancialYearCode]],0,1)</calculatedColumnFormula>
    </tableColumn>
    <tableColumn id="39" xr3:uid="{812A862A-B161-4EAD-9454-8EF7BB3FE8B9}" uniqueName="39" name="MAT edit only required" queryTableFieldId="54" dataDxfId="201">
      <calculatedColumnFormula>IF(Income_import[[#This Row],[CalculatorCode]]="",0,IF(IF(_xlfn.XLOOKUP(Income_import[[#This Row],[CalculatorCode]],Calculators[CalculatorCode],Calculators[LockCheck])=1,TRUE,FALSE)=Income_import[[#This Row],[MatEditOnly]],0,1))</calculatedColumnFormula>
    </tableColumn>
    <tableColumn id="12" xr3:uid="{1EDD2A0A-A588-415E-AA07-1265F76D7395}" uniqueName="12" name="Will Import if 0" queryTableFieldId="31" dataDxfId="200">
      <calculatedColumnFormula>SUM(Income_import[[#This Row],[DuplicateLine]:[MAT edit only required]])</calculatedColumnFormula>
    </tableColumn>
    <tableColumn id="13" xr3:uid="{B7120BC6-E2E3-49DF-B184-A8079762E08D}" uniqueName="13" name="School Title" queryTableFieldId="43" dataDxfId="199">
      <calculatedColumnFormula>_xlfn.XLOOKUP(Income_import[[#This Row],[SchoolCode]],SCHOOLS[SchoolCode],SCHOOLS[Title])</calculatedColumnFormula>
    </tableColumn>
    <tableColumn id="14" xr3:uid="{94737F0D-531D-4CBE-B124-D27DA5CCD9F6}" uniqueName="14" name="ScenarioCode" queryTableFieldId="14"/>
    <tableColumn id="15" xr3:uid="{BA44FE74-991F-4E12-ABB2-BC499DAE0DDA}" uniqueName="15" name="FinanceCode" queryTableFieldId="15"/>
    <tableColumn id="16" xr3:uid="{DC48B590-B77F-473E-8E8D-4FC467999FC8}" uniqueName="16" name="SchoolCode" queryTableFieldId="16"/>
    <tableColumn id="17" xr3:uid="{40A5CE8C-1B3F-43DE-A935-2B272251A76F}" uniqueName="17" name="LedgerCode" queryTableFieldId="17"/>
    <tableColumn id="18" xr3:uid="{ECD5EB2F-758C-4CA2-8B5A-0E3B7D54995A}" uniqueName="18" name="DepartmentCode" queryTableFieldId="18"/>
    <tableColumn id="19" xr3:uid="{FE3A14BB-C258-4830-8AD2-66B15B75033A}" uniqueName="19" name="FundCode" queryTableFieldId="19"/>
    <tableColumn id="20" xr3:uid="{C31BFD11-0F9F-41D5-9652-7F377F2BBDA0}" uniqueName="20" name="CalculatorCode" queryTableFieldId="20"/>
    <tableColumn id="21" xr3:uid="{3B9CFB58-E039-4410-8A93-9A283CDA9408}" uniqueName="21" name="MonthProfileCode" queryTableFieldId="21"/>
    <tableColumn id="22" xr3:uid="{986DA373-3A68-4871-925A-D63BE8D8B8D0}" uniqueName="22" name="Description" queryTableFieldId="22"/>
    <tableColumn id="23" xr3:uid="{B5A72144-641B-4812-98D5-D9BDC0EEBEF9}" uniqueName="23" name="Notes" queryTableFieldId="23"/>
    <tableColumn id="24" xr3:uid="{B745E705-6ECA-48D3-A011-A355FABF32A9}" uniqueName="24" name="YearNotes" queryTableFieldId="24"/>
    <tableColumn id="25" xr3:uid="{DB8EAEE9-368F-46DE-8C8D-AF1850638779}" uniqueName="25" name="MatEditOnly" queryTableFieldId="25"/>
    <tableColumn id="27" xr3:uid="{6DF2B7E4-1C09-45ED-85F0-EA6DD9F7E071}" uniqueName="27" name="FinancialYearCode" queryTableFieldId="27"/>
    <tableColumn id="28" xr3:uid="{A07B43F4-371D-48FF-A1C9-7B673C739F7F}" uniqueName="28" name="Calculated" queryTableFieldId="28"/>
    <tableColumn id="29" xr3:uid="{22E768D2-7C52-4C6D-8222-A0260C2A443E}" uniqueName="29" name="YearValue" queryTableFieldId="29"/>
  </tableColumns>
  <tableStyleInfo name="IMP Colours"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DBB2B318-CA44-438E-BB6C-A846721359FC}" name="INCOME" displayName="INCOME" ref="A1:Q185" totalsRowShown="0" headerRowDxfId="198" dataDxfId="197">
  <autoFilter ref="A1:Q185" xr:uid="{9DBDA118-9B75-4B7F-85B4-49AD3F4ABC5E}"/>
  <tableColumns count="17">
    <tableColumn id="1" xr3:uid="{A6B76413-F527-40E6-980B-3CC1A7E92B98}" name="School Type" dataDxfId="196"/>
    <tableColumn id="11" xr3:uid="{9E1EC63C-595B-41A4-B37F-394F1B1E2EEF}" name="London Weighting" dataDxfId="195"/>
    <tableColumn id="2" xr3:uid="{7648438C-BEDA-408E-8DAD-E207C2FD17EE}" name="ScenarioCode" dataDxfId="194"/>
    <tableColumn id="3" xr3:uid="{BA35CB78-FBF0-47D2-B28A-31BB9CC5B92C}" name="FinanceCode" dataDxfId="193"/>
    <tableColumn id="4" xr3:uid="{C75AFB72-ADC2-46C8-B82B-45E6B4D93798}" name="SchoolCode" dataDxfId="192"/>
    <tableColumn id="5" xr3:uid="{1A31EC9E-01FA-45D0-B215-5FC8379E2A53}" name="LedgerCode" dataDxfId="191"/>
    <tableColumn id="6" xr3:uid="{DBB6A7CA-3F5C-4EB1-B553-1715FC8AA3F1}" name="DepartmentCode" dataDxfId="190"/>
    <tableColumn id="7" xr3:uid="{15135689-FFD9-40AB-99BC-76E69F3A4EFD}" name="FundCode" dataDxfId="189"/>
    <tableColumn id="8" xr3:uid="{1DB63E78-8FAD-4B44-8158-0C818CAF89A9}" name="CalculatorCode" dataDxfId="188"/>
    <tableColumn id="9" xr3:uid="{6CB74239-95E9-4368-9D62-0E144ADA12BE}" name="MonthProfileCode" dataDxfId="187"/>
    <tableColumn id="14" xr3:uid="{8B8E642C-D5E1-42F1-921A-0FC47F3B6547}" name="Description" dataDxfId="186"/>
    <tableColumn id="15" xr3:uid="{AFE5204C-7B2B-4270-9CE3-8D6CCE9E1778}" name="Notes" dataDxfId="185"/>
    <tableColumn id="32" xr3:uid="{E9DA3EFB-82D2-4919-97C8-B1A933C42696}" name="YearNotes" dataDxfId="184"/>
    <tableColumn id="16" xr3:uid="{37A2B42B-7241-43A5-B3B2-ACD0B06A2962}" name="MatEditOnly" dataDxfId="183"/>
    <tableColumn id="18" xr3:uid="{F6A979BE-8A23-4C43-9D2D-91099EEDF81E}" name="FinancialYearCode" dataDxfId="182"/>
    <tableColumn id="19" xr3:uid="{BE46D2B6-E7FB-4497-AC1E-823AF10B07D1}" name="Calculated" dataDxfId="181"/>
    <tableColumn id="20" xr3:uid="{57636066-1AD4-4602-967E-789311495076}" name="YearValue" dataDxfId="180"/>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34A99E23-BAA4-4E28-91FC-36BD3C156DC3}" name="Expenditure_import" displayName="Expenditure_import" ref="A1:AN73" tableType="queryTable" totalsRowShown="0">
  <autoFilter ref="A1:AN73" xr:uid="{34A99E23-BAA4-4E28-91FC-36BD3C156DC3}">
    <filterColumn colId="31">
      <filters>
        <filter val="LEVY_ALL_SUP"/>
        <filter val="LEVY_ALL_TEA"/>
        <filter val="LEVY_SUP"/>
        <filter val="LEVY_TEA"/>
      </filters>
    </filterColumn>
  </autoFilter>
  <tableColumns count="40">
    <tableColumn id="1" xr3:uid="{FFF03E56-70C5-4DBA-9201-EAEA0FB68B05}" uniqueName="1" name="Column1" queryTableFieldId="42" dataDxfId="179">
      <calculatedColumnFormula>AA2&amp;AB2&amp;TRIM(AH2)&amp;AL2&amp;AD2</calculatedColumnFormula>
    </tableColumn>
    <tableColumn id="2" xr3:uid="{C0E8988A-B0EE-4146-8D8D-D5443A2A38BD}" uniqueName="2" name="DuplicateLine" queryTableFieldId="41" dataDxfId="178">
      <calculatedColumnFormula>COUNTIF(Expenditure_import[Column1],Expenditure_import[[#This Row],[Column1]])-1</calculatedColumnFormula>
    </tableColumn>
    <tableColumn id="3" xr3:uid="{10E1707C-C143-4CAE-9431-C88EEC2AA8EF}" uniqueName="3" name="FinanceCodeIssue" queryTableFieldId="40" dataDxfId="177">
      <calculatedColumnFormula array="1">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calculatedColumnFormula>
    </tableColumn>
    <tableColumn id="4" xr3:uid="{272B77F0-BF24-4860-B777-D0EBDDD84AEB}" uniqueName="4" name="LocationIssue" queryTableFieldId="39" dataDxfId="176">
      <calculatedColumnFormula>IF(COUNTIF(SCHOOLS[SchoolCode],Expenditure_import[[#This Row],[SchoolCode]])&gt;0,0,1)</calculatedColumnFormula>
    </tableColumn>
    <tableColumn id="5" xr3:uid="{089C04EC-84A3-4958-AD27-836C2915B1D8}" uniqueName="5" name="LedgerIssue" queryTableFieldId="38" dataDxfId="175">
      <calculatedColumnFormula>IF(COUNTIF(LEDGER[],Expenditure_import[[#This Row],[LedgerCode]])&gt;0,0,1)</calculatedColumnFormula>
    </tableColumn>
    <tableColumn id="6" xr3:uid="{B4AB76A9-961F-42CC-A785-4BC997E07C47}" uniqueName="6" name="MonthProfileIssue" queryTableFieldId="37" dataDxfId="174">
      <calculatedColumnFormula>IF(ISBLANK(Expenditure_import[[#This Row],[MonthProfileCode]]),1,IF(COUNTIF(MONTHPRF[Code],Expenditure_import[[#This Row],[MonthProfileCode]])&gt;0,0,1))</calculatedColumnFormula>
    </tableColumn>
    <tableColumn id="7" xr3:uid="{664364C9-8DE9-43F8-94B2-6DFC33C809F8}" uniqueName="7" name="DepartmentIssue" queryTableFieldId="36" dataDxfId="173">
      <calculatedColumnFormula array="1">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calculatedColumnFormula>
    </tableColumn>
    <tableColumn id="8" xr3:uid="{5D6FD860-A669-431E-BE4D-90A00A09E30E}" uniqueName="8" name="FundCodeCheck" queryTableFieldId="35" dataDxfId="172">
      <calculatedColumnFormula>IF(Expenditure_import[[#This Row],[FundCode]]=0,0,IF(COUNTIF(FUNDS[FundCode],Expenditure_import[[#This Row],[FundCode]])&gt;0,0,1))</calculatedColumnFormula>
    </tableColumn>
    <tableColumn id="9" xr3:uid="{B4F4DB41-49C8-4819-BC5C-B3804741B8DD}" uniqueName="9" name="FC/DEP Ledger Issue" queryTableFieldId="34" dataDxfId="171">
      <calculatedColumnFormula array="1">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calculatedColumnFormula>
    </tableColumn>
    <tableColumn id="10" xr3:uid="{4FE36559-7A05-4ABC-9397-0B2B29B39B6E}" uniqueName="10" name="True/False Cal Issue" queryTableFieldId="33" dataDxfId="170">
      <calculatedColumnFormula>IF(ISBLANK(Expenditure_import[[#This Row],[YearValue]])=Expenditure_import[[#This Row],[Calculated]],0,1)</calculatedColumnFormula>
    </tableColumn>
    <tableColumn id="11" xr3:uid="{3461419E-BD86-4EEE-ACE8-53E6324998F9}" uniqueName="11" name="Calc Issue" queryTableFieldId="32" dataDxfId="169">
      <calculatedColumnFormula>IF(ISBLANK(Expenditure_import[[#This Row],[CalculatorCode]]),0,IF(COUNTIF(Calculators[CalculatorCode],Expenditure_import[[#This Row],[CalculatorCode]])&gt;0,0,1))</calculatedColumnFormula>
    </tableColumn>
    <tableColumn id="33" xr3:uid="{C2025FB3-A37A-4F57-BE99-4AD353DCDE90}" uniqueName="33" name="Blank Description" queryTableFieldId="48" dataDxfId="168">
      <calculatedColumnFormula>IF(TRIM(Expenditure_import[[#This Row],[Description]])="",1,0)</calculatedColumnFormula>
    </tableColumn>
    <tableColumn id="32" xr3:uid="{26D58F50-7089-4E38-A46C-FCFD4513DEB1}" uniqueName="32" name="Blank Mat edit only" queryTableFieldId="47" dataDxfId="167">
      <calculatedColumnFormula>IF(ISBLANK(Expenditure_import[[#This Row],[MatEditOnly]]),1,0)</calculatedColumnFormula>
    </tableColumn>
    <tableColumn id="31" xr3:uid="{94991F0C-90C4-41A6-936D-E2CCF59F6EC6}" uniqueName="31" name="Blank Year Code" queryTableFieldId="46" dataDxfId="166">
      <calculatedColumnFormula>IF(ISBLANK(Expenditure_import[[#This Row],[FinancialYearCode]]),1,0)</calculatedColumnFormula>
    </tableColumn>
    <tableColumn id="30" xr3:uid="{886F6857-CA5F-4973-BD2C-D69F659EFFF7}" uniqueName="30" name="Blank Calculated" queryTableFieldId="45" dataDxfId="165">
      <calculatedColumnFormula>IF(ISBLANK(Expenditure_import[[#This Row],[Calculated]]),1,0)</calculatedColumnFormula>
    </tableColumn>
    <tableColumn id="34" xr3:uid="{E836DFFA-5175-4701-9E56-AB076FEA1B0C}" uniqueName="34" name="Codes are Uppercase" queryTableFieldId="49" dataDxfId="164">
      <calculatedColumnFormula>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calculatedColumnFormula>
    </tableColumn>
    <tableColumn id="39" xr3:uid="{42555CCA-DEFA-46A0-BCF3-9C7AD377975E}" uniqueName="39" name="Description Length Check" queryTableFieldId="54" dataDxfId="163">
      <calculatedColumnFormula>IF(LEN(Expenditure_import[[#This Row],[Description]])&lt;100,0,1)</calculatedColumnFormula>
    </tableColumn>
    <tableColumn id="37" xr3:uid="{265655E5-2123-4F80-9939-0D5D6139CCE5}" uniqueName="37" name="Notes Length Check" queryTableFieldId="52" dataDxfId="162">
      <calculatedColumnFormula>IF(LEN(Expenditure_import[[#This Row],[Notes]])&lt;4000,0,1)</calculatedColumnFormula>
    </tableColumn>
    <tableColumn id="36" xr3:uid="{C11CB1EC-5C85-409B-B86F-141FA4DB908B}" uniqueName="36" name="Year Notes length Check" queryTableFieldId="51" dataDxfId="161">
      <calculatedColumnFormula>IF(LEN(Expenditure_import[[#This Row],[YearNotes]])&lt;4000,0,1)</calculatedColumnFormula>
    </tableColumn>
    <tableColumn id="38" xr3:uid="{2E51D1FB-7BFC-44AF-87BB-70E40285E3DB}" uniqueName="38" name="TRUE/FALSE Check" queryTableFieldId="53" dataDxfId="160">
      <calculatedColumnFormula>IF(OR(Expenditure_import[[#This Row],[MatEditOnly]]=TRUE,Expenditure_import[[#This Row],[MatEditOnly]]=FALSE),IF(OR(Expenditure_import[[#This Row],[Calculated]]=TRUE,Expenditure_import[[#This Row],[Calculated]]=FALSE),0,1),1)</calculatedColumnFormula>
    </tableColumn>
    <tableColumn id="35" xr3:uid="{F92F315E-5456-479D-BE31-2CB7E2E5D475}" uniqueName="35" name="FinancialYearCode Check" queryTableFieldId="50" dataDxfId="159">
      <calculatedColumnFormula>IF(_xlfn.XLOOKUP(Expenditure_import[[#This Row],[FinancialYearCode]],Years[Years],Years[Years],1)=Expenditure_import[[#This Row],[FinancialYearCode]],0,1)</calculatedColumnFormula>
    </tableColumn>
    <tableColumn id="40" xr3:uid="{2C21F292-C1AD-488A-852D-EDB7275653F6}" uniqueName="40" name="MAT edit only required" queryTableFieldId="55" dataDxfId="158">
      <calculatedColumnFormula>IF(Expenditure_import[[#This Row],[CalculatorCode]]="",0,IF(IF(_xlfn.XLOOKUP(Expenditure_import[[#This Row],[CalculatorCode]],Calculators[CalculatorCode],Calculators[LockCheck])=1,TRUE,FALSE)=Expenditure_import[[#This Row],[MatEditOnly]],0,1))</calculatedColumnFormula>
    </tableColumn>
    <tableColumn id="12" xr3:uid="{6BBF4CF2-72B9-47C4-9502-5BFF55CB41CE}" uniqueName="12" name="Will Import if 0" queryTableFieldId="31" dataDxfId="157">
      <calculatedColumnFormula>SUM(Expenditure_import[[#This Row],[DuplicateLine]:[MAT edit only required]])</calculatedColumnFormula>
    </tableColumn>
    <tableColumn id="13" xr3:uid="{1D8031D9-139E-41AC-8B86-7EC66958E1B0}" uniqueName="13" name="SRG Check" queryTableFieldId="43" dataDxfId="156">
      <calculatedColumnFormula>COUNTIF(SRG[GrossSalaryFinanceCode],Expenditure_import[[#This Row],[FinanceCode]])+COUNTIF(SRG[EmployersNiFinanceCode],Expenditure_import[[#This Row],[FinanceCode]])+COUNTIF(SRG[PensionFinanceCode],Expenditure_import[[#This Row],[FinanceCode]])</calculatedColumnFormula>
    </tableColumn>
    <tableColumn id="26" xr3:uid="{0D79E6D3-3E53-4D79-BFEE-62F3F1A7DBE6}" uniqueName="26" name="School Title" queryTableFieldId="44" dataDxfId="155">
      <calculatedColumnFormula>_xlfn.XLOOKUP(Expenditure_import[[#This Row],[SchoolCode]],SCHOOLS[SchoolCode],SCHOOLS[Title])</calculatedColumnFormula>
    </tableColumn>
    <tableColumn id="14" xr3:uid="{A65D2A62-6E2F-4B1F-8F05-A3DE24EB96BF}" uniqueName="14" name="ScenarioCode" queryTableFieldId="14"/>
    <tableColumn id="15" xr3:uid="{AA9CDB0B-F5D9-47CF-B283-208D787F3B87}" uniqueName="15" name="FinanceCode" queryTableFieldId="15" dataDxfId="154"/>
    <tableColumn id="16" xr3:uid="{F7100FB3-906B-4BEA-9C49-AB7EA4BCCE2A}" uniqueName="16" name="SchoolCode" queryTableFieldId="16"/>
    <tableColumn id="17" xr3:uid="{5D84B9BB-BADE-4A74-80A5-66CD327B1AEE}" uniqueName="17" name="LedgerCode" queryTableFieldId="17" dataDxfId="153"/>
    <tableColumn id="18" xr3:uid="{6CD3C357-00AA-48E4-843F-E9045FF5355E}" uniqueName="18" name="DepartmentCode" queryTableFieldId="18" dataDxfId="152"/>
    <tableColumn id="19" xr3:uid="{84F8765E-1E2C-496B-A69D-A4AFF06DFA9E}" uniqueName="19" name="FundCode" queryTableFieldId="19"/>
    <tableColumn id="20" xr3:uid="{2138E4A0-B4D7-4A95-B737-B0B760764AB5}" uniqueName="20" name="CalculatorCode" queryTableFieldId="20" dataDxfId="151"/>
    <tableColumn id="21" xr3:uid="{C4C65937-025B-4977-A991-0631F5583223}" uniqueName="21" name="MonthProfileCode" queryTableFieldId="21" dataDxfId="150"/>
    <tableColumn id="22" xr3:uid="{B7090295-A5D6-4817-962C-5646A974BDAC}" uniqueName="22" name="Description" queryTableFieldId="22" dataDxfId="149"/>
    <tableColumn id="23" xr3:uid="{1EF6FD49-D430-4B45-A4B8-B277435BA16A}" uniqueName="23" name="Notes" queryTableFieldId="23"/>
    <tableColumn id="24" xr3:uid="{D89727BF-8843-4F3D-9664-B67401F354E7}" uniqueName="24" name="YearNotes" queryTableFieldId="24"/>
    <tableColumn id="25" xr3:uid="{E02E0938-A256-4D72-9870-6FFD647F2125}" uniqueName="25" name="MatEditOnly" queryTableFieldId="25"/>
    <tableColumn id="27" xr3:uid="{2E89408D-A788-4840-A350-AF0301DCCC97}" uniqueName="27" name="FinancialYearCode" queryTableFieldId="27" dataDxfId="148"/>
    <tableColumn id="28" xr3:uid="{4ED6052D-713D-4939-9328-CCC9F007D0D4}" uniqueName="28" name="Calculated" queryTableFieldId="28"/>
    <tableColumn id="29" xr3:uid="{DEABD978-B92E-4645-B2DA-F63EF5AF183D}" uniqueName="29" name="YearValue" queryTableFieldId="29"/>
  </tableColumns>
  <tableStyleInfo name="IMP Colours"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D33B632E-2004-4983-9B49-1A77717F5989}" name="EXPENDITURE" displayName="EXPENDITURE" ref="A1:P84" totalsRowShown="0" headerRowDxfId="147" dataDxfId="146">
  <autoFilter ref="A1:P84" xr:uid="{9DBDA118-9B75-4B7F-85B4-49AD3F4ABC5E}"/>
  <tableColumns count="16">
    <tableColumn id="1" xr3:uid="{4A24749B-F50D-401F-82DF-FC14BB651EB3}" name="School Type" dataDxfId="145"/>
    <tableColumn id="2" xr3:uid="{09BFF227-C03E-4789-BE61-5AF1D069379B}" name="ScenarioCode" dataDxfId="144"/>
    <tableColumn id="3" xr3:uid="{FF6A8C74-5846-42B8-B999-CDF1956B4CB7}" name="FinanceCode" dataDxfId="143"/>
    <tableColumn id="4" xr3:uid="{21E00E83-AA08-4208-9E6A-7424E0EC78D5}" name="SchoolCode" dataDxfId="142"/>
    <tableColumn id="5" xr3:uid="{D3E5C899-1E41-439A-9D88-2EF376A7BF26}" name="LedgerCode" dataDxfId="141"/>
    <tableColumn id="6" xr3:uid="{2F86D1DF-0235-4852-AC11-40F16839D4D9}" name="DepartmentCode" dataDxfId="140"/>
    <tableColumn id="7" xr3:uid="{EDCA1BAB-B8D6-4F01-AD82-CF7D2454D0C0}" name="FundCode" dataDxfId="139"/>
    <tableColumn id="8" xr3:uid="{D49F958D-CAF7-4DF8-83FF-8632F366AA98}" name="CalculatorCode" dataDxfId="138"/>
    <tableColumn id="9" xr3:uid="{82F6AAB4-77C7-4653-8973-F6B090BE8B5E}" name="MonthProfileCode" dataDxfId="137"/>
    <tableColumn id="14" xr3:uid="{25207C11-4705-44F8-B59E-246FC18993D2}" name="Description" dataDxfId="136"/>
    <tableColumn id="15" xr3:uid="{18877C40-CD00-4873-9983-33C46A7AFF13}" name="Notes" dataDxfId="135"/>
    <tableColumn id="32" xr3:uid="{B01FE258-19BC-4629-AF1E-2CB9F909F5DF}" name="YearNotes" dataDxfId="134"/>
    <tableColumn id="16" xr3:uid="{4EFFBEB5-A649-446A-91D4-1652AE761337}" name="MatEditOnly" dataDxfId="133"/>
    <tableColumn id="18" xr3:uid="{8D4AB530-77B5-4728-9663-93CCB5D1B33B}" name="FinancialYearCode" dataDxfId="132"/>
    <tableColumn id="19" xr3:uid="{150317AD-26F1-49C3-B57D-D2CC186E3EEE}" name="Calculated" dataDxfId="131"/>
    <tableColumn id="20" xr3:uid="{139F9C3E-7C19-4281-814E-5050E84EBA00}" name="YearValue" dataDxfId="130"/>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5A88A7B4-4BD9-4211-A004-A8A4BFEF4731}" name="BF_import" displayName="BF_import" ref="A1:AM7" tableType="queryTable" totalsRowShown="0">
  <autoFilter ref="A1:AM7" xr:uid="{5A88A7B4-4BD9-4211-A004-A8A4BFEF4731}"/>
  <sortState xmlns:xlrd2="http://schemas.microsoft.com/office/spreadsheetml/2017/richdata2" ref="A2:AM7">
    <sortCondition ref="Z2:Z7"/>
    <sortCondition ref="AA2:AA7"/>
  </sortState>
  <tableColumns count="39">
    <tableColumn id="1" xr3:uid="{CE0C1C59-010B-4A95-A90B-FA57E2AB7FFD}" uniqueName="1" name="Column1" queryTableFieldId="40" dataDxfId="129">
      <calculatedColumnFormula>BF_import[[#This Row],[ScenarioCode]]&amp;Z2&amp;AA2&amp;TRIM(AG2)&amp;AK2&amp;AC2</calculatedColumnFormula>
    </tableColumn>
    <tableColumn id="2" xr3:uid="{FFBBC954-07C4-4A31-A787-54F73A90B149}" uniqueName="2" name="DuplicateLine" queryTableFieldId="39" dataDxfId="128">
      <calculatedColumnFormula>COUNTIF(BF_import[Column1],BF_import[[#This Row],[Column1]])-1</calculatedColumnFormula>
    </tableColumn>
    <tableColumn id="3" xr3:uid="{358B4556-2788-442B-AAAA-A20494E16254}" uniqueName="3" name="FinanceCodeIssue" queryTableFieldId="38" dataDxfId="127">
      <calculatedColumnFormula array="1">IF(_xlfn.XLOOKUP(BF_import[[#This Row],[FinanceCode]],FC_import[FinanceCode],FC_import[AvailableToAllSchools],1,0,)=TRUE,0,IF(ISERROR(FIND(BF_import[[#This Row],[SchoolCode]],_xlfn.TEXTJOIN(",",TRUE,_xlfn.UNIQUE(IF(FC_import[FinanceCode]=BF_import[[#This Row],[FinanceCode]],FC_import[SchoolCodes],""))))),1,0))</calculatedColumnFormula>
    </tableColumn>
    <tableColumn id="4" xr3:uid="{3DE6513E-1683-4389-B1BF-9DA01E191BBC}" uniqueName="4" name="LocationIssue" queryTableFieldId="37" dataDxfId="126">
      <calculatedColumnFormula>IF(COUNTIF(SCHOOLS[SchoolCode],BF_import[[#This Row],[SchoolCode]])&gt;0,0,1)</calculatedColumnFormula>
    </tableColumn>
    <tableColumn id="5" xr3:uid="{35EE9309-C58F-48DF-94AE-EFD6F9AFC1F1}" uniqueName="5" name="LedgerIssue" queryTableFieldId="36" dataDxfId="125">
      <calculatedColumnFormula>IF(COUNTIF(LEDGER[LedgerCode],BF_import[[#This Row],[LedgerCode]])&gt;0,0,1)</calculatedColumnFormula>
    </tableColumn>
    <tableColumn id="6" xr3:uid="{FC3F5F3E-3FB6-4325-8666-0A4186F6FCA6}" uniqueName="6" name="MonthProfileIssue" queryTableFieldId="35" dataDxfId="124">
      <calculatedColumnFormula>IF(ISBLANK(BF_import[[#This Row],[MonthProfileCode]]),1,IF(COUNTIF(MONTHPRF[Code],BF_import[[#This Row],[MonthProfileCode]])&gt;0,0,1))</calculatedColumnFormula>
    </tableColumn>
    <tableColumn id="7" xr3:uid="{31B1C709-E409-4819-9E27-865B48D42CC7}" uniqueName="7" name="DepartmentIssue" queryTableFieldId="34" dataDxfId="123">
      <calculatedColumnFormula array="1">IF(_xlfn.XLOOKUP(BF_import[[#This Row],[DepartmentCode]],DEPTS[DepartmentCode],DEPTS[AvailableToAllSchools],1,0,)=TRUE,0,IF(ISERROR(FIND(BF_import[[#This Row],[SchoolCode]],_xlfn.TEXTJOIN(",",TRUE,_xlfn.UNIQUE(IF(DEPTS[DepartmentCode]=BF_import[[#This Row],[DepartmentCode]],DEPTS[SchoolCodes],""))))),1,0))</calculatedColumnFormula>
    </tableColumn>
    <tableColumn id="32" xr3:uid="{157A0260-9872-47E4-AAE2-9EC5C4750300}" uniqueName="32" name="FundCode Issue" queryTableFieldId="46" dataDxfId="122">
      <calculatedColumnFormula>IF(BF_import[[#This Row],[FundCode]]=0,0,IF(COUNTIF(FUNDS[FundCode],BF_import[[#This Row],[FundCode]])&gt;0,0,1))</calculatedColumnFormula>
    </tableColumn>
    <tableColumn id="8" xr3:uid="{1A0D630D-3DA1-4B15-87E6-A8D74199B5E8}" uniqueName="8" name="FC/DEP Ledger Issue" queryTableFieldId="33" dataDxfId="121">
      <calculatedColumnFormula array="1">IF(_xlfn.XLOOKUP(BF_import[[#This Row],[DepartmentCode]],DEPTS[DepartmentCode],DEPTS[AvailableToAllSchools])=TRUE,(IF((_xlfn.XLOOKUP(BF_import[[#This Row],[DepartmentCode]],DEPTS[DepartmentCode],DEPTS[LedgerCode])=BF_import[[#This Row],[LedgerCode]]),0,1)),(IFERROR(IF(FIND(BF_import[[#This Row],[SchoolCode]],(_xlfn.TEXTJOIN(",",TRUE,IF(DEPTS[DepartmentCode]&amp;DEPTS[LedgerCode]=BF_import[[#This Row],[DepartmentCode]]&amp;BF_import[[#This Row],[LedgerCode]],DEPTS[SchoolCodes],"")))),0,1),1)))</calculatedColumnFormula>
    </tableColumn>
    <tableColumn id="9" xr3:uid="{C456A4DE-AC73-4012-A217-34118D1CA699}" uniqueName="9" name="True/False Cal Issue" queryTableFieldId="32" dataDxfId="120">
      <calculatedColumnFormula>IF(ISBLANK(BF_import[[#This Row],[YearValue]])=BF_import[[#This Row],[Calculated]],0,1)</calculatedColumnFormula>
    </tableColumn>
    <tableColumn id="10" xr3:uid="{3F27504B-DBD9-49A0-BD20-074DB5D327E8}" uniqueName="10" name="Calc Issue" queryTableFieldId="31" dataDxfId="119">
      <calculatedColumnFormula>IF(ISBLANK(BF_import[[#This Row],[CalculatorCode]]),0,IF(COUNTIF(Calculators[CalculatorCode],BF_import[[#This Row],[CalculatorCode]])&gt;0,0,1))</calculatedColumnFormula>
    </tableColumn>
    <tableColumn id="31" xr3:uid="{4DDCBA53-2635-4EA0-AE19-8A775C9FF445}" uniqueName="31" name="Blank Description" queryTableFieldId="45" dataDxfId="118">
      <calculatedColumnFormula>IF(TRIM(BF_import[[#This Row],[Description]])="",1,0)</calculatedColumnFormula>
    </tableColumn>
    <tableColumn id="30" xr3:uid="{C0A02A47-B78C-4A19-9E25-6A053F3AC862}" uniqueName="30" name="Blank Mat edit only" queryTableFieldId="44" dataDxfId="117">
      <calculatedColumnFormula>IF(ISBLANK(BF_import[[#This Row],[MatEditOnly]]),1,0)</calculatedColumnFormula>
    </tableColumn>
    <tableColumn id="29" xr3:uid="{FF6812C1-4160-4F9B-A319-F80732DC2AC9}" uniqueName="29" name="Blank Year Code" queryTableFieldId="43" dataDxfId="116">
      <calculatedColumnFormula>IF(ISBLANK(BF_import[[#This Row],[FinancialYearCode]]),1,0)</calculatedColumnFormula>
    </tableColumn>
    <tableColumn id="25" xr3:uid="{64BF047C-C563-4811-81E6-8D22E353CFE8}" uniqueName="25" name="Blank Calculated" queryTableFieldId="42" dataDxfId="115">
      <calculatedColumnFormula>IF(ISBLANK(BF_import[[#This Row],[Calculated]]),1,0)</calculatedColumnFormula>
    </tableColumn>
    <tableColumn id="33" xr3:uid="{B4BB91F2-7463-4585-8FA4-0E6C1759EC82}" uniqueName="33" name="Codes are Uppercase" queryTableFieldId="47" dataDxfId="114">
      <calculatedColumnFormula>IF(EXACT(BF_import[[#This Row],[FinanceCode]],UPPER(BF_import[[#This Row],[FinanceCode]])),0,1)+IF(EXACT(BF_import[[#This Row],[SchoolCode]],UPPER(BF_import[[#This Row],[SchoolCode]])),0,1)+IF(EXACT(BF_import[[#This Row],[LedgerCode]],UPPER(BF_import[[#This Row],[LedgerCode]])),0,1)+IF(EXACT(BF_import[[#This Row],[DepartmentCode]],UPPER(BF_import[[#This Row],[DepartmentCode]])),0,1)+IF(EXACT(BF_import[[#This Row],[CalculatorCode]],UPPER(BF_import[[#This Row],[CalculatorCode]])),0,1)+IF(EXACT(BF_import[[#This Row],[MonthProfileCode]],UPPER(BF_import[[#This Row],[MonthProfileCode]])),0,1)+IF(EXACT(BF_import[[#This Row],[FundCode]],UPPER(BF_import[[#This Row],[FundCode]])),0,1)</calculatedColumnFormula>
    </tableColumn>
    <tableColumn id="38" xr3:uid="{E9859BF5-D7D0-425F-A5E8-5274151F8752}" uniqueName="38" name="Description Length Check" queryTableFieldId="52" dataDxfId="113">
      <calculatedColumnFormula>IF(LEN(BF_import[[#This Row],[Description]])&lt;100,0,1)</calculatedColumnFormula>
    </tableColumn>
    <tableColumn id="36" xr3:uid="{0D752342-BDF4-4F03-8C31-13E18C1A2EA9}" uniqueName="36" name="Notes Length Check" queryTableFieldId="50" dataDxfId="112">
      <calculatedColumnFormula>IF(LEN(BF_import[[#This Row],[Notes]])&lt;4000,0,1)</calculatedColumnFormula>
    </tableColumn>
    <tableColumn id="35" xr3:uid="{271F2C16-B2EB-4DB9-B22C-A8EFFCA88141}" uniqueName="35" name="Year Notes length Check" queryTableFieldId="49" dataDxfId="111">
      <calculatedColumnFormula>IF(LEN(BF_import[[#This Row],[YearNotes]])&lt;4000,0,1)</calculatedColumnFormula>
    </tableColumn>
    <tableColumn id="37" xr3:uid="{E0EBB4F0-A4BC-40EE-B683-8D7FD3B4A454}" uniqueName="37" name="TRUE/FALSE Check" queryTableFieldId="51" dataDxfId="110">
      <calculatedColumnFormula>IF(OR(BF_import[[#This Row],[MatEditOnly]]=TRUE,BF_import[[#This Row],[MatEditOnly]]=FALSE),IF(OR(BF_import[[#This Row],[Calculated]]=TRUE,BF_import[[#This Row],[Calculated]]=FALSE),0,1),1)</calculatedColumnFormula>
    </tableColumn>
    <tableColumn id="34" xr3:uid="{B58CD89D-52B2-494E-866E-4BA8CAC5A592}" uniqueName="34" name="FinancialYearCode Check" queryTableFieldId="48" dataDxfId="109">
      <calculatedColumnFormula>IF(_xlfn.XLOOKUP(BF_import[[#This Row],[FinancialYearCode]],Years[Years],Years[Years],1)=BF_import[[#This Row],[FinancialYearCode]],0,1)</calculatedColumnFormula>
    </tableColumn>
    <tableColumn id="39" xr3:uid="{9120E865-5685-4364-9E25-DB70AF35DDD7}" uniqueName="39" name="Space in ScenarioCode" queryTableFieldId="53" dataDxfId="108">
      <calculatedColumnFormula>IF(SUBSTITUTE(TEXT(BF_import[[#This Row],[ScenarioCode]],10)," ","")=TEXT(BF_import[[#This Row],[ScenarioCode]],10),0,1)</calculatedColumnFormula>
    </tableColumn>
    <tableColumn id="11" xr3:uid="{3251A591-EA09-4071-B025-182E9154F337}" uniqueName="11" name="Will Import if 0" queryTableFieldId="30" dataDxfId="107">
      <calculatedColumnFormula>SUM(BF_import[[#This Row],[DuplicateLine]:[Space in ScenarioCode]])</calculatedColumnFormula>
    </tableColumn>
    <tableColumn id="12" xr3:uid="{86F8CEFC-D00B-434E-A21C-4B478E42559D}" uniqueName="12" name="School Title" queryTableFieldId="41" dataDxfId="106">
      <calculatedColumnFormula>_xlfn.XLOOKUP(BF_import[[#This Row],[SchoolCode]],SCHOOLS[SchoolCode],SCHOOLS[Title])</calculatedColumnFormula>
    </tableColumn>
    <tableColumn id="13" xr3:uid="{50BC9526-7DF1-490C-9B1E-81D71D44F7D3}" uniqueName="13" name="ScenarioCode" queryTableFieldId="13"/>
    <tableColumn id="14" xr3:uid="{F03A322E-5C33-4E2A-906F-F6F4FB8335F3}" uniqueName="14" name="FinanceCode" queryTableFieldId="14" dataDxfId="105"/>
    <tableColumn id="15" xr3:uid="{99F60A16-738E-42B3-BD29-5F9288BAAD4A}" uniqueName="15" name="SchoolCode" queryTableFieldId="15"/>
    <tableColumn id="16" xr3:uid="{53583ECC-CE8B-4508-A64C-8BE799E9B076}" uniqueName="16" name="LedgerCode" queryTableFieldId="16" dataDxfId="104"/>
    <tableColumn id="17" xr3:uid="{B278BAE0-FC59-4D26-8333-090A25840768}" uniqueName="17" name="DepartmentCode" queryTableFieldId="17" dataDxfId="103"/>
    <tableColumn id="18" xr3:uid="{D61D2DD5-6AE9-4D8A-98F1-8EFC7A791F04}" uniqueName="18" name="FundCode" queryTableFieldId="18"/>
    <tableColumn id="19" xr3:uid="{3A202043-2FDF-4031-8802-2A747071CC1C}" uniqueName="19" name="CalculatorCode" queryTableFieldId="19" dataDxfId="102"/>
    <tableColumn id="20" xr3:uid="{3B85A48F-BD84-4936-9A78-624597581E20}" uniqueName="20" name="MonthProfileCode" queryTableFieldId="20" dataDxfId="101"/>
    <tableColumn id="21" xr3:uid="{1A3B626C-2E9B-4F4F-9CEB-A2018CEAFBEA}" uniqueName="21" name="Description" queryTableFieldId="21" dataDxfId="100"/>
    <tableColumn id="22" xr3:uid="{158B4B07-888F-4C4E-892D-19F13384E53C}" uniqueName="22" name="Notes" queryTableFieldId="22"/>
    <tableColumn id="23" xr3:uid="{CE2AD9F8-C37A-4477-8EA4-7A7C06482624}" uniqueName="23" name="YearNotes" queryTableFieldId="23"/>
    <tableColumn id="24" xr3:uid="{4CE2E177-93A6-4495-A303-27F22984AB24}" uniqueName="24" name="MatEditOnly" queryTableFieldId="24"/>
    <tableColumn id="26" xr3:uid="{A344A536-1102-4187-B959-0C2F76CB3A07}" uniqueName="26" name="FinancialYearCode" queryTableFieldId="26" dataDxfId="99"/>
    <tableColumn id="27" xr3:uid="{EA9F72A8-F303-43A0-A271-2CFA8951B549}" uniqueName="27" name="Calculated" queryTableFieldId="27"/>
    <tableColumn id="28" xr3:uid="{3D15529F-288A-453B-8A1B-8800E329A0D8}" uniqueName="28" name="YearValue" queryTableFieldId="28"/>
  </tableColumns>
  <tableStyleInfo name="IMP Colours"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92749768-54F5-46A3-B9FD-F36E8585BA2A}" name="BFBALANCE" displayName="BFBALANCE" ref="A1:P25" totalsRowShown="0" headerRowDxfId="98" dataDxfId="97">
  <autoFilter ref="A1:P25" xr:uid="{9DBDA118-9B75-4B7F-85B4-49AD3F4ABC5E}"/>
  <tableColumns count="16">
    <tableColumn id="1" xr3:uid="{73077C5B-89A0-44B1-94CD-D9F46114EF6E}" name="School Type" dataDxfId="96"/>
    <tableColumn id="2" xr3:uid="{9EB33ED4-D936-4B10-B18D-FDCC06445046}" name="ScenarioCode" dataDxfId="95"/>
    <tableColumn id="3" xr3:uid="{BF06B3F0-5D84-4007-87A9-8B15277BE263}" name="FinanceCode" dataDxfId="94"/>
    <tableColumn id="4" xr3:uid="{1255F230-220D-462C-A632-FB595853ADCF}" name="SchoolCode" dataDxfId="93"/>
    <tableColumn id="5" xr3:uid="{355B621A-F46E-432B-8F1A-444C3026B657}" name="LedgerCode" dataDxfId="92">
      <calculatedColumnFormula array="1">IF(_xlfn.XLOOKUP(BFBALANCE[[#This Row],[FinanceCode]],FC[FinanceCode],FC[AvailableToAllSchools])=TRUE,(_xlfn.XLOOKUP(BFBALANCE[[#This Row],[FinanceCode]],FC[FinanceCode],FC[LedgerCode])),_xlfn.XLOOKUP(1,(FC[FinanceCode]=BFBALANCE[[#This Row],[FinanceCode]])*(IF(FIND(BFBALANCE[[#This Row],[SchoolCode]],FC[SchoolCodes])&gt;=1,1,0)),FC[LedgerCode]))</calculatedColumnFormula>
    </tableColumn>
    <tableColumn id="6" xr3:uid="{04422020-84D6-4133-8AEA-3E7A00FE37CD}" name="DepartmentCode" dataDxfId="91">
      <calculatedColumnFormula array="1">IF(_xlfn.XLOOKUP(BFBALANCE[[#This Row],[FinanceCode]],FC[FinanceCode],FC[AvailableToAllSchools])=TRUE,(_xlfn.XLOOKUP(BFBALANCE[[#This Row],[FinanceCode]],FC[FinanceCode],FC[LedgerCode])),_xlfn.XLOOKUP(1,(FC[FinanceCode]=BFBALANCE[[#This Row],[FinanceCode]])*(IF(FIND(BFBALANCE[[#This Row],[SchoolCode]],FC[SchoolCodes])&gt;=1,1,0)),FC[LedgerCode]))</calculatedColumnFormula>
    </tableColumn>
    <tableColumn id="7" xr3:uid="{E922B47F-A3FC-4FC6-B104-6695EC3ADA58}" name="FundCode" dataDxfId="90"/>
    <tableColumn id="8" xr3:uid="{F02AA7EC-3DE0-481C-84E0-8A6D58BDC21D}" name="CalculatorCode" dataDxfId="89"/>
    <tableColumn id="9" xr3:uid="{5299756A-5654-4685-87D9-6FCE57741743}" name="MonthProfileCode" dataDxfId="88"/>
    <tableColumn id="14" xr3:uid="{F78C92FF-EDD3-4B63-9BEC-A6573318F8D7}" name="Description" dataDxfId="87"/>
    <tableColumn id="15" xr3:uid="{20927057-6777-4847-8FF8-2DBBED84E1A9}" name="Notes" dataDxfId="86"/>
    <tableColumn id="32" xr3:uid="{61086D81-79EA-4935-A295-74466955A576}" name="YearNotes" dataDxfId="85"/>
    <tableColumn id="16" xr3:uid="{98E0E091-6237-4B5D-936C-47EB270D05C2}" name="MatEditOnly" dataDxfId="84"/>
    <tableColumn id="18" xr3:uid="{4E0F950C-DAD8-437B-B8E2-70A602DE161B}" name="FinancialYearCode" dataDxfId="83"/>
    <tableColumn id="19" xr3:uid="{834EB982-7D48-4A47-AFF4-374E0FB16F38}" name="Calculated" dataDxfId="82"/>
    <tableColumn id="20" xr3:uid="{4292A2D9-552D-4BA6-8648-FF52D9BA1ED0}" name="YearValue" dataDxfId="81"/>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87CA15B-933E-4C1C-AAF0-C4818CEB22F5}" name="APBUD" displayName="APBUD" ref="A1:AN2" totalsRowShown="0" headerRowDxfId="80" dataDxfId="79">
  <autoFilter ref="A1:AN2" xr:uid="{587CA15B-933E-4C1C-AAF0-C4818CEB22F5}"/>
  <tableColumns count="40">
    <tableColumn id="1" xr3:uid="{092C2966-5047-4760-95A3-5967C35BF545}" name="Column1" dataDxfId="78">
      <calculatedColumnFormula>APBUD[[#This Row],[ScenarioCode]]&amp;AA2&amp;AB2&amp;TRIM(AH2)&amp;AL2&amp;AD2</calculatedColumnFormula>
    </tableColumn>
    <tableColumn id="2" xr3:uid="{3A6FD515-F0D9-4124-92DE-5E1170B98428}" name="DuplicateLine" dataDxfId="77">
      <calculatedColumnFormula>COUNTIF(APBUD[Column1],APBUD[[#This Row],[Column1]])-1</calculatedColumnFormula>
    </tableColumn>
    <tableColumn id="3" xr3:uid="{53982D22-D73C-4E49-896D-0C92A2C053BB}" name="FinanceCodeIssue" dataDxfId="76">
      <calculatedColumnFormula array="1">IF(_xlfn.XLOOKUP(APBUD[[#This Row],[FinanceCode]],FinanceCodesBudget[FinanceCode],FinanceCodesBudget[AvailableToAllSchools],1,0,)=TRUE,0,IF(ISERROR(FIND(APBUD[[#This Row],[SchoolCode]],_xlfn.TEXTJOIN(",",TRUE,_xlfn.UNIQUE(IF(FinanceCodesBudget[FinanceCode]=APBUD[[#This Row],[FinanceCode]],FinanceCodesBudget[SchoolCodes],""))))),1,0))</calculatedColumnFormula>
    </tableColumn>
    <tableColumn id="4" xr3:uid="{F7082652-C52D-4B31-8EAF-6F103EF76C68}" name="LocationIssue" dataDxfId="75">
      <calculatedColumnFormula>IF(COUNTIF(SCHOOLS[SchoolCode],APBUD[[#This Row],[SchoolCode]])&gt;0,0,1)</calculatedColumnFormula>
    </tableColumn>
    <tableColumn id="5" xr3:uid="{F29FDD35-10C8-4F48-9C10-8B15EAB51E25}" name="LedgerIssue" dataDxfId="74">
      <calculatedColumnFormula>IF(COUNTIF(LEDGER[LedgerCode],APBUD[[#This Row],[LedgerCode]])&gt;0,0,1)</calculatedColumnFormula>
    </tableColumn>
    <tableColumn id="19" xr3:uid="{D2AAC152-CD25-4B9A-B3E4-F7D6B34A91D4}" name="MonthProfileIssue" dataDxfId="73">
      <calculatedColumnFormula>IF(ISBLANK(APBUD[[#This Row],[MonthProfileCode]]),1,IF(COUNTIF(MONTHPRF[Code],APBUD[[#This Row],[MonthProfileCode]])&gt;0,0,1))</calculatedColumnFormula>
    </tableColumn>
    <tableColumn id="6" xr3:uid="{AE0E45B2-3BCD-4047-AC58-4FF755998100}" name="DepartmentIssue" dataDxfId="72">
      <calculatedColumnFormula array="1">IF(_xlfn.XLOOKUP(APBUD[[#This Row],[DepartmentCode]]&amp;APBUD[[#This Row],[LedgerCode]],DEPTS[DepartmentCode]&amp;DEPTS[LedgerCode],DEPTS[AvailableToAllSchools],1,0,)=TRUE,0,IF(ISERROR(FIND(APBUD[[#This Row],[SchoolCode]],_xlfn.TEXTJOIN(",",TRUE,_xlfn.UNIQUE(IF(DEPTS[DepartmentCode]&amp;DEPTS[LedgerCode]=APBUD[[#This Row],[DepartmentCode]]&amp;APBUD[[#This Row],[LedgerCode]],DEPTS[SchoolCodes],""))))),1,0))</calculatedColumnFormula>
    </tableColumn>
    <tableColumn id="20" xr3:uid="{19488E50-00ED-40EC-B9B7-1EB301AF9D85}" name="FundCodeCheck" dataDxfId="71">
      <calculatedColumnFormula>IF(APBUD[[#This Row],[FundCode]]=0,0,IF(COUNTIF(FUNDS[FundCode],APBUD[[#This Row],[FundCode]])&gt;0,0,1))</calculatedColumnFormula>
    </tableColumn>
    <tableColumn id="7" xr3:uid="{9F21DF08-E4EC-4D87-A5DE-550C45CB8791}" name="FC/DEP Ledger Issue" dataDxfId="70">
      <calculatedColumnFormula array="1">IF(_xlfn.XLOOKUP(APBUD[[#This Row],[DepartmentCode]]&amp;APBUD[[#This Row],[LedgerCode]],DEPTS[DepartmentCode]&amp;DEPTS[LedgerCode],DEPTS[AvailableToAllSchools])=TRUE,(IF((_xlfn.XLOOKUP(APBUD[[#This Row],[DepartmentCode]]&amp;APBUD[[#This Row],[LedgerCode]],DEPTS[DepartmentCode]&amp;DEPTS[LedgerCode],DEPTS[LedgerCode])=APBUD[[#This Row],[LedgerCode]]),0,1)),(IFERROR(IF(FIND(APBUD[[#This Row],[SchoolCode]],(_xlfn.TEXTJOIN(",",TRUE,IF(DEPTS[DepartmentCode]&amp;DEPTS[LedgerCode]=APBUD[[#This Row],[DepartmentCode]]&amp;APBUD[[#This Row],[LedgerCode]],DEPTS[SchoolCodes],"")))),0,1),1)))</calculatedColumnFormula>
    </tableColumn>
    <tableColumn id="30" xr3:uid="{477C7E6F-A61B-4064-A7F4-A7EA46F45750}" name="True/False Cal Issue" dataDxfId="69">
      <calculatedColumnFormula>IF(ISBLANK(APBUD[[#This Row],[YearValue]])=APBUD[[#This Row],[Calculated]],0,1)</calculatedColumnFormula>
    </tableColumn>
    <tableColumn id="8" xr3:uid="{EC92145B-76AF-4120-BE9B-664D611B1988}" name="Calc Issue" dataDxfId="68">
      <calculatedColumnFormula>IF(ISBLANK(APBUD[[#This Row],[CalculatorCode]]),0,IF(COUNTIF(Calculators[CalculatorCode],APBUD[[#This Row],[CalculatorCode]])&gt;0,0,1))</calculatedColumnFormula>
    </tableColumn>
    <tableColumn id="33" xr3:uid="{B7690052-046C-4BC8-95EC-9AC519AE9DDC}" name="Blank Description" dataDxfId="67">
      <calculatedColumnFormula>IF(TRIM(APBUD[[#This Row],[Description]])="",1,0)</calculatedColumnFormula>
    </tableColumn>
    <tableColumn id="31" xr3:uid="{AF87317C-4CCC-4E34-B835-4D57C3F6CC88}" name="Blank Mat edit only" dataDxfId="66">
      <calculatedColumnFormula>IF(ISBLANK(APBUD[[#This Row],[MatEditOnly]]),1,0)</calculatedColumnFormula>
    </tableColumn>
    <tableColumn id="26" xr3:uid="{8C2D8BAC-08FD-456D-B1EE-421FF0D897CC}" name="Blank Year Code" dataDxfId="65">
      <calculatedColumnFormula>IF(ISBLANK(APBUD[[#This Row],[FinancialYearCode]]),1,0)</calculatedColumnFormula>
    </tableColumn>
    <tableColumn id="22" xr3:uid="{03B99AAB-B97E-41C3-9803-FE8130CC2953}" name="Blank Calculated" dataDxfId="64">
      <calculatedColumnFormula>IF(ISBLANK(APBUD[[#This Row],[Calculated]]),1,0)</calculatedColumnFormula>
    </tableColumn>
    <tableColumn id="21" xr3:uid="{7D94C62D-FFAD-41D9-8300-95C690C58B8B}" name="Blank ScenarioCode" dataDxfId="63">
      <calculatedColumnFormula>IF(ISBLANK(APBUD[[#This Row],[ScenarioCode]]),1,0)</calculatedColumnFormula>
    </tableColumn>
    <tableColumn id="39" xr3:uid="{8AE7D948-5EA0-48C7-ACC1-A04F9B017176}" name="Description Length Check" dataDxfId="62">
      <calculatedColumnFormula>IF(LEN(APBUD[[#This Row],[Description]])&lt;100,0,1)</calculatedColumnFormula>
    </tableColumn>
    <tableColumn id="34" xr3:uid="{2DD569EB-FBB1-4B3B-9FC7-E839ADF7A14C}" name="Codes are Uppercase" dataDxfId="61">
      <calculatedColumnFormula>IF(EXACT(APBUD[[#This Row],[FinanceCode]],UPPER(APBUD[[#This Row],[FinanceCode]])),0,1)+IF(EXACT(APBUD[[#This Row],[SchoolCode]],UPPER(APBUD[[#This Row],[SchoolCode]])),0,1)+IF(EXACT(APBUD[[#This Row],[LedgerCode]],UPPER(APBUD[[#This Row],[LedgerCode]])),0,1)+IF(EXACT(APBUD[[#This Row],[DepartmentCode]],UPPER(APBUD[[#This Row],[DepartmentCode]])),0,1)+IF(EXACT(APBUD[[#This Row],[CalculatorCode]],UPPER(APBUD[[#This Row],[CalculatorCode]])),0,1)+IF(EXACT(APBUD[[#This Row],[MonthProfileCode]],UPPER(APBUD[[#This Row],[MonthProfileCode]])),0,1)+IF(EXACT(APBUD[[#This Row],[FundCode]],UPPER(APBUD[[#This Row],[FundCode]])),0,1)+IF(EXACT(APBUD[[#This Row],[ScenarioCode]],UPPER(APBUD[[#This Row],[ScenarioCode]])),0,1)</calculatedColumnFormula>
    </tableColumn>
    <tableColumn id="37" xr3:uid="{08374998-E13F-45DB-9CA3-4A2121799BD4}" name="Notes Length Check" dataDxfId="60">
      <calculatedColumnFormula>IF(LEN(APBUD[[#This Row],[Notes]])&lt;4000,0,1)</calculatedColumnFormula>
    </tableColumn>
    <tableColumn id="36" xr3:uid="{1960E76F-C085-4DB6-BF3C-3891C4CD2083}" name="Year Notes length Check" dataDxfId="59">
      <calculatedColumnFormula>IF(LEN(APBUD[[#This Row],[YearNotes]])&lt;4000,0,1)</calculatedColumnFormula>
    </tableColumn>
    <tableColumn id="38" xr3:uid="{B3BE8704-3EFB-40E6-AB67-3F5965116489}" name="TRUE/FALSE Check" dataDxfId="58">
      <calculatedColumnFormula>IF(OR(APBUD[[#This Row],[MatEditOnly]]=TRUE,APBUD[[#This Row],[MatEditOnly]]=FALSE),IF(OR(APBUD[[#This Row],[Calculated]]=TRUE,APBUD[[#This Row],[Calculated]]=FALSE),0,1),1)</calculatedColumnFormula>
    </tableColumn>
    <tableColumn id="35" xr3:uid="{EA5DA6B9-9044-452C-A82A-4A01E0A8ED7F}" name="FinancialYearCode Check" dataDxfId="57">
      <calculatedColumnFormula>IF(_xlfn.XLOOKUP(APBUD[[#This Row],[FinancialYearCode]],Years[Years],Years[Years],1)=APBUD[[#This Row],[FinancialYearCode]],0,1)</calculatedColumnFormula>
    </tableColumn>
    <tableColumn id="40" xr3:uid="{225A2DF5-D3A2-4419-868A-27CFCE089712}" name="Space in ScenarioCode" dataDxfId="56">
      <calculatedColumnFormula>IF(SUBSTITUTE(TEXT(APBUD[[#This Row],[ScenarioCode]],10)," ","")=TEXT(APBUD[[#This Row],[ScenarioCode]],10),0,1)</calculatedColumnFormula>
    </tableColumn>
    <tableColumn id="9" xr3:uid="{E8405C9D-D95A-49A4-B071-F833D292427A}" name="Will Import if 0" dataDxfId="55">
      <calculatedColumnFormula>SUM(APBUD[[#This Row],[DuplicateLine]:[Space in ScenarioCode]])</calculatedColumnFormula>
    </tableColumn>
    <tableColumn id="10" xr3:uid="{E2A79A07-AB85-4E3C-945D-6AD82693379C}" name="School Title" dataDxfId="54">
      <calculatedColumnFormula>_xlfn.XLOOKUP(APBUD[[#This Row],[SchoolCode]],SCHOOLS[SchoolCode],SCHOOLS[Title])</calculatedColumnFormula>
    </tableColumn>
    <tableColumn id="11" xr3:uid="{E47CE1DF-852C-4800-97D1-91543B8A5B80}" name="ScenarioCode" dataDxfId="53"/>
    <tableColumn id="12" xr3:uid="{D2E8BDEE-364F-46A2-B69C-6D54C9B721B0}" name="FinanceCode" dataDxfId="52"/>
    <tableColumn id="13" xr3:uid="{CAB0361C-658D-4369-BF67-DC90EB29AFED}" name="SchoolCode" dataDxfId="51"/>
    <tableColumn id="14" xr3:uid="{D9B09428-268E-4B7F-8843-D38F3F4F9413}" name="LedgerCode" dataDxfId="50">
      <calculatedColumnFormula array="1">IF(_xlfn.XLOOKUP(APBUD[[#This Row],[FinanceCode]],FinanceCodesBudget[FinanceCode],FinanceCodesBudget[AvailableToAllSchools])=TRUE,(_xlfn.XLOOKUP(APBUD[[#This Row],[FinanceCode]],FinanceCodesBudget[FinanceCode],FinanceCodesBudget[LedgerCode])),_xlfn.XLOOKUP(1,(FinanceCodesBudget[FinanceCode]=APBUD[[#This Row],[FinanceCode]])*(IF(FIND(APBUD[[#This Row],[SchoolCode]],FinanceCodesBudget[SchoolCodes])&gt;=1,1,0)),FinanceCodesBudget[LedgerCode]))</calculatedColumnFormula>
    </tableColumn>
    <tableColumn id="15" xr3:uid="{4F2F02FD-252A-4DFB-B90E-5616E6BD6A83}" name="DepartmentCode" dataDxfId="49"/>
    <tableColumn id="16" xr3:uid="{1EB5B099-3B3D-4270-A7AE-245DE5B0897B}" name="FundCode" dataDxfId="48"/>
    <tableColumn id="17" xr3:uid="{E07A31B4-0D6A-40C1-A931-B17774B272D3}" name="CalculatorCode" dataDxfId="47"/>
    <tableColumn id="18" xr3:uid="{ADD300E8-3627-4FA5-BAE3-4BC4686FE15F}" name="MonthProfileCode" dataDxfId="46"/>
    <tableColumn id="23" xr3:uid="{1BDDD446-8DEB-4974-B0CB-119BE1EFF675}" name="Description" dataDxfId="45"/>
    <tableColumn id="24" xr3:uid="{70EF0875-593A-47FF-9642-B4FDAC955EB0}" name="Notes" dataDxfId="44"/>
    <tableColumn id="32" xr3:uid="{13721D51-1387-4837-920A-5E246AC7125D}" name="YearNotes" dataDxfId="43"/>
    <tableColumn id="25" xr3:uid="{BBAD7C18-DE53-40DB-914E-B0B175CE6B1B}" name="MatEditOnly" dataDxfId="42"/>
    <tableColumn id="27" xr3:uid="{8543C3B6-05EC-4297-812A-7FBD17E41F11}" name="FinancialYearCode" dataDxfId="41"/>
    <tableColumn id="28" xr3:uid="{315395A0-A37E-4D93-82A5-460030CC0E6F}" name="Calculated" dataDxfId="40"/>
    <tableColumn id="29" xr3:uid="{6D9343AD-10D2-4925-846D-9BC6BD26F4AB}" name="YearValue" dataDxfId="39"/>
  </tableColumns>
  <tableStyleInfo name="IMP Colours"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C8D3B4B5-6209-47B0-AA39-52BBEAC167C1}" name="FUNDING_CODES" displayName="FUNDING_CODES" ref="A2:C10" totalsRowShown="0" headerRowDxfId="38" headerRowBorderDxfId="37" tableBorderDxfId="36" totalsRowBorderDxfId="35">
  <autoFilter ref="A2:C10" xr:uid="{CFCBC73A-B607-4F25-A602-071933510EC1}"/>
  <tableColumns count="3">
    <tableColumn id="1" xr3:uid="{BF6E75D7-69FD-4B7C-AD31-CBD3A75B9C36}" name="Funding Element" dataDxfId="34"/>
    <tableColumn id="2" xr3:uid="{FAD05A86-FFD8-49B1-8A05-508E68D18F50}" name="Finance Code" dataDxfId="33"/>
    <tableColumn id="3" xr3:uid="{930B7069-1E6D-4FD6-A18F-7CE30BE75EDF}" name="Department" dataDxfId="32"/>
  </tableColumns>
  <tableStyleInfo name="IMP Colours"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6C78C3A-96BD-460F-93DB-B66D0F8AD66B}" name="FS_CHECK" displayName="FS_CHECK" ref="F1:M10" tableType="queryTable" totalsRowShown="0">
  <autoFilter ref="F1:M10" xr:uid="{36C78C3A-96BD-460F-93DB-B66D0F8AD66B}"/>
  <tableColumns count="8">
    <tableColumn id="1" xr3:uid="{C4090849-EFD0-408A-9A1A-01E74B3497B0}" uniqueName="1" name="SchoolCode" queryTableFieldId="1" dataDxfId="31"/>
    <tableColumn id="2" xr3:uid="{1D06BC51-4E45-457A-8E39-DA28742095B9}" uniqueName="2" name="Title" queryTableFieldId="2"/>
    <tableColumn id="3" xr3:uid="{7FCEB03A-138E-4F01-A4DB-B8509C976E86}" uniqueName="3" name="Funding Statement Total" queryTableFieldId="17" dataDxfId="30"/>
    <tableColumn id="4" xr3:uid="{66A443D2-87C5-4B8A-9195-36DB2B0336BB}" uniqueName="4" name="Pre 16" queryTableFieldId="4" dataDxfId="29"/>
    <tableColumn id="5" xr3:uid="{035317C9-970F-4DBC-AF72-74A5C3BF0B86}" uniqueName="5" name="SFS" queryTableFieldId="5" dataDxfId="28"/>
    <tableColumn id="6" xr3:uid="{A12B44B9-AC2A-4EE6-ACEF-A0AB80E460A7}" uniqueName="6" name="Post 16" queryTableFieldId="6" dataDxfId="27"/>
    <tableColumn id="7" xr3:uid="{ACAA5EEA-CB76-48A7-AFA9-A8DE80B2CF9D}" uniqueName="7" name="Variance" queryTableFieldId="7" dataDxfId="26">
      <calculatedColumnFormula>FS_CHECK[[#This Row],[Funding Statement Total]]-SUM(FS_CHECK[[#This Row],[Pre 16]:[Post 16]])</calculatedColumnFormula>
    </tableColumn>
    <tableColumn id="8" xr3:uid="{BEEDA1F3-70A6-4B2E-97D2-E5841C4C76E4}" uniqueName="8" name="Notes" queryTableFieldId="8" dataDxfId="25"/>
  </tableColumns>
  <tableStyleInfo name="IMP Colours"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DBCC17D3-093C-41F8-B39D-A135F3B61E95}" name="ScenarioAppend" displayName="ScenarioAppend" ref="A1:Y190" tableType="queryTable" totalsRowShown="0">
  <autoFilter ref="A1:Y190" xr:uid="{DBCC17D3-093C-41F8-B39D-A135F3B61E95}">
    <filterColumn colId="4">
      <filters>
        <filter val="ALES"/>
      </filters>
    </filterColumn>
  </autoFilter>
  <tableColumns count="25">
    <tableColumn id="10" xr3:uid="{5559DD18-7F7E-4CD9-ADD5-4860D858B9BC}" uniqueName="10" name="Will Import if 0" queryTableFieldId="10"/>
    <tableColumn id="1" xr3:uid="{4C109569-A822-4344-96ED-72246DBE3FD1}" uniqueName="1" name="Tab" queryTableFieldId="1"/>
    <tableColumn id="13" xr3:uid="{CF7A240F-CEA0-4455-AA9D-2713F4FC97AC}" uniqueName="13" name="ScenarioCode" queryTableFieldId="13"/>
    <tableColumn id="14" xr3:uid="{7C778602-A054-4B4B-923A-76BFEFF9D6D0}" uniqueName="14" name="FinanceCode" queryTableFieldId="14"/>
    <tableColumn id="15" xr3:uid="{79BAC355-C927-49F1-8B36-5FBD69510FB2}" uniqueName="15" name="SchoolCode" queryTableFieldId="15"/>
    <tableColumn id="16" xr3:uid="{2EB332D4-0E0B-4327-AF8F-D0B8FA97970B}" uniqueName="16" name="LedgerCode" queryTableFieldId="16"/>
    <tableColumn id="17" xr3:uid="{C3471171-1A0D-470D-8529-BB4D210AD649}" uniqueName="17" name="DepartmentCode" queryTableFieldId="17"/>
    <tableColumn id="18" xr3:uid="{71795BD9-C6EC-442F-9125-25FEE40C0C55}" uniqueName="18" name="FundCode" queryTableFieldId="18"/>
    <tableColumn id="19" xr3:uid="{3F14DD34-8C9D-40A7-9F52-6719613C2999}" uniqueName="19" name="CalculatorCode" queryTableFieldId="19"/>
    <tableColumn id="20" xr3:uid="{0AF41EC7-BF8C-48E0-BA70-096F84C2F79E}" uniqueName="20" name="MonthProfileCode" queryTableFieldId="20"/>
    <tableColumn id="21" xr3:uid="{CA1CC01B-12ED-4282-A633-6C92AA6B8EF6}" uniqueName="21" name="StaffMemberCode" queryTableFieldId="21"/>
    <tableColumn id="22" xr3:uid="{18117690-2B43-4233-BE9D-E76AEDD47FA4}" uniqueName="22" name="StaffRoleCode" queryTableFieldId="22"/>
    <tableColumn id="33" xr3:uid="{8DE20B84-031F-4CF6-B30D-E3561557505D}" uniqueName="33" name="ContractReference" queryTableFieldId="33"/>
    <tableColumn id="23" xr3:uid="{1B875852-7FA3-4065-8913-E277E541D8A6}" uniqueName="23" name="ContractDateFrom" queryTableFieldId="23"/>
    <tableColumn id="24" xr3:uid="{33DB37B7-0FBD-46DF-B319-E73F9C4F7F12}" uniqueName="24" name="ContractDateTo" queryTableFieldId="24"/>
    <tableColumn id="25" xr3:uid="{F7366067-0836-43C5-BAC8-C01B53D55A18}" uniqueName="25" name="Description" queryTableFieldId="25" dataDxfId="24"/>
    <tableColumn id="26" xr3:uid="{638330D8-7F61-4B65-8A4E-E68AAC0AE364}" uniqueName="26" name="Notes" queryTableFieldId="26"/>
    <tableColumn id="9" xr3:uid="{DB53B088-F532-4350-99D1-5DF8F6404437}" uniqueName="9" name="MAT edit only required" queryTableFieldId="84"/>
    <tableColumn id="3" xr3:uid="{779EE0D1-4829-48C3-972D-4A697D66BD89}" uniqueName="3" name="FundCode Issue" queryTableFieldId="76"/>
    <tableColumn id="11" xr3:uid="{5EBCF0E4-EA03-480E-A196-555CC4CF26C6}" uniqueName="11" name="Space in ScenarioCode" queryTableFieldId="85"/>
    <tableColumn id="34" xr3:uid="{6CDE84CB-4ABC-4F03-A92B-2BCCA3282444}" uniqueName="34" name="YearNotes" queryTableFieldId="36"/>
    <tableColumn id="27" xr3:uid="{9483ECB7-71F0-44BA-9E92-FBA538FA229A}" uniqueName="27" name="MatEditOnly" queryTableFieldId="27"/>
    <tableColumn id="29" xr3:uid="{973FAD69-CD9E-487C-AD39-5504DC4570FC}" uniqueName="29" name="FinancialYearCode" queryTableFieldId="29"/>
    <tableColumn id="30" xr3:uid="{B28185B1-A8C9-461D-A207-199F3DF97000}" uniqueName="30" name="Calculated" queryTableFieldId="30"/>
    <tableColumn id="31" xr3:uid="{BABA7B34-0A3D-4BED-A39D-6DFA48EF219E}" uniqueName="31" name="YearValue" queryTableFieldId="31"/>
  </tableColumns>
  <tableStyleInfo name="IMP Colours"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4D89E620-025D-48D6-BF8A-5CB0C3D95776}" name="ScenarioRows" displayName="ScenarioRows" ref="A1:R112" tableType="queryTable" totalsRowShown="0">
  <autoFilter ref="A1:R112" xr:uid="{4D89E620-025D-48D6-BF8A-5CB0C3D95776}"/>
  <tableColumns count="18">
    <tableColumn id="17" xr3:uid="{E8E22D7C-9221-46FB-BC1C-82E1B60CAA85}" uniqueName="17" name="Approvers" queryTableFieldId="20"/>
    <tableColumn id="1" xr3:uid="{DF00FC71-8E3E-4771-9DC1-F08E5BA606A6}" uniqueName="1" name="Tab" queryTableFieldId="1"/>
    <tableColumn id="2" xr3:uid="{2E576C80-D004-4C96-A507-E0C34FB3029D}" uniqueName="2" name="ScenarioCode" queryTableFieldId="2"/>
    <tableColumn id="3" xr3:uid="{0EFAFFB5-7F0E-426A-A849-8F3733136460}" uniqueName="3" name="FinanceCode" queryTableFieldId="3"/>
    <tableColumn id="4" xr3:uid="{9802E5EC-D297-4057-8E52-17444AA25F0D}" uniqueName="4" name="SchoolCode" queryTableFieldId="4"/>
    <tableColumn id="5" xr3:uid="{5AB7920D-5D5B-410F-9696-208F2BD69777}" uniqueName="5" name="LedgerCode" queryTableFieldId="5"/>
    <tableColumn id="6" xr3:uid="{41825E9D-8C32-460C-8775-09FB5CF2796A}" uniqueName="6" name="DepartmentCode" queryTableFieldId="6"/>
    <tableColumn id="7" xr3:uid="{3B354D6F-ADC1-4AA0-B67B-C911B6F3115A}" uniqueName="7" name="FundCode" queryTableFieldId="7"/>
    <tableColumn id="8" xr3:uid="{6C08CA4B-047C-4488-A549-8303640D2A9C}" uniqueName="8" name="CalculatorCode" queryTableFieldId="8"/>
    <tableColumn id="9" xr3:uid="{055080C0-0E82-4B43-94B3-6749037AEB2C}" uniqueName="9" name="MonthProfileCode" queryTableFieldId="9"/>
    <tableColumn id="10" xr3:uid="{FC651663-1179-48F3-85D2-12C4838AE182}" uniqueName="10" name="StaffMemberCode" queryTableFieldId="10"/>
    <tableColumn id="11" xr3:uid="{CE75C4A6-3D7D-45FF-8BFE-4BD2C583C614}" uniqueName="11" name="StaffRoleCode" queryTableFieldId="11"/>
    <tableColumn id="18" xr3:uid="{95B82E5B-A889-44E3-8C9A-F15054DAFBAC}" uniqueName="18" name="ContractReference" queryTableFieldId="18"/>
    <tableColumn id="12" xr3:uid="{6F7C952D-C108-4C8E-AE3B-55A0C4CC6119}" uniqueName="12" name="ContractDateFrom" queryTableFieldId="12"/>
    <tableColumn id="13" xr3:uid="{E827263F-C4EA-4632-B0CC-AC80FFB5EB7E}" uniqueName="13" name="ContractDateTo" queryTableFieldId="13"/>
    <tableColumn id="14" xr3:uid="{31BAA29A-46ED-422D-A76B-60FBF37D9C39}" uniqueName="14" name="Description" queryTableFieldId="14" dataDxfId="23"/>
    <tableColumn id="15" xr3:uid="{61381945-DBD1-46FC-811B-46386E9F70D4}" uniqueName="15" name="Notes" queryTableFieldId="15"/>
    <tableColumn id="16" xr3:uid="{38137143-D9BA-47F7-8624-EEA3286EA7C8}" uniqueName="16" name="MatEditOnly" queryTableFieldId="16"/>
  </tableColumns>
  <tableStyleInfo name="IMP Colours"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B5171691-478E-4AE1-AAFC-7AE2E57E8ECA}" name="ScenarioYearValues" displayName="ScenarioYearValues" ref="A1:K101" tableType="queryTable" totalsRowShown="0">
  <autoFilter ref="A1:K101" xr:uid="{B5171691-478E-4AE1-AAFC-7AE2E57E8ECA}"/>
  <tableColumns count="11">
    <tableColumn id="1" xr3:uid="{00656002-24F1-4C18-A3B3-92A5AE4F9077}" uniqueName="1" name="Tab" queryTableFieldId="1"/>
    <tableColumn id="2" xr3:uid="{44FE2875-82F8-4B60-B902-02D33A0B5635}" uniqueName="2" name="ScenarioCode" queryTableFieldId="2"/>
    <tableColumn id="3" xr3:uid="{20D7F9A4-B0E6-4940-A354-740A85D05C30}" uniqueName="3" name="FinanceCode" queryTableFieldId="3"/>
    <tableColumn id="4" xr3:uid="{E5C0D0D9-3ED4-44F1-A33C-904C85422375}" uniqueName="4" name="SchoolCode" queryTableFieldId="4"/>
    <tableColumn id="5" xr3:uid="{F00CF8B1-4DAC-4139-8FA8-3E0222B00EEA}" uniqueName="5" name="LedgerCode" queryTableFieldId="5"/>
    <tableColumn id="6" xr3:uid="{7803100C-0BCF-406A-B695-BF5393C73A27}" uniqueName="6" name="DepartmentCode" queryTableFieldId="6"/>
    <tableColumn id="7" xr3:uid="{0AEA68F9-F52F-46B4-9E00-D5EAA0CF870C}" uniqueName="7" name="Description" queryTableFieldId="7" dataDxfId="22"/>
    <tableColumn id="11" xr3:uid="{F015F716-3A65-458A-91F9-B93903AF0F68}" uniqueName="11" name="YearNotes" queryTableFieldId="11"/>
    <tableColumn id="8" xr3:uid="{0940B59F-A755-432E-B113-91E951337A09}" uniqueName="8" name="FinancialYearCode" queryTableFieldId="8"/>
    <tableColumn id="9" xr3:uid="{BFC1AF9A-8FAD-456B-A1F7-BC0D117D2572}" uniqueName="9" name="Calculated" queryTableFieldId="9"/>
    <tableColumn id="10" xr3:uid="{FA7E4C21-DF88-48E1-A3A6-22DBEB17B3EF}" uniqueName="10" name="YearValue" queryTableFieldId="10"/>
  </tableColumns>
  <tableStyleInfo name="IMP Colours"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A35236-CD36-4C46-9276-D3E5C867F46F}" name="PreviousYears" displayName="PreviousYears" ref="A1:P411" tableType="queryTable" totalsRowShown="0">
  <autoFilter ref="A1:P411" xr:uid="{64A35236-CD36-4C46-9276-D3E5C867F46F}"/>
  <tableColumns count="16">
    <tableColumn id="1" xr3:uid="{69F05D27-995B-494D-9831-A76F7439F97D}" uniqueName="1" name="ScenarioCode" queryTableFieldId="1"/>
    <tableColumn id="2" xr3:uid="{6BC33374-87B7-41CC-8FC3-4C4535A676D6}" uniqueName="2" name="FinanceCode" queryTableFieldId="2"/>
    <tableColumn id="3" xr3:uid="{7DACF59D-6075-4C16-A48D-AD9FF85E392E}" uniqueName="3" name="SchoolCode" queryTableFieldId="3"/>
    <tableColumn id="4" xr3:uid="{9E160678-53F4-4F2E-92B4-8E2F0FA7CE23}" uniqueName="4" name="LedgerCode" queryTableFieldId="4"/>
    <tableColumn id="5" xr3:uid="{43F57083-DAE0-4DBE-BF6C-51F9AC38D015}" uniqueName="5" name="DepartmentCode" queryTableFieldId="5"/>
    <tableColumn id="6" xr3:uid="{0DDF945A-9EE7-4450-8ADE-974D7296249E}" uniqueName="6" name="FundCode" queryTableFieldId="6"/>
    <tableColumn id="7" xr3:uid="{7835AA1F-4901-4E3C-AB21-3326B2DA9395}" uniqueName="7" name="CalculatorCode" queryTableFieldId="7"/>
    <tableColumn id="8" xr3:uid="{3C96A4CF-25BA-4395-ACA6-3DD407C9EFF8}" uniqueName="8" name="MonthProfileCode" queryTableFieldId="8"/>
    <tableColumn id="9" xr3:uid="{F3107F19-2A8E-4DDD-8AEA-31852FFCD23F}" uniqueName="9" name="Description" queryTableFieldId="9"/>
    <tableColumn id="10" xr3:uid="{426289FC-8EEB-42B5-A649-020DEBDDD414}" uniqueName="10" name="Notes" queryTableFieldId="10"/>
    <tableColumn id="11" xr3:uid="{EA38F722-B6F1-4DD2-B9AB-A2BA46EAC3B8}" uniqueName="11" name="YearNotes" queryTableFieldId="11"/>
    <tableColumn id="12" xr3:uid="{AC132115-5505-42E3-936A-E4EA549B14AF}" uniqueName="12" name="MatEditOnly" queryTableFieldId="12"/>
    <tableColumn id="13" xr3:uid="{26F893B5-5CF9-400D-99A3-201459D5FFBC}" uniqueName="13" name="FinancialYearCode" queryTableFieldId="13" dataDxfId="21"/>
    <tableColumn id="14" xr3:uid="{1F25AF39-C091-4D80-8077-8EA4C150C8D3}" uniqueName="14" name="Calculated" queryTableFieldId="14"/>
    <tableColumn id="15" xr3:uid="{918A11EC-D5EE-4AAC-AF8D-400A834FBDCB}" uniqueName="15" name="YearValue" queryTableFieldId="15"/>
    <tableColumn id="16" xr3:uid="{9C89AFA9-38C3-418F-9C43-E6A15D991B1D}" uniqueName="16" name="Tab" queryTableFieldId="16"/>
  </tableColumns>
  <tableStyleInfo name="IMP Colours"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103199C-7628-4F91-ABA7-E16E7588F0C8}" name="MonthlyValues" displayName="MonthlyValues" ref="A1:J101" tableType="queryTable" totalsRowShown="0">
  <autoFilter ref="A1:J101" xr:uid="{7103199C-7628-4F91-ABA7-E16E7588F0C8}"/>
  <tableColumns count="10">
    <tableColumn id="1" xr3:uid="{242BD171-F886-4977-A43A-2DD68A800109}" uniqueName="1" name="ScenarioCode" queryTableFieldId="1"/>
    <tableColumn id="2" xr3:uid="{C7927EDE-C5ED-4FCF-AF7F-EEC340087DA6}" uniqueName="2" name="FinanceCode" queryTableFieldId="2"/>
    <tableColumn id="3" xr3:uid="{36D5BDE2-27EF-430F-8198-D796CA309D1A}" uniqueName="3" name="SchoolCode" queryTableFieldId="3"/>
    <tableColumn id="4" xr3:uid="{7A5D36F9-3029-4CFA-B0A6-6187BCECEB07}" uniqueName="4" name="LedgerCode" queryTableFieldId="4"/>
    <tableColumn id="5" xr3:uid="{57450FB3-896F-4C27-B321-FCD558829AE7}" uniqueName="5" name="DepartmentCode" queryTableFieldId="5"/>
    <tableColumn id="9" xr3:uid="{D0BE3FB3-CF6F-481F-A9AF-598197CA9766}" uniqueName="9" name="Description" queryTableFieldId="9"/>
    <tableColumn id="13" xr3:uid="{6C8DCD57-0E10-48FF-9802-4A866FD2B959}" uniqueName="13" name="FinancialYearCode" queryTableFieldId="13"/>
    <tableColumn id="14" xr3:uid="{9E485E72-9232-4102-B2C9-5712A83BBF80}" uniqueName="14" name="Calculated" queryTableFieldId="14"/>
    <tableColumn id="18" xr3:uid="{163583F3-9C57-45DE-AA7D-2634E0AAE152}" uniqueName="18" name="FinancialMonthIndexNumber" queryTableFieldId="20"/>
    <tableColumn id="19" xr3:uid="{4E746D72-1A18-4EBD-879E-A7B735849726}" uniqueName="19" name="MonthValue" queryTableFieldId="21"/>
  </tableColumns>
  <tableStyleInfo name="IMP Colours"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1F16254-B050-4C1A-8615-8AFC0279641F}" name="Years" displayName="Years" ref="M1:M11" totalsRowShown="0" headerRowDxfId="20">
  <autoFilter ref="M1:M11" xr:uid="{41F16254-B050-4C1A-8615-8AFC0279641F}"/>
  <tableColumns count="1">
    <tableColumn id="1" xr3:uid="{F55FDF28-4147-456D-BC08-E63C2DBE78BD}" name="Years"/>
  </tableColumns>
  <tableStyleInfo name="TableStyleMedium2" showFirstColumn="0" showLastColumn="0" showRowStripes="0"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E7003C9F-2994-44EC-B90F-76955122B0A3}" name="CalculatorTypeCode" displayName="CalculatorTypeCode" ref="O1:O6" totalsRowShown="0">
  <autoFilter ref="O1:O6" xr:uid="{E7003C9F-2994-44EC-B90F-76955122B0A3}"/>
  <tableColumns count="1">
    <tableColumn id="1" xr3:uid="{2594B1CE-9E83-4941-86FC-50A9F345CC1A}" name="CalculatorTypeCode"/>
  </tableColumns>
  <tableStyleInfo name="IMP Colours"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5" dT="2019-10-28T16:49:52.74" personId="{7842F4E6-62FC-4C96-B397-801BC2A5BB8B}" id="{23621D13-A009-40F2-BB7B-12CB985AAEB5}">
    <text>Used for funding statement breakdown if all coded to 1000 GAG, if any differentials, please create new finance code with prefix FUNDING_ABBREV</text>
  </threadedComment>
  <threadedComment ref="E5" dT="2021-09-01T13:29:27.51" personId="{2BA1ACE1-2EA0-4657-B48E-40CBC85658FD}" id="{AF5AA412-72BD-4E9C-B055-F93DA27ED531}" parentId="{23621D13-A009-40F2-BB7B-12CB985AAEB5}">
    <text>To be renamed based on how the funding is grouped at nominal level (e.g. FUNDING_GAG, FUNDING_POST16, FUNDING_BURSARY)</text>
  </threadedComment>
  <threadedComment ref="F5" dT="2019-10-28T16:49:52.74" personId="{7842F4E6-62FC-4C96-B397-801BC2A5BB8B}" id="{3A928311-8892-4195-AE97-CB7E64846AEB}">
    <text>Used for funding statement breakdown if all coded to 1000 GAG, if any differentials, please create new finance code with prefix FUNDING_ABBREV</text>
  </threadedComment>
  <threadedComment ref="F5" dT="2021-09-01T13:29:27.51" personId="{2BA1ACE1-2EA0-4657-B48E-40CBC85658FD}" id="{C0493B36-92B3-4E54-9F0E-66830DD7E9D7}" parentId="{3A928311-8892-4195-AE97-CB7E64846AEB}">
    <text>To be renamed based on how the funding is grouped at nominal level (e.g. FUNDING_GAG, FUNDING_POST16, FUNDING_BURSARY)</text>
  </threadedComment>
  <threadedComment ref="E38" dT="2019-10-28T16:49:52.74" personId="{7842F4E6-62FC-4C96-B397-801BC2A5BB8B}" id="{512E250C-2E04-4B3F-9477-E35B5E4F7B12}">
    <text>Used for funding statement breakdown if all coded to 1000 GAG, if any differentials, please create new finance code with prefix FUNDING_ABBREV</text>
  </threadedComment>
  <threadedComment ref="E38" dT="2021-09-01T13:29:27.51" personId="{2BA1ACE1-2EA0-4657-B48E-40CBC85658FD}" id="{815EEFBF-532B-4885-8204-FE9BC57ACE9E}" parentId="{512E250C-2E04-4B3F-9477-E35B5E4F7B12}">
    <text>To be renamed based on how the funding is grouped at nominal level (e.g. FUNDING_GAG, FUNDING_POST16, FUNDING_BURSARY)</text>
  </threadedComment>
  <threadedComment ref="F38" dT="2019-10-28T16:49:52.74" personId="{7842F4E6-62FC-4C96-B397-801BC2A5BB8B}" id="{75DD3F9E-BD7B-4591-BAC2-AA4CFF920569}">
    <text>Used for funding statement breakdown if all coded to 1000 GAG, if any differentials, please create new finance code with prefix FUNDING_ABBREV</text>
  </threadedComment>
  <threadedComment ref="F38" dT="2021-09-01T13:29:27.51" personId="{2BA1ACE1-2EA0-4657-B48E-40CBC85658FD}" id="{52BD684F-4C42-4D27-B119-1D992375AB71}" parentId="{75DD3F9E-BD7B-4591-BAC2-AA4CFF920569}">
    <text>To be renamed based on how the funding is grouped at nominal level (e.g. FUNDING_GAG, FUNDING_POST16, FUNDING_BURSARY)</text>
  </threadedComment>
  <threadedComment ref="E41" dT="2019-10-28T16:49:52.74" personId="{7842F4E6-62FC-4C96-B397-801BC2A5BB8B}" id="{C1BC1A1C-B747-4F7C-9AE1-E63953E328EF}">
    <text>Used for funding statement breakdown if all coded to 1000 GAG, if any differentials, please create new finance code with prefix FUNDING_ABBREV</text>
  </threadedComment>
  <threadedComment ref="E41" dT="2021-09-01T13:29:27.51" personId="{2BA1ACE1-2EA0-4657-B48E-40CBC85658FD}" id="{EC9CC36B-94AD-4D31-961E-884DF714F492}" parentId="{C1BC1A1C-B747-4F7C-9AE1-E63953E328EF}">
    <text>To be renamed based on how the funding is grouped at nominal level (e.g. FUNDING_GAG, FUNDING_POST16, FUNDING_BURSARY)</text>
  </threadedComment>
  <threadedComment ref="F41" dT="2019-10-28T16:49:52.74" personId="{7842F4E6-62FC-4C96-B397-801BC2A5BB8B}" id="{4E5C1E51-B85F-425B-A1D6-2E55DE1B347E}">
    <text>Used for funding statement breakdown if all coded to 1000 GAG, if any differentials, please create new finance code with prefix FUNDING_ABBREV</text>
  </threadedComment>
  <threadedComment ref="F41" dT="2021-09-01T13:29:27.51" personId="{2BA1ACE1-2EA0-4657-B48E-40CBC85658FD}" id="{A267FBB9-6D94-4A51-AC3C-B795C3A44881}" parentId="{4E5C1E51-B85F-425B-A1D6-2E55DE1B347E}">
    <text>To be renamed based on how the funding is grouped at nominal level (e.g. FUNDING_GAG, FUNDING_POST16, FUNDING_BURSARY)</text>
  </threadedComment>
  <threadedComment ref="E174" dT="2019-10-28T16:49:52.74" personId="{7842F4E6-62FC-4C96-B397-801BC2A5BB8B}" id="{E03B8D4B-70B0-4EB1-8569-A624E024BE66}">
    <text>Used for funding statement breakdown if all coded to 1000 GAG, if any differentials, please create new finance code with prefix FUNDING_ABBREV</text>
  </threadedComment>
  <threadedComment ref="E174" dT="2021-09-01T13:29:27.51" personId="{2BA1ACE1-2EA0-4657-B48E-40CBC85658FD}" id="{9C991DCB-1DC2-41B7-8065-F81DF24E1E9D}" parentId="{E03B8D4B-70B0-4EB1-8569-A624E024BE66}">
    <text>To be renamed based on how the funding is grouped at nominal level (e.g. FUNDING_GAG, FUNDING_POST16, FUNDING_BURSARY)</text>
  </threadedComment>
  <threadedComment ref="F174" dT="2019-10-28T16:49:52.74" personId="{7842F4E6-62FC-4C96-B397-801BC2A5BB8B}" id="{43259558-546E-49D5-9363-32F4EE584551}">
    <text>Used for funding statement breakdown if all coded to 1000 GAG, if any differentials, please create new finance code with prefix FUNDING_ABBREV</text>
  </threadedComment>
  <threadedComment ref="F174" dT="2021-09-01T13:29:27.51" personId="{2BA1ACE1-2EA0-4657-B48E-40CBC85658FD}" id="{693478C0-E6BF-4842-BE4E-2C4AC2BFA139}" parentId="{43259558-546E-49D5-9363-32F4EE584551}">
    <text>To be renamed based on how the funding is grouped at nominal level (e.g. FUNDING_GAG, FUNDING_POST16, FUNDING_BURSARY)</text>
  </threadedComment>
  <threadedComment ref="E175" dT="2019-10-28T16:49:52.74" personId="{7842F4E6-62FC-4C96-B397-801BC2A5BB8B}" id="{640501E3-0FDA-4FD7-95EC-F76572BB69BD}">
    <text>Used for funding statement breakdown if all coded to 1000 GAG, if any differentials, please create new finance code with prefix FUNDING_ABBREV</text>
  </threadedComment>
  <threadedComment ref="E175" dT="2021-09-01T13:29:27.51" personId="{2BA1ACE1-2EA0-4657-B48E-40CBC85658FD}" id="{3541D807-E399-4414-A76F-208D1E4641EE}" parentId="{640501E3-0FDA-4FD7-95EC-F76572BB69BD}">
    <text>To be renamed based on how the funding is grouped at nominal level (e.g. FUNDING_GAG, FUNDING_POST16, FUNDING_BURSARY)</text>
  </threadedComment>
  <threadedComment ref="F175" dT="2019-10-28T16:49:52.74" personId="{7842F4E6-62FC-4C96-B397-801BC2A5BB8B}" id="{E0C9B567-CC6C-454A-A8CC-34EEBD63730C}">
    <text>Used for funding statement breakdown if all coded to 1000 GAG, if any differentials, please create new finance code with prefix FUNDING_ABBREV</text>
  </threadedComment>
  <threadedComment ref="F175" dT="2021-09-01T13:29:27.51" personId="{2BA1ACE1-2EA0-4657-B48E-40CBC85658FD}" id="{5DB155E1-6A22-42A2-8A77-EA72871EFC6C}" parentId="{E0C9B567-CC6C-454A-A8CC-34EEBD63730C}">
    <text>To be renamed based on how the funding is grouped at nominal level (e.g. FUNDING_GAG, FUNDING_POST16, FUNDING_BURSARY)</text>
  </threadedComment>
  <threadedComment ref="E491" dT="2019-10-28T16:49:52.74" personId="{7842F4E6-62FC-4C96-B397-801BC2A5BB8B}" id="{1B9FFE91-2884-47CD-B6EB-7A4F2E72A335}">
    <text>Used for funding statement breakdown if all coded to 1000 GAG, if any differentials, please create new finance code with prefix FUNDING_ABBREV</text>
  </threadedComment>
  <threadedComment ref="E491" dT="2021-09-01T13:29:27.51" personId="{2BA1ACE1-2EA0-4657-B48E-40CBC85658FD}" id="{B793897E-C7F8-4DA6-865E-19779E96A84A}" parentId="{1B9FFE91-2884-47CD-B6EB-7A4F2E72A335}">
    <text>To be renamed based on how the funding is grouped at nominal level (e.g. FUNDING_GAG, FUNDING_POST16, FUNDING_BURSARY)</text>
  </threadedComment>
  <threadedComment ref="F491" dT="2019-10-28T16:49:52.74" personId="{7842F4E6-62FC-4C96-B397-801BC2A5BB8B}" id="{CB31579B-419B-40BC-8398-B8BBB14214D3}">
    <text>Used for funding statement breakdown if all coded to 1000 GAG, if any differentials, please create new finance code with prefix FUNDING_ABBREV</text>
  </threadedComment>
  <threadedComment ref="F491" dT="2021-09-01T13:29:27.51" personId="{2BA1ACE1-2EA0-4657-B48E-40CBC85658FD}" id="{22AFE2F4-29BD-4919-B017-EA2DCCE331E6}" parentId="{CB31579B-419B-40BC-8398-B8BBB14214D3}">
    <text>To be renamed based on how the funding is grouped at nominal level (e.g. FUNDING_GAG, FUNDING_POST16, FUNDING_BURSARY)</text>
  </threadedComment>
  <threadedComment ref="E493" dT="2019-10-28T16:49:52.74" personId="{7842F4E6-62FC-4C96-B397-801BC2A5BB8B}" id="{E02A9101-6B63-4973-B02E-88CDF00DAAB4}">
    <text>Used for funding statement breakdown if all coded to 1000 GAG, if any differentials, please create new finance code with prefix FUNDING_ABBREV</text>
  </threadedComment>
  <threadedComment ref="E493" dT="2021-09-01T13:29:27.51" personId="{2BA1ACE1-2EA0-4657-B48E-40CBC85658FD}" id="{870EA6AA-0E2C-4BAE-9328-797AAC281C49}" parentId="{E02A9101-6B63-4973-B02E-88CDF00DAAB4}">
    <text>To be renamed based on how the funding is grouped at nominal level (e.g. FUNDING_GAG, FUNDING_POST16, FUNDING_BURSARY)</text>
  </threadedComment>
  <threadedComment ref="F493" dT="2019-10-28T16:49:52.74" personId="{7842F4E6-62FC-4C96-B397-801BC2A5BB8B}" id="{2EFD554E-957B-45F3-9849-398214A62DF0}">
    <text>Used for funding statement breakdown if all coded to 1000 GAG, if any differentials, please create new finance code with prefix FUNDING_ABBREV</text>
  </threadedComment>
  <threadedComment ref="F493" dT="2021-09-01T13:29:27.51" personId="{2BA1ACE1-2EA0-4657-B48E-40CBC85658FD}" id="{9D1FD081-3757-414B-AAE4-9EE35934C789}" parentId="{2EFD554E-957B-45F3-9849-398214A62DF0}">
    <text>To be renamed based on how the funding is grouped at nominal level (e.g. FUNDING_GAG, FUNDING_POST16, FUNDING_BURSARY)</text>
  </threadedComment>
</ThreadedComments>
</file>

<file path=xl/threadedComments/threadedComment2.xml><?xml version="1.0" encoding="utf-8"?>
<ThreadedComments xmlns="http://schemas.microsoft.com/office/spreadsheetml/2018/threadedcomments" xmlns:x="http://schemas.openxmlformats.org/spreadsheetml/2006/main">
  <threadedComment ref="I2" dT="2021-09-01T13:36:21.78" personId="{2BA1ACE1-2EA0-4657-B48E-40CBC85658FD}" id="{15B5C951-A15A-43B0-A4E8-24890FE7521B}">
    <text>To be renamed based on how the funding is grouped at nominal level (e.g. FUNDING_GAG, FUNDING_POST16, FUNDING_BURSARY)</text>
  </threadedComment>
  <threadedComment ref="I3" dT="2021-09-01T13:36:21.78" personId="{2BA1ACE1-2EA0-4657-B48E-40CBC85658FD}" id="{AAF517E9-9A03-4F03-971E-9E3C4002440D}">
    <text>To be renamed based on how the funding is grouped at nominal level (e.g. FUNDING_GAG, FUNDING_POST16, FUNDING_BURSARY)</text>
  </threadedComment>
  <threadedComment ref="I4" dT="2021-09-01T13:36:21.78" personId="{2BA1ACE1-2EA0-4657-B48E-40CBC85658FD}" id="{523167A2-5C17-443F-BA97-89FE97C9A128}">
    <text>To be renamed based on how the funding is grouped at nominal level (e.g. FUNDING_GAG, FUNDING_POST16, FUNDING_BURSARY)</text>
  </threadedComment>
  <threadedComment ref="I30" dT="2021-09-01T13:36:21.78" personId="{2BA1ACE1-2EA0-4657-B48E-40CBC85658FD}" id="{B472E7EE-597D-49FE-BA39-D13A4768DB1F}">
    <text>To be renamed based on how the funding is grouped at nominal level (e.g. FUNDING_GAG, FUNDING_POST16, FUNDING_BURSARY)</text>
  </threadedComment>
  <threadedComment ref="I43" dT="2021-09-01T13:36:21.78" personId="{2BA1ACE1-2EA0-4657-B48E-40CBC85658FD}" id="{9F7C103A-8D47-44EC-B948-63A5F19CBAB0}">
    <text>To be renamed based on how the funding is grouped at nominal level (e.g. FUNDING_GAG, FUNDING_POST16, FUNDING_BURSARY)</text>
  </threadedComment>
  <threadedComment ref="I44" dT="2021-09-01T13:36:21.78" personId="{2BA1ACE1-2EA0-4657-B48E-40CBC85658FD}" id="{EEF21461-B646-42C4-B8C9-C7A84668E40C}">
    <text>To be renamed based on how the funding is grouped at nominal level (e.g. FUNDING_GAG, FUNDING_POST16, FUNDING_BURSARY)</text>
  </threadedComment>
  <threadedComment ref="I45" dT="2021-09-01T13:36:21.78" personId="{2BA1ACE1-2EA0-4657-B48E-40CBC85658FD}" id="{44D628C6-3E4B-4D46-A6AC-EA06A3AE69BA}">
    <text>To be renamed based on how the funding is grouped at nominal level (e.g. FUNDING_GAG, FUNDING_POST16, FUNDING_BURSARY)</text>
  </threadedComment>
  <threadedComment ref="I79" dT="2021-09-01T13:36:21.78" personId="{2BA1ACE1-2EA0-4657-B48E-40CBC85658FD}" id="{6E8CF921-7FF7-4431-BAC0-E8BC56D3962F}">
    <text>To be renamed based on how the funding is grouped at nominal level (e.g. FUNDING_GAG, FUNDING_POST16, FUNDING_BURSARY)</text>
  </threadedComment>
  <threadedComment ref="I80" dT="2021-09-01T13:36:21.78" personId="{2BA1ACE1-2EA0-4657-B48E-40CBC85658FD}" id="{7CCD06B3-DE36-45F8-BA8C-4CE80FE5D7B7}">
    <text>To be renamed based on how the funding is grouped at nominal level (e.g. FUNDING_GAG, FUNDING_POST16, FUNDING_BURSARY)</text>
  </threadedComment>
  <threadedComment ref="I92" dT="2021-09-01T13:36:21.78" personId="{2BA1ACE1-2EA0-4657-B48E-40CBC85658FD}" id="{1A5DEA99-711A-462A-9C4B-5943821FFF11}">
    <text>To be renamed based on how the funding is grouped at nominal level (e.g. FUNDING_GAG, FUNDING_POST16, FUNDING_BURSARY)</text>
  </threadedComment>
  <threadedComment ref="I103" dT="2021-09-01T13:36:21.78" personId="{2BA1ACE1-2EA0-4657-B48E-40CBC85658FD}" id="{A1CDDE96-5B37-4742-A3C7-846E333774A3}">
    <text>To be renamed based on how the funding is grouped at nominal level (e.g. FUNDING_GAG, FUNDING_POST16, FUNDING_BURSARY)</text>
  </threadedComment>
  <threadedComment ref="I116" dT="2021-09-01T13:36:21.78" personId="{2BA1ACE1-2EA0-4657-B48E-40CBC85658FD}" id="{BDD685A4-E2F8-4ACC-9309-6C3EE8CE77A2}">
    <text>To be renamed based on how the funding is grouped at nominal level (e.g. FUNDING_GAG, FUNDING_POST16, FUNDING_BURSARY)</text>
  </threadedComment>
  <threadedComment ref="I131" dT="2021-09-01T13:36:21.78" personId="{2BA1ACE1-2EA0-4657-B48E-40CBC85658FD}" id="{1B0F18DD-0000-40E4-A205-F75D967219DD}">
    <text>To be renamed based on how the funding is grouped at nominal level (e.g. FUNDING_GAG, FUNDING_POST16, FUNDING_BURSARY)</text>
  </threadedComment>
  <threadedComment ref="I132" dT="2021-09-01T13:36:21.78" personId="{2BA1ACE1-2EA0-4657-B48E-40CBC85658FD}" id="{9602FA26-5E61-413D-8128-A2DAB75F44CE}">
    <text>To be renamed based on how the funding is grouped at nominal level (e.g. FUNDING_GAG, FUNDING_POST16, FUNDING_BURSARY)</text>
  </threadedComment>
  <threadedComment ref="I133" dT="2021-09-01T13:36:21.78" personId="{2BA1ACE1-2EA0-4657-B48E-40CBC85658FD}" id="{BC407C11-6CFD-4FCA-9F7E-598DCB0F295C}">
    <text>To be renamed based on how the funding is grouped at nominal level (e.g. FUNDING_GAG, FUNDING_POST16, FUNDING_BURSARY)</text>
  </threadedComment>
  <threadedComment ref="I134" dT="2021-09-01T13:36:21.78" personId="{2BA1ACE1-2EA0-4657-B48E-40CBC85658FD}" id="{D1860742-262D-43F5-8DE7-D9465EBED02E}">
    <text>To be renamed based on how the funding is grouped at nominal level (e.g. FUNDING_GAG, FUNDING_POST16, FUNDING_BURSARY)</text>
  </threadedComment>
  <threadedComment ref="I135" dT="2021-09-01T13:36:21.78" personId="{2BA1ACE1-2EA0-4657-B48E-40CBC85658FD}" id="{E63B033F-894C-4E77-927E-E90AAE510B0B}">
    <text>To be renamed based on how the funding is grouped at nominal level (e.g. FUNDING_GAG, FUNDING_POST16, FUNDING_BURSARY)</text>
  </threadedComment>
  <threadedComment ref="I136" dT="2021-09-01T13:36:21.78" personId="{2BA1ACE1-2EA0-4657-B48E-40CBC85658FD}" id="{38933806-5F95-41BD-A5C5-87A79E90FFD1}">
    <text>To be renamed based on how the funding is grouped at nominal level (e.g. FUNDING_GAG, FUNDING_POST16, FUNDING_BURSARY)</text>
  </threadedComment>
  <threadedComment ref="I137" dT="2021-09-01T13:36:21.78" personId="{2BA1ACE1-2EA0-4657-B48E-40CBC85658FD}" id="{8E9C7BE1-3452-4D19-BA06-4219FD6846D0}">
    <text>To be renamed based on how the funding is grouped at nominal level (e.g. FUNDING_GAG, FUNDING_POST16, FUNDING_BURSARY)</text>
  </threadedComment>
  <threadedComment ref="I138" dT="2021-09-01T13:36:21.78" personId="{2BA1ACE1-2EA0-4657-B48E-40CBC85658FD}" id="{87DA65CE-483D-46C3-9A0A-80B959E101C4}">
    <text>To be renamed based on how the funding is grouped at nominal level (e.g. FUNDING_GAG, FUNDING_POST16, FUNDING_BURSARY)</text>
  </threadedComment>
  <threadedComment ref="I139" dT="2021-09-01T13:36:21.78" personId="{2BA1ACE1-2EA0-4657-B48E-40CBC85658FD}" id="{7FE72681-3A44-4840-8FF2-5D627C659873}">
    <text>To be renamed based on how the funding is grouped at nominal level (e.g. FUNDING_GAG, FUNDING_POST16, FUNDING_BURSARY)</text>
  </threadedComment>
  <threadedComment ref="I140" dT="2021-09-01T13:36:21.78" personId="{2BA1ACE1-2EA0-4657-B48E-40CBC85658FD}" id="{ED4C9F5F-9AB2-483E-BE5C-0B4CCB973538}">
    <text>To be renamed based on how the funding is grouped at nominal level (e.g. FUNDING_GAG, FUNDING_POST16, FUNDING_BURSARY)</text>
  </threadedComment>
  <threadedComment ref="I141" dT="2021-09-01T13:36:21.78" personId="{2BA1ACE1-2EA0-4657-B48E-40CBC85658FD}" id="{BA717C25-1CA1-4BC7-BB50-1E71D3EAB047}">
    <text>To be renamed based on how the funding is grouped at nominal level (e.g. FUNDING_GAG, FUNDING_POST16, FUNDING_BURSARY)</text>
  </threadedComment>
  <threadedComment ref="I142" dT="2021-09-01T13:36:21.78" personId="{2BA1ACE1-2EA0-4657-B48E-40CBC85658FD}" id="{F08A81EE-4B00-4463-85A4-6E214B17CBC4}">
    <text>To be renamed based on how the funding is grouped at nominal level (e.g. FUNDING_GAG, FUNDING_POST16, FUNDING_BURSARY)</text>
  </threadedComment>
  <threadedComment ref="I143" dT="2021-09-01T13:36:21.78" personId="{2BA1ACE1-2EA0-4657-B48E-40CBC85658FD}" id="{9AE2ED15-05F9-43AF-A7B6-1265BDD14D2F}">
    <text>To be renamed based on how the funding is grouped at nominal level (e.g. FUNDING_GAG, FUNDING_POST16, FUNDING_BURSARY)</text>
  </threadedComment>
  <threadedComment ref="I144" dT="2021-09-01T13:36:21.78" personId="{2BA1ACE1-2EA0-4657-B48E-40CBC85658FD}" id="{069AAD26-3271-4F71-B496-5EF3517CD274}">
    <text>To be renamed based on how the funding is grouped at nominal level (e.g. FUNDING_GAG, FUNDING_POST16, FUNDING_BURSARY)</text>
  </threadedComment>
  <threadedComment ref="I145" dT="2021-09-01T13:36:21.78" personId="{2BA1ACE1-2EA0-4657-B48E-40CBC85658FD}" id="{212E1B8A-3C98-4963-B286-1C530F5CD0B7}">
    <text>To be renamed based on how the funding is grouped at nominal level (e.g. FUNDING_GAG, FUNDING_POST16, FUNDING_BURSARY)</text>
  </threadedComment>
  <threadedComment ref="I146" dT="2021-09-01T13:36:21.78" personId="{2BA1ACE1-2EA0-4657-B48E-40CBC85658FD}" id="{AC80F32E-3841-4253-9710-30BC19F263FA}">
    <text>To be renamed based on how the funding is grouped at nominal level (e.g. FUNDING_GAG, FUNDING_POST16, FUNDING_BURSARY)</text>
  </threadedComment>
  <threadedComment ref="I147" dT="2021-09-01T13:36:21.78" personId="{2BA1ACE1-2EA0-4657-B48E-40CBC85658FD}" id="{5241D529-0DBE-4871-9F73-B0463FE92317}">
    <text>To be renamed based on how the funding is grouped at nominal level (e.g. FUNDING_GAG, FUNDING_POST16, FUNDING_BURSARY)</text>
  </threadedComment>
  <threadedComment ref="I148" dT="2021-09-01T13:36:21.78" personId="{2BA1ACE1-2EA0-4657-B48E-40CBC85658FD}" id="{AB2A0045-391C-401A-9107-F5C523E69634}">
    <text>To be renamed based on how the funding is grouped at nominal level (e.g. FUNDING_GAG, FUNDING_POST16, FUNDING_BURSARY)</text>
  </threadedComment>
  <threadedComment ref="I149" dT="2021-09-01T13:36:21.78" personId="{2BA1ACE1-2EA0-4657-B48E-40CBC85658FD}" id="{3A6482F8-6FF7-40D8-9B20-74140AF14805}">
    <text>To be renamed based on how the funding is grouped at nominal level (e.g. FUNDING_GAG, FUNDING_POST16, FUNDING_BURSARY)</text>
  </threadedComment>
  <threadedComment ref="I150" dT="2021-09-01T13:36:21.78" personId="{2BA1ACE1-2EA0-4657-B48E-40CBC85658FD}" id="{0461D0E1-D673-4BCB-A77F-CE862B1B366B}">
    <text>To be renamed based on how the funding is grouped at nominal level (e.g. FUNDING_GAG, FUNDING_POST16, FUNDING_BURSARY)</text>
  </threadedComment>
  <threadedComment ref="I151" dT="2021-09-01T13:36:21.78" personId="{2BA1ACE1-2EA0-4657-B48E-40CBC85658FD}" id="{F39C92E5-9DBE-400C-AD28-8890F9F442BC}">
    <text>To be renamed based on how the funding is grouped at nominal level (e.g. FUNDING_GAG, FUNDING_POST16, FUNDING_BURSARY)</text>
  </threadedComment>
  <threadedComment ref="I152" dT="2021-09-01T13:36:21.78" personId="{2BA1ACE1-2EA0-4657-B48E-40CBC85658FD}" id="{7578A76F-238C-444F-A9C8-D72ADE4DE9F9}">
    <text>To be renamed based on how the funding is grouped at nominal level (e.g. FUNDING_GAG, FUNDING_POST16, FUNDING_BURSARY)</text>
  </threadedComment>
  <threadedComment ref="I153" dT="2021-09-01T13:36:21.78" personId="{2BA1ACE1-2EA0-4657-B48E-40CBC85658FD}" id="{F3D4496A-FD19-4B83-AA09-C71437E91EB0}">
    <text>To be renamed based on how the funding is grouped at nominal level (e.g. FUNDING_GAG, FUNDING_POST16, FUNDING_BURSARY)</text>
  </threadedComment>
  <threadedComment ref="I154" dT="2021-09-01T13:36:21.78" personId="{2BA1ACE1-2EA0-4657-B48E-40CBC85658FD}" id="{ADCA5E10-C381-46C1-BB33-E9814495173B}">
    <text>To be renamed based on how the funding is grouped at nominal level (e.g. FUNDING_GAG, FUNDING_POST16, FUNDING_BURSARY)</text>
  </threadedComment>
  <threadedComment ref="I155" dT="2021-09-01T13:36:21.78" personId="{2BA1ACE1-2EA0-4657-B48E-40CBC85658FD}" id="{6E38DE4A-C1C6-4AA2-8876-855D4E0A7377}">
    <text>To be renamed based on how the funding is grouped at nominal level (e.g. FUNDING_GAG, FUNDING_POST16, FUNDING_BURSARY)</text>
  </threadedComment>
  <threadedComment ref="I168" dT="2021-09-01T13:36:21.78" personId="{2BA1ACE1-2EA0-4657-B48E-40CBC85658FD}" id="{F3F0C670-46D1-4A24-9896-2A29E4F9A13B}">
    <text>To be renamed based on how the funding is grouped at nominal level (e.g. FUNDING_GAG, FUNDING_POST16, FUNDING_BURSARY)</text>
  </threadedComment>
  <threadedComment ref="I169" dT="2021-09-01T13:36:21.78" personId="{2BA1ACE1-2EA0-4657-B48E-40CBC85658FD}" id="{4E5F8BA0-803E-4CC7-BDD9-936CF0B3031B}">
    <text>To be renamed based on how the funding is grouped at nominal level (e.g. FUNDING_GAG, FUNDING_POST16, FUNDING_BURSARY)</text>
  </threadedComment>
  <threadedComment ref="I170" dT="2021-09-01T13:36:21.78" personId="{2BA1ACE1-2EA0-4657-B48E-40CBC85658FD}" id="{8493BF9D-3D86-4CFD-9BFE-B5F7878499F5}">
    <text>To be renamed based on how the funding is grouped at nominal level (e.g. FUNDING_GAG, FUNDING_POST16, FUNDING_BURSARY)</text>
  </threadedComment>
  <threadedComment ref="I171" dT="2021-09-01T13:36:21.78" personId="{2BA1ACE1-2EA0-4657-B48E-40CBC85658FD}" id="{6E847666-2990-4AB1-9054-D59912ADD689}">
    <text>To be renamed based on how the funding is grouped at nominal level (e.g. FUNDING_GAG, FUNDING_POST16, FUNDING_BURSARY)</text>
  </threadedComment>
  <threadedComment ref="I172" dT="2021-09-01T13:36:21.78" personId="{2BA1ACE1-2EA0-4657-B48E-40CBC85658FD}" id="{540D8023-6173-47B9-A4A2-8A8770132FD1}">
    <text>To be renamed based on how the funding is grouped at nominal level (e.g. FUNDING_GAG, FUNDING_POST16, FUNDING_BURSARY)</text>
  </threadedComment>
  <threadedComment ref="I182" dT="2021-09-01T13:36:21.78" personId="{2BA1ACE1-2EA0-4657-B48E-40CBC85658FD}" id="{4A3B9F2B-EEDA-44A4-B101-FD0D7C6A09E8}">
    <text>To be renamed based on how the funding is grouped at nominal level (e.g. FUNDING_GAG, FUNDING_POST16, FUNDING_BURSARY)</text>
  </threadedComment>
  <threadedComment ref="I183" dT="2021-09-01T13:36:21.78" personId="{2BA1ACE1-2EA0-4657-B48E-40CBC85658FD}" id="{E0A00055-8699-412C-8922-F293CB8C70CB}">
    <text>To be renamed based on how the funding is grouped at nominal level (e.g. FUNDING_GAG, FUNDING_POST16, FUNDING_BURSARY)</text>
  </threadedComment>
  <threadedComment ref="I184" dT="2021-09-01T13:36:21.78" personId="{2BA1ACE1-2EA0-4657-B48E-40CBC85658FD}" id="{E4494929-8817-47DC-A66B-9DC0C6EEBA05}">
    <text>To be renamed based on how the funding is grouped at nominal level (e.g. FUNDING_GAG, FUNDING_POST16, FUNDING_BURSARY)</text>
  </threadedComment>
  <threadedComment ref="I185" dT="2021-09-01T13:36:21.78" personId="{2BA1ACE1-2EA0-4657-B48E-40CBC85658FD}" id="{7F6DF41A-5C5B-44D3-9989-9ED22C951CCA}">
    <text>To be renamed based on how the funding is grouped at nominal level (e.g. FUNDING_GAG, FUNDING_POST16, FUNDING_BURSARY)</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api.impplanner.co.u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10.bin"/></Relationships>
</file>

<file path=xl/worksheets/_rels/sheet25.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1.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rinterSettings" Target="../printerSettings/printerSettings16.bin"/></Relationships>
</file>

<file path=xl/worksheets/_rels/sheet33.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4.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table" Target="../tables/table32.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6.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printerSettings" Target="../printerSettings/printerSettings17.bin"/></Relationships>
</file>

<file path=xl/worksheets/_rels/sheet37.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vmlDrawing" Target="../drawings/vmlDrawing2.vml"/><Relationship Id="rId1" Type="http://schemas.openxmlformats.org/officeDocument/2006/relationships/printerSettings" Target="../printerSettings/printerSettings18.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43.xml.rels><?xml version="1.0" encoding="UTF-8" standalone="yes"?>
<Relationships xmlns="http://schemas.openxmlformats.org/package/2006/relationships"><Relationship Id="rId3" Type="http://schemas.openxmlformats.org/officeDocument/2006/relationships/table" Target="../tables/table43.xml"/><Relationship Id="rId2" Type="http://schemas.openxmlformats.org/officeDocument/2006/relationships/table" Target="../tables/table42.xml"/><Relationship Id="rId1" Type="http://schemas.openxmlformats.org/officeDocument/2006/relationships/printerSettings" Target="../printerSettings/printerSettings19.bin"/></Relationships>
</file>

<file path=xl/worksheets/_rels/sheet44.xml.rels><?xml version="1.0" encoding="UTF-8" standalone="yes"?>
<Relationships xmlns="http://schemas.openxmlformats.org/package/2006/relationships"><Relationship Id="rId8" Type="http://schemas.openxmlformats.org/officeDocument/2006/relationships/printerSettings" Target="../printerSettings/printerSettings20.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5.xml.rels><?xml version="1.0" encoding="UTF-8" standalone="yes"?>
<Relationships xmlns="http://schemas.openxmlformats.org/package/2006/relationships"><Relationship Id="rId2" Type="http://schemas.openxmlformats.org/officeDocument/2006/relationships/table" Target="../tables/table44.xml"/><Relationship Id="rId1" Type="http://schemas.openxmlformats.org/officeDocument/2006/relationships/printerSettings" Target="../printerSettings/printerSettings21.bin"/></Relationships>
</file>

<file path=xl/worksheets/_rels/sheet46.xml.rels><?xml version="1.0" encoding="UTF-8" standalone="yes"?>
<Relationships xmlns="http://schemas.openxmlformats.org/package/2006/relationships"><Relationship Id="rId1" Type="http://schemas.openxmlformats.org/officeDocument/2006/relationships/table" Target="../tables/table45.xml"/></Relationships>
</file>

<file path=xl/worksheets/_rels/sheet47.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2.xml.rels><?xml version="1.0" encoding="UTF-8" standalone="yes"?>
<Relationships xmlns="http://schemas.openxmlformats.org/package/2006/relationships"><Relationship Id="rId2" Type="http://schemas.openxmlformats.org/officeDocument/2006/relationships/table" Target="../tables/table50.xml"/><Relationship Id="rId1" Type="http://schemas.openxmlformats.org/officeDocument/2006/relationships/table" Target="../tables/table4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36D6-7D8F-4B69-B197-F6695A59398A}">
  <sheetPr codeName="Sheet3"/>
  <dimension ref="A1:E12"/>
  <sheetViews>
    <sheetView workbookViewId="0">
      <selection activeCell="B8" sqref="B8"/>
    </sheetView>
  </sheetViews>
  <sheetFormatPr defaultRowHeight="14.4" x14ac:dyDescent="0.3"/>
  <cols>
    <col min="1" max="1" width="29.88671875" bestFit="1" customWidth="1"/>
    <col min="2" max="2" width="151.6640625" customWidth="1"/>
    <col min="3" max="3" width="2.33203125" customWidth="1"/>
    <col min="4" max="4" width="42.5546875" bestFit="1" customWidth="1"/>
  </cols>
  <sheetData>
    <row r="1" spans="1:5" x14ac:dyDescent="0.3">
      <c r="A1" s="112" t="s">
        <v>1756</v>
      </c>
      <c r="B1" s="114">
        <v>2.1</v>
      </c>
    </row>
    <row r="3" spans="1:5" x14ac:dyDescent="0.3">
      <c r="A3" s="64" t="s">
        <v>0</v>
      </c>
      <c r="B3" s="64" t="s">
        <v>1</v>
      </c>
      <c r="D3" t="s">
        <v>2</v>
      </c>
      <c r="E3" t="s">
        <v>3</v>
      </c>
    </row>
    <row r="4" spans="1:5" x14ac:dyDescent="0.3">
      <c r="A4" s="65" t="s">
        <v>4</v>
      </c>
      <c r="B4" s="122"/>
    </row>
    <row r="5" spans="1:5" x14ac:dyDescent="0.3">
      <c r="A5" s="66" t="s">
        <v>5</v>
      </c>
      <c r="B5" s="66" t="s">
        <v>1394</v>
      </c>
    </row>
    <row r="6" spans="1:5" x14ac:dyDescent="0.3">
      <c r="A6" s="67" t="s">
        <v>7</v>
      </c>
      <c r="B6" s="68" t="s">
        <v>8</v>
      </c>
    </row>
    <row r="7" spans="1:5" x14ac:dyDescent="0.3">
      <c r="A7" s="67" t="s">
        <v>9</v>
      </c>
      <c r="B7" s="129">
        <v>45212</v>
      </c>
    </row>
    <row r="8" spans="1:5" x14ac:dyDescent="0.3">
      <c r="A8" s="67" t="s">
        <v>2043</v>
      </c>
      <c r="B8" s="129">
        <v>46054</v>
      </c>
      <c r="C8" s="133"/>
      <c r="D8" s="134" t="s">
        <v>2044</v>
      </c>
    </row>
    <row r="9" spans="1:5" x14ac:dyDescent="0.3">
      <c r="A9" s="67" t="s">
        <v>2615</v>
      </c>
      <c r="B9" s="135">
        <v>675100</v>
      </c>
      <c r="C9" s="133"/>
      <c r="D9" s="134" t="s">
        <v>2045</v>
      </c>
    </row>
    <row r="10" spans="1:5" x14ac:dyDescent="0.3">
      <c r="A10" s="66" t="s">
        <v>2614</v>
      </c>
      <c r="B10" s="135">
        <v>675110</v>
      </c>
      <c r="C10" s="133"/>
      <c r="D10" s="134"/>
    </row>
    <row r="11" spans="1:5" x14ac:dyDescent="0.3">
      <c r="A11" s="66" t="s">
        <v>2445</v>
      </c>
      <c r="B11" s="122"/>
    </row>
    <row r="12" spans="1:5" x14ac:dyDescent="0.3">
      <c r="A12" s="67" t="s">
        <v>2446</v>
      </c>
      <c r="B12" s="146"/>
    </row>
  </sheetData>
  <conditionalFormatting sqref="E3">
    <cfRule type="cellIs" dxfId="19" priority="1" operator="equal">
      <formula>"Yes"</formula>
    </cfRule>
    <cfRule type="cellIs" dxfId="18" priority="2" operator="equal">
      <formula>"No"</formula>
    </cfRule>
  </conditionalFormatting>
  <dataValidations count="2">
    <dataValidation type="list" allowBlank="1" showInputMessage="1" showErrorMessage="1" sqref="B5" xr:uid="{BFEAA90D-9E8D-4F30-A7C1-31595CB47E67}">
      <formula1>dvYears</formula1>
    </dataValidation>
    <dataValidation type="list" allowBlank="1" showInputMessage="1" showErrorMessage="1" sqref="E3" xr:uid="{B34493FC-15B2-42E8-8008-10BBAD1D16D5}">
      <formula1>"Yes,No"</formula1>
    </dataValidation>
  </dataValidations>
  <hyperlinks>
    <hyperlink ref="B6" r:id="rId1" xr:uid="{C22EDA50-E04A-4C86-B7AE-87AA1A54F057}"/>
  </hyperlinks>
  <pageMargins left="0.7" right="0.7" top="0.75" bottom="0.75" header="0.3" footer="0.3"/>
  <pageSetup paperSize="9" orientation="portrait"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17670-1BE9-482B-BE60-1A678ABAA341}">
  <sheetPr codeName="Sheet1"/>
  <dimension ref="A1:K605"/>
  <sheetViews>
    <sheetView topLeftCell="A280" workbookViewId="0">
      <selection activeCell="J623" sqref="J623"/>
    </sheetView>
  </sheetViews>
  <sheetFormatPr defaultRowHeight="14.4" outlineLevelRow="1" x14ac:dyDescent="0.3"/>
  <cols>
    <col min="1" max="1" width="9.109375" style="108"/>
  </cols>
  <sheetData>
    <row r="1" spans="1:11" ht="29.4" thickBot="1" x14ac:dyDescent="0.6">
      <c r="A1" s="178" t="s">
        <v>1896</v>
      </c>
      <c r="B1" s="179"/>
      <c r="C1" s="179"/>
      <c r="D1" s="179"/>
      <c r="E1" s="179"/>
      <c r="F1" s="179"/>
      <c r="G1" s="179"/>
      <c r="H1" s="179"/>
      <c r="I1" s="179"/>
      <c r="J1" s="179"/>
      <c r="K1" s="180"/>
    </row>
    <row r="2" spans="1:11" ht="15" thickBot="1" x14ac:dyDescent="0.35"/>
    <row r="3" spans="1:11" ht="15" thickBot="1" x14ac:dyDescent="0.35">
      <c r="A3" s="172" t="s">
        <v>1897</v>
      </c>
      <c r="B3" s="173"/>
      <c r="C3" s="173"/>
      <c r="D3" s="173"/>
      <c r="E3" s="173"/>
      <c r="F3" s="173"/>
      <c r="G3" s="173"/>
      <c r="H3" s="173"/>
      <c r="I3" s="173"/>
      <c r="J3" s="173"/>
      <c r="K3" s="174"/>
    </row>
    <row r="5" spans="1:11" x14ac:dyDescent="0.3">
      <c r="A5" s="108" t="s">
        <v>1898</v>
      </c>
    </row>
    <row r="6" spans="1:11" x14ac:dyDescent="0.3">
      <c r="A6" s="108">
        <v>1</v>
      </c>
      <c r="B6" s="177" t="s">
        <v>1899</v>
      </c>
      <c r="C6" s="177"/>
      <c r="D6" s="177"/>
      <c r="E6" s="177"/>
      <c r="F6" s="177"/>
      <c r="G6" s="177"/>
      <c r="H6" s="177"/>
      <c r="I6" s="177"/>
      <c r="J6" s="177"/>
      <c r="K6" s="177"/>
    </row>
    <row r="7" spans="1:11" hidden="1" outlineLevel="1" x14ac:dyDescent="0.3"/>
    <row r="8" spans="1:11" hidden="1" outlineLevel="1" x14ac:dyDescent="0.3"/>
    <row r="9" spans="1:11" hidden="1" outlineLevel="1" x14ac:dyDescent="0.3"/>
    <row r="10" spans="1:11" hidden="1" outlineLevel="1" x14ac:dyDescent="0.3"/>
    <row r="11" spans="1:11" hidden="1" outlineLevel="1" x14ac:dyDescent="0.3"/>
    <row r="12" spans="1:11" hidden="1" outlineLevel="1" x14ac:dyDescent="0.3"/>
    <row r="13" spans="1:11" hidden="1" outlineLevel="1" x14ac:dyDescent="0.3"/>
    <row r="14" spans="1:11" hidden="1" outlineLevel="1" x14ac:dyDescent="0.3"/>
    <row r="15" spans="1:11" hidden="1" outlineLevel="1" x14ac:dyDescent="0.3"/>
    <row r="16" spans="1:11" hidden="1" outlineLevel="1" x14ac:dyDescent="0.3"/>
    <row r="17" spans="1:11" hidden="1" outlineLevel="1" x14ac:dyDescent="0.3"/>
    <row r="18" spans="1:11" hidden="1" outlineLevel="1" x14ac:dyDescent="0.3"/>
    <row r="19" spans="1:11" hidden="1" outlineLevel="1" x14ac:dyDescent="0.3"/>
    <row r="20" spans="1:11" hidden="1" outlineLevel="1" x14ac:dyDescent="0.3"/>
    <row r="21" spans="1:11" hidden="1" outlineLevel="1" x14ac:dyDescent="0.3"/>
    <row r="22" spans="1:11" hidden="1" outlineLevel="1" x14ac:dyDescent="0.3"/>
    <row r="23" spans="1:11" hidden="1" outlineLevel="1" x14ac:dyDescent="0.3"/>
    <row r="24" spans="1:11" hidden="1" outlineLevel="1" x14ac:dyDescent="0.3"/>
    <row r="25" spans="1:11" hidden="1" outlineLevel="1" x14ac:dyDescent="0.3"/>
    <row r="26" spans="1:11" hidden="1" outlineLevel="1" x14ac:dyDescent="0.3"/>
    <row r="27" spans="1:11" collapsed="1" x14ac:dyDescent="0.3"/>
    <row r="28" spans="1:11" x14ac:dyDescent="0.3">
      <c r="A28" s="108">
        <v>2</v>
      </c>
      <c r="B28" s="177" t="s">
        <v>1900</v>
      </c>
      <c r="C28" s="177"/>
      <c r="D28" s="177"/>
      <c r="E28" s="177"/>
      <c r="F28" s="177"/>
      <c r="G28" s="177"/>
      <c r="H28" s="177"/>
      <c r="I28" s="177"/>
      <c r="J28" s="177"/>
      <c r="K28" s="177"/>
    </row>
    <row r="29" spans="1:11" hidden="1" outlineLevel="1" x14ac:dyDescent="0.3"/>
    <row r="30" spans="1:11" hidden="1" outlineLevel="1" x14ac:dyDescent="0.3"/>
    <row r="31" spans="1:11" hidden="1" outlineLevel="1" x14ac:dyDescent="0.3"/>
    <row r="32" spans="1:11" hidden="1" outlineLevel="1" x14ac:dyDescent="0.3"/>
    <row r="33" hidden="1" outlineLevel="1" x14ac:dyDescent="0.3"/>
    <row r="34" hidden="1" outlineLevel="1" x14ac:dyDescent="0.3"/>
    <row r="35" hidden="1" outlineLevel="1" x14ac:dyDescent="0.3"/>
    <row r="36" hidden="1" outlineLevel="1" x14ac:dyDescent="0.3"/>
    <row r="37" hidden="1" outlineLevel="1" x14ac:dyDescent="0.3"/>
    <row r="38" hidden="1" outlineLevel="1" x14ac:dyDescent="0.3"/>
    <row r="39" hidden="1" outlineLevel="1" x14ac:dyDescent="0.3"/>
    <row r="40" hidden="1" outlineLevel="1" x14ac:dyDescent="0.3"/>
    <row r="41" hidden="1" outlineLevel="1" x14ac:dyDescent="0.3"/>
    <row r="42" hidden="1" outlineLevel="1" x14ac:dyDescent="0.3"/>
    <row r="43" hidden="1" outlineLevel="1" x14ac:dyDescent="0.3"/>
    <row r="44" hidden="1" outlineLevel="1" x14ac:dyDescent="0.3"/>
    <row r="45" hidden="1" outlineLevel="1" x14ac:dyDescent="0.3"/>
    <row r="46" hidden="1" outlineLevel="1" x14ac:dyDescent="0.3"/>
    <row r="47" hidden="1" outlineLevel="1" x14ac:dyDescent="0.3"/>
    <row r="48" hidden="1" outlineLevel="1" x14ac:dyDescent="0.3"/>
    <row r="49" spans="1:11" hidden="1" outlineLevel="1" x14ac:dyDescent="0.3"/>
    <row r="50" spans="1:11" collapsed="1" x14ac:dyDescent="0.3"/>
    <row r="51" spans="1:11" x14ac:dyDescent="0.3">
      <c r="A51" s="108">
        <v>3</v>
      </c>
      <c r="B51" s="177" t="s">
        <v>1901</v>
      </c>
      <c r="C51" s="177"/>
      <c r="D51" s="177"/>
      <c r="E51" s="177"/>
      <c r="F51" s="177"/>
      <c r="G51" s="177"/>
      <c r="H51" s="177"/>
      <c r="I51" s="177"/>
      <c r="J51" s="177"/>
      <c r="K51" s="177"/>
    </row>
    <row r="52" spans="1:11" hidden="1" outlineLevel="1" x14ac:dyDescent="0.3"/>
    <row r="53" spans="1:11" hidden="1" outlineLevel="1" x14ac:dyDescent="0.3"/>
    <row r="54" spans="1:11" hidden="1" outlineLevel="1" x14ac:dyDescent="0.3"/>
    <row r="55" spans="1:11" hidden="1" outlineLevel="1" x14ac:dyDescent="0.3"/>
    <row r="56" spans="1:11" hidden="1" outlineLevel="1" x14ac:dyDescent="0.3"/>
    <row r="57" spans="1:11" hidden="1" outlineLevel="1" x14ac:dyDescent="0.3"/>
    <row r="58" spans="1:11" hidden="1" outlineLevel="1" x14ac:dyDescent="0.3"/>
    <row r="59" spans="1:11" hidden="1" outlineLevel="1" x14ac:dyDescent="0.3"/>
    <row r="60" spans="1:11" hidden="1" outlineLevel="1" x14ac:dyDescent="0.3"/>
    <row r="61" spans="1:11" hidden="1" outlineLevel="1" x14ac:dyDescent="0.3"/>
    <row r="62" spans="1:11" hidden="1" outlineLevel="1" x14ac:dyDescent="0.3"/>
    <row r="63" spans="1:11" hidden="1" outlineLevel="1" x14ac:dyDescent="0.3"/>
    <row r="64" spans="1:11" hidden="1" outlineLevel="1" x14ac:dyDescent="0.3"/>
    <row r="65" hidden="1" outlineLevel="1" x14ac:dyDescent="0.3"/>
    <row r="66" hidden="1" outlineLevel="1" x14ac:dyDescent="0.3"/>
    <row r="67" hidden="1" outlineLevel="1" x14ac:dyDescent="0.3"/>
    <row r="68" hidden="1" outlineLevel="1" x14ac:dyDescent="0.3"/>
    <row r="69" hidden="1" outlineLevel="1" x14ac:dyDescent="0.3"/>
    <row r="70" hidden="1" outlineLevel="1" x14ac:dyDescent="0.3"/>
    <row r="71" hidden="1" outlineLevel="1" x14ac:dyDescent="0.3"/>
    <row r="72" hidden="1" outlineLevel="1" x14ac:dyDescent="0.3"/>
    <row r="73" hidden="1" outlineLevel="1" x14ac:dyDescent="0.3"/>
    <row r="74" hidden="1" outlineLevel="1" x14ac:dyDescent="0.3"/>
    <row r="75" hidden="1" outlineLevel="1" x14ac:dyDescent="0.3"/>
    <row r="76" hidden="1" outlineLevel="1" x14ac:dyDescent="0.3"/>
    <row r="77" hidden="1" outlineLevel="1" x14ac:dyDescent="0.3"/>
    <row r="78" hidden="1" outlineLevel="1" x14ac:dyDescent="0.3"/>
    <row r="79" hidden="1" outlineLevel="1" x14ac:dyDescent="0.3"/>
    <row r="80" hidden="1" outlineLevel="1" x14ac:dyDescent="0.3"/>
    <row r="81" hidden="1" outlineLevel="1" x14ac:dyDescent="0.3"/>
    <row r="82" hidden="1" outlineLevel="1" x14ac:dyDescent="0.3"/>
    <row r="83" hidden="1" outlineLevel="1" x14ac:dyDescent="0.3"/>
    <row r="84" hidden="1" outlineLevel="1" x14ac:dyDescent="0.3"/>
    <row r="85" hidden="1" outlineLevel="1" x14ac:dyDescent="0.3"/>
    <row r="86" hidden="1" outlineLevel="1" x14ac:dyDescent="0.3"/>
    <row r="87" hidden="1" outlineLevel="1" x14ac:dyDescent="0.3"/>
    <row r="88" hidden="1" outlineLevel="1" x14ac:dyDescent="0.3"/>
    <row r="89" hidden="1" outlineLevel="1" x14ac:dyDescent="0.3"/>
    <row r="90" hidden="1" outlineLevel="1" x14ac:dyDescent="0.3"/>
    <row r="91" hidden="1" outlineLevel="1" x14ac:dyDescent="0.3"/>
    <row r="92" hidden="1" outlineLevel="1" x14ac:dyDescent="0.3"/>
    <row r="93" hidden="1" outlineLevel="1" x14ac:dyDescent="0.3"/>
    <row r="94" hidden="1" outlineLevel="1" x14ac:dyDescent="0.3"/>
    <row r="95" hidden="1" outlineLevel="1" x14ac:dyDescent="0.3"/>
    <row r="96" hidden="1" outlineLevel="1" x14ac:dyDescent="0.3"/>
    <row r="97" spans="1:11" hidden="1" outlineLevel="1" x14ac:dyDescent="0.3"/>
    <row r="98" spans="1:11" hidden="1" outlineLevel="1" x14ac:dyDescent="0.3"/>
    <row r="99" spans="1:11" hidden="1" outlineLevel="1" x14ac:dyDescent="0.3"/>
    <row r="100" spans="1:11" hidden="1" outlineLevel="1" x14ac:dyDescent="0.3"/>
    <row r="101" spans="1:11" hidden="1" outlineLevel="1" x14ac:dyDescent="0.3"/>
    <row r="102" spans="1:11" hidden="1" outlineLevel="1" x14ac:dyDescent="0.3"/>
    <row r="103" spans="1:11" collapsed="1" x14ac:dyDescent="0.3"/>
    <row r="104" spans="1:11" x14ac:dyDescent="0.3">
      <c r="A104" s="108">
        <v>4</v>
      </c>
      <c r="B104" s="177" t="s">
        <v>1902</v>
      </c>
      <c r="C104" s="177"/>
      <c r="D104" s="177"/>
      <c r="E104" s="177"/>
      <c r="F104" s="177"/>
      <c r="G104" s="177"/>
      <c r="H104" s="177"/>
      <c r="I104" s="177"/>
      <c r="J104" s="177"/>
      <c r="K104" s="177"/>
    </row>
    <row r="105" spans="1:11" hidden="1" outlineLevel="1" x14ac:dyDescent="0.3"/>
    <row r="106" spans="1:11" hidden="1" outlineLevel="1" x14ac:dyDescent="0.3"/>
    <row r="107" spans="1:11" hidden="1" outlineLevel="1" x14ac:dyDescent="0.3"/>
    <row r="108" spans="1:11" hidden="1" outlineLevel="1" x14ac:dyDescent="0.3"/>
    <row r="109" spans="1:11" hidden="1" outlineLevel="1" x14ac:dyDescent="0.3"/>
    <row r="110" spans="1:11" hidden="1" outlineLevel="1" x14ac:dyDescent="0.3"/>
    <row r="111" spans="1:11" hidden="1" outlineLevel="1" x14ac:dyDescent="0.3"/>
    <row r="112" spans="1:11" hidden="1" outlineLevel="1" x14ac:dyDescent="0.3"/>
    <row r="113" hidden="1" outlineLevel="1" x14ac:dyDescent="0.3"/>
    <row r="114" hidden="1" outlineLevel="1" x14ac:dyDescent="0.3"/>
    <row r="115" hidden="1" outlineLevel="1" x14ac:dyDescent="0.3"/>
    <row r="116" hidden="1" outlineLevel="1" x14ac:dyDescent="0.3"/>
    <row r="117" hidden="1" outlineLevel="1" x14ac:dyDescent="0.3"/>
    <row r="118" hidden="1" outlineLevel="1" x14ac:dyDescent="0.3"/>
    <row r="119" hidden="1" outlineLevel="1" x14ac:dyDescent="0.3"/>
    <row r="120" hidden="1" outlineLevel="1" x14ac:dyDescent="0.3"/>
    <row r="121" hidden="1" outlineLevel="1" x14ac:dyDescent="0.3"/>
    <row r="122" hidden="1" outlineLevel="1" x14ac:dyDescent="0.3"/>
    <row r="123" hidden="1" outlineLevel="1" x14ac:dyDescent="0.3"/>
    <row r="124" hidden="1" outlineLevel="1" x14ac:dyDescent="0.3"/>
    <row r="125" hidden="1" outlineLevel="1" x14ac:dyDescent="0.3"/>
    <row r="126" hidden="1" outlineLevel="1" x14ac:dyDescent="0.3"/>
    <row r="127" hidden="1" outlineLevel="1" x14ac:dyDescent="0.3"/>
    <row r="128" hidden="1" outlineLevel="1" x14ac:dyDescent="0.3"/>
    <row r="129" hidden="1" outlineLevel="1" x14ac:dyDescent="0.3"/>
    <row r="130" hidden="1" outlineLevel="1" x14ac:dyDescent="0.3"/>
    <row r="131" hidden="1" outlineLevel="1" x14ac:dyDescent="0.3"/>
    <row r="132" hidden="1" outlineLevel="1" x14ac:dyDescent="0.3"/>
    <row r="133" hidden="1" outlineLevel="1" x14ac:dyDescent="0.3"/>
    <row r="134" hidden="1" outlineLevel="1" x14ac:dyDescent="0.3"/>
    <row r="135" hidden="1" outlineLevel="1" x14ac:dyDescent="0.3"/>
    <row r="136" hidden="1" outlineLevel="1" x14ac:dyDescent="0.3"/>
    <row r="137" hidden="1" outlineLevel="1" x14ac:dyDescent="0.3"/>
    <row r="138" hidden="1" outlineLevel="1" x14ac:dyDescent="0.3"/>
    <row r="139" hidden="1" outlineLevel="1" x14ac:dyDescent="0.3"/>
    <row r="140" hidden="1" outlineLevel="1" x14ac:dyDescent="0.3"/>
    <row r="141" hidden="1" outlineLevel="1" x14ac:dyDescent="0.3"/>
    <row r="142" hidden="1" outlineLevel="1" x14ac:dyDescent="0.3"/>
    <row r="143" hidden="1" outlineLevel="1" x14ac:dyDescent="0.3"/>
    <row r="144" hidden="1" outlineLevel="1" x14ac:dyDescent="0.3"/>
    <row r="145" spans="1:11" hidden="1" outlineLevel="1" x14ac:dyDescent="0.3"/>
    <row r="146" spans="1:11" collapsed="1" x14ac:dyDescent="0.3"/>
    <row r="147" spans="1:11" ht="29.25" customHeight="1" x14ac:dyDescent="0.3">
      <c r="A147" s="108">
        <v>5</v>
      </c>
      <c r="B147" s="176" t="s">
        <v>1928</v>
      </c>
      <c r="C147" s="176"/>
      <c r="D147" s="176"/>
      <c r="E147" s="176"/>
      <c r="F147" s="176"/>
      <c r="G147" s="176"/>
      <c r="H147" s="176"/>
      <c r="I147" s="176"/>
      <c r="J147" s="176"/>
      <c r="K147" s="176"/>
    </row>
    <row r="148" spans="1:11" hidden="1" outlineLevel="1" x14ac:dyDescent="0.3"/>
    <row r="149" spans="1:11" hidden="1" outlineLevel="1" x14ac:dyDescent="0.3"/>
    <row r="150" spans="1:11" hidden="1" outlineLevel="1" x14ac:dyDescent="0.3"/>
    <row r="151" spans="1:11" hidden="1" outlineLevel="1" x14ac:dyDescent="0.3"/>
    <row r="152" spans="1:11" hidden="1" outlineLevel="1" x14ac:dyDescent="0.3"/>
    <row r="153" spans="1:11" hidden="1" outlineLevel="1" x14ac:dyDescent="0.3"/>
    <row r="154" spans="1:11" hidden="1" outlineLevel="1" x14ac:dyDescent="0.3"/>
    <row r="155" spans="1:11" hidden="1" outlineLevel="1" x14ac:dyDescent="0.3"/>
    <row r="156" spans="1:11" hidden="1" outlineLevel="1" x14ac:dyDescent="0.3"/>
    <row r="157" spans="1:11" hidden="1" outlineLevel="1" x14ac:dyDescent="0.3"/>
    <row r="158" spans="1:11" hidden="1" outlineLevel="1" x14ac:dyDescent="0.3"/>
    <row r="159" spans="1:11" hidden="1" outlineLevel="1" x14ac:dyDescent="0.3"/>
    <row r="160" spans="1:11" hidden="1" outlineLevel="1" x14ac:dyDescent="0.3"/>
    <row r="161" spans="1:11" hidden="1" outlineLevel="1" x14ac:dyDescent="0.3"/>
    <row r="162" spans="1:11" hidden="1" outlineLevel="1" x14ac:dyDescent="0.3"/>
    <row r="163" spans="1:11" collapsed="1" x14ac:dyDescent="0.3"/>
    <row r="164" spans="1:11" x14ac:dyDescent="0.3">
      <c r="A164" s="108">
        <v>6</v>
      </c>
      <c r="B164" s="175" t="s">
        <v>1956</v>
      </c>
      <c r="C164" s="175"/>
      <c r="D164" s="175"/>
      <c r="E164" s="175"/>
      <c r="F164" s="175"/>
      <c r="G164" s="175"/>
      <c r="H164" s="175"/>
      <c r="I164" s="175"/>
      <c r="J164" s="175"/>
      <c r="K164" s="175"/>
    </row>
    <row r="165" spans="1:11" hidden="1" outlineLevel="1" x14ac:dyDescent="0.3"/>
    <row r="166" spans="1:11" hidden="1" outlineLevel="1" x14ac:dyDescent="0.3"/>
    <row r="167" spans="1:11" hidden="1" outlineLevel="1" x14ac:dyDescent="0.3"/>
    <row r="168" spans="1:11" hidden="1" outlineLevel="1" x14ac:dyDescent="0.3"/>
    <row r="169" spans="1:11" hidden="1" outlineLevel="1" x14ac:dyDescent="0.3"/>
    <row r="170" spans="1:11" hidden="1" outlineLevel="1" x14ac:dyDescent="0.3"/>
    <row r="171" spans="1:11" hidden="1" outlineLevel="1" x14ac:dyDescent="0.3"/>
    <row r="172" spans="1:11" collapsed="1" x14ac:dyDescent="0.3"/>
    <row r="173" spans="1:11" ht="15" thickBot="1" x14ac:dyDescent="0.35"/>
    <row r="174" spans="1:11" ht="15" thickBot="1" x14ac:dyDescent="0.35">
      <c r="A174" s="172" t="s">
        <v>1970</v>
      </c>
      <c r="B174" s="173"/>
      <c r="C174" s="173"/>
      <c r="D174" s="173"/>
      <c r="E174" s="173"/>
      <c r="F174" s="173"/>
      <c r="G174" s="173"/>
      <c r="H174" s="173"/>
      <c r="I174" s="173"/>
      <c r="J174" s="173"/>
      <c r="K174" s="174"/>
    </row>
    <row r="176" spans="1:11" x14ac:dyDescent="0.3">
      <c r="A176" s="108" t="s">
        <v>1898</v>
      </c>
    </row>
    <row r="177" spans="1:11" ht="30.75" customHeight="1" x14ac:dyDescent="0.3">
      <c r="A177" s="108">
        <v>1</v>
      </c>
      <c r="B177" s="170" t="s">
        <v>1971</v>
      </c>
      <c r="C177" s="170"/>
      <c r="D177" s="170"/>
      <c r="E177" s="170"/>
      <c r="F177" s="170"/>
      <c r="G177" s="170"/>
      <c r="H177" s="170"/>
      <c r="I177" s="170"/>
      <c r="J177" s="170"/>
      <c r="K177" s="170"/>
    </row>
    <row r="178" spans="1:11" hidden="1" outlineLevel="1" x14ac:dyDescent="0.3"/>
    <row r="179" spans="1:11" hidden="1" outlineLevel="1" x14ac:dyDescent="0.3"/>
    <row r="180" spans="1:11" hidden="1" outlineLevel="1" x14ac:dyDescent="0.3"/>
    <row r="181" spans="1:11" hidden="1" outlineLevel="1" x14ac:dyDescent="0.3"/>
    <row r="182" spans="1:11" hidden="1" outlineLevel="1" x14ac:dyDescent="0.3"/>
    <row r="183" spans="1:11" hidden="1" outlineLevel="1" x14ac:dyDescent="0.3"/>
    <row r="184" spans="1:11" hidden="1" outlineLevel="1" x14ac:dyDescent="0.3"/>
    <row r="185" spans="1:11" hidden="1" outlineLevel="1" x14ac:dyDescent="0.3"/>
    <row r="186" spans="1:11" hidden="1" outlineLevel="1" x14ac:dyDescent="0.3"/>
    <row r="187" spans="1:11" hidden="1" outlineLevel="1" x14ac:dyDescent="0.3"/>
    <row r="188" spans="1:11" hidden="1" outlineLevel="1" x14ac:dyDescent="0.3"/>
    <row r="189" spans="1:11" collapsed="1" x14ac:dyDescent="0.3"/>
    <row r="190" spans="1:11" ht="47.25" customHeight="1" x14ac:dyDescent="0.3">
      <c r="A190" s="108">
        <v>2</v>
      </c>
      <c r="B190" s="170" t="s">
        <v>1982</v>
      </c>
      <c r="C190" s="170"/>
      <c r="D190" s="170"/>
      <c r="E190" s="170"/>
      <c r="F190" s="170"/>
      <c r="G190" s="170"/>
      <c r="H190" s="170"/>
      <c r="I190" s="170"/>
      <c r="J190" s="170"/>
      <c r="K190" s="170"/>
    </row>
    <row r="191" spans="1:11" hidden="1" outlineLevel="1" x14ac:dyDescent="0.3"/>
    <row r="192" spans="1:11" hidden="1" outlineLevel="1" x14ac:dyDescent="0.3"/>
    <row r="193" spans="1:1" hidden="1" outlineLevel="1" x14ac:dyDescent="0.3"/>
    <row r="194" spans="1:1" hidden="1" outlineLevel="1" x14ac:dyDescent="0.3"/>
    <row r="195" spans="1:1" hidden="1" outlineLevel="1" x14ac:dyDescent="0.3"/>
    <row r="196" spans="1:1" hidden="1" outlineLevel="1" x14ac:dyDescent="0.3"/>
    <row r="197" spans="1:1" hidden="1" outlineLevel="1" x14ac:dyDescent="0.3"/>
    <row r="198" spans="1:1" hidden="1" outlineLevel="1" x14ac:dyDescent="0.3"/>
    <row r="199" spans="1:1" hidden="1" outlineLevel="1" x14ac:dyDescent="0.3"/>
    <row r="200" spans="1:1" hidden="1" outlineLevel="1" x14ac:dyDescent="0.3"/>
    <row r="201" spans="1:1" hidden="1" outlineLevel="1" x14ac:dyDescent="0.3"/>
    <row r="202" spans="1:1" hidden="1" outlineLevel="1" x14ac:dyDescent="0.3"/>
    <row r="203" spans="1:1" hidden="1" outlineLevel="1" x14ac:dyDescent="0.3"/>
    <row r="204" spans="1:1" hidden="1" outlineLevel="1" x14ac:dyDescent="0.3"/>
    <row r="205" spans="1:1" hidden="1" outlineLevel="1" x14ac:dyDescent="0.3"/>
    <row r="206" spans="1:1" hidden="1" outlineLevel="1" x14ac:dyDescent="0.3">
      <c r="A206" s="108" t="e" vm="1">
        <v>#VALUE!</v>
      </c>
    </row>
    <row r="207" spans="1:1" hidden="1" outlineLevel="1" x14ac:dyDescent="0.3"/>
    <row r="208" spans="1:1" hidden="1" outlineLevel="1" x14ac:dyDescent="0.3"/>
    <row r="209" hidden="1" outlineLevel="1" x14ac:dyDescent="0.3"/>
    <row r="210" hidden="1" outlineLevel="1" x14ac:dyDescent="0.3"/>
    <row r="211" hidden="1" outlineLevel="1" x14ac:dyDescent="0.3"/>
    <row r="212" hidden="1" outlineLevel="1" x14ac:dyDescent="0.3"/>
    <row r="213" hidden="1" outlineLevel="1" x14ac:dyDescent="0.3"/>
    <row r="214" hidden="1" outlineLevel="1" x14ac:dyDescent="0.3"/>
    <row r="215" hidden="1" outlineLevel="1" x14ac:dyDescent="0.3"/>
    <row r="216" hidden="1" outlineLevel="1" x14ac:dyDescent="0.3"/>
    <row r="217" hidden="1" outlineLevel="1" x14ac:dyDescent="0.3"/>
    <row r="218" hidden="1" outlineLevel="1" x14ac:dyDescent="0.3"/>
    <row r="219" hidden="1" outlineLevel="1" x14ac:dyDescent="0.3"/>
    <row r="220" hidden="1" outlineLevel="1" x14ac:dyDescent="0.3"/>
    <row r="221" hidden="1" outlineLevel="1" x14ac:dyDescent="0.3"/>
    <row r="222" hidden="1" outlineLevel="1" x14ac:dyDescent="0.3"/>
    <row r="223" hidden="1" outlineLevel="1" x14ac:dyDescent="0.3"/>
    <row r="224" hidden="1" outlineLevel="1" x14ac:dyDescent="0.3"/>
    <row r="225" hidden="1" outlineLevel="1" x14ac:dyDescent="0.3"/>
    <row r="226" hidden="1" outlineLevel="1" x14ac:dyDescent="0.3"/>
    <row r="227" hidden="1" outlineLevel="1" x14ac:dyDescent="0.3"/>
    <row r="228" hidden="1" outlineLevel="1" x14ac:dyDescent="0.3"/>
    <row r="229" hidden="1" outlineLevel="1" x14ac:dyDescent="0.3"/>
    <row r="230" hidden="1" outlineLevel="1" x14ac:dyDescent="0.3"/>
    <row r="231" hidden="1" outlineLevel="1" x14ac:dyDescent="0.3"/>
    <row r="232" hidden="1" outlineLevel="1" x14ac:dyDescent="0.3"/>
    <row r="233" hidden="1" outlineLevel="1" x14ac:dyDescent="0.3"/>
    <row r="234" hidden="1" outlineLevel="1" x14ac:dyDescent="0.3"/>
    <row r="235" hidden="1" outlineLevel="1" x14ac:dyDescent="0.3"/>
    <row r="236" hidden="1" outlineLevel="1" x14ac:dyDescent="0.3"/>
    <row r="237" hidden="1" outlineLevel="1" x14ac:dyDescent="0.3"/>
    <row r="238" hidden="1" outlineLevel="1" x14ac:dyDescent="0.3"/>
    <row r="239" hidden="1" outlineLevel="1" x14ac:dyDescent="0.3"/>
    <row r="240" hidden="1" outlineLevel="1" x14ac:dyDescent="0.3"/>
    <row r="241" spans="1:11" hidden="1" outlineLevel="1" x14ac:dyDescent="0.3"/>
    <row r="242" spans="1:11" hidden="1" outlineLevel="1" x14ac:dyDescent="0.3"/>
    <row r="243" spans="1:11" hidden="1" outlineLevel="1" x14ac:dyDescent="0.3"/>
    <row r="244" spans="1:11" hidden="1" outlineLevel="1" x14ac:dyDescent="0.3"/>
    <row r="245" spans="1:11" hidden="1" outlineLevel="1" x14ac:dyDescent="0.3"/>
    <row r="246" spans="1:11" hidden="1" outlineLevel="1" x14ac:dyDescent="0.3"/>
    <row r="247" spans="1:11" hidden="1" outlineLevel="1" x14ac:dyDescent="0.3"/>
    <row r="248" spans="1:11" hidden="1" outlineLevel="1" x14ac:dyDescent="0.3"/>
    <row r="249" spans="1:11" collapsed="1" x14ac:dyDescent="0.3"/>
    <row r="250" spans="1:11" ht="43.5" customHeight="1" x14ac:dyDescent="0.3">
      <c r="A250" s="108">
        <v>3</v>
      </c>
      <c r="B250" s="170" t="s">
        <v>1972</v>
      </c>
      <c r="C250" s="170"/>
      <c r="D250" s="170"/>
      <c r="E250" s="170"/>
      <c r="F250" s="170"/>
      <c r="G250" s="170"/>
      <c r="H250" s="170"/>
      <c r="I250" s="170"/>
      <c r="J250" s="170"/>
      <c r="K250" s="170"/>
    </row>
    <row r="251" spans="1:11" hidden="1" outlineLevel="1" x14ac:dyDescent="0.3"/>
    <row r="252" spans="1:11" hidden="1" outlineLevel="1" x14ac:dyDescent="0.3"/>
    <row r="253" spans="1:11" hidden="1" outlineLevel="1" x14ac:dyDescent="0.3"/>
    <row r="254" spans="1:11" hidden="1" outlineLevel="1" x14ac:dyDescent="0.3"/>
    <row r="255" spans="1:11" hidden="1" outlineLevel="1" x14ac:dyDescent="0.3"/>
    <row r="256" spans="1:11" hidden="1" outlineLevel="1" x14ac:dyDescent="0.3"/>
    <row r="257" spans="2:11" hidden="1" outlineLevel="1" x14ac:dyDescent="0.3"/>
    <row r="258" spans="2:11" hidden="1" outlineLevel="1" x14ac:dyDescent="0.3"/>
    <row r="259" spans="2:11" hidden="1" outlineLevel="1" x14ac:dyDescent="0.3"/>
    <row r="260" spans="2:11" hidden="1" outlineLevel="1" x14ac:dyDescent="0.3"/>
    <row r="261" spans="2:11" hidden="1" outlineLevel="1" x14ac:dyDescent="0.3"/>
    <row r="262" spans="2:11" hidden="1" outlineLevel="1" x14ac:dyDescent="0.3"/>
    <row r="263" spans="2:11" hidden="1" outlineLevel="1" x14ac:dyDescent="0.3"/>
    <row r="264" spans="2:11" hidden="1" outlineLevel="1" x14ac:dyDescent="0.3"/>
    <row r="265" spans="2:11" hidden="1" outlineLevel="1" x14ac:dyDescent="0.3"/>
    <row r="266" spans="2:11" hidden="1" outlineLevel="1" x14ac:dyDescent="0.3"/>
    <row r="267" spans="2:11" ht="28.5" hidden="1" customHeight="1" outlineLevel="1" x14ac:dyDescent="0.3">
      <c r="B267" s="170" t="s">
        <v>1973</v>
      </c>
      <c r="C267" s="170"/>
      <c r="D267" s="170"/>
      <c r="E267" s="170"/>
      <c r="F267" s="170"/>
      <c r="G267" s="170"/>
      <c r="H267" s="170"/>
      <c r="I267" s="170"/>
      <c r="J267" s="170"/>
      <c r="K267" s="170"/>
    </row>
    <row r="268" spans="2:11" hidden="1" outlineLevel="1" x14ac:dyDescent="0.3"/>
    <row r="269" spans="2:11" hidden="1" outlineLevel="1" x14ac:dyDescent="0.3"/>
    <row r="270" spans="2:11" hidden="1" outlineLevel="1" x14ac:dyDescent="0.3"/>
    <row r="271" spans="2:11" hidden="1" outlineLevel="1" x14ac:dyDescent="0.3"/>
    <row r="272" spans="2:11" hidden="1" outlineLevel="1" x14ac:dyDescent="0.3"/>
    <row r="273" spans="1:11" hidden="1" outlineLevel="1" x14ac:dyDescent="0.3"/>
    <row r="274" spans="1:11" hidden="1" outlineLevel="1" x14ac:dyDescent="0.3"/>
    <row r="275" spans="1:11" hidden="1" outlineLevel="1" x14ac:dyDescent="0.3"/>
    <row r="276" spans="1:11" hidden="1" outlineLevel="1" x14ac:dyDescent="0.3"/>
    <row r="277" spans="1:11" collapsed="1" x14ac:dyDescent="0.3"/>
    <row r="278" spans="1:11" ht="15" thickBot="1" x14ac:dyDescent="0.35"/>
    <row r="279" spans="1:11" ht="15" thickBot="1" x14ac:dyDescent="0.35">
      <c r="A279" s="172" t="s">
        <v>1904</v>
      </c>
      <c r="B279" s="173"/>
      <c r="C279" s="173"/>
      <c r="D279" s="173"/>
      <c r="E279" s="173"/>
      <c r="F279" s="173"/>
      <c r="G279" s="173"/>
      <c r="H279" s="173"/>
      <c r="I279" s="173"/>
      <c r="J279" s="173"/>
      <c r="K279" s="174"/>
    </row>
    <row r="281" spans="1:11" x14ac:dyDescent="0.3">
      <c r="A281" s="108" t="s">
        <v>1898</v>
      </c>
    </row>
    <row r="282" spans="1:11" ht="30.75" customHeight="1" x14ac:dyDescent="0.3">
      <c r="A282" s="108">
        <v>1</v>
      </c>
      <c r="B282" s="170" t="s">
        <v>1983</v>
      </c>
      <c r="C282" s="170"/>
      <c r="D282" s="170"/>
      <c r="E282" s="170"/>
      <c r="F282" s="170"/>
      <c r="G282" s="170"/>
      <c r="H282" s="170"/>
      <c r="I282" s="170"/>
      <c r="J282" s="170"/>
      <c r="K282" s="170"/>
    </row>
    <row r="283" spans="1:11" hidden="1" outlineLevel="1" x14ac:dyDescent="0.3"/>
    <row r="284" spans="1:11" hidden="1" outlineLevel="1" x14ac:dyDescent="0.3"/>
    <row r="285" spans="1:11" hidden="1" outlineLevel="1" x14ac:dyDescent="0.3"/>
    <row r="286" spans="1:11" hidden="1" outlineLevel="1" x14ac:dyDescent="0.3"/>
    <row r="287" spans="1:11" hidden="1" outlineLevel="1" x14ac:dyDescent="0.3"/>
    <row r="288" spans="1:11" hidden="1" outlineLevel="1" x14ac:dyDescent="0.3"/>
    <row r="289" hidden="1" outlineLevel="1" x14ac:dyDescent="0.3"/>
    <row r="290" hidden="1" outlineLevel="1" x14ac:dyDescent="0.3"/>
    <row r="291" hidden="1" outlineLevel="1" x14ac:dyDescent="0.3"/>
    <row r="292" hidden="1" outlineLevel="1" x14ac:dyDescent="0.3"/>
    <row r="293" hidden="1" outlineLevel="1" x14ac:dyDescent="0.3"/>
    <row r="294" hidden="1" outlineLevel="1" x14ac:dyDescent="0.3"/>
    <row r="295" hidden="1" outlineLevel="1" x14ac:dyDescent="0.3"/>
    <row r="296" hidden="1" outlineLevel="1" x14ac:dyDescent="0.3"/>
    <row r="297" hidden="1" outlineLevel="1" x14ac:dyDescent="0.3"/>
    <row r="298" hidden="1" outlineLevel="1" x14ac:dyDescent="0.3"/>
    <row r="299" hidden="1" outlineLevel="1" x14ac:dyDescent="0.3"/>
    <row r="300" hidden="1" outlineLevel="1" x14ac:dyDescent="0.3"/>
    <row r="301" hidden="1" outlineLevel="1" x14ac:dyDescent="0.3"/>
    <row r="302" hidden="1" outlineLevel="1" x14ac:dyDescent="0.3"/>
    <row r="303" hidden="1" outlineLevel="1" x14ac:dyDescent="0.3"/>
    <row r="304" hidden="1" outlineLevel="1" x14ac:dyDescent="0.3"/>
    <row r="305" hidden="1" outlineLevel="1" x14ac:dyDescent="0.3"/>
    <row r="306" hidden="1" outlineLevel="1" x14ac:dyDescent="0.3"/>
    <row r="307" hidden="1" outlineLevel="1" x14ac:dyDescent="0.3"/>
    <row r="308" hidden="1" outlineLevel="1" x14ac:dyDescent="0.3"/>
    <row r="309" hidden="1" outlineLevel="1" x14ac:dyDescent="0.3"/>
    <row r="310" hidden="1" outlineLevel="1" x14ac:dyDescent="0.3"/>
    <row r="311" hidden="1" outlineLevel="1" x14ac:dyDescent="0.3"/>
    <row r="312" hidden="1" outlineLevel="1" x14ac:dyDescent="0.3"/>
    <row r="313" hidden="1" outlineLevel="1" x14ac:dyDescent="0.3"/>
    <row r="314" hidden="1" outlineLevel="1" x14ac:dyDescent="0.3"/>
    <row r="315" hidden="1" outlineLevel="1" x14ac:dyDescent="0.3"/>
    <row r="316" hidden="1" outlineLevel="1" x14ac:dyDescent="0.3"/>
    <row r="317" hidden="1" outlineLevel="1" x14ac:dyDescent="0.3"/>
    <row r="318" hidden="1" outlineLevel="1" x14ac:dyDescent="0.3"/>
    <row r="319" hidden="1" outlineLevel="1" x14ac:dyDescent="0.3"/>
    <row r="320" hidden="1" outlineLevel="1" x14ac:dyDescent="0.3"/>
    <row r="321" spans="1:11" hidden="1" outlineLevel="1" x14ac:dyDescent="0.3"/>
    <row r="322" spans="1:11" collapsed="1" x14ac:dyDescent="0.3"/>
    <row r="323" spans="1:11" ht="15" thickBot="1" x14ac:dyDescent="0.35"/>
    <row r="324" spans="1:11" ht="15" thickBot="1" x14ac:dyDescent="0.35">
      <c r="A324" s="172" t="s">
        <v>1974</v>
      </c>
      <c r="B324" s="173"/>
      <c r="C324" s="173"/>
      <c r="D324" s="173"/>
      <c r="E324" s="173"/>
      <c r="F324" s="173"/>
      <c r="G324" s="173"/>
      <c r="H324" s="173"/>
      <c r="I324" s="173"/>
      <c r="J324" s="173"/>
      <c r="K324" s="174"/>
    </row>
    <row r="326" spans="1:11" x14ac:dyDescent="0.3">
      <c r="A326" s="108" t="s">
        <v>1898</v>
      </c>
    </row>
    <row r="327" spans="1:11" ht="28.5" customHeight="1" x14ac:dyDescent="0.3">
      <c r="A327" s="108">
        <v>1</v>
      </c>
      <c r="B327" s="170" t="s">
        <v>1975</v>
      </c>
      <c r="C327" s="170"/>
      <c r="D327" s="170"/>
      <c r="E327" s="170"/>
      <c r="F327" s="170"/>
      <c r="G327" s="170"/>
      <c r="H327" s="170"/>
      <c r="I327" s="170"/>
      <c r="J327" s="170"/>
      <c r="K327" s="170"/>
    </row>
    <row r="328" spans="1:11" hidden="1" outlineLevel="1" x14ac:dyDescent="0.3"/>
    <row r="329" spans="1:11" hidden="1" outlineLevel="1" x14ac:dyDescent="0.3"/>
    <row r="330" spans="1:11" hidden="1" outlineLevel="1" x14ac:dyDescent="0.3"/>
    <row r="331" spans="1:11" hidden="1" outlineLevel="1" x14ac:dyDescent="0.3"/>
    <row r="332" spans="1:11" hidden="1" outlineLevel="1" x14ac:dyDescent="0.3"/>
    <row r="333" spans="1:11" hidden="1" outlineLevel="1" x14ac:dyDescent="0.3"/>
    <row r="334" spans="1:11" hidden="1" outlineLevel="1" x14ac:dyDescent="0.3"/>
    <row r="335" spans="1:11" hidden="1" outlineLevel="1" x14ac:dyDescent="0.3"/>
    <row r="336" spans="1:11" hidden="1" outlineLevel="1" x14ac:dyDescent="0.3"/>
    <row r="337" hidden="1" outlineLevel="1" x14ac:dyDescent="0.3"/>
    <row r="338" hidden="1" outlineLevel="1" x14ac:dyDescent="0.3"/>
    <row r="339" hidden="1" outlineLevel="1" x14ac:dyDescent="0.3"/>
    <row r="340" hidden="1" outlineLevel="1" x14ac:dyDescent="0.3"/>
    <row r="341" hidden="1" outlineLevel="1" x14ac:dyDescent="0.3"/>
    <row r="342" hidden="1" outlineLevel="1" x14ac:dyDescent="0.3"/>
    <row r="343" hidden="1" outlineLevel="1" x14ac:dyDescent="0.3"/>
    <row r="344" hidden="1" outlineLevel="1" x14ac:dyDescent="0.3"/>
    <row r="345" hidden="1" outlineLevel="1" x14ac:dyDescent="0.3"/>
    <row r="346" hidden="1" outlineLevel="1" x14ac:dyDescent="0.3"/>
    <row r="347" hidden="1" outlineLevel="1" x14ac:dyDescent="0.3"/>
    <row r="348" hidden="1" outlineLevel="1" x14ac:dyDescent="0.3"/>
    <row r="349" hidden="1" outlineLevel="1" x14ac:dyDescent="0.3"/>
    <row r="350" hidden="1" outlineLevel="1" x14ac:dyDescent="0.3"/>
    <row r="351" hidden="1" outlineLevel="1" x14ac:dyDescent="0.3"/>
    <row r="352" hidden="1" outlineLevel="1" x14ac:dyDescent="0.3"/>
    <row r="353" hidden="1" outlineLevel="1" x14ac:dyDescent="0.3"/>
    <row r="354" hidden="1" outlineLevel="1" x14ac:dyDescent="0.3"/>
    <row r="355" hidden="1" outlineLevel="1" x14ac:dyDescent="0.3"/>
    <row r="356" hidden="1" outlineLevel="1" x14ac:dyDescent="0.3"/>
    <row r="357" hidden="1" outlineLevel="1" x14ac:dyDescent="0.3"/>
    <row r="358" hidden="1" outlineLevel="1" x14ac:dyDescent="0.3"/>
    <row r="359" hidden="1" outlineLevel="1" x14ac:dyDescent="0.3"/>
    <row r="360" hidden="1" outlineLevel="1" x14ac:dyDescent="0.3"/>
    <row r="361" hidden="1" outlineLevel="1" x14ac:dyDescent="0.3"/>
    <row r="362" hidden="1" outlineLevel="1" x14ac:dyDescent="0.3"/>
    <row r="363" hidden="1" outlineLevel="1" x14ac:dyDescent="0.3"/>
    <row r="364" hidden="1" outlineLevel="1" x14ac:dyDescent="0.3"/>
    <row r="365" hidden="1" outlineLevel="1" x14ac:dyDescent="0.3"/>
    <row r="366" hidden="1" outlineLevel="1" x14ac:dyDescent="0.3"/>
    <row r="367" hidden="1" outlineLevel="1" x14ac:dyDescent="0.3"/>
    <row r="368" hidden="1" outlineLevel="1" x14ac:dyDescent="0.3"/>
    <row r="369" spans="1:11" hidden="1" outlineLevel="1" x14ac:dyDescent="0.3"/>
    <row r="370" spans="1:11" hidden="1" outlineLevel="1" x14ac:dyDescent="0.3"/>
    <row r="371" spans="1:11" hidden="1" outlineLevel="1" x14ac:dyDescent="0.3"/>
    <row r="372" spans="1:11" hidden="1" outlineLevel="1" x14ac:dyDescent="0.3"/>
    <row r="373" spans="1:11" hidden="1" outlineLevel="1" x14ac:dyDescent="0.3"/>
    <row r="374" spans="1:11" hidden="1" outlineLevel="1" x14ac:dyDescent="0.3"/>
    <row r="375" spans="1:11" hidden="1" outlineLevel="1" x14ac:dyDescent="0.3"/>
    <row r="376" spans="1:11" hidden="1" outlineLevel="1" x14ac:dyDescent="0.3"/>
    <row r="377" spans="1:11" collapsed="1" x14ac:dyDescent="0.3"/>
    <row r="378" spans="1:11" x14ac:dyDescent="0.3">
      <c r="A378" s="108">
        <v>2</v>
      </c>
      <c r="B378" s="170" t="s">
        <v>1976</v>
      </c>
      <c r="C378" s="170"/>
      <c r="D378" s="170"/>
      <c r="E378" s="170"/>
      <c r="F378" s="170"/>
      <c r="G378" s="170"/>
      <c r="H378" s="170"/>
      <c r="I378" s="170"/>
      <c r="J378" s="170"/>
      <c r="K378" s="170"/>
    </row>
    <row r="379" spans="1:11" hidden="1" outlineLevel="1" x14ac:dyDescent="0.3"/>
    <row r="380" spans="1:11" hidden="1" outlineLevel="1" x14ac:dyDescent="0.3"/>
    <row r="381" spans="1:11" hidden="1" outlineLevel="1" x14ac:dyDescent="0.3"/>
    <row r="382" spans="1:11" hidden="1" outlineLevel="1" x14ac:dyDescent="0.3"/>
    <row r="383" spans="1:11" hidden="1" outlineLevel="1" x14ac:dyDescent="0.3"/>
    <row r="384" spans="1:11" hidden="1" outlineLevel="1" x14ac:dyDescent="0.3"/>
    <row r="385" hidden="1" outlineLevel="1" x14ac:dyDescent="0.3"/>
    <row r="386" hidden="1" outlineLevel="1" x14ac:dyDescent="0.3"/>
    <row r="387" hidden="1" outlineLevel="1" x14ac:dyDescent="0.3"/>
    <row r="388" hidden="1" outlineLevel="1" x14ac:dyDescent="0.3"/>
    <row r="389" hidden="1" outlineLevel="1" x14ac:dyDescent="0.3"/>
    <row r="390" hidden="1" outlineLevel="1" x14ac:dyDescent="0.3"/>
    <row r="391" hidden="1" outlineLevel="1" x14ac:dyDescent="0.3"/>
    <row r="392" hidden="1" outlineLevel="1" x14ac:dyDescent="0.3"/>
    <row r="393" hidden="1" outlineLevel="1" x14ac:dyDescent="0.3"/>
    <row r="394" hidden="1" outlineLevel="1" x14ac:dyDescent="0.3"/>
    <row r="395" hidden="1" outlineLevel="1" x14ac:dyDescent="0.3"/>
    <row r="396" hidden="1" outlineLevel="1" x14ac:dyDescent="0.3"/>
    <row r="397" hidden="1" outlineLevel="1" x14ac:dyDescent="0.3"/>
    <row r="398" hidden="1" outlineLevel="1" x14ac:dyDescent="0.3"/>
    <row r="399" hidden="1" outlineLevel="1" x14ac:dyDescent="0.3"/>
    <row r="400" hidden="1" outlineLevel="1" x14ac:dyDescent="0.3"/>
    <row r="401" spans="1:11" hidden="1" outlineLevel="1" x14ac:dyDescent="0.3"/>
    <row r="402" spans="1:11" hidden="1" outlineLevel="1" x14ac:dyDescent="0.3"/>
    <row r="403" spans="1:11" hidden="1" outlineLevel="1" x14ac:dyDescent="0.3"/>
    <row r="404" spans="1:11" hidden="1" outlineLevel="1" x14ac:dyDescent="0.3"/>
    <row r="405" spans="1:11" hidden="1" outlineLevel="1" x14ac:dyDescent="0.3"/>
    <row r="406" spans="1:11" hidden="1" outlineLevel="1" x14ac:dyDescent="0.3"/>
    <row r="407" spans="1:11" hidden="1" outlineLevel="1" x14ac:dyDescent="0.3"/>
    <row r="408" spans="1:11" hidden="1" outlineLevel="1" x14ac:dyDescent="0.3"/>
    <row r="409" spans="1:11" collapsed="1" x14ac:dyDescent="0.3"/>
    <row r="410" spans="1:11" ht="30" customHeight="1" x14ac:dyDescent="0.3">
      <c r="A410" s="108">
        <v>3</v>
      </c>
      <c r="B410" s="170" t="s">
        <v>1984</v>
      </c>
      <c r="C410" s="170"/>
      <c r="D410" s="170"/>
      <c r="E410" s="170"/>
      <c r="F410" s="170"/>
      <c r="G410" s="170"/>
      <c r="H410" s="170"/>
      <c r="I410" s="170"/>
      <c r="J410" s="170"/>
      <c r="K410" s="170"/>
    </row>
    <row r="411" spans="1:11" hidden="1" outlineLevel="1" x14ac:dyDescent="0.3"/>
    <row r="412" spans="1:11" hidden="1" outlineLevel="1" x14ac:dyDescent="0.3"/>
    <row r="413" spans="1:11" hidden="1" outlineLevel="1" x14ac:dyDescent="0.3"/>
    <row r="414" spans="1:11" hidden="1" outlineLevel="1" x14ac:dyDescent="0.3"/>
    <row r="415" spans="1:11" hidden="1" outlineLevel="1" x14ac:dyDescent="0.3"/>
    <row r="416" spans="1:11" hidden="1" outlineLevel="1" x14ac:dyDescent="0.3"/>
    <row r="417" hidden="1" outlineLevel="1" x14ac:dyDescent="0.3"/>
    <row r="418" hidden="1" outlineLevel="1" x14ac:dyDescent="0.3"/>
    <row r="419" hidden="1" outlineLevel="1" x14ac:dyDescent="0.3"/>
    <row r="420" hidden="1" outlineLevel="1" x14ac:dyDescent="0.3"/>
    <row r="421" hidden="1" outlineLevel="1" x14ac:dyDescent="0.3"/>
    <row r="422" hidden="1" outlineLevel="1" x14ac:dyDescent="0.3"/>
    <row r="423" hidden="1" outlineLevel="1" x14ac:dyDescent="0.3"/>
    <row r="424" hidden="1" outlineLevel="1" x14ac:dyDescent="0.3"/>
    <row r="425" hidden="1" outlineLevel="1" x14ac:dyDescent="0.3"/>
    <row r="426" hidden="1" outlineLevel="1" x14ac:dyDescent="0.3"/>
    <row r="427" hidden="1" outlineLevel="1" x14ac:dyDescent="0.3"/>
    <row r="428" hidden="1" outlineLevel="1" x14ac:dyDescent="0.3"/>
    <row r="429" hidden="1" outlineLevel="1" x14ac:dyDescent="0.3"/>
    <row r="430" hidden="1" outlineLevel="1" x14ac:dyDescent="0.3"/>
    <row r="431" hidden="1" outlineLevel="1" x14ac:dyDescent="0.3"/>
    <row r="432" hidden="1" outlineLevel="1" x14ac:dyDescent="0.3"/>
    <row r="433" hidden="1" outlineLevel="1" x14ac:dyDescent="0.3"/>
    <row r="434" hidden="1" outlineLevel="1" x14ac:dyDescent="0.3"/>
    <row r="435" hidden="1" outlineLevel="1" x14ac:dyDescent="0.3"/>
    <row r="436" hidden="1" outlineLevel="1" x14ac:dyDescent="0.3"/>
    <row r="437" hidden="1" outlineLevel="1" x14ac:dyDescent="0.3"/>
    <row r="438" hidden="1" outlineLevel="1" x14ac:dyDescent="0.3"/>
    <row r="439" hidden="1" outlineLevel="1" x14ac:dyDescent="0.3"/>
    <row r="440" hidden="1" outlineLevel="1" x14ac:dyDescent="0.3"/>
    <row r="441" hidden="1" outlineLevel="1" x14ac:dyDescent="0.3"/>
    <row r="442" hidden="1" outlineLevel="1" x14ac:dyDescent="0.3"/>
    <row r="443" hidden="1" outlineLevel="1" x14ac:dyDescent="0.3"/>
    <row r="444" hidden="1" outlineLevel="1" x14ac:dyDescent="0.3"/>
    <row r="445" hidden="1" outlineLevel="1" x14ac:dyDescent="0.3"/>
    <row r="446" hidden="1" outlineLevel="1" x14ac:dyDescent="0.3"/>
    <row r="447" hidden="1" outlineLevel="1" x14ac:dyDescent="0.3"/>
    <row r="448" hidden="1" outlineLevel="1" x14ac:dyDescent="0.3"/>
    <row r="449" spans="1:11" hidden="1" outlineLevel="1" x14ac:dyDescent="0.3"/>
    <row r="450" spans="1:11" hidden="1" outlineLevel="1" x14ac:dyDescent="0.3"/>
    <row r="451" spans="1:11" hidden="1" outlineLevel="1" x14ac:dyDescent="0.3"/>
    <row r="452" spans="1:11" hidden="1" outlineLevel="1" x14ac:dyDescent="0.3"/>
    <row r="453" spans="1:11" hidden="1" outlineLevel="1" x14ac:dyDescent="0.3"/>
    <row r="454" spans="1:11" hidden="1" outlineLevel="1" x14ac:dyDescent="0.3"/>
    <row r="455" spans="1:11" collapsed="1" x14ac:dyDescent="0.3"/>
    <row r="456" spans="1:11" x14ac:dyDescent="0.3">
      <c r="A456" s="108">
        <v>4</v>
      </c>
      <c r="B456" s="171" t="s">
        <v>1977</v>
      </c>
      <c r="C456" s="171"/>
      <c r="D456" s="171"/>
      <c r="E456" s="171"/>
      <c r="F456" s="171"/>
      <c r="G456" s="171"/>
      <c r="H456" s="171"/>
      <c r="I456" s="171"/>
      <c r="J456" s="171"/>
      <c r="K456" s="171"/>
    </row>
    <row r="457" spans="1:11" hidden="1" outlineLevel="1" x14ac:dyDescent="0.3"/>
    <row r="458" spans="1:11" hidden="1" outlineLevel="1" x14ac:dyDescent="0.3"/>
    <row r="459" spans="1:11" hidden="1" outlineLevel="1" x14ac:dyDescent="0.3"/>
    <row r="460" spans="1:11" hidden="1" outlineLevel="1" x14ac:dyDescent="0.3"/>
    <row r="461" spans="1:11" hidden="1" outlineLevel="1" x14ac:dyDescent="0.3"/>
    <row r="462" spans="1:11" hidden="1" outlineLevel="1" x14ac:dyDescent="0.3"/>
    <row r="463" spans="1:11" hidden="1" outlineLevel="1" x14ac:dyDescent="0.3"/>
    <row r="464" spans="1:11" hidden="1" outlineLevel="1" x14ac:dyDescent="0.3"/>
    <row r="465" spans="1:11" hidden="1" outlineLevel="1" x14ac:dyDescent="0.3"/>
    <row r="466" spans="1:11" hidden="1" outlineLevel="1" x14ac:dyDescent="0.3"/>
    <row r="467" spans="1:11" hidden="1" outlineLevel="1" x14ac:dyDescent="0.3"/>
    <row r="468" spans="1:11" hidden="1" outlineLevel="1" x14ac:dyDescent="0.3"/>
    <row r="469" spans="1:11" hidden="1" outlineLevel="1" x14ac:dyDescent="0.3"/>
    <row r="470" spans="1:11" hidden="1" outlineLevel="1" x14ac:dyDescent="0.3"/>
    <row r="471" spans="1:11" hidden="1" outlineLevel="1" x14ac:dyDescent="0.3"/>
    <row r="472" spans="1:11" hidden="1" outlineLevel="1" x14ac:dyDescent="0.3"/>
    <row r="473" spans="1:11" hidden="1" outlineLevel="1" x14ac:dyDescent="0.3"/>
    <row r="474" spans="1:11" hidden="1" outlineLevel="1" x14ac:dyDescent="0.3"/>
    <row r="475" spans="1:11" hidden="1" outlineLevel="1" x14ac:dyDescent="0.3"/>
    <row r="476" spans="1:11" hidden="1" outlineLevel="1" x14ac:dyDescent="0.3"/>
    <row r="477" spans="1:11" hidden="1" outlineLevel="1" x14ac:dyDescent="0.3"/>
    <row r="478" spans="1:11" collapsed="1" x14ac:dyDescent="0.3"/>
    <row r="479" spans="1:11" ht="42.75" customHeight="1" x14ac:dyDescent="0.3">
      <c r="A479" s="108">
        <v>5</v>
      </c>
      <c r="B479" s="170" t="s">
        <v>1985</v>
      </c>
      <c r="C479" s="170"/>
      <c r="D479" s="170"/>
      <c r="E479" s="170"/>
      <c r="F479" s="170"/>
      <c r="G479" s="170"/>
      <c r="H479" s="170"/>
      <c r="I479" s="170"/>
      <c r="J479" s="170"/>
      <c r="K479" s="170"/>
    </row>
    <row r="480" spans="1:11" hidden="1" outlineLevel="1" x14ac:dyDescent="0.3"/>
    <row r="481" hidden="1" outlineLevel="1" x14ac:dyDescent="0.3"/>
    <row r="482" hidden="1" outlineLevel="1" x14ac:dyDescent="0.3"/>
    <row r="483" hidden="1" outlineLevel="1" x14ac:dyDescent="0.3"/>
    <row r="484" hidden="1" outlineLevel="1" x14ac:dyDescent="0.3"/>
    <row r="485" hidden="1" outlineLevel="1" x14ac:dyDescent="0.3"/>
    <row r="486" hidden="1" outlineLevel="1" x14ac:dyDescent="0.3"/>
    <row r="487" hidden="1" outlineLevel="1" x14ac:dyDescent="0.3"/>
    <row r="488" hidden="1" outlineLevel="1" x14ac:dyDescent="0.3"/>
    <row r="489" hidden="1" outlineLevel="1" x14ac:dyDescent="0.3"/>
    <row r="490" hidden="1" outlineLevel="1" x14ac:dyDescent="0.3"/>
    <row r="491" hidden="1" outlineLevel="1" x14ac:dyDescent="0.3"/>
    <row r="492" hidden="1" outlineLevel="1" x14ac:dyDescent="0.3"/>
    <row r="493" hidden="1" outlineLevel="1" x14ac:dyDescent="0.3"/>
    <row r="494" hidden="1" outlineLevel="1" x14ac:dyDescent="0.3"/>
    <row r="495" hidden="1" outlineLevel="1" x14ac:dyDescent="0.3"/>
    <row r="496" hidden="1" outlineLevel="1" x14ac:dyDescent="0.3"/>
    <row r="497" spans="1:11" hidden="1" outlineLevel="1" x14ac:dyDescent="0.3"/>
    <row r="498" spans="1:11" hidden="1" outlineLevel="1" x14ac:dyDescent="0.3"/>
    <row r="499" spans="1:11" hidden="1" outlineLevel="1" x14ac:dyDescent="0.3"/>
    <row r="500" spans="1:11" hidden="1" outlineLevel="1" x14ac:dyDescent="0.3"/>
    <row r="501" spans="1:11" hidden="1" outlineLevel="1" x14ac:dyDescent="0.3"/>
    <row r="502" spans="1:11" hidden="1" outlineLevel="1" x14ac:dyDescent="0.3"/>
    <row r="503" spans="1:11" hidden="1" outlineLevel="1" x14ac:dyDescent="0.3"/>
    <row r="504" spans="1:11" hidden="1" outlineLevel="1" x14ac:dyDescent="0.3"/>
    <row r="505" spans="1:11" hidden="1" outlineLevel="1" x14ac:dyDescent="0.3"/>
    <row r="506" spans="1:11" hidden="1" outlineLevel="1" x14ac:dyDescent="0.3"/>
    <row r="507" spans="1:11" hidden="1" outlineLevel="1" x14ac:dyDescent="0.3"/>
    <row r="508" spans="1:11" collapsed="1" x14ac:dyDescent="0.3"/>
    <row r="509" spans="1:11" ht="15" thickBot="1" x14ac:dyDescent="0.35"/>
    <row r="510" spans="1:11" ht="15" thickBot="1" x14ac:dyDescent="0.35">
      <c r="A510" s="172" t="s">
        <v>1978</v>
      </c>
      <c r="B510" s="173"/>
      <c r="C510" s="173"/>
      <c r="D510" s="173"/>
      <c r="E510" s="173"/>
      <c r="F510" s="173"/>
      <c r="G510" s="173"/>
      <c r="H510" s="173"/>
      <c r="I510" s="173"/>
      <c r="J510" s="173"/>
      <c r="K510" s="174"/>
    </row>
    <row r="512" spans="1:11" x14ac:dyDescent="0.3">
      <c r="A512" s="108" t="s">
        <v>1898</v>
      </c>
    </row>
    <row r="513" spans="1:11" x14ac:dyDescent="0.3">
      <c r="A513" s="108">
        <v>1</v>
      </c>
      <c r="B513" s="170" t="s">
        <v>1979</v>
      </c>
      <c r="C513" s="170"/>
      <c r="D513" s="170"/>
      <c r="E513" s="170"/>
      <c r="F513" s="170"/>
      <c r="G513" s="170"/>
      <c r="H513" s="170"/>
      <c r="I513" s="170"/>
      <c r="J513" s="170"/>
      <c r="K513" s="170"/>
    </row>
    <row r="514" spans="1:11" hidden="1" outlineLevel="1" x14ac:dyDescent="0.3"/>
    <row r="515" spans="1:11" hidden="1" outlineLevel="1" x14ac:dyDescent="0.3"/>
    <row r="516" spans="1:11" hidden="1" outlineLevel="1" x14ac:dyDescent="0.3"/>
    <row r="517" spans="1:11" hidden="1" outlineLevel="1" x14ac:dyDescent="0.3"/>
    <row r="518" spans="1:11" hidden="1" outlineLevel="1" x14ac:dyDescent="0.3"/>
    <row r="519" spans="1:11" hidden="1" outlineLevel="1" x14ac:dyDescent="0.3"/>
    <row r="520" spans="1:11" hidden="1" outlineLevel="1" x14ac:dyDescent="0.3"/>
    <row r="521" spans="1:11" hidden="1" outlineLevel="1" x14ac:dyDescent="0.3"/>
    <row r="522" spans="1:11" hidden="1" outlineLevel="1" x14ac:dyDescent="0.3"/>
    <row r="523" spans="1:11" hidden="1" outlineLevel="1" x14ac:dyDescent="0.3"/>
    <row r="524" spans="1:11" hidden="1" outlineLevel="1" x14ac:dyDescent="0.3"/>
    <row r="525" spans="1:11" hidden="1" outlineLevel="1" x14ac:dyDescent="0.3"/>
    <row r="526" spans="1:11" hidden="1" outlineLevel="1" x14ac:dyDescent="0.3"/>
    <row r="527" spans="1:11" hidden="1" outlineLevel="1" x14ac:dyDescent="0.3"/>
    <row r="528" spans="1:11" hidden="1" outlineLevel="1" x14ac:dyDescent="0.3"/>
    <row r="529" spans="1:11" hidden="1" outlineLevel="1" x14ac:dyDescent="0.3"/>
    <row r="530" spans="1:11" hidden="1" outlineLevel="1" x14ac:dyDescent="0.3"/>
    <row r="531" spans="1:11" hidden="1" outlineLevel="1" x14ac:dyDescent="0.3"/>
    <row r="532" spans="1:11" hidden="1" outlineLevel="1" x14ac:dyDescent="0.3"/>
    <row r="533" spans="1:11" hidden="1" outlineLevel="1" x14ac:dyDescent="0.3"/>
    <row r="534" spans="1:11" collapsed="1" x14ac:dyDescent="0.3"/>
    <row r="535" spans="1:11" x14ac:dyDescent="0.3">
      <c r="A535" s="108">
        <v>2</v>
      </c>
      <c r="B535" s="170" t="s">
        <v>1980</v>
      </c>
      <c r="C535" s="170"/>
      <c r="D535" s="170"/>
      <c r="E535" s="170"/>
      <c r="F535" s="170"/>
      <c r="G535" s="170"/>
      <c r="H535" s="170"/>
      <c r="I535" s="170"/>
      <c r="J535" s="170"/>
      <c r="K535" s="170"/>
    </row>
    <row r="536" spans="1:11" hidden="1" outlineLevel="1" x14ac:dyDescent="0.3"/>
    <row r="537" spans="1:11" hidden="1" outlineLevel="1" x14ac:dyDescent="0.3"/>
    <row r="538" spans="1:11" hidden="1" outlineLevel="1" x14ac:dyDescent="0.3"/>
    <row r="539" spans="1:11" hidden="1" outlineLevel="1" x14ac:dyDescent="0.3"/>
    <row r="540" spans="1:11" hidden="1" outlineLevel="1" x14ac:dyDescent="0.3"/>
    <row r="541" spans="1:11" hidden="1" outlineLevel="1" x14ac:dyDescent="0.3"/>
    <row r="542" spans="1:11" hidden="1" outlineLevel="1" x14ac:dyDescent="0.3"/>
    <row r="543" spans="1:11" hidden="1" outlineLevel="1" x14ac:dyDescent="0.3"/>
    <row r="544" spans="1:11" hidden="1" outlineLevel="1" x14ac:dyDescent="0.3"/>
    <row r="545" hidden="1" outlineLevel="1" x14ac:dyDescent="0.3"/>
    <row r="546" hidden="1" outlineLevel="1" x14ac:dyDescent="0.3"/>
    <row r="547" hidden="1" outlineLevel="1" x14ac:dyDescent="0.3"/>
    <row r="548" hidden="1" outlineLevel="1" x14ac:dyDescent="0.3"/>
    <row r="549" hidden="1" outlineLevel="1" x14ac:dyDescent="0.3"/>
    <row r="550" hidden="1" outlineLevel="1" x14ac:dyDescent="0.3"/>
    <row r="551" hidden="1" outlineLevel="1" x14ac:dyDescent="0.3"/>
    <row r="552" hidden="1" outlineLevel="1" x14ac:dyDescent="0.3"/>
    <row r="553" hidden="1" outlineLevel="1" x14ac:dyDescent="0.3"/>
    <row r="554" hidden="1" outlineLevel="1" x14ac:dyDescent="0.3"/>
    <row r="555" hidden="1" outlineLevel="1" x14ac:dyDescent="0.3"/>
    <row r="556" hidden="1" outlineLevel="1" x14ac:dyDescent="0.3"/>
    <row r="557" hidden="1" outlineLevel="1" x14ac:dyDescent="0.3"/>
    <row r="558" hidden="1" outlineLevel="1" x14ac:dyDescent="0.3"/>
    <row r="559" hidden="1" outlineLevel="1" x14ac:dyDescent="0.3"/>
    <row r="560" hidden="1" outlineLevel="1" x14ac:dyDescent="0.3"/>
    <row r="561" spans="1:11" hidden="1" outlineLevel="1" x14ac:dyDescent="0.3"/>
    <row r="562" spans="1:11" hidden="1" outlineLevel="1" x14ac:dyDescent="0.3"/>
    <row r="563" spans="1:11" hidden="1" outlineLevel="1" x14ac:dyDescent="0.3"/>
    <row r="564" spans="1:11" hidden="1" outlineLevel="1" x14ac:dyDescent="0.3"/>
    <row r="565" spans="1:11" hidden="1" outlineLevel="1" x14ac:dyDescent="0.3"/>
    <row r="566" spans="1:11" hidden="1" outlineLevel="1" x14ac:dyDescent="0.3"/>
    <row r="567" spans="1:11" hidden="1" outlineLevel="1" x14ac:dyDescent="0.3"/>
    <row r="568" spans="1:11" hidden="1" outlineLevel="1" x14ac:dyDescent="0.3"/>
    <row r="569" spans="1:11" hidden="1" outlineLevel="1" x14ac:dyDescent="0.3"/>
    <row r="570" spans="1:11" hidden="1" outlineLevel="1" x14ac:dyDescent="0.3"/>
    <row r="571" spans="1:11" hidden="1" outlineLevel="1" x14ac:dyDescent="0.3"/>
    <row r="572" spans="1:11" collapsed="1" x14ac:dyDescent="0.3"/>
    <row r="573" spans="1:11" x14ac:dyDescent="0.3">
      <c r="A573" s="108">
        <v>3</v>
      </c>
      <c r="B573" s="170" t="s">
        <v>1981</v>
      </c>
      <c r="C573" s="170"/>
      <c r="D573" s="170"/>
      <c r="E573" s="170"/>
      <c r="F573" s="170"/>
      <c r="G573" s="170"/>
      <c r="H573" s="170"/>
      <c r="I573" s="170"/>
      <c r="J573" s="170"/>
      <c r="K573" s="170"/>
    </row>
    <row r="574" spans="1:11" hidden="1" outlineLevel="1" x14ac:dyDescent="0.3"/>
    <row r="575" spans="1:11" hidden="1" outlineLevel="1" x14ac:dyDescent="0.3"/>
    <row r="576" spans="1:11" hidden="1" outlineLevel="1" x14ac:dyDescent="0.3"/>
    <row r="577" hidden="1" outlineLevel="1" x14ac:dyDescent="0.3"/>
    <row r="578" hidden="1" outlineLevel="1" x14ac:dyDescent="0.3"/>
    <row r="579" hidden="1" outlineLevel="1" x14ac:dyDescent="0.3"/>
    <row r="580" hidden="1" outlineLevel="1" x14ac:dyDescent="0.3"/>
    <row r="581" hidden="1" outlineLevel="1" x14ac:dyDescent="0.3"/>
    <row r="582" hidden="1" outlineLevel="1" x14ac:dyDescent="0.3"/>
    <row r="583" hidden="1" outlineLevel="1" x14ac:dyDescent="0.3"/>
    <row r="584" hidden="1" outlineLevel="1" x14ac:dyDescent="0.3"/>
    <row r="585" hidden="1" outlineLevel="1" x14ac:dyDescent="0.3"/>
    <row r="586" hidden="1" outlineLevel="1" x14ac:dyDescent="0.3"/>
    <row r="587" hidden="1" outlineLevel="1" x14ac:dyDescent="0.3"/>
    <row r="588" hidden="1" outlineLevel="1" x14ac:dyDescent="0.3"/>
    <row r="589" hidden="1" outlineLevel="1" x14ac:dyDescent="0.3"/>
    <row r="590" hidden="1" outlineLevel="1" x14ac:dyDescent="0.3"/>
    <row r="591" hidden="1" outlineLevel="1" x14ac:dyDescent="0.3"/>
    <row r="592" hidden="1" outlineLevel="1" x14ac:dyDescent="0.3"/>
    <row r="593" hidden="1" outlineLevel="1" x14ac:dyDescent="0.3"/>
    <row r="594" hidden="1" outlineLevel="1" x14ac:dyDescent="0.3"/>
    <row r="595" hidden="1" outlineLevel="1" x14ac:dyDescent="0.3"/>
    <row r="596" hidden="1" outlineLevel="1" x14ac:dyDescent="0.3"/>
    <row r="597" hidden="1" outlineLevel="1" x14ac:dyDescent="0.3"/>
    <row r="598" hidden="1" outlineLevel="1" x14ac:dyDescent="0.3"/>
    <row r="599" hidden="1" outlineLevel="1" x14ac:dyDescent="0.3"/>
    <row r="600" hidden="1" outlineLevel="1" x14ac:dyDescent="0.3"/>
    <row r="601" hidden="1" outlineLevel="1" x14ac:dyDescent="0.3"/>
    <row r="602" hidden="1" outlineLevel="1" x14ac:dyDescent="0.3"/>
    <row r="603" hidden="1" outlineLevel="1" x14ac:dyDescent="0.3"/>
    <row r="604" hidden="1" outlineLevel="1" x14ac:dyDescent="0.3"/>
    <row r="605" collapsed="1" x14ac:dyDescent="0.3"/>
  </sheetData>
  <mergeCells count="25">
    <mergeCell ref="B164:K164"/>
    <mergeCell ref="B147:K147"/>
    <mergeCell ref="B104:K104"/>
    <mergeCell ref="A1:K1"/>
    <mergeCell ref="A3:K3"/>
    <mergeCell ref="B6:K6"/>
    <mergeCell ref="B28:K28"/>
    <mergeCell ref="B51:K51"/>
    <mergeCell ref="A174:K174"/>
    <mergeCell ref="B177:K177"/>
    <mergeCell ref="B190:K190"/>
    <mergeCell ref="B250:K250"/>
    <mergeCell ref="B267:K267"/>
    <mergeCell ref="A279:K279"/>
    <mergeCell ref="B282:K282"/>
    <mergeCell ref="A324:K324"/>
    <mergeCell ref="B327:K327"/>
    <mergeCell ref="B378:K378"/>
    <mergeCell ref="B535:K535"/>
    <mergeCell ref="B573:K573"/>
    <mergeCell ref="B410:K410"/>
    <mergeCell ref="B456:K456"/>
    <mergeCell ref="B479:K479"/>
    <mergeCell ref="A510:K510"/>
    <mergeCell ref="B513:K51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9C2C3-7E3A-4540-A2CF-E53E4EE51F5C}">
  <sheetPr codeName="Sheet24">
    <tabColor rgb="FFDCCEE4"/>
  </sheetPr>
  <dimension ref="A1:C46"/>
  <sheetViews>
    <sheetView zoomScaleNormal="100" workbookViewId="0">
      <selection activeCell="C3" sqref="C3"/>
    </sheetView>
  </sheetViews>
  <sheetFormatPr defaultColWidth="9.33203125" defaultRowHeight="14.4" outlineLevelRow="1" x14ac:dyDescent="0.3"/>
  <cols>
    <col min="1" max="1" width="105.88671875" bestFit="1" customWidth="1"/>
    <col min="2" max="2" width="66.88671875" customWidth="1"/>
    <col min="3" max="3" width="13.109375" customWidth="1"/>
  </cols>
  <sheetData>
    <row r="1" spans="1:3" ht="23.4" x14ac:dyDescent="0.45">
      <c r="A1" s="181" t="s">
        <v>10</v>
      </c>
      <c r="B1" s="181"/>
      <c r="C1" s="181"/>
    </row>
    <row r="2" spans="1:3" ht="15.6" x14ac:dyDescent="0.3">
      <c r="A2" s="70" t="s">
        <v>11</v>
      </c>
      <c r="B2" s="70" t="s">
        <v>12</v>
      </c>
      <c r="C2" s="70" t="s">
        <v>13</v>
      </c>
    </row>
    <row r="3" spans="1:3" outlineLevel="1" x14ac:dyDescent="0.3">
      <c r="A3" s="144" t="s">
        <v>18</v>
      </c>
      <c r="B3" s="6"/>
      <c r="C3" s="54">
        <f>SUM(MONTHPRF[Will import if zero])</f>
        <v>0</v>
      </c>
    </row>
    <row r="4" spans="1:3" outlineLevel="1" x14ac:dyDescent="0.3">
      <c r="A4" s="144" t="s">
        <v>19</v>
      </c>
      <c r="B4" s="6"/>
      <c r="C4" s="54">
        <f>SUM(Calculators[Will import if 0])</f>
        <v>58</v>
      </c>
    </row>
    <row r="5" spans="1:3" outlineLevel="1" x14ac:dyDescent="0.3">
      <c r="A5" s="6" t="s">
        <v>20</v>
      </c>
      <c r="B5" s="6"/>
      <c r="C5" s="54" t="e">
        <f>SUM(Statistics_import[Will Import if 0])</f>
        <v>#N/A</v>
      </c>
    </row>
    <row r="6" spans="1:3" outlineLevel="1" x14ac:dyDescent="0.3">
      <c r="A6" s="6" t="s">
        <v>21</v>
      </c>
      <c r="B6" s="6"/>
      <c r="C6" s="54" t="e">
        <f>SUM(Pupils_import[Will Import if 0])</f>
        <v>#N/A</v>
      </c>
    </row>
    <row r="7" spans="1:3" outlineLevel="1" x14ac:dyDescent="0.3">
      <c r="A7" s="6" t="s">
        <v>22</v>
      </c>
      <c r="B7" s="6"/>
      <c r="C7" s="54">
        <f>SUM(Funding_import[Will Import if 0])</f>
        <v>0</v>
      </c>
    </row>
    <row r="8" spans="1:3" outlineLevel="1" x14ac:dyDescent="0.3">
      <c r="A8" s="6" t="s">
        <v>23</v>
      </c>
      <c r="B8" s="6"/>
      <c r="C8" s="54" t="e">
        <f>SUM(Income_import[Will Import if 0])</f>
        <v>#N/A</v>
      </c>
    </row>
    <row r="9" spans="1:3" outlineLevel="1" x14ac:dyDescent="0.3">
      <c r="A9" s="6" t="s">
        <v>24</v>
      </c>
      <c r="B9" s="6"/>
      <c r="C9" s="54" t="e">
        <f ca="1">SUM(Expenditure_import[Will Import if 0])</f>
        <v>#N/A</v>
      </c>
    </row>
    <row r="10" spans="1:3" outlineLevel="1" x14ac:dyDescent="0.3">
      <c r="A10" s="6" t="s">
        <v>25</v>
      </c>
      <c r="B10" s="6"/>
      <c r="C10" s="54" t="e">
        <f>SUM(BF_import[Will Import if 0])</f>
        <v>#N/A</v>
      </c>
    </row>
    <row r="11" spans="1:3" outlineLevel="1" x14ac:dyDescent="0.3">
      <c r="A11" s="6" t="s">
        <v>26</v>
      </c>
      <c r="B11" s="6"/>
      <c r="C11" s="54" t="e">
        <f>SUM(APBUD[Will Import if 0])</f>
        <v>#N/A</v>
      </c>
    </row>
    <row r="12" spans="1:3" outlineLevel="1" x14ac:dyDescent="0.3">
      <c r="A12" s="6" t="s">
        <v>1903</v>
      </c>
      <c r="B12" s="6"/>
      <c r="C12" s="54">
        <f>SUM(FC_import[Will Import if 0])</f>
        <v>75</v>
      </c>
    </row>
    <row r="13" spans="1:3" outlineLevel="1" x14ac:dyDescent="0.3">
      <c r="A13" s="6" t="s">
        <v>27</v>
      </c>
      <c r="B13" s="6"/>
      <c r="C13" s="54">
        <f>COUNTA(SCHOOLS[SchoolCode])-COUNTA(_xlfn.UNIQUE(Income_import[SchoolCode]))</f>
        <v>7</v>
      </c>
    </row>
    <row r="14" spans="1:3" outlineLevel="1" x14ac:dyDescent="0.3">
      <c r="A14" s="6" t="s">
        <v>28</v>
      </c>
      <c r="B14" s="6"/>
      <c r="C14" s="54">
        <f>COUNTA(SCHOOLS[SchoolCode])-COUNTA(_xlfn.UNIQUE(Expenditure_import[SchoolCode]))</f>
        <v>0</v>
      </c>
    </row>
    <row r="15" spans="1:3" outlineLevel="1" x14ac:dyDescent="0.3">
      <c r="A15" s="6" t="s">
        <v>1717</v>
      </c>
      <c r="B15" s="6"/>
      <c r="C15" s="54">
        <f>COUNTA(SCHOOLS[SchoolCode])-COUNTA(_xlfn.UNIQUE(Funding_import[SchoolCode]))-1</f>
        <v>8</v>
      </c>
    </row>
    <row r="16" spans="1:3" x14ac:dyDescent="0.3">
      <c r="A16" s="6" t="s">
        <v>17</v>
      </c>
      <c r="B16" s="6"/>
      <c r="C16" s="54" t="e">
        <f>SUM(C3:C11)</f>
        <v>#N/A</v>
      </c>
    </row>
    <row r="17" spans="1:3" x14ac:dyDescent="0.3">
      <c r="A17" t="s">
        <v>1718</v>
      </c>
      <c r="C17" s="38"/>
    </row>
    <row r="18" spans="1:3" x14ac:dyDescent="0.3">
      <c r="A18" t="s">
        <v>1719</v>
      </c>
      <c r="C18" s="38"/>
    </row>
    <row r="19" spans="1:3" x14ac:dyDescent="0.3">
      <c r="A19" t="s">
        <v>1628</v>
      </c>
      <c r="B19" t="s">
        <v>1700</v>
      </c>
      <c r="C19" s="38"/>
    </row>
    <row r="20" spans="1:3" x14ac:dyDescent="0.3">
      <c r="A20" t="s">
        <v>1721</v>
      </c>
      <c r="B20" t="s">
        <v>1701</v>
      </c>
      <c r="C20" s="38"/>
    </row>
    <row r="21" spans="1:3" x14ac:dyDescent="0.3">
      <c r="A21" t="s">
        <v>1626</v>
      </c>
      <c r="B21" t="s">
        <v>1702</v>
      </c>
      <c r="C21" s="38"/>
    </row>
    <row r="22" spans="1:3" x14ac:dyDescent="0.3">
      <c r="A22" s="143" t="s">
        <v>2414</v>
      </c>
      <c r="B22" s="6"/>
      <c r="C22" s="54">
        <f>IF(C23="Yes",COUNTBLANK(Income_import[FundCode])+COUNTBLANK(Expenditure_import[FundCode])+COUNTBLANK(BF_import[FundCode])+COUNTBLANK(APBUD[FundCode]),0)</f>
        <v>0</v>
      </c>
    </row>
    <row r="23" spans="1:3" x14ac:dyDescent="0.3">
      <c r="A23" t="s">
        <v>1629</v>
      </c>
      <c r="B23" t="s">
        <v>1722</v>
      </c>
      <c r="C23" s="38" t="s">
        <v>2415</v>
      </c>
    </row>
    <row r="24" spans="1:3" x14ac:dyDescent="0.3">
      <c r="A24" t="s">
        <v>1733</v>
      </c>
      <c r="B24" t="s">
        <v>1732</v>
      </c>
      <c r="C24" s="38"/>
    </row>
    <row r="25" spans="1:3" x14ac:dyDescent="0.3">
      <c r="A25" t="s">
        <v>1627</v>
      </c>
      <c r="B25" t="s">
        <v>1699</v>
      </c>
      <c r="C25" s="38"/>
    </row>
    <row r="26" spans="1:3" ht="28.8" x14ac:dyDescent="0.3">
      <c r="A26" s="45" t="s">
        <v>1734</v>
      </c>
      <c r="B26" s="71" t="s">
        <v>1735</v>
      </c>
      <c r="C26" s="38"/>
    </row>
    <row r="27" spans="1:3" ht="59.25" customHeight="1" x14ac:dyDescent="0.3">
      <c r="A27" s="45" t="s">
        <v>1820</v>
      </c>
      <c r="B27" s="71" t="s">
        <v>1821</v>
      </c>
      <c r="C27" s="38"/>
    </row>
    <row r="28" spans="1:3" x14ac:dyDescent="0.3">
      <c r="A28" t="s">
        <v>1716</v>
      </c>
      <c r="C28" s="38"/>
    </row>
    <row r="29" spans="1:3" ht="28.8" x14ac:dyDescent="0.3">
      <c r="A29" s="45" t="s">
        <v>1723</v>
      </c>
      <c r="B29" s="71" t="s">
        <v>1724</v>
      </c>
      <c r="C29" s="38"/>
    </row>
    <row r="30" spans="1:3" x14ac:dyDescent="0.3">
      <c r="A30" s="45" t="s">
        <v>1754</v>
      </c>
      <c r="B30" s="71" t="s">
        <v>1755</v>
      </c>
      <c r="C30" s="38"/>
    </row>
    <row r="31" spans="1:3" ht="43.2" x14ac:dyDescent="0.3">
      <c r="A31" t="s">
        <v>1843</v>
      </c>
      <c r="B31" s="71" t="s">
        <v>1844</v>
      </c>
      <c r="C31" s="38"/>
    </row>
    <row r="32" spans="1:3" ht="28.8" x14ac:dyDescent="0.3">
      <c r="A32" t="s">
        <v>1845</v>
      </c>
      <c r="B32" s="71" t="s">
        <v>1846</v>
      </c>
      <c r="C32" s="38"/>
    </row>
    <row r="33" spans="1:3" x14ac:dyDescent="0.3">
      <c r="A33" t="s">
        <v>1725</v>
      </c>
      <c r="B33" s="71"/>
      <c r="C33" s="38"/>
    </row>
    <row r="34" spans="1:3" hidden="1" outlineLevel="1" x14ac:dyDescent="0.3">
      <c r="A34" t="s">
        <v>1708</v>
      </c>
      <c r="B34" t="s">
        <v>1703</v>
      </c>
      <c r="C34" s="38"/>
    </row>
    <row r="35" spans="1:3" hidden="1" outlineLevel="1" x14ac:dyDescent="0.3">
      <c r="A35" t="s">
        <v>35</v>
      </c>
      <c r="B35" t="s">
        <v>1704</v>
      </c>
      <c r="C35" s="38"/>
    </row>
    <row r="36" spans="1:3" hidden="1" outlineLevel="1" x14ac:dyDescent="0.3">
      <c r="A36" t="s">
        <v>1709</v>
      </c>
      <c r="B36" t="s">
        <v>1705</v>
      </c>
      <c r="C36" s="38"/>
    </row>
    <row r="37" spans="1:3" hidden="1" outlineLevel="1" x14ac:dyDescent="0.3">
      <c r="A37" t="s">
        <v>1459</v>
      </c>
      <c r="B37" t="s">
        <v>1706</v>
      </c>
      <c r="C37" s="38"/>
    </row>
    <row r="38" spans="1:3" hidden="1" outlineLevel="1" x14ac:dyDescent="0.3">
      <c r="A38" t="s">
        <v>1710</v>
      </c>
      <c r="B38" t="s">
        <v>1707</v>
      </c>
      <c r="C38" s="38"/>
    </row>
    <row r="39" spans="1:3" collapsed="1" x14ac:dyDescent="0.3">
      <c r="A39" t="s">
        <v>1728</v>
      </c>
      <c r="B39" t="s">
        <v>1711</v>
      </c>
      <c r="C39" s="38"/>
    </row>
    <row r="40" spans="1:3" x14ac:dyDescent="0.3">
      <c r="A40" t="s">
        <v>1726</v>
      </c>
      <c r="B40" t="s">
        <v>1727</v>
      </c>
      <c r="C40" s="38"/>
    </row>
    <row r="41" spans="1:3" ht="28.8" x14ac:dyDescent="0.3">
      <c r="A41" t="s">
        <v>1929</v>
      </c>
      <c r="B41" s="71" t="s">
        <v>1930</v>
      </c>
      <c r="C41" s="38"/>
    </row>
    <row r="42" spans="1:3" ht="28.8" x14ac:dyDescent="0.3">
      <c r="A42" t="s">
        <v>1847</v>
      </c>
      <c r="B42" s="71" t="s">
        <v>1848</v>
      </c>
      <c r="C42" s="38"/>
    </row>
    <row r="43" spans="1:3" ht="28.8" x14ac:dyDescent="0.3">
      <c r="A43" t="s">
        <v>1992</v>
      </c>
      <c r="B43" s="71" t="s">
        <v>1993</v>
      </c>
      <c r="C43" s="38"/>
    </row>
    <row r="45" spans="1:3" x14ac:dyDescent="0.3">
      <c r="A45" t="s">
        <v>14</v>
      </c>
      <c r="B45" t="s">
        <v>15</v>
      </c>
    </row>
    <row r="46" spans="1:3" x14ac:dyDescent="0.3">
      <c r="A46" t="s">
        <v>16</v>
      </c>
      <c r="B46" t="s">
        <v>15</v>
      </c>
    </row>
  </sheetData>
  <mergeCells count="1">
    <mergeCell ref="A1:C1"/>
  </mergeCells>
  <conditionalFormatting sqref="C3:C16">
    <cfRule type="cellIs" dxfId="17" priority="1" operator="notEqual">
      <formula>0</formula>
    </cfRule>
  </conditionalFormatting>
  <dataValidations count="1">
    <dataValidation type="list" allowBlank="1" showInputMessage="1" showErrorMessage="1" sqref="C17:C21 C23:C43" xr:uid="{1BB065D8-DF94-4C36-82CF-2E7AA4C0C7B8}">
      <formula1>"Yes,No,NA,Other"</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D1416-1ECF-4112-9F91-A484A62DC575}">
  <dimension ref="A1:O194"/>
  <sheetViews>
    <sheetView zoomScaleNormal="100" workbookViewId="0">
      <selection activeCell="B33" sqref="B33"/>
    </sheetView>
  </sheetViews>
  <sheetFormatPr defaultColWidth="8.6640625" defaultRowHeight="14.4" x14ac:dyDescent="0.3"/>
  <cols>
    <col min="1" max="1" width="14.109375" style="156" bestFit="1" customWidth="1"/>
    <col min="2" max="2" width="34.33203125" style="156" bestFit="1" customWidth="1"/>
    <col min="3" max="3" width="18" style="156" bestFit="1" customWidth="1"/>
    <col min="4" max="4" width="12" style="156" bestFit="1" customWidth="1"/>
    <col min="5" max="5" width="16.33203125" style="156" bestFit="1" customWidth="1"/>
    <col min="6" max="6" width="22.6640625" style="156" bestFit="1" customWidth="1"/>
    <col min="7" max="8" width="10.6640625" style="156" bestFit="1" customWidth="1"/>
    <col min="9" max="9" width="13.33203125" style="156" bestFit="1" customWidth="1"/>
    <col min="10" max="11" width="10" style="156" customWidth="1"/>
    <col min="12" max="12" width="8.33203125" style="156" bestFit="1" customWidth="1"/>
    <col min="13" max="14" width="10" style="156" customWidth="1"/>
    <col min="15" max="16384" width="8.6640625" style="156"/>
  </cols>
  <sheetData>
    <row r="1" spans="1:12" ht="19.5" customHeight="1" x14ac:dyDescent="0.35">
      <c r="A1" s="183" t="s">
        <v>2616</v>
      </c>
      <c r="B1" s="183"/>
      <c r="C1" s="183"/>
      <c r="D1" s="183"/>
      <c r="E1" s="183"/>
      <c r="F1" s="183"/>
      <c r="G1" s="183"/>
      <c r="H1" s="183"/>
      <c r="I1" s="183"/>
      <c r="J1" s="183"/>
      <c r="K1" s="183"/>
      <c r="L1" s="183"/>
    </row>
    <row r="3" spans="1:12" ht="15" customHeight="1" x14ac:dyDescent="0.3">
      <c r="A3" s="182" t="s">
        <v>2617</v>
      </c>
      <c r="B3" s="182"/>
      <c r="C3" s="182"/>
      <c r="D3" s="182"/>
      <c r="F3" s="182" t="s">
        <v>2618</v>
      </c>
      <c r="G3" s="182"/>
      <c r="H3" s="182"/>
      <c r="I3" s="182"/>
    </row>
    <row r="4" spans="1:12" ht="15" customHeight="1" x14ac:dyDescent="0.3">
      <c r="A4" s="184" t="s">
        <v>2619</v>
      </c>
      <c r="B4" s="184"/>
      <c r="C4" s="184"/>
      <c r="D4" s="184"/>
    </row>
    <row r="5" spans="1:12" ht="15" customHeight="1" x14ac:dyDescent="0.3">
      <c r="F5" s="157" t="s">
        <v>13</v>
      </c>
      <c r="G5" s="157" t="s">
        <v>2620</v>
      </c>
      <c r="H5" s="157" t="s">
        <v>2621</v>
      </c>
      <c r="I5" s="157" t="s">
        <v>2622</v>
      </c>
    </row>
    <row r="6" spans="1:12" ht="15" customHeight="1" x14ac:dyDescent="0.3">
      <c r="A6" s="158" t="s">
        <v>2623</v>
      </c>
      <c r="B6" s="158" t="s">
        <v>2624</v>
      </c>
      <c r="F6" s="159" t="s">
        <v>2625</v>
      </c>
      <c r="G6" s="160">
        <f>COUNTIF(N40:N59,"PASS")</f>
        <v>10</v>
      </c>
      <c r="H6" s="160">
        <f>COUNTIF(N40:N59,"FAIL")</f>
        <v>0</v>
      </c>
      <c r="I6" s="160" t="str">
        <f>IF(H6=0,"✓ ALL PASSED","⚠ CHECK")</f>
        <v>✓ ALL PASSED</v>
      </c>
    </row>
    <row r="7" spans="1:12" ht="15" customHeight="1" x14ac:dyDescent="0.3">
      <c r="A7" s="161" t="s">
        <v>2609</v>
      </c>
      <c r="B7" s="159" t="str">
        <f>IF(A7="","",IFERROR(VLOOKUP(A7,Schools!K:N,4,FALSE()),"Not found"))</f>
        <v>Together Learning Trust</v>
      </c>
      <c r="F7" s="159" t="s">
        <v>2626</v>
      </c>
      <c r="G7" s="160">
        <f>COUNTIF(L65:L144,"PASS")</f>
        <v>40</v>
      </c>
      <c r="H7" s="160">
        <f>COUNTIF(L65:L144,"FAIL")</f>
        <v>0</v>
      </c>
      <c r="I7" s="160" t="str">
        <f>IF(H7=0,"✓ ALL PASSED","⚠ CHECK")</f>
        <v>✓ ALL PASSED</v>
      </c>
    </row>
    <row r="8" spans="1:12" ht="15" customHeight="1" x14ac:dyDescent="0.3">
      <c r="A8" s="161" t="s">
        <v>2588</v>
      </c>
      <c r="B8" s="159" t="str">
        <f>IF(A8="","",IFERROR(VLOOKUP(A8,Schools!K:N,4,FALSE()),"Not found"))</f>
        <v>Bolton Brow Primary Academy</v>
      </c>
      <c r="F8" s="159" t="s">
        <v>2627</v>
      </c>
      <c r="G8" s="160">
        <f>COUNTIF(H150:H169,"PASS")</f>
        <v>10</v>
      </c>
      <c r="H8" s="160">
        <f>COUNTIF(H150:H169,"FAIL")</f>
        <v>0</v>
      </c>
      <c r="I8" s="160" t="str">
        <f>IF(H8=0,"✓ ALL PASSED","⚠ CHECK")</f>
        <v>✓ ALL PASSED</v>
      </c>
    </row>
    <row r="9" spans="1:12" ht="15" customHeight="1" x14ac:dyDescent="0.3">
      <c r="A9" s="161" t="s">
        <v>2599</v>
      </c>
      <c r="B9" s="159" t="str">
        <f>IF(A9="","",IFERROR(VLOOKUP(A9,Schools!K:N,4,FALSE()),"Not found"))</f>
        <v>Linthwaite Clough Primary School</v>
      </c>
      <c r="F9" s="159" t="s">
        <v>2628</v>
      </c>
      <c r="G9" s="160">
        <f>COUNTIF(E175:E194,"PASS")</f>
        <v>10</v>
      </c>
      <c r="H9" s="160">
        <f>COUNTIF(E175:E194,"FAIL")</f>
        <v>0</v>
      </c>
      <c r="I9" s="160" t="str">
        <f>IF(H9=0,"✓ ALL PASSED","⚠ CHECK")</f>
        <v>✓ ALL PASSED</v>
      </c>
    </row>
    <row r="10" spans="1:12" ht="15" customHeight="1" x14ac:dyDescent="0.3">
      <c r="A10" s="161" t="s">
        <v>2601</v>
      </c>
      <c r="B10" s="159" t="str">
        <f>IF(A10="","",IFERROR(VLOOKUP(A10,Schools!K:N,4,FALSE()),"Not found"))</f>
        <v>Meltham Moor Primary School</v>
      </c>
    </row>
    <row r="11" spans="1:12" ht="15" customHeight="1" x14ac:dyDescent="0.3">
      <c r="A11" s="161" t="s">
        <v>2603</v>
      </c>
      <c r="B11" s="159" t="str">
        <f>IF(A11="","",IFERROR(VLOOKUP(A11,Schools!K:N,4,FALSE()),"Not found"))</f>
        <v>Netherton Infant and Nursery School</v>
      </c>
    </row>
    <row r="12" spans="1:12" ht="15" customHeight="1" x14ac:dyDescent="0.3">
      <c r="A12" s="161" t="s">
        <v>2607</v>
      </c>
      <c r="B12" s="159" t="str">
        <f>IF(A12="","",IFERROR(VLOOKUP(A12,Schools!K:N,4,FALSE()),"Not found"))</f>
        <v>Scout Road Academy</v>
      </c>
    </row>
    <row r="13" spans="1:12" ht="15" customHeight="1" x14ac:dyDescent="0.3">
      <c r="A13" s="161" t="s">
        <v>2591</v>
      </c>
      <c r="B13" s="159" t="str">
        <f>IF(A13="","",IFERROR(VLOOKUP(A13,Schools!K:N,4,FALSE()),"Not found"))</f>
        <v>The Brooksbank School</v>
      </c>
    </row>
    <row r="14" spans="1:12" ht="15" customHeight="1" x14ac:dyDescent="0.3">
      <c r="A14" s="161" t="s">
        <v>2597</v>
      </c>
      <c r="B14" s="159" t="str">
        <f>IF(A14="","",IFERROR(VLOOKUP(A14,Schools!K:N,4,FALSE()),"Not found"))</f>
        <v>Honley High School</v>
      </c>
    </row>
    <row r="15" spans="1:12" ht="15" customHeight="1" x14ac:dyDescent="0.3">
      <c r="A15" s="161" t="s">
        <v>2605</v>
      </c>
      <c r="B15" s="159" t="str">
        <f>IF(A15="","",IFERROR(VLOOKUP(A15,Schools!K:N,4,FALSE()),"Not found"))</f>
        <v>Ryburn Valley High School</v>
      </c>
    </row>
    <row r="16" spans="1:12" ht="15" customHeight="1" x14ac:dyDescent="0.3">
      <c r="A16" s="161" t="s">
        <v>2594</v>
      </c>
      <c r="B16" s="159" t="str">
        <f>IF(A16="","",IFERROR(VLOOKUP(A16,Schools!K:N,4,FALSE()),"Not found"))</f>
        <v>Castle Hill School</v>
      </c>
    </row>
    <row r="17" spans="1:2" ht="15" customHeight="1" x14ac:dyDescent="0.3">
      <c r="A17" s="161"/>
      <c r="B17" s="159" t="str">
        <f>IF(A17="","",IFERROR(VLOOKUP(A17,Schools!K:N,4,FALSE()),"Not found"))</f>
        <v/>
      </c>
    </row>
    <row r="18" spans="1:2" ht="15" customHeight="1" x14ac:dyDescent="0.3">
      <c r="A18" s="161"/>
      <c r="B18" s="159" t="str">
        <f>IF(A18="","",IFERROR(VLOOKUP(A18,Schools!K:N,4,FALSE()),"Not found"))</f>
        <v/>
      </c>
    </row>
    <row r="19" spans="1:2" ht="15" customHeight="1" x14ac:dyDescent="0.3">
      <c r="A19" s="161"/>
      <c r="B19" s="159" t="str">
        <f>IF(A19="","",IFERROR(VLOOKUP(A19,Schools!K:N,4,FALSE()),"Not found"))</f>
        <v/>
      </c>
    </row>
    <row r="20" spans="1:2" ht="15" customHeight="1" x14ac:dyDescent="0.3">
      <c r="A20" s="161"/>
      <c r="B20" s="159" t="str">
        <f>IF(A20="","",IFERROR(VLOOKUP(A20,Schools!K:N,4,FALSE()),"Not found"))</f>
        <v/>
      </c>
    </row>
    <row r="21" spans="1:2" ht="15" customHeight="1" x14ac:dyDescent="0.3">
      <c r="A21" s="161"/>
      <c r="B21" s="159" t="str">
        <f>IF(A21="","",IFERROR(VLOOKUP(A21,Schools!K:N,4,FALSE()),"Not found"))</f>
        <v/>
      </c>
    </row>
    <row r="22" spans="1:2" ht="15" customHeight="1" x14ac:dyDescent="0.3">
      <c r="A22" s="161"/>
      <c r="B22" s="159" t="str">
        <f>IF(A22="","",IFERROR(VLOOKUP(A22,Schools!K:N,4,FALSE()),"Not found"))</f>
        <v/>
      </c>
    </row>
    <row r="23" spans="1:2" ht="15" customHeight="1" x14ac:dyDescent="0.3">
      <c r="A23" s="161"/>
      <c r="B23" s="159" t="str">
        <f>IF(A23="","",IFERROR(VLOOKUP(A23,Schools!K:N,4,FALSE()),"Not found"))</f>
        <v/>
      </c>
    </row>
    <row r="24" spans="1:2" ht="15" customHeight="1" x14ac:dyDescent="0.3">
      <c r="A24" s="161"/>
      <c r="B24" s="159" t="str">
        <f>IF(A24="","",IFERROR(VLOOKUP(A24,Schools!K:N,4,FALSE()),"Not found"))</f>
        <v/>
      </c>
    </row>
    <row r="25" spans="1:2" ht="15" customHeight="1" x14ac:dyDescent="0.3">
      <c r="A25" s="161"/>
      <c r="B25" s="159" t="str">
        <f>IF(A25="","",IFERROR(VLOOKUP(A25,Schools!K:N,4,FALSE()),"Not found"))</f>
        <v/>
      </c>
    </row>
    <row r="26" spans="1:2" ht="15" customHeight="1" x14ac:dyDescent="0.3">
      <c r="A26" s="161"/>
      <c r="B26" s="159" t="str">
        <f>IF(A26="","",IFERROR(VLOOKUP(A26,Schools!K:N,4,FALSE()),"Not found"))</f>
        <v/>
      </c>
    </row>
    <row r="28" spans="1:2" ht="15" customHeight="1" x14ac:dyDescent="0.3">
      <c r="A28" s="185" t="s">
        <v>2629</v>
      </c>
      <c r="B28" s="185"/>
    </row>
    <row r="29" spans="1:2" ht="15" customHeight="1" x14ac:dyDescent="0.3">
      <c r="A29" s="159" t="s">
        <v>2630</v>
      </c>
      <c r="B29" s="161">
        <v>510100</v>
      </c>
    </row>
    <row r="30" spans="1:2" ht="15" customHeight="1" x14ac:dyDescent="0.3">
      <c r="A30" s="159" t="s">
        <v>2631</v>
      </c>
      <c r="B30" s="161">
        <v>510150</v>
      </c>
    </row>
    <row r="31" spans="1:2" ht="15" customHeight="1" x14ac:dyDescent="0.3">
      <c r="A31" s="159" t="s">
        <v>2632</v>
      </c>
      <c r="B31" s="161"/>
    </row>
    <row r="32" spans="1:2" ht="15" customHeight="1" x14ac:dyDescent="0.3">
      <c r="A32" s="159" t="s">
        <v>2633</v>
      </c>
      <c r="B32" s="161">
        <v>510700</v>
      </c>
    </row>
    <row r="33" spans="1:15" ht="15" customHeight="1" x14ac:dyDescent="0.3">
      <c r="A33" s="159" t="s">
        <v>2634</v>
      </c>
      <c r="B33" s="161"/>
    </row>
    <row r="34" spans="1:15" ht="15" customHeight="1" x14ac:dyDescent="0.3">
      <c r="A34" s="159" t="s">
        <v>2635</v>
      </c>
      <c r="B34" s="161"/>
    </row>
    <row r="37" spans="1:15" ht="15" customHeight="1" x14ac:dyDescent="0.3">
      <c r="A37" s="182" t="s">
        <v>2636</v>
      </c>
      <c r="B37" s="182"/>
      <c r="C37" s="182"/>
      <c r="D37" s="182"/>
      <c r="E37" s="182"/>
      <c r="F37" s="182"/>
      <c r="G37" s="182"/>
      <c r="H37" s="182"/>
      <c r="I37" s="182"/>
      <c r="J37" s="182"/>
      <c r="K37" s="182"/>
      <c r="L37" s="182"/>
      <c r="M37" s="182"/>
      <c r="N37" s="182"/>
      <c r="O37" s="182"/>
    </row>
    <row r="39" spans="1:15" ht="15" customHeight="1" x14ac:dyDescent="0.3">
      <c r="A39" s="157" t="s">
        <v>1408</v>
      </c>
      <c r="B39" s="157" t="s">
        <v>2637</v>
      </c>
      <c r="C39" s="157" t="s">
        <v>2638</v>
      </c>
      <c r="D39" s="157" t="s">
        <v>2639</v>
      </c>
      <c r="E39" s="157" t="s">
        <v>2640</v>
      </c>
      <c r="F39" s="157" t="s">
        <v>2641</v>
      </c>
      <c r="G39" s="157" t="s">
        <v>2642</v>
      </c>
      <c r="H39" s="157" t="s">
        <v>2643</v>
      </c>
      <c r="I39" s="157" t="s">
        <v>2644</v>
      </c>
      <c r="J39" s="157" t="s">
        <v>2645</v>
      </c>
      <c r="K39" s="157" t="s">
        <v>2646</v>
      </c>
      <c r="L39" s="157" t="s">
        <v>2647</v>
      </c>
      <c r="M39" s="157" t="s">
        <v>2648</v>
      </c>
      <c r="N39" s="157" t="s">
        <v>2622</v>
      </c>
    </row>
    <row r="40" spans="1:15" ht="15" customHeight="1" x14ac:dyDescent="0.3">
      <c r="A40" s="159" t="str">
        <f>IF($A$7="","",$A$7)</f>
        <v>TLT</v>
      </c>
      <c r="B40" s="159">
        <f>IF($A$7="","",SUMIFS('Pupils Insert Table'!J:J,'Pupils Insert Table'!D:D,$A$7,'Pupils Insert Table'!E:E,"PUPIL_CEN_00")+SUMIFS('Pupils Insert Table'!J:J,'Pupils Insert Table'!D:D,$A$7,'Pupils Insert Table'!E:E,"PUPIL_CEN_01")+SUMIFS('Pupils Insert Table'!J:J,'Pupils Insert Table'!D:D,$A$7,'Pupils Insert Table'!E:E,"PUPIL_CEN_02")+SUMIFS('Pupils Insert Table'!J:J,'Pupils Insert Table'!D:D,$A$7,'Pupils Insert Table'!E:E,"PUPIL_CEN_03")+SUMIFS('Pupils Insert Table'!J:J,'Pupils Insert Table'!D:D,$A$7,'Pupils Insert Table'!E:E,"PUPIL_CEN_04")+SUMIFS('Pupils Insert Table'!J:J,'Pupils Insert Table'!D:D,$A$7,'Pupils Insert Table'!E:E,"PUPIL_CEN_05")+SUMIFS('Pupils Insert Table'!J:J,'Pupils Insert Table'!D:D,$A$7,'Pupils Insert Table'!E:E,"PUPIL_CEN_06"))</f>
        <v>0</v>
      </c>
      <c r="C40" s="162"/>
      <c r="D40" s="159">
        <f>IF($A$7="","",B40-C40)</f>
        <v>0</v>
      </c>
      <c r="E40" s="159">
        <f>IF($A$7="","",SUMIFS('Pupils Insert Table'!J:J,'Pupils Insert Table'!D:D,$A$7,'Pupils Insert Table'!E:E,"PUPIL_CEN_07")+SUMIFS('Pupils Insert Table'!J:J,'Pupils Insert Table'!D:D,$A$7,'Pupils Insert Table'!E:E,"PUPIL_CEN_08")+SUMIFS('Pupils Insert Table'!J:J,'Pupils Insert Table'!D:D,$A$7,'Pupils Insert Table'!E:E,"PUPIL_CEN_09"))</f>
        <v>0</v>
      </c>
      <c r="F40" s="162"/>
      <c r="G40" s="159">
        <f>IF($A$7="","",E40-F40)</f>
        <v>0</v>
      </c>
      <c r="H40" s="159">
        <f>IF($A$7="","",SUMIFS('Pupils Insert Table'!J:J,'Pupils Insert Table'!D:D,$A$7,'Pupils Insert Table'!E:E,"PUPIL_CEN_10")+SUMIFS('Pupils Insert Table'!J:J,'Pupils Insert Table'!D:D,$A$7,'Pupils Insert Table'!E:E,"PUPIL_CEN_11"))</f>
        <v>0</v>
      </c>
      <c r="I40" s="162"/>
      <c r="J40" s="159">
        <f>IF($A$7="","",H40-I40)</f>
        <v>0</v>
      </c>
      <c r="K40" s="159">
        <f>IF($A$7="","",SUMIFS('Pupils Insert Table'!J:J,'Pupils Insert Table'!D:D,$A$7,'Pupils Insert Table'!E:E,"PUPIL_CEN_12")+SUMIFS('Pupils Insert Table'!J:J,'Pupils Insert Table'!D:D,$A$7,'Pupils Insert Table'!E:E,"PUPIL_CEN_13"))</f>
        <v>0</v>
      </c>
      <c r="L40" s="162"/>
      <c r="M40" s="159">
        <f>IF($A$7="","",K40-L40)</f>
        <v>0</v>
      </c>
      <c r="N40" s="159" t="str">
        <f>IF($A$7="","",IF(AND(ABS(D40)&lt;=10,ABS(G40)&lt;=10,ABS(J40)&lt;=10,ABS(M40)&lt;=10),"PASS","FAIL"))</f>
        <v>PASS</v>
      </c>
    </row>
    <row r="41" spans="1:15" ht="15" customHeight="1" x14ac:dyDescent="0.3">
      <c r="A41" s="159" t="str">
        <f>IF($A$8="","",$A$8)</f>
        <v>BBP</v>
      </c>
      <c r="B41" s="159">
        <f>IF($A$8="","",SUMIFS('Pupils Insert Table'!J:J,'Pupils Insert Table'!D:D,$A$8,'Pupils Insert Table'!E:E,"PUPIL_CEN_00")+SUMIFS('Pupils Insert Table'!J:J,'Pupils Insert Table'!D:D,$A$8,'Pupils Insert Table'!E:E,"PUPIL_CEN_01")+SUMIFS('Pupils Insert Table'!J:J,'Pupils Insert Table'!D:D,$A$8,'Pupils Insert Table'!E:E,"PUPIL_CEN_02")+SUMIFS('Pupils Insert Table'!J:J,'Pupils Insert Table'!D:D,$A$8,'Pupils Insert Table'!E:E,"PUPIL_CEN_03")+SUMIFS('Pupils Insert Table'!J:J,'Pupils Insert Table'!D:D,$A$8,'Pupils Insert Table'!E:E,"PUPIL_CEN_04")+SUMIFS('Pupils Insert Table'!J:J,'Pupils Insert Table'!D:D,$A$8,'Pupils Insert Table'!E:E,"PUPIL_CEN_05")+SUMIFS('Pupils Insert Table'!J:J,'Pupils Insert Table'!D:D,$A$8,'Pupils Insert Table'!E:E,"PUPIL_CEN_06"))</f>
        <v>0</v>
      </c>
      <c r="C41" s="162"/>
      <c r="D41" s="159">
        <f>IF($A$8="","",B41-C41)</f>
        <v>0</v>
      </c>
      <c r="E41" s="159">
        <f>IF($A$8="","",SUMIFS('Pupils Insert Table'!J:J,'Pupils Insert Table'!D:D,$A$8,'Pupils Insert Table'!E:E,"PUPIL_CEN_07")+SUMIFS('Pupils Insert Table'!J:J,'Pupils Insert Table'!D:D,$A$8,'Pupils Insert Table'!E:E,"PUPIL_CEN_08")+SUMIFS('Pupils Insert Table'!J:J,'Pupils Insert Table'!D:D,$A$8,'Pupils Insert Table'!E:E,"PUPIL_CEN_09"))</f>
        <v>0</v>
      </c>
      <c r="F41" s="162"/>
      <c r="G41" s="159">
        <f>IF($A$8="","",E41-F41)</f>
        <v>0</v>
      </c>
      <c r="H41" s="159">
        <f>IF($A$8="","",SUMIFS('Pupils Insert Table'!J:J,'Pupils Insert Table'!D:D,$A$8,'Pupils Insert Table'!E:E,"PUPIL_CEN_10")+SUMIFS('Pupils Insert Table'!J:J,'Pupils Insert Table'!D:D,$A$8,'Pupils Insert Table'!E:E,"PUPIL_CEN_11"))</f>
        <v>0</v>
      </c>
      <c r="I41" s="162"/>
      <c r="J41" s="159">
        <f>IF($A$8="","",H41-I41)</f>
        <v>0</v>
      </c>
      <c r="K41" s="159">
        <f>IF($A$8="","",SUMIFS('Pupils Insert Table'!J:J,'Pupils Insert Table'!D:D,$A$8,'Pupils Insert Table'!E:E,"PUPIL_CEN_12")+SUMIFS('Pupils Insert Table'!J:J,'Pupils Insert Table'!D:D,$A$8,'Pupils Insert Table'!E:E,"PUPIL_CEN_13"))</f>
        <v>0</v>
      </c>
      <c r="L41" s="162"/>
      <c r="M41" s="159">
        <f>IF($A$8="","",K41-L41)</f>
        <v>0</v>
      </c>
      <c r="N41" s="159" t="str">
        <f>IF($A$8="","",IF(AND(ABS(D41)&lt;=10,ABS(G41)&lt;=10,ABS(J41)&lt;=10,ABS(M41)&lt;=10),"PASS","FAIL"))</f>
        <v>PASS</v>
      </c>
    </row>
    <row r="42" spans="1:15" ht="15" customHeight="1" x14ac:dyDescent="0.3">
      <c r="A42" s="159" t="str">
        <f>IF($A$9="","",$A$9)</f>
        <v>LCP</v>
      </c>
      <c r="B42" s="159">
        <f>IF($A$9="","",SUMIFS('Pupils Insert Table'!J:J,'Pupils Insert Table'!D:D,$A$9,'Pupils Insert Table'!E:E,"PUPIL_CEN_00")+SUMIFS('Pupils Insert Table'!J:J,'Pupils Insert Table'!D:D,$A$9,'Pupils Insert Table'!E:E,"PUPIL_CEN_01")+SUMIFS('Pupils Insert Table'!J:J,'Pupils Insert Table'!D:D,$A$9,'Pupils Insert Table'!E:E,"PUPIL_CEN_02")+SUMIFS('Pupils Insert Table'!J:J,'Pupils Insert Table'!D:D,$A$9,'Pupils Insert Table'!E:E,"PUPIL_CEN_03")+SUMIFS('Pupils Insert Table'!J:J,'Pupils Insert Table'!D:D,$A$9,'Pupils Insert Table'!E:E,"PUPIL_CEN_04")+SUMIFS('Pupils Insert Table'!J:J,'Pupils Insert Table'!D:D,$A$9,'Pupils Insert Table'!E:E,"PUPIL_CEN_05")+SUMIFS('Pupils Insert Table'!J:J,'Pupils Insert Table'!D:D,$A$9,'Pupils Insert Table'!E:E,"PUPIL_CEN_06"))</f>
        <v>0</v>
      </c>
      <c r="C42" s="162"/>
      <c r="D42" s="159">
        <f>IF($A$9="","",B42-C42)</f>
        <v>0</v>
      </c>
      <c r="E42" s="159">
        <f>IF($A$9="","",SUMIFS('Pupils Insert Table'!J:J,'Pupils Insert Table'!D:D,$A$9,'Pupils Insert Table'!E:E,"PUPIL_CEN_07")+SUMIFS('Pupils Insert Table'!J:J,'Pupils Insert Table'!D:D,$A$9,'Pupils Insert Table'!E:E,"PUPIL_CEN_08")+SUMIFS('Pupils Insert Table'!J:J,'Pupils Insert Table'!D:D,$A$9,'Pupils Insert Table'!E:E,"PUPIL_CEN_09"))</f>
        <v>0</v>
      </c>
      <c r="F42" s="162"/>
      <c r="G42" s="159">
        <f>IF($A$9="","",E42-F42)</f>
        <v>0</v>
      </c>
      <c r="H42" s="159">
        <f>IF($A$9="","",SUMIFS('Pupils Insert Table'!J:J,'Pupils Insert Table'!D:D,$A$9,'Pupils Insert Table'!E:E,"PUPIL_CEN_10")+SUMIFS('Pupils Insert Table'!J:J,'Pupils Insert Table'!D:D,$A$9,'Pupils Insert Table'!E:E,"PUPIL_CEN_11"))</f>
        <v>0</v>
      </c>
      <c r="I42" s="162"/>
      <c r="J42" s="159">
        <f>IF($A$9="","",H42-I42)</f>
        <v>0</v>
      </c>
      <c r="K42" s="159">
        <f>IF($A$9="","",SUMIFS('Pupils Insert Table'!J:J,'Pupils Insert Table'!D:D,$A$9,'Pupils Insert Table'!E:E,"PUPIL_CEN_12")+SUMIFS('Pupils Insert Table'!J:J,'Pupils Insert Table'!D:D,$A$9,'Pupils Insert Table'!E:E,"PUPIL_CEN_13"))</f>
        <v>0</v>
      </c>
      <c r="L42" s="162"/>
      <c r="M42" s="159">
        <f>IF($A$9="","",K42-L42)</f>
        <v>0</v>
      </c>
      <c r="N42" s="159" t="str">
        <f>IF($A$9="","",IF(AND(ABS(D42)&lt;=10,ABS(G42)&lt;=10,ABS(J42)&lt;=10,ABS(M42)&lt;=10),"PASS","FAIL"))</f>
        <v>PASS</v>
      </c>
    </row>
    <row r="43" spans="1:15" ht="15" customHeight="1" x14ac:dyDescent="0.3">
      <c r="A43" s="159" t="str">
        <f>IF($A$10="","",$A$10)</f>
        <v>MMP</v>
      </c>
      <c r="B43" s="159">
        <f>IF($A$10="","",SUMIFS('Pupils Insert Table'!J:J,'Pupils Insert Table'!D:D,$A$10,'Pupils Insert Table'!E:E,"PUPIL_CEN_00")+SUMIFS('Pupils Insert Table'!J:J,'Pupils Insert Table'!D:D,$A$10,'Pupils Insert Table'!E:E,"PUPIL_CEN_01")+SUMIFS('Pupils Insert Table'!J:J,'Pupils Insert Table'!D:D,$A$10,'Pupils Insert Table'!E:E,"PUPIL_CEN_02")+SUMIFS('Pupils Insert Table'!J:J,'Pupils Insert Table'!D:D,$A$10,'Pupils Insert Table'!E:E,"PUPIL_CEN_03")+SUMIFS('Pupils Insert Table'!J:J,'Pupils Insert Table'!D:D,$A$10,'Pupils Insert Table'!E:E,"PUPIL_CEN_04")+SUMIFS('Pupils Insert Table'!J:J,'Pupils Insert Table'!D:D,$A$10,'Pupils Insert Table'!E:E,"PUPIL_CEN_05")+SUMIFS('Pupils Insert Table'!J:J,'Pupils Insert Table'!D:D,$A$10,'Pupils Insert Table'!E:E,"PUPIL_CEN_06"))</f>
        <v>0</v>
      </c>
      <c r="C43" s="162"/>
      <c r="D43" s="159">
        <f>IF($A$10="","",B43-C43)</f>
        <v>0</v>
      </c>
      <c r="E43" s="159">
        <f>IF($A$10="","",SUMIFS('Pupils Insert Table'!J:J,'Pupils Insert Table'!D:D,$A$10,'Pupils Insert Table'!E:E,"PUPIL_CEN_07")+SUMIFS('Pupils Insert Table'!J:J,'Pupils Insert Table'!D:D,$A$10,'Pupils Insert Table'!E:E,"PUPIL_CEN_08")+SUMIFS('Pupils Insert Table'!J:J,'Pupils Insert Table'!D:D,$A$10,'Pupils Insert Table'!E:E,"PUPIL_CEN_09"))</f>
        <v>0</v>
      </c>
      <c r="F43" s="162"/>
      <c r="G43" s="159">
        <f>IF($A$10="","",E43-F43)</f>
        <v>0</v>
      </c>
      <c r="H43" s="159">
        <f>IF($A$10="","",SUMIFS('Pupils Insert Table'!J:J,'Pupils Insert Table'!D:D,$A$10,'Pupils Insert Table'!E:E,"PUPIL_CEN_10")+SUMIFS('Pupils Insert Table'!J:J,'Pupils Insert Table'!D:D,$A$10,'Pupils Insert Table'!E:E,"PUPIL_CEN_11"))</f>
        <v>0</v>
      </c>
      <c r="I43" s="162"/>
      <c r="J43" s="159">
        <f>IF($A$10="","",H43-I43)</f>
        <v>0</v>
      </c>
      <c r="K43" s="159">
        <f>IF($A$10="","",SUMIFS('Pupils Insert Table'!J:J,'Pupils Insert Table'!D:D,$A$10,'Pupils Insert Table'!E:E,"PUPIL_CEN_12")+SUMIFS('Pupils Insert Table'!J:J,'Pupils Insert Table'!D:D,$A$10,'Pupils Insert Table'!E:E,"PUPIL_CEN_13"))</f>
        <v>0</v>
      </c>
      <c r="L43" s="162"/>
      <c r="M43" s="159">
        <f>IF($A$10="","",K43-L43)</f>
        <v>0</v>
      </c>
      <c r="N43" s="159" t="str">
        <f>IF($A$10="","",IF(AND(ABS(D43)&lt;=10,ABS(G43)&lt;=10,ABS(J43)&lt;=10,ABS(M43)&lt;=10),"PASS","FAIL"))</f>
        <v>PASS</v>
      </c>
    </row>
    <row r="44" spans="1:15" ht="15" customHeight="1" x14ac:dyDescent="0.3">
      <c r="A44" s="159" t="str">
        <f>IF($A$11="","",$A$11)</f>
        <v>NIN</v>
      </c>
      <c r="B44" s="159">
        <f>IF($A$11="","",SUMIFS('Pupils Insert Table'!J:J,'Pupils Insert Table'!D:D,$A$11,'Pupils Insert Table'!E:E,"PUPIL_CEN_00")+SUMIFS('Pupils Insert Table'!J:J,'Pupils Insert Table'!D:D,$A$11,'Pupils Insert Table'!E:E,"PUPIL_CEN_01")+SUMIFS('Pupils Insert Table'!J:J,'Pupils Insert Table'!D:D,$A$11,'Pupils Insert Table'!E:E,"PUPIL_CEN_02")+SUMIFS('Pupils Insert Table'!J:J,'Pupils Insert Table'!D:D,$A$11,'Pupils Insert Table'!E:E,"PUPIL_CEN_03")+SUMIFS('Pupils Insert Table'!J:J,'Pupils Insert Table'!D:D,$A$11,'Pupils Insert Table'!E:E,"PUPIL_CEN_04")+SUMIFS('Pupils Insert Table'!J:J,'Pupils Insert Table'!D:D,$A$11,'Pupils Insert Table'!E:E,"PUPIL_CEN_05")+SUMIFS('Pupils Insert Table'!J:J,'Pupils Insert Table'!D:D,$A$11,'Pupils Insert Table'!E:E,"PUPIL_CEN_06"))</f>
        <v>0</v>
      </c>
      <c r="C44" s="162"/>
      <c r="D44" s="159">
        <f>IF($A$11="","",B44-C44)</f>
        <v>0</v>
      </c>
      <c r="E44" s="159">
        <f>IF($A$11="","",SUMIFS('Pupils Insert Table'!J:J,'Pupils Insert Table'!D:D,$A$11,'Pupils Insert Table'!E:E,"PUPIL_CEN_07")+SUMIFS('Pupils Insert Table'!J:J,'Pupils Insert Table'!D:D,$A$11,'Pupils Insert Table'!E:E,"PUPIL_CEN_08")+SUMIFS('Pupils Insert Table'!J:J,'Pupils Insert Table'!D:D,$A$11,'Pupils Insert Table'!E:E,"PUPIL_CEN_09"))</f>
        <v>0</v>
      </c>
      <c r="F44" s="162"/>
      <c r="G44" s="159">
        <f>IF($A$11="","",E44-F44)</f>
        <v>0</v>
      </c>
      <c r="H44" s="159">
        <f>IF($A$11="","",SUMIFS('Pupils Insert Table'!J:J,'Pupils Insert Table'!D:D,$A$11,'Pupils Insert Table'!E:E,"PUPIL_CEN_10")+SUMIFS('Pupils Insert Table'!J:J,'Pupils Insert Table'!D:D,$A$11,'Pupils Insert Table'!E:E,"PUPIL_CEN_11"))</f>
        <v>0</v>
      </c>
      <c r="I44" s="162"/>
      <c r="J44" s="159">
        <f>IF($A$11="","",H44-I44)</f>
        <v>0</v>
      </c>
      <c r="K44" s="159">
        <f>IF($A$11="","",SUMIFS('Pupils Insert Table'!J:J,'Pupils Insert Table'!D:D,$A$11,'Pupils Insert Table'!E:E,"PUPIL_CEN_12")+SUMIFS('Pupils Insert Table'!J:J,'Pupils Insert Table'!D:D,$A$11,'Pupils Insert Table'!E:E,"PUPIL_CEN_13"))</f>
        <v>0</v>
      </c>
      <c r="L44" s="162"/>
      <c r="M44" s="159">
        <f>IF($A$11="","",K44-L44)</f>
        <v>0</v>
      </c>
      <c r="N44" s="159" t="str">
        <f>IF($A$11="","",IF(AND(ABS(D44)&lt;=10,ABS(G44)&lt;=10,ABS(J44)&lt;=10,ABS(M44)&lt;=10),"PASS","FAIL"))</f>
        <v>PASS</v>
      </c>
    </row>
    <row r="45" spans="1:15" ht="15" customHeight="1" x14ac:dyDescent="0.3">
      <c r="A45" s="159" t="str">
        <f>IF($A$12="","",$A$12)</f>
        <v>SRA</v>
      </c>
      <c r="B45" s="159">
        <f>IF($A$12="","",SUMIFS('Pupils Insert Table'!J:J,'Pupils Insert Table'!D:D,$A$12,'Pupils Insert Table'!E:E,"PUPIL_CEN_00")+SUMIFS('Pupils Insert Table'!J:J,'Pupils Insert Table'!D:D,$A$12,'Pupils Insert Table'!E:E,"PUPIL_CEN_01")+SUMIFS('Pupils Insert Table'!J:J,'Pupils Insert Table'!D:D,$A$12,'Pupils Insert Table'!E:E,"PUPIL_CEN_02")+SUMIFS('Pupils Insert Table'!J:J,'Pupils Insert Table'!D:D,$A$12,'Pupils Insert Table'!E:E,"PUPIL_CEN_03")+SUMIFS('Pupils Insert Table'!J:J,'Pupils Insert Table'!D:D,$A$12,'Pupils Insert Table'!E:E,"PUPIL_CEN_04")+SUMIFS('Pupils Insert Table'!J:J,'Pupils Insert Table'!D:D,$A$12,'Pupils Insert Table'!E:E,"PUPIL_CEN_05")+SUMIFS('Pupils Insert Table'!J:J,'Pupils Insert Table'!D:D,$A$12,'Pupils Insert Table'!E:E,"PUPIL_CEN_06"))</f>
        <v>0</v>
      </c>
      <c r="C45" s="162"/>
      <c r="D45" s="159">
        <f>IF($A$12="","",B45-C45)</f>
        <v>0</v>
      </c>
      <c r="E45" s="159">
        <f>IF($A$12="","",SUMIFS('Pupils Insert Table'!J:J,'Pupils Insert Table'!D:D,$A$12,'Pupils Insert Table'!E:E,"PUPIL_CEN_07")+SUMIFS('Pupils Insert Table'!J:J,'Pupils Insert Table'!D:D,$A$12,'Pupils Insert Table'!E:E,"PUPIL_CEN_08")+SUMIFS('Pupils Insert Table'!J:J,'Pupils Insert Table'!D:D,$A$12,'Pupils Insert Table'!E:E,"PUPIL_CEN_09"))</f>
        <v>0</v>
      </c>
      <c r="F45" s="162"/>
      <c r="G45" s="159">
        <f>IF($A$12="","",E45-F45)</f>
        <v>0</v>
      </c>
      <c r="H45" s="159">
        <f>IF($A$12="","",SUMIFS('Pupils Insert Table'!J:J,'Pupils Insert Table'!D:D,$A$12,'Pupils Insert Table'!E:E,"PUPIL_CEN_10")+SUMIFS('Pupils Insert Table'!J:J,'Pupils Insert Table'!D:D,$A$12,'Pupils Insert Table'!E:E,"PUPIL_CEN_11"))</f>
        <v>0</v>
      </c>
      <c r="I45" s="162"/>
      <c r="J45" s="159">
        <f>IF($A$12="","",H45-I45)</f>
        <v>0</v>
      </c>
      <c r="K45" s="159">
        <f>IF($A$12="","",SUMIFS('Pupils Insert Table'!J:J,'Pupils Insert Table'!D:D,$A$12,'Pupils Insert Table'!E:E,"PUPIL_CEN_12")+SUMIFS('Pupils Insert Table'!J:J,'Pupils Insert Table'!D:D,$A$12,'Pupils Insert Table'!E:E,"PUPIL_CEN_13"))</f>
        <v>0</v>
      </c>
      <c r="L45" s="162"/>
      <c r="M45" s="159">
        <f>IF($A$12="","",K45-L45)</f>
        <v>0</v>
      </c>
      <c r="N45" s="159" t="str">
        <f>IF($A$12="","",IF(AND(ABS(D45)&lt;=10,ABS(G45)&lt;=10,ABS(J45)&lt;=10,ABS(M45)&lt;=10),"PASS","FAIL"))</f>
        <v>PASS</v>
      </c>
    </row>
    <row r="46" spans="1:15" ht="15" customHeight="1" x14ac:dyDescent="0.3">
      <c r="A46" s="159" t="str">
        <f>IF($A$13="","",$A$13)</f>
        <v>BBS</v>
      </c>
      <c r="B46" s="159">
        <f>IF($A$13="","",SUMIFS('Pupils Insert Table'!J:J,'Pupils Insert Table'!D:D,$A$13,'Pupils Insert Table'!E:E,"PUPIL_CEN_00")+SUMIFS('Pupils Insert Table'!J:J,'Pupils Insert Table'!D:D,$A$13,'Pupils Insert Table'!E:E,"PUPIL_CEN_01")+SUMIFS('Pupils Insert Table'!J:J,'Pupils Insert Table'!D:D,$A$13,'Pupils Insert Table'!E:E,"PUPIL_CEN_02")+SUMIFS('Pupils Insert Table'!J:J,'Pupils Insert Table'!D:D,$A$13,'Pupils Insert Table'!E:E,"PUPIL_CEN_03")+SUMIFS('Pupils Insert Table'!J:J,'Pupils Insert Table'!D:D,$A$13,'Pupils Insert Table'!E:E,"PUPIL_CEN_04")+SUMIFS('Pupils Insert Table'!J:J,'Pupils Insert Table'!D:D,$A$13,'Pupils Insert Table'!E:E,"PUPIL_CEN_05")+SUMIFS('Pupils Insert Table'!J:J,'Pupils Insert Table'!D:D,$A$13,'Pupils Insert Table'!E:E,"PUPIL_CEN_06"))</f>
        <v>0</v>
      </c>
      <c r="C46" s="162"/>
      <c r="D46" s="159">
        <f>IF($A$13="","",B46-C46)</f>
        <v>0</v>
      </c>
      <c r="E46" s="159">
        <f>IF($A$13="","",SUMIFS('Pupils Insert Table'!J:J,'Pupils Insert Table'!D:D,$A$13,'Pupils Insert Table'!E:E,"PUPIL_CEN_07")+SUMIFS('Pupils Insert Table'!J:J,'Pupils Insert Table'!D:D,$A$13,'Pupils Insert Table'!E:E,"PUPIL_CEN_08")+SUMIFS('Pupils Insert Table'!J:J,'Pupils Insert Table'!D:D,$A$13,'Pupils Insert Table'!E:E,"PUPIL_CEN_09"))</f>
        <v>0</v>
      </c>
      <c r="F46" s="162"/>
      <c r="G46" s="159">
        <f>IF($A$13="","",E46-F46)</f>
        <v>0</v>
      </c>
      <c r="H46" s="159">
        <f>IF($A$13="","",SUMIFS('Pupils Insert Table'!J:J,'Pupils Insert Table'!D:D,$A$13,'Pupils Insert Table'!E:E,"PUPIL_CEN_10")+SUMIFS('Pupils Insert Table'!J:J,'Pupils Insert Table'!D:D,$A$13,'Pupils Insert Table'!E:E,"PUPIL_CEN_11"))</f>
        <v>0</v>
      </c>
      <c r="I46" s="162"/>
      <c r="J46" s="159">
        <f>IF($A$13="","",H46-I46)</f>
        <v>0</v>
      </c>
      <c r="K46" s="159">
        <f>IF($A$13="","",SUMIFS('Pupils Insert Table'!J:J,'Pupils Insert Table'!D:D,$A$13,'Pupils Insert Table'!E:E,"PUPIL_CEN_12")+SUMIFS('Pupils Insert Table'!J:J,'Pupils Insert Table'!D:D,$A$13,'Pupils Insert Table'!E:E,"PUPIL_CEN_13"))</f>
        <v>0</v>
      </c>
      <c r="L46" s="162"/>
      <c r="M46" s="159">
        <f>IF($A$13="","",K46-L46)</f>
        <v>0</v>
      </c>
      <c r="N46" s="159" t="str">
        <f>IF($A$13="","",IF(AND(ABS(D46)&lt;=10,ABS(G46)&lt;=10,ABS(J46)&lt;=10,ABS(M46)&lt;=10),"PASS","FAIL"))</f>
        <v>PASS</v>
      </c>
    </row>
    <row r="47" spans="1:15" ht="15" customHeight="1" x14ac:dyDescent="0.3">
      <c r="A47" s="159" t="str">
        <f>IF($A$14="","",$A$14)</f>
        <v>HHS</v>
      </c>
      <c r="B47" s="159">
        <f>IF($A$14="","",SUMIFS('Pupils Insert Table'!J:J,'Pupils Insert Table'!D:D,$A$14,'Pupils Insert Table'!E:E,"PUPIL_CEN_00")+SUMIFS('Pupils Insert Table'!J:J,'Pupils Insert Table'!D:D,$A$14,'Pupils Insert Table'!E:E,"PUPIL_CEN_01")+SUMIFS('Pupils Insert Table'!J:J,'Pupils Insert Table'!D:D,$A$14,'Pupils Insert Table'!E:E,"PUPIL_CEN_02")+SUMIFS('Pupils Insert Table'!J:J,'Pupils Insert Table'!D:D,$A$14,'Pupils Insert Table'!E:E,"PUPIL_CEN_03")+SUMIFS('Pupils Insert Table'!J:J,'Pupils Insert Table'!D:D,$A$14,'Pupils Insert Table'!E:E,"PUPIL_CEN_04")+SUMIFS('Pupils Insert Table'!J:J,'Pupils Insert Table'!D:D,$A$14,'Pupils Insert Table'!E:E,"PUPIL_CEN_05")+SUMIFS('Pupils Insert Table'!J:J,'Pupils Insert Table'!D:D,$A$14,'Pupils Insert Table'!E:E,"PUPIL_CEN_06"))</f>
        <v>0</v>
      </c>
      <c r="C47" s="162"/>
      <c r="D47" s="159">
        <f>IF($A$14="","",B47-C47)</f>
        <v>0</v>
      </c>
      <c r="E47" s="159">
        <f>IF($A$14="","",SUMIFS('Pupils Insert Table'!J:J,'Pupils Insert Table'!D:D,$A$14,'Pupils Insert Table'!E:E,"PUPIL_CEN_07")+SUMIFS('Pupils Insert Table'!J:J,'Pupils Insert Table'!D:D,$A$14,'Pupils Insert Table'!E:E,"PUPIL_CEN_08")+SUMIFS('Pupils Insert Table'!J:J,'Pupils Insert Table'!D:D,$A$14,'Pupils Insert Table'!E:E,"PUPIL_CEN_09"))</f>
        <v>0</v>
      </c>
      <c r="F47" s="162"/>
      <c r="G47" s="159">
        <f>IF($A$14="","",E47-F47)</f>
        <v>0</v>
      </c>
      <c r="H47" s="159">
        <f>IF($A$14="","",SUMIFS('Pupils Insert Table'!J:J,'Pupils Insert Table'!D:D,$A$14,'Pupils Insert Table'!E:E,"PUPIL_CEN_10")+SUMIFS('Pupils Insert Table'!J:J,'Pupils Insert Table'!D:D,$A$14,'Pupils Insert Table'!E:E,"PUPIL_CEN_11"))</f>
        <v>0</v>
      </c>
      <c r="I47" s="162"/>
      <c r="J47" s="159">
        <f>IF($A$14="","",H47-I47)</f>
        <v>0</v>
      </c>
      <c r="K47" s="159">
        <f>IF($A$14="","",SUMIFS('Pupils Insert Table'!J:J,'Pupils Insert Table'!D:D,$A$14,'Pupils Insert Table'!E:E,"PUPIL_CEN_12")+SUMIFS('Pupils Insert Table'!J:J,'Pupils Insert Table'!D:D,$A$14,'Pupils Insert Table'!E:E,"PUPIL_CEN_13"))</f>
        <v>0</v>
      </c>
      <c r="L47" s="162"/>
      <c r="M47" s="159">
        <f>IF($A$14="","",K47-L47)</f>
        <v>0</v>
      </c>
      <c r="N47" s="159" t="str">
        <f>IF($A$14="","",IF(AND(ABS(D47)&lt;=10,ABS(G47)&lt;=10,ABS(J47)&lt;=10,ABS(M47)&lt;=10),"PASS","FAIL"))</f>
        <v>PASS</v>
      </c>
    </row>
    <row r="48" spans="1:15" ht="15" customHeight="1" x14ac:dyDescent="0.3">
      <c r="A48" s="159" t="str">
        <f>IF($A$15="","",$A$15)</f>
        <v>RVS</v>
      </c>
      <c r="B48" s="159">
        <f>IF($A$15="","",SUMIFS('Pupils Insert Table'!J:J,'Pupils Insert Table'!D:D,$A$15,'Pupils Insert Table'!E:E,"PUPIL_CEN_00")+SUMIFS('Pupils Insert Table'!J:J,'Pupils Insert Table'!D:D,$A$15,'Pupils Insert Table'!E:E,"PUPIL_CEN_01")+SUMIFS('Pupils Insert Table'!J:J,'Pupils Insert Table'!D:D,$A$15,'Pupils Insert Table'!E:E,"PUPIL_CEN_02")+SUMIFS('Pupils Insert Table'!J:J,'Pupils Insert Table'!D:D,$A$15,'Pupils Insert Table'!E:E,"PUPIL_CEN_03")+SUMIFS('Pupils Insert Table'!J:J,'Pupils Insert Table'!D:D,$A$15,'Pupils Insert Table'!E:E,"PUPIL_CEN_04")+SUMIFS('Pupils Insert Table'!J:J,'Pupils Insert Table'!D:D,$A$15,'Pupils Insert Table'!E:E,"PUPIL_CEN_05")+SUMIFS('Pupils Insert Table'!J:J,'Pupils Insert Table'!D:D,$A$15,'Pupils Insert Table'!E:E,"PUPIL_CEN_06"))</f>
        <v>0</v>
      </c>
      <c r="C48" s="162"/>
      <c r="D48" s="159">
        <f>IF($A$15="","",B48-C48)</f>
        <v>0</v>
      </c>
      <c r="E48" s="159">
        <f>IF($A$15="","",SUMIFS('Pupils Insert Table'!J:J,'Pupils Insert Table'!D:D,$A$15,'Pupils Insert Table'!E:E,"PUPIL_CEN_07")+SUMIFS('Pupils Insert Table'!J:J,'Pupils Insert Table'!D:D,$A$15,'Pupils Insert Table'!E:E,"PUPIL_CEN_08")+SUMIFS('Pupils Insert Table'!J:J,'Pupils Insert Table'!D:D,$A$15,'Pupils Insert Table'!E:E,"PUPIL_CEN_09"))</f>
        <v>0</v>
      </c>
      <c r="F48" s="162"/>
      <c r="G48" s="159">
        <f>IF($A$15="","",E48-F48)</f>
        <v>0</v>
      </c>
      <c r="H48" s="159">
        <f>IF($A$15="","",SUMIFS('Pupils Insert Table'!J:J,'Pupils Insert Table'!D:D,$A$15,'Pupils Insert Table'!E:E,"PUPIL_CEN_10")+SUMIFS('Pupils Insert Table'!J:J,'Pupils Insert Table'!D:D,$A$15,'Pupils Insert Table'!E:E,"PUPIL_CEN_11"))</f>
        <v>0</v>
      </c>
      <c r="I48" s="162"/>
      <c r="J48" s="159">
        <f>IF($A$15="","",H48-I48)</f>
        <v>0</v>
      </c>
      <c r="K48" s="159">
        <f>IF($A$15="","",SUMIFS('Pupils Insert Table'!J:J,'Pupils Insert Table'!D:D,$A$15,'Pupils Insert Table'!E:E,"PUPIL_CEN_12")+SUMIFS('Pupils Insert Table'!J:J,'Pupils Insert Table'!D:D,$A$15,'Pupils Insert Table'!E:E,"PUPIL_CEN_13"))</f>
        <v>0</v>
      </c>
      <c r="L48" s="162"/>
      <c r="M48" s="159">
        <f>IF($A$15="","",K48-L48)</f>
        <v>0</v>
      </c>
      <c r="N48" s="159" t="str">
        <f>IF($A$15="","",IF(AND(ABS(D48)&lt;=10,ABS(G48)&lt;=10,ABS(J48)&lt;=10,ABS(M48)&lt;=10),"PASS","FAIL"))</f>
        <v>PASS</v>
      </c>
    </row>
    <row r="49" spans="1:14" ht="15" customHeight="1" x14ac:dyDescent="0.3">
      <c r="A49" s="159" t="str">
        <f>IF($A$16="","",$A$16)</f>
        <v>CHS</v>
      </c>
      <c r="B49" s="159">
        <f>IF($A$16="","",SUMIFS('Pupils Insert Table'!J:J,'Pupils Insert Table'!D:D,$A$16,'Pupils Insert Table'!E:E,"PUPIL_CEN_00")+SUMIFS('Pupils Insert Table'!J:J,'Pupils Insert Table'!D:D,$A$16,'Pupils Insert Table'!E:E,"PUPIL_CEN_01")+SUMIFS('Pupils Insert Table'!J:J,'Pupils Insert Table'!D:D,$A$16,'Pupils Insert Table'!E:E,"PUPIL_CEN_02")+SUMIFS('Pupils Insert Table'!J:J,'Pupils Insert Table'!D:D,$A$16,'Pupils Insert Table'!E:E,"PUPIL_CEN_03")+SUMIFS('Pupils Insert Table'!J:J,'Pupils Insert Table'!D:D,$A$16,'Pupils Insert Table'!E:E,"PUPIL_CEN_04")+SUMIFS('Pupils Insert Table'!J:J,'Pupils Insert Table'!D:D,$A$16,'Pupils Insert Table'!E:E,"PUPIL_CEN_05")+SUMIFS('Pupils Insert Table'!J:J,'Pupils Insert Table'!D:D,$A$16,'Pupils Insert Table'!E:E,"PUPIL_CEN_06"))</f>
        <v>0</v>
      </c>
      <c r="C49" s="162"/>
      <c r="D49" s="159">
        <f>IF($A$16="","",B49-C49)</f>
        <v>0</v>
      </c>
      <c r="E49" s="159">
        <f>IF($A$16="","",SUMIFS('Pupils Insert Table'!J:J,'Pupils Insert Table'!D:D,$A$16,'Pupils Insert Table'!E:E,"PUPIL_CEN_07")+SUMIFS('Pupils Insert Table'!J:J,'Pupils Insert Table'!D:D,$A$16,'Pupils Insert Table'!E:E,"PUPIL_CEN_08")+SUMIFS('Pupils Insert Table'!J:J,'Pupils Insert Table'!D:D,$A$16,'Pupils Insert Table'!E:E,"PUPIL_CEN_09"))</f>
        <v>0</v>
      </c>
      <c r="F49" s="162"/>
      <c r="G49" s="159">
        <f>IF($A$16="","",E49-F49)</f>
        <v>0</v>
      </c>
      <c r="H49" s="159">
        <f>IF($A$16="","",SUMIFS('Pupils Insert Table'!J:J,'Pupils Insert Table'!D:D,$A$16,'Pupils Insert Table'!E:E,"PUPIL_CEN_10")+SUMIFS('Pupils Insert Table'!J:J,'Pupils Insert Table'!D:D,$A$16,'Pupils Insert Table'!E:E,"PUPIL_CEN_11"))</f>
        <v>0</v>
      </c>
      <c r="I49" s="162"/>
      <c r="J49" s="159">
        <f>IF($A$16="","",H49-I49)</f>
        <v>0</v>
      </c>
      <c r="K49" s="159">
        <f>IF($A$16="","",SUMIFS('Pupils Insert Table'!J:J,'Pupils Insert Table'!D:D,$A$16,'Pupils Insert Table'!E:E,"PUPIL_CEN_12")+SUMIFS('Pupils Insert Table'!J:J,'Pupils Insert Table'!D:D,$A$16,'Pupils Insert Table'!E:E,"PUPIL_CEN_13"))</f>
        <v>0</v>
      </c>
      <c r="L49" s="162"/>
      <c r="M49" s="159">
        <f>IF($A$16="","",K49-L49)</f>
        <v>0</v>
      </c>
      <c r="N49" s="159" t="str">
        <f>IF($A$16="","",IF(AND(ABS(D49)&lt;=10,ABS(G49)&lt;=10,ABS(J49)&lt;=10,ABS(M49)&lt;=10),"PASS","FAIL"))</f>
        <v>PASS</v>
      </c>
    </row>
    <row r="50" spans="1:14" ht="15" customHeight="1" x14ac:dyDescent="0.3">
      <c r="A50" s="159" t="str">
        <f>IF($A$17="","",$A$17)</f>
        <v/>
      </c>
      <c r="B50" s="159" t="str">
        <f>IF($A$17="","",SUMIFS('Pupils Insert Table'!J:J,'Pupils Insert Table'!D:D,$A$17,'Pupils Insert Table'!E:E,"PUPIL_CEN_00")+SUMIFS('Pupils Insert Table'!J:J,'Pupils Insert Table'!D:D,$A$17,'Pupils Insert Table'!E:E,"PUPIL_CEN_01")+SUMIFS('Pupils Insert Table'!J:J,'Pupils Insert Table'!D:D,$A$17,'Pupils Insert Table'!E:E,"PUPIL_CEN_02")+SUMIFS('Pupils Insert Table'!J:J,'Pupils Insert Table'!D:D,$A$17,'Pupils Insert Table'!E:E,"PUPIL_CEN_03")+SUMIFS('Pupils Insert Table'!J:J,'Pupils Insert Table'!D:D,$A$17,'Pupils Insert Table'!E:E,"PUPIL_CEN_04")+SUMIFS('Pupils Insert Table'!J:J,'Pupils Insert Table'!D:D,$A$17,'Pupils Insert Table'!E:E,"PUPIL_CEN_05")+SUMIFS('Pupils Insert Table'!J:J,'Pupils Insert Table'!D:D,$A$17,'Pupils Insert Table'!E:E,"PUPIL_CEN_06"))</f>
        <v/>
      </c>
      <c r="C50" s="162"/>
      <c r="D50" s="159" t="str">
        <f>IF($A$17="","",B50-C50)</f>
        <v/>
      </c>
      <c r="E50" s="159" t="str">
        <f>IF($A$17="","",SUMIFS('Pupils Insert Table'!J:J,'Pupils Insert Table'!D:D,$A$17,'Pupils Insert Table'!E:E,"PUPIL_CEN_07")+SUMIFS('Pupils Insert Table'!J:J,'Pupils Insert Table'!D:D,$A$17,'Pupils Insert Table'!E:E,"PUPIL_CEN_08")+SUMIFS('Pupils Insert Table'!J:J,'Pupils Insert Table'!D:D,$A$17,'Pupils Insert Table'!E:E,"PUPIL_CEN_09"))</f>
        <v/>
      </c>
      <c r="F50" s="162"/>
      <c r="G50" s="159" t="str">
        <f>IF($A$17="","",E50-F50)</f>
        <v/>
      </c>
      <c r="H50" s="159" t="str">
        <f>IF($A$17="","",SUMIFS('Pupils Insert Table'!J:J,'Pupils Insert Table'!D:D,$A$17,'Pupils Insert Table'!E:E,"PUPIL_CEN_10")+SUMIFS('Pupils Insert Table'!J:J,'Pupils Insert Table'!D:D,$A$17,'Pupils Insert Table'!E:E,"PUPIL_CEN_11"))</f>
        <v/>
      </c>
      <c r="I50" s="162"/>
      <c r="J50" s="159" t="str">
        <f>IF($A$17="","",H50-I50)</f>
        <v/>
      </c>
      <c r="K50" s="159" t="str">
        <f>IF($A$17="","",SUMIFS('Pupils Insert Table'!J:J,'Pupils Insert Table'!D:D,$A$17,'Pupils Insert Table'!E:E,"PUPIL_CEN_12")+SUMIFS('Pupils Insert Table'!J:J,'Pupils Insert Table'!D:D,$A$17,'Pupils Insert Table'!E:E,"PUPIL_CEN_13"))</f>
        <v/>
      </c>
      <c r="L50" s="162"/>
      <c r="M50" s="159" t="str">
        <f>IF($A$17="","",K50-L50)</f>
        <v/>
      </c>
      <c r="N50" s="159" t="str">
        <f>IF($A$17="","",IF(AND(ABS(D50)&lt;=10,ABS(G50)&lt;=10,ABS(J50)&lt;=10,ABS(M50)&lt;=10),"PASS","FAIL"))</f>
        <v/>
      </c>
    </row>
    <row r="51" spans="1:14" ht="15" customHeight="1" x14ac:dyDescent="0.3">
      <c r="A51" s="159" t="str">
        <f>IF($A$18="","",$A$18)</f>
        <v/>
      </c>
      <c r="B51" s="159" t="str">
        <f>IF($A$18="","",SUMIFS('Pupils Insert Table'!J:J,'Pupils Insert Table'!D:D,$A$18,'Pupils Insert Table'!E:E,"PUPIL_CEN_00")+SUMIFS('Pupils Insert Table'!J:J,'Pupils Insert Table'!D:D,$A$18,'Pupils Insert Table'!E:E,"PUPIL_CEN_01")+SUMIFS('Pupils Insert Table'!J:J,'Pupils Insert Table'!D:D,$A$18,'Pupils Insert Table'!E:E,"PUPIL_CEN_02")+SUMIFS('Pupils Insert Table'!J:J,'Pupils Insert Table'!D:D,$A$18,'Pupils Insert Table'!E:E,"PUPIL_CEN_03")+SUMIFS('Pupils Insert Table'!J:J,'Pupils Insert Table'!D:D,$A$18,'Pupils Insert Table'!E:E,"PUPIL_CEN_04")+SUMIFS('Pupils Insert Table'!J:J,'Pupils Insert Table'!D:D,$A$18,'Pupils Insert Table'!E:E,"PUPIL_CEN_05")+SUMIFS('Pupils Insert Table'!J:J,'Pupils Insert Table'!D:D,$A$18,'Pupils Insert Table'!E:E,"PUPIL_CEN_06"))</f>
        <v/>
      </c>
      <c r="C51" s="162"/>
      <c r="D51" s="159" t="str">
        <f>IF($A$18="","",B51-C51)</f>
        <v/>
      </c>
      <c r="E51" s="159" t="str">
        <f>IF($A$18="","",SUMIFS('Pupils Insert Table'!J:J,'Pupils Insert Table'!D:D,$A$18,'Pupils Insert Table'!E:E,"PUPIL_CEN_07")+SUMIFS('Pupils Insert Table'!J:J,'Pupils Insert Table'!D:D,$A$18,'Pupils Insert Table'!E:E,"PUPIL_CEN_08")+SUMIFS('Pupils Insert Table'!J:J,'Pupils Insert Table'!D:D,$A$18,'Pupils Insert Table'!E:E,"PUPIL_CEN_09"))</f>
        <v/>
      </c>
      <c r="F51" s="162"/>
      <c r="G51" s="159" t="str">
        <f>IF($A$18="","",E51-F51)</f>
        <v/>
      </c>
      <c r="H51" s="159" t="str">
        <f>IF($A$18="","",SUMIFS('Pupils Insert Table'!J:J,'Pupils Insert Table'!D:D,$A$18,'Pupils Insert Table'!E:E,"PUPIL_CEN_10")+SUMIFS('Pupils Insert Table'!J:J,'Pupils Insert Table'!D:D,$A$18,'Pupils Insert Table'!E:E,"PUPIL_CEN_11"))</f>
        <v/>
      </c>
      <c r="I51" s="162"/>
      <c r="J51" s="159" t="str">
        <f>IF($A$18="","",H51-I51)</f>
        <v/>
      </c>
      <c r="K51" s="159" t="str">
        <f>IF($A$18="","",SUMIFS('Pupils Insert Table'!J:J,'Pupils Insert Table'!D:D,$A$18,'Pupils Insert Table'!E:E,"PUPIL_CEN_12")+SUMIFS('Pupils Insert Table'!J:J,'Pupils Insert Table'!D:D,$A$18,'Pupils Insert Table'!E:E,"PUPIL_CEN_13"))</f>
        <v/>
      </c>
      <c r="L51" s="162"/>
      <c r="M51" s="159" t="str">
        <f>IF($A$18="","",K51-L51)</f>
        <v/>
      </c>
      <c r="N51" s="159" t="str">
        <f>IF($A$18="","",IF(AND(ABS(D51)&lt;=10,ABS(G51)&lt;=10,ABS(J51)&lt;=10,ABS(M51)&lt;=10),"PASS","FAIL"))</f>
        <v/>
      </c>
    </row>
    <row r="52" spans="1:14" ht="15" customHeight="1" x14ac:dyDescent="0.3">
      <c r="A52" s="159" t="str">
        <f>IF($A$19="","",$A$19)</f>
        <v/>
      </c>
      <c r="B52" s="159" t="str">
        <f>IF($A$19="","",SUMIFS('Pupils Insert Table'!J:J,'Pupils Insert Table'!D:D,$A$19,'Pupils Insert Table'!E:E,"PUPIL_CEN_00")+SUMIFS('Pupils Insert Table'!J:J,'Pupils Insert Table'!D:D,$A$19,'Pupils Insert Table'!E:E,"PUPIL_CEN_01")+SUMIFS('Pupils Insert Table'!J:J,'Pupils Insert Table'!D:D,$A$19,'Pupils Insert Table'!E:E,"PUPIL_CEN_02")+SUMIFS('Pupils Insert Table'!J:J,'Pupils Insert Table'!D:D,$A$19,'Pupils Insert Table'!E:E,"PUPIL_CEN_03")+SUMIFS('Pupils Insert Table'!J:J,'Pupils Insert Table'!D:D,$A$19,'Pupils Insert Table'!E:E,"PUPIL_CEN_04")+SUMIFS('Pupils Insert Table'!J:J,'Pupils Insert Table'!D:D,$A$19,'Pupils Insert Table'!E:E,"PUPIL_CEN_05")+SUMIFS('Pupils Insert Table'!J:J,'Pupils Insert Table'!D:D,$A$19,'Pupils Insert Table'!E:E,"PUPIL_CEN_06"))</f>
        <v/>
      </c>
      <c r="C52" s="162"/>
      <c r="D52" s="159" t="str">
        <f>IF($A$19="","",B52-C52)</f>
        <v/>
      </c>
      <c r="E52" s="159" t="str">
        <f>IF($A$19="","",SUMIFS('Pupils Insert Table'!J:J,'Pupils Insert Table'!D:D,$A$19,'Pupils Insert Table'!E:E,"PUPIL_CEN_07")+SUMIFS('Pupils Insert Table'!J:J,'Pupils Insert Table'!D:D,$A$19,'Pupils Insert Table'!E:E,"PUPIL_CEN_08")+SUMIFS('Pupils Insert Table'!J:J,'Pupils Insert Table'!D:D,$A$19,'Pupils Insert Table'!E:E,"PUPIL_CEN_09"))</f>
        <v/>
      </c>
      <c r="F52" s="162"/>
      <c r="G52" s="159" t="str">
        <f>IF($A$19="","",E52-F52)</f>
        <v/>
      </c>
      <c r="H52" s="159" t="str">
        <f>IF($A$19="","",SUMIFS('Pupils Insert Table'!J:J,'Pupils Insert Table'!D:D,$A$19,'Pupils Insert Table'!E:E,"PUPIL_CEN_10")+SUMIFS('Pupils Insert Table'!J:J,'Pupils Insert Table'!D:D,$A$19,'Pupils Insert Table'!E:E,"PUPIL_CEN_11"))</f>
        <v/>
      </c>
      <c r="I52" s="162"/>
      <c r="J52" s="159" t="str">
        <f>IF($A$19="","",H52-I52)</f>
        <v/>
      </c>
      <c r="K52" s="159" t="str">
        <f>IF($A$19="","",SUMIFS('Pupils Insert Table'!J:J,'Pupils Insert Table'!D:D,$A$19,'Pupils Insert Table'!E:E,"PUPIL_CEN_12")+SUMIFS('Pupils Insert Table'!J:J,'Pupils Insert Table'!D:D,$A$19,'Pupils Insert Table'!E:E,"PUPIL_CEN_13"))</f>
        <v/>
      </c>
      <c r="L52" s="162"/>
      <c r="M52" s="159" t="str">
        <f>IF($A$19="","",K52-L52)</f>
        <v/>
      </c>
      <c r="N52" s="159" t="str">
        <f>IF($A$19="","",IF(AND(ABS(D52)&lt;=10,ABS(G52)&lt;=10,ABS(J52)&lt;=10,ABS(M52)&lt;=10),"PASS","FAIL"))</f>
        <v/>
      </c>
    </row>
    <row r="53" spans="1:14" ht="15" customHeight="1" x14ac:dyDescent="0.3">
      <c r="A53" s="159" t="str">
        <f>IF($A$20="","",$A$20)</f>
        <v/>
      </c>
      <c r="B53" s="159" t="str">
        <f>IF($A$20="","",SUMIFS('Pupils Insert Table'!J:J,'Pupils Insert Table'!D:D,$A$20,'Pupils Insert Table'!E:E,"PUPIL_CEN_00")+SUMIFS('Pupils Insert Table'!J:J,'Pupils Insert Table'!D:D,$A$20,'Pupils Insert Table'!E:E,"PUPIL_CEN_01")+SUMIFS('Pupils Insert Table'!J:J,'Pupils Insert Table'!D:D,$A$20,'Pupils Insert Table'!E:E,"PUPIL_CEN_02")+SUMIFS('Pupils Insert Table'!J:J,'Pupils Insert Table'!D:D,$A$20,'Pupils Insert Table'!E:E,"PUPIL_CEN_03")+SUMIFS('Pupils Insert Table'!J:J,'Pupils Insert Table'!D:D,$A$20,'Pupils Insert Table'!E:E,"PUPIL_CEN_04")+SUMIFS('Pupils Insert Table'!J:J,'Pupils Insert Table'!D:D,$A$20,'Pupils Insert Table'!E:E,"PUPIL_CEN_05")+SUMIFS('Pupils Insert Table'!J:J,'Pupils Insert Table'!D:D,$A$20,'Pupils Insert Table'!E:E,"PUPIL_CEN_06"))</f>
        <v/>
      </c>
      <c r="C53" s="162"/>
      <c r="D53" s="159" t="str">
        <f>IF($A$20="","",B53-C53)</f>
        <v/>
      </c>
      <c r="E53" s="159" t="str">
        <f>IF($A$20="","",SUMIFS('Pupils Insert Table'!J:J,'Pupils Insert Table'!D:D,$A$20,'Pupils Insert Table'!E:E,"PUPIL_CEN_07")+SUMIFS('Pupils Insert Table'!J:J,'Pupils Insert Table'!D:D,$A$20,'Pupils Insert Table'!E:E,"PUPIL_CEN_08")+SUMIFS('Pupils Insert Table'!J:J,'Pupils Insert Table'!D:D,$A$20,'Pupils Insert Table'!E:E,"PUPIL_CEN_09"))</f>
        <v/>
      </c>
      <c r="F53" s="162"/>
      <c r="G53" s="159" t="str">
        <f>IF($A$20="","",E53-F53)</f>
        <v/>
      </c>
      <c r="H53" s="159" t="str">
        <f>IF($A$20="","",SUMIFS('Pupils Insert Table'!J:J,'Pupils Insert Table'!D:D,$A$20,'Pupils Insert Table'!E:E,"PUPIL_CEN_10")+SUMIFS('Pupils Insert Table'!J:J,'Pupils Insert Table'!D:D,$A$20,'Pupils Insert Table'!E:E,"PUPIL_CEN_11"))</f>
        <v/>
      </c>
      <c r="I53" s="162"/>
      <c r="J53" s="159" t="str">
        <f>IF($A$20="","",H53-I53)</f>
        <v/>
      </c>
      <c r="K53" s="159" t="str">
        <f>IF($A$20="","",SUMIFS('Pupils Insert Table'!J:J,'Pupils Insert Table'!D:D,$A$20,'Pupils Insert Table'!E:E,"PUPIL_CEN_12")+SUMIFS('Pupils Insert Table'!J:J,'Pupils Insert Table'!D:D,$A$20,'Pupils Insert Table'!E:E,"PUPIL_CEN_13"))</f>
        <v/>
      </c>
      <c r="L53" s="162"/>
      <c r="M53" s="159" t="str">
        <f>IF($A$20="","",K53-L53)</f>
        <v/>
      </c>
      <c r="N53" s="159" t="str">
        <f>IF($A$20="","",IF(AND(ABS(D53)&lt;=10,ABS(G53)&lt;=10,ABS(J53)&lt;=10,ABS(M53)&lt;=10),"PASS","FAIL"))</f>
        <v/>
      </c>
    </row>
    <row r="54" spans="1:14" ht="15" customHeight="1" x14ac:dyDescent="0.3">
      <c r="A54" s="159" t="str">
        <f>IF($A$21="","",$A$21)</f>
        <v/>
      </c>
      <c r="B54" s="159" t="str">
        <f>IF($A$21="","",SUMIFS('Pupils Insert Table'!J:J,'Pupils Insert Table'!D:D,$A$21,'Pupils Insert Table'!E:E,"PUPIL_CEN_00")+SUMIFS('Pupils Insert Table'!J:J,'Pupils Insert Table'!D:D,$A$21,'Pupils Insert Table'!E:E,"PUPIL_CEN_01")+SUMIFS('Pupils Insert Table'!J:J,'Pupils Insert Table'!D:D,$A$21,'Pupils Insert Table'!E:E,"PUPIL_CEN_02")+SUMIFS('Pupils Insert Table'!J:J,'Pupils Insert Table'!D:D,$A$21,'Pupils Insert Table'!E:E,"PUPIL_CEN_03")+SUMIFS('Pupils Insert Table'!J:J,'Pupils Insert Table'!D:D,$A$21,'Pupils Insert Table'!E:E,"PUPIL_CEN_04")+SUMIFS('Pupils Insert Table'!J:J,'Pupils Insert Table'!D:D,$A$21,'Pupils Insert Table'!E:E,"PUPIL_CEN_05")+SUMIFS('Pupils Insert Table'!J:J,'Pupils Insert Table'!D:D,$A$21,'Pupils Insert Table'!E:E,"PUPIL_CEN_06"))</f>
        <v/>
      </c>
      <c r="C54" s="162"/>
      <c r="D54" s="159" t="str">
        <f>IF($A$21="","",B54-C54)</f>
        <v/>
      </c>
      <c r="E54" s="159" t="str">
        <f>IF($A$21="","",SUMIFS('Pupils Insert Table'!J:J,'Pupils Insert Table'!D:D,$A$21,'Pupils Insert Table'!E:E,"PUPIL_CEN_07")+SUMIFS('Pupils Insert Table'!J:J,'Pupils Insert Table'!D:D,$A$21,'Pupils Insert Table'!E:E,"PUPIL_CEN_08")+SUMIFS('Pupils Insert Table'!J:J,'Pupils Insert Table'!D:D,$A$21,'Pupils Insert Table'!E:E,"PUPIL_CEN_09"))</f>
        <v/>
      </c>
      <c r="F54" s="162"/>
      <c r="G54" s="159" t="str">
        <f>IF($A$21="","",E54-F54)</f>
        <v/>
      </c>
      <c r="H54" s="159" t="str">
        <f>IF($A$21="","",SUMIFS('Pupils Insert Table'!J:J,'Pupils Insert Table'!D:D,$A$21,'Pupils Insert Table'!E:E,"PUPIL_CEN_10")+SUMIFS('Pupils Insert Table'!J:J,'Pupils Insert Table'!D:D,$A$21,'Pupils Insert Table'!E:E,"PUPIL_CEN_11"))</f>
        <v/>
      </c>
      <c r="I54" s="162"/>
      <c r="J54" s="159" t="str">
        <f>IF($A$21="","",H54-I54)</f>
        <v/>
      </c>
      <c r="K54" s="159" t="str">
        <f>IF($A$21="","",SUMIFS('Pupils Insert Table'!J:J,'Pupils Insert Table'!D:D,$A$21,'Pupils Insert Table'!E:E,"PUPIL_CEN_12")+SUMIFS('Pupils Insert Table'!J:J,'Pupils Insert Table'!D:D,$A$21,'Pupils Insert Table'!E:E,"PUPIL_CEN_13"))</f>
        <v/>
      </c>
      <c r="L54" s="162"/>
      <c r="M54" s="159" t="str">
        <f>IF($A$21="","",K54-L54)</f>
        <v/>
      </c>
      <c r="N54" s="159" t="str">
        <f>IF($A$21="","",IF(AND(ABS(D54)&lt;=10,ABS(G54)&lt;=10,ABS(J54)&lt;=10,ABS(M54)&lt;=10),"PASS","FAIL"))</f>
        <v/>
      </c>
    </row>
    <row r="55" spans="1:14" ht="15" customHeight="1" x14ac:dyDescent="0.3">
      <c r="A55" s="159" t="str">
        <f>IF($A$22="","",$A$22)</f>
        <v/>
      </c>
      <c r="B55" s="159" t="str">
        <f>IF($A$22="","",SUMIFS('Pupils Insert Table'!J:J,'Pupils Insert Table'!D:D,$A$22,'Pupils Insert Table'!E:E,"PUPIL_CEN_00")+SUMIFS('Pupils Insert Table'!J:J,'Pupils Insert Table'!D:D,$A$22,'Pupils Insert Table'!E:E,"PUPIL_CEN_01")+SUMIFS('Pupils Insert Table'!J:J,'Pupils Insert Table'!D:D,$A$22,'Pupils Insert Table'!E:E,"PUPIL_CEN_02")+SUMIFS('Pupils Insert Table'!J:J,'Pupils Insert Table'!D:D,$A$22,'Pupils Insert Table'!E:E,"PUPIL_CEN_03")+SUMIFS('Pupils Insert Table'!J:J,'Pupils Insert Table'!D:D,$A$22,'Pupils Insert Table'!E:E,"PUPIL_CEN_04")+SUMIFS('Pupils Insert Table'!J:J,'Pupils Insert Table'!D:D,$A$22,'Pupils Insert Table'!E:E,"PUPIL_CEN_05")+SUMIFS('Pupils Insert Table'!J:J,'Pupils Insert Table'!D:D,$A$22,'Pupils Insert Table'!E:E,"PUPIL_CEN_06"))</f>
        <v/>
      </c>
      <c r="C55" s="162"/>
      <c r="D55" s="159" t="str">
        <f>IF($A$22="","",B55-C55)</f>
        <v/>
      </c>
      <c r="E55" s="159" t="str">
        <f>IF($A$22="","",SUMIFS('Pupils Insert Table'!J:J,'Pupils Insert Table'!D:D,$A$22,'Pupils Insert Table'!E:E,"PUPIL_CEN_07")+SUMIFS('Pupils Insert Table'!J:J,'Pupils Insert Table'!D:D,$A$22,'Pupils Insert Table'!E:E,"PUPIL_CEN_08")+SUMIFS('Pupils Insert Table'!J:J,'Pupils Insert Table'!D:D,$A$22,'Pupils Insert Table'!E:E,"PUPIL_CEN_09"))</f>
        <v/>
      </c>
      <c r="F55" s="162"/>
      <c r="G55" s="159" t="str">
        <f>IF($A$22="","",E55-F55)</f>
        <v/>
      </c>
      <c r="H55" s="159" t="str">
        <f>IF($A$22="","",SUMIFS('Pupils Insert Table'!J:J,'Pupils Insert Table'!D:D,$A$22,'Pupils Insert Table'!E:E,"PUPIL_CEN_10")+SUMIFS('Pupils Insert Table'!J:J,'Pupils Insert Table'!D:D,$A$22,'Pupils Insert Table'!E:E,"PUPIL_CEN_11"))</f>
        <v/>
      </c>
      <c r="I55" s="162"/>
      <c r="J55" s="159" t="str">
        <f>IF($A$22="","",H55-I55)</f>
        <v/>
      </c>
      <c r="K55" s="159" t="str">
        <f>IF($A$22="","",SUMIFS('Pupils Insert Table'!J:J,'Pupils Insert Table'!D:D,$A$22,'Pupils Insert Table'!E:E,"PUPIL_CEN_12")+SUMIFS('Pupils Insert Table'!J:J,'Pupils Insert Table'!D:D,$A$22,'Pupils Insert Table'!E:E,"PUPIL_CEN_13"))</f>
        <v/>
      </c>
      <c r="L55" s="162"/>
      <c r="M55" s="159" t="str">
        <f>IF($A$22="","",K55-L55)</f>
        <v/>
      </c>
      <c r="N55" s="159" t="str">
        <f>IF($A$22="","",IF(AND(ABS(D55)&lt;=10,ABS(G55)&lt;=10,ABS(J55)&lt;=10,ABS(M55)&lt;=10),"PASS","FAIL"))</f>
        <v/>
      </c>
    </row>
    <row r="56" spans="1:14" ht="15" customHeight="1" x14ac:dyDescent="0.3">
      <c r="A56" s="159" t="str">
        <f>IF($A$23="","",$A$23)</f>
        <v/>
      </c>
      <c r="B56" s="159" t="str">
        <f>IF($A$23="","",SUMIFS('Pupils Insert Table'!J:J,'Pupils Insert Table'!D:D,$A$23,'Pupils Insert Table'!E:E,"PUPIL_CEN_00")+SUMIFS('Pupils Insert Table'!J:J,'Pupils Insert Table'!D:D,$A$23,'Pupils Insert Table'!E:E,"PUPIL_CEN_01")+SUMIFS('Pupils Insert Table'!J:J,'Pupils Insert Table'!D:D,$A$23,'Pupils Insert Table'!E:E,"PUPIL_CEN_02")+SUMIFS('Pupils Insert Table'!J:J,'Pupils Insert Table'!D:D,$A$23,'Pupils Insert Table'!E:E,"PUPIL_CEN_03")+SUMIFS('Pupils Insert Table'!J:J,'Pupils Insert Table'!D:D,$A$23,'Pupils Insert Table'!E:E,"PUPIL_CEN_04")+SUMIFS('Pupils Insert Table'!J:J,'Pupils Insert Table'!D:D,$A$23,'Pupils Insert Table'!E:E,"PUPIL_CEN_05")+SUMIFS('Pupils Insert Table'!J:J,'Pupils Insert Table'!D:D,$A$23,'Pupils Insert Table'!E:E,"PUPIL_CEN_06"))</f>
        <v/>
      </c>
      <c r="C56" s="162"/>
      <c r="D56" s="159" t="str">
        <f>IF($A$23="","",B56-C56)</f>
        <v/>
      </c>
      <c r="E56" s="159" t="str">
        <f>IF($A$23="","",SUMIFS('Pupils Insert Table'!J:J,'Pupils Insert Table'!D:D,$A$23,'Pupils Insert Table'!E:E,"PUPIL_CEN_07")+SUMIFS('Pupils Insert Table'!J:J,'Pupils Insert Table'!D:D,$A$23,'Pupils Insert Table'!E:E,"PUPIL_CEN_08")+SUMIFS('Pupils Insert Table'!J:J,'Pupils Insert Table'!D:D,$A$23,'Pupils Insert Table'!E:E,"PUPIL_CEN_09"))</f>
        <v/>
      </c>
      <c r="F56" s="162"/>
      <c r="G56" s="159" t="str">
        <f>IF($A$23="","",E56-F56)</f>
        <v/>
      </c>
      <c r="H56" s="159" t="str">
        <f>IF($A$23="","",SUMIFS('Pupils Insert Table'!J:J,'Pupils Insert Table'!D:D,$A$23,'Pupils Insert Table'!E:E,"PUPIL_CEN_10")+SUMIFS('Pupils Insert Table'!J:J,'Pupils Insert Table'!D:D,$A$23,'Pupils Insert Table'!E:E,"PUPIL_CEN_11"))</f>
        <v/>
      </c>
      <c r="I56" s="162"/>
      <c r="J56" s="159" t="str">
        <f>IF($A$23="","",H56-I56)</f>
        <v/>
      </c>
      <c r="K56" s="159" t="str">
        <f>IF($A$23="","",SUMIFS('Pupils Insert Table'!J:J,'Pupils Insert Table'!D:D,$A$23,'Pupils Insert Table'!E:E,"PUPIL_CEN_12")+SUMIFS('Pupils Insert Table'!J:J,'Pupils Insert Table'!D:D,$A$23,'Pupils Insert Table'!E:E,"PUPIL_CEN_13"))</f>
        <v/>
      </c>
      <c r="L56" s="162"/>
      <c r="M56" s="159" t="str">
        <f>IF($A$23="","",K56-L56)</f>
        <v/>
      </c>
      <c r="N56" s="159" t="str">
        <f>IF($A$23="","",IF(AND(ABS(D56)&lt;=10,ABS(G56)&lt;=10,ABS(J56)&lt;=10,ABS(M56)&lt;=10),"PASS","FAIL"))</f>
        <v/>
      </c>
    </row>
    <row r="57" spans="1:14" ht="15" customHeight="1" x14ac:dyDescent="0.3">
      <c r="A57" s="159" t="str">
        <f>IF($A$24="","",$A$24)</f>
        <v/>
      </c>
      <c r="B57" s="159" t="str">
        <f>IF($A$24="","",SUMIFS('Pupils Insert Table'!J:J,'Pupils Insert Table'!D:D,$A$24,'Pupils Insert Table'!E:E,"PUPIL_CEN_00")+SUMIFS('Pupils Insert Table'!J:J,'Pupils Insert Table'!D:D,$A$24,'Pupils Insert Table'!E:E,"PUPIL_CEN_01")+SUMIFS('Pupils Insert Table'!J:J,'Pupils Insert Table'!D:D,$A$24,'Pupils Insert Table'!E:E,"PUPIL_CEN_02")+SUMIFS('Pupils Insert Table'!J:J,'Pupils Insert Table'!D:D,$A$24,'Pupils Insert Table'!E:E,"PUPIL_CEN_03")+SUMIFS('Pupils Insert Table'!J:J,'Pupils Insert Table'!D:D,$A$24,'Pupils Insert Table'!E:E,"PUPIL_CEN_04")+SUMIFS('Pupils Insert Table'!J:J,'Pupils Insert Table'!D:D,$A$24,'Pupils Insert Table'!E:E,"PUPIL_CEN_05")+SUMIFS('Pupils Insert Table'!J:J,'Pupils Insert Table'!D:D,$A$24,'Pupils Insert Table'!E:E,"PUPIL_CEN_06"))</f>
        <v/>
      </c>
      <c r="C57" s="162"/>
      <c r="D57" s="159" t="str">
        <f>IF($A$24="","",B57-C57)</f>
        <v/>
      </c>
      <c r="E57" s="159" t="str">
        <f>IF($A$24="","",SUMIFS('Pupils Insert Table'!J:J,'Pupils Insert Table'!D:D,$A$24,'Pupils Insert Table'!E:E,"PUPIL_CEN_07")+SUMIFS('Pupils Insert Table'!J:J,'Pupils Insert Table'!D:D,$A$24,'Pupils Insert Table'!E:E,"PUPIL_CEN_08")+SUMIFS('Pupils Insert Table'!J:J,'Pupils Insert Table'!D:D,$A$24,'Pupils Insert Table'!E:E,"PUPIL_CEN_09"))</f>
        <v/>
      </c>
      <c r="F57" s="162"/>
      <c r="G57" s="159" t="str">
        <f>IF($A$24="","",E57-F57)</f>
        <v/>
      </c>
      <c r="H57" s="159" t="str">
        <f>IF($A$24="","",SUMIFS('Pupils Insert Table'!J:J,'Pupils Insert Table'!D:D,$A$24,'Pupils Insert Table'!E:E,"PUPIL_CEN_10")+SUMIFS('Pupils Insert Table'!J:J,'Pupils Insert Table'!D:D,$A$24,'Pupils Insert Table'!E:E,"PUPIL_CEN_11"))</f>
        <v/>
      </c>
      <c r="I57" s="162"/>
      <c r="J57" s="159" t="str">
        <f>IF($A$24="","",H57-I57)</f>
        <v/>
      </c>
      <c r="K57" s="159" t="str">
        <f>IF($A$24="","",SUMIFS('Pupils Insert Table'!J:J,'Pupils Insert Table'!D:D,$A$24,'Pupils Insert Table'!E:E,"PUPIL_CEN_12")+SUMIFS('Pupils Insert Table'!J:J,'Pupils Insert Table'!D:D,$A$24,'Pupils Insert Table'!E:E,"PUPIL_CEN_13"))</f>
        <v/>
      </c>
      <c r="L57" s="162"/>
      <c r="M57" s="159" t="str">
        <f>IF($A$24="","",K57-L57)</f>
        <v/>
      </c>
      <c r="N57" s="159" t="str">
        <f>IF($A$24="","",IF(AND(ABS(D57)&lt;=10,ABS(G57)&lt;=10,ABS(J57)&lt;=10,ABS(M57)&lt;=10),"PASS","FAIL"))</f>
        <v/>
      </c>
    </row>
    <row r="58" spans="1:14" ht="15" customHeight="1" x14ac:dyDescent="0.3">
      <c r="A58" s="159" t="str">
        <f>IF($A$25="","",$A$25)</f>
        <v/>
      </c>
      <c r="B58" s="159" t="str">
        <f>IF($A$25="","",SUMIFS('Pupils Insert Table'!J:J,'Pupils Insert Table'!D:D,$A$25,'Pupils Insert Table'!E:E,"PUPIL_CEN_00")+SUMIFS('Pupils Insert Table'!J:J,'Pupils Insert Table'!D:D,$A$25,'Pupils Insert Table'!E:E,"PUPIL_CEN_01")+SUMIFS('Pupils Insert Table'!J:J,'Pupils Insert Table'!D:D,$A$25,'Pupils Insert Table'!E:E,"PUPIL_CEN_02")+SUMIFS('Pupils Insert Table'!J:J,'Pupils Insert Table'!D:D,$A$25,'Pupils Insert Table'!E:E,"PUPIL_CEN_03")+SUMIFS('Pupils Insert Table'!J:J,'Pupils Insert Table'!D:D,$A$25,'Pupils Insert Table'!E:E,"PUPIL_CEN_04")+SUMIFS('Pupils Insert Table'!J:J,'Pupils Insert Table'!D:D,$A$25,'Pupils Insert Table'!E:E,"PUPIL_CEN_05")+SUMIFS('Pupils Insert Table'!J:J,'Pupils Insert Table'!D:D,$A$25,'Pupils Insert Table'!E:E,"PUPIL_CEN_06"))</f>
        <v/>
      </c>
      <c r="C58" s="162"/>
      <c r="D58" s="159" t="str">
        <f>IF($A$25="","",B58-C58)</f>
        <v/>
      </c>
      <c r="E58" s="159" t="str">
        <f>IF($A$25="","",SUMIFS('Pupils Insert Table'!J:J,'Pupils Insert Table'!D:D,$A$25,'Pupils Insert Table'!E:E,"PUPIL_CEN_07")+SUMIFS('Pupils Insert Table'!J:J,'Pupils Insert Table'!D:D,$A$25,'Pupils Insert Table'!E:E,"PUPIL_CEN_08")+SUMIFS('Pupils Insert Table'!J:J,'Pupils Insert Table'!D:D,$A$25,'Pupils Insert Table'!E:E,"PUPIL_CEN_09"))</f>
        <v/>
      </c>
      <c r="F58" s="162"/>
      <c r="G58" s="159" t="str">
        <f>IF($A$25="","",E58-F58)</f>
        <v/>
      </c>
      <c r="H58" s="159" t="str">
        <f>IF($A$25="","",SUMIFS('Pupils Insert Table'!J:J,'Pupils Insert Table'!D:D,$A$25,'Pupils Insert Table'!E:E,"PUPIL_CEN_10")+SUMIFS('Pupils Insert Table'!J:J,'Pupils Insert Table'!D:D,$A$25,'Pupils Insert Table'!E:E,"PUPIL_CEN_11"))</f>
        <v/>
      </c>
      <c r="I58" s="162"/>
      <c r="J58" s="159" t="str">
        <f>IF($A$25="","",H58-I58)</f>
        <v/>
      </c>
      <c r="K58" s="159" t="str">
        <f>IF($A$25="","",SUMIFS('Pupils Insert Table'!J:J,'Pupils Insert Table'!D:D,$A$25,'Pupils Insert Table'!E:E,"PUPIL_CEN_12")+SUMIFS('Pupils Insert Table'!J:J,'Pupils Insert Table'!D:D,$A$25,'Pupils Insert Table'!E:E,"PUPIL_CEN_13"))</f>
        <v/>
      </c>
      <c r="L58" s="162"/>
      <c r="M58" s="159" t="str">
        <f>IF($A$25="","",K58-L58)</f>
        <v/>
      </c>
      <c r="N58" s="159" t="str">
        <f>IF($A$25="","",IF(AND(ABS(D58)&lt;=10,ABS(G58)&lt;=10,ABS(J58)&lt;=10,ABS(M58)&lt;=10),"PASS","FAIL"))</f>
        <v/>
      </c>
    </row>
    <row r="59" spans="1:14" ht="15" customHeight="1" x14ac:dyDescent="0.3">
      <c r="A59" s="159" t="str">
        <f>IF($A$26="","",$A$26)</f>
        <v/>
      </c>
      <c r="B59" s="159" t="str">
        <f>IF($A$26="","",SUMIFS('Pupils Insert Table'!J:J,'Pupils Insert Table'!D:D,$A$26,'Pupils Insert Table'!E:E,"PUPIL_CEN_00")+SUMIFS('Pupils Insert Table'!J:J,'Pupils Insert Table'!D:D,$A$26,'Pupils Insert Table'!E:E,"PUPIL_CEN_01")+SUMIFS('Pupils Insert Table'!J:J,'Pupils Insert Table'!D:D,$A$26,'Pupils Insert Table'!E:E,"PUPIL_CEN_02")+SUMIFS('Pupils Insert Table'!J:J,'Pupils Insert Table'!D:D,$A$26,'Pupils Insert Table'!E:E,"PUPIL_CEN_03")+SUMIFS('Pupils Insert Table'!J:J,'Pupils Insert Table'!D:D,$A$26,'Pupils Insert Table'!E:E,"PUPIL_CEN_04")+SUMIFS('Pupils Insert Table'!J:J,'Pupils Insert Table'!D:D,$A$26,'Pupils Insert Table'!E:E,"PUPIL_CEN_05")+SUMIFS('Pupils Insert Table'!J:J,'Pupils Insert Table'!D:D,$A$26,'Pupils Insert Table'!E:E,"PUPIL_CEN_06"))</f>
        <v/>
      </c>
      <c r="C59" s="162"/>
      <c r="D59" s="159" t="str">
        <f>IF($A$26="","",B59-C59)</f>
        <v/>
      </c>
      <c r="E59" s="159" t="str">
        <f>IF($A$26="","",SUMIFS('Pupils Insert Table'!J:J,'Pupils Insert Table'!D:D,$A$26,'Pupils Insert Table'!E:E,"PUPIL_CEN_07")+SUMIFS('Pupils Insert Table'!J:J,'Pupils Insert Table'!D:D,$A$26,'Pupils Insert Table'!E:E,"PUPIL_CEN_08")+SUMIFS('Pupils Insert Table'!J:J,'Pupils Insert Table'!D:D,$A$26,'Pupils Insert Table'!E:E,"PUPIL_CEN_09"))</f>
        <v/>
      </c>
      <c r="F59" s="162"/>
      <c r="G59" s="159" t="str">
        <f>IF($A$26="","",E59-F59)</f>
        <v/>
      </c>
      <c r="H59" s="159" t="str">
        <f>IF($A$26="","",SUMIFS('Pupils Insert Table'!J:J,'Pupils Insert Table'!D:D,$A$26,'Pupils Insert Table'!E:E,"PUPIL_CEN_10")+SUMIFS('Pupils Insert Table'!J:J,'Pupils Insert Table'!D:D,$A$26,'Pupils Insert Table'!E:E,"PUPIL_CEN_11"))</f>
        <v/>
      </c>
      <c r="I59" s="162"/>
      <c r="J59" s="159" t="str">
        <f>IF($A$26="","",H59-I59)</f>
        <v/>
      </c>
      <c r="K59" s="159" t="str">
        <f>IF($A$26="","",SUMIFS('Pupils Insert Table'!J:J,'Pupils Insert Table'!D:D,$A$26,'Pupils Insert Table'!E:E,"PUPIL_CEN_12")+SUMIFS('Pupils Insert Table'!J:J,'Pupils Insert Table'!D:D,$A$26,'Pupils Insert Table'!E:E,"PUPIL_CEN_13"))</f>
        <v/>
      </c>
      <c r="L59" s="162"/>
      <c r="M59" s="159" t="str">
        <f>IF($A$26="","",K59-L59)</f>
        <v/>
      </c>
      <c r="N59" s="159" t="str">
        <f>IF($A$26="","",IF(AND(ABS(D59)&lt;=10,ABS(G59)&lt;=10,ABS(J59)&lt;=10,ABS(M59)&lt;=10),"PASS","FAIL"))</f>
        <v/>
      </c>
    </row>
    <row r="62" spans="1:14" ht="15" customHeight="1" x14ac:dyDescent="0.3">
      <c r="A62" s="182" t="s">
        <v>2649</v>
      </c>
      <c r="B62" s="182"/>
      <c r="C62" s="182"/>
      <c r="D62" s="182"/>
      <c r="E62" s="182"/>
      <c r="F62" s="182"/>
      <c r="G62" s="182"/>
      <c r="H62" s="182"/>
      <c r="I62" s="182"/>
      <c r="J62" s="182"/>
      <c r="K62" s="182"/>
      <c r="L62" s="182"/>
    </row>
    <row r="64" spans="1:14" ht="15" customHeight="1" x14ac:dyDescent="0.3">
      <c r="A64" s="157" t="s">
        <v>1408</v>
      </c>
      <c r="B64" s="157" t="s">
        <v>2476</v>
      </c>
      <c r="C64" s="157" t="s">
        <v>2650</v>
      </c>
      <c r="D64" s="157" t="s">
        <v>2651</v>
      </c>
      <c r="E64" s="157" t="s">
        <v>2652</v>
      </c>
      <c r="F64" s="157" t="s">
        <v>2653</v>
      </c>
      <c r="G64" s="157" t="s">
        <v>2654</v>
      </c>
      <c r="H64" s="157" t="s">
        <v>2655</v>
      </c>
      <c r="I64" s="157" t="s">
        <v>2656</v>
      </c>
      <c r="J64" s="157" t="s">
        <v>2657</v>
      </c>
      <c r="K64" s="157" t="s">
        <v>2658</v>
      </c>
      <c r="L64" s="157" t="s">
        <v>2622</v>
      </c>
    </row>
    <row r="65" spans="1:12" ht="15" customHeight="1" x14ac:dyDescent="0.3">
      <c r="A65" s="159" t="str">
        <f>IF($A$7="","",$A$7)</f>
        <v>TLT</v>
      </c>
      <c r="B65" s="159" t="str">
        <f>IF($A$7="","","Census")</f>
        <v>Census</v>
      </c>
      <c r="C65" s="159">
        <f>IF($A$7="","",SUMIFS('Pupils Insert Table'!J:J,'Pupils Insert Table'!D:D,$A$7,'Pupils Insert Table'!E:E,"PUPIL_CEN*"))</f>
        <v>0</v>
      </c>
      <c r="D65" s="159">
        <f>IF($A$7="","",SUMIFS('Pupils Insert Table'!K:K,'Pupils Insert Table'!D:D,$A$7,'Pupils Insert Table'!E:E,"PUPIL_CEN*"))</f>
        <v>0</v>
      </c>
      <c r="E65" s="159">
        <f>IF($A$7="","",SUMIFS('Pupils Insert Table'!L:L,'Pupils Insert Table'!D:D,$A$7,'Pupils Insert Table'!E:E,"PUPIL_CEN*"))</f>
        <v>0</v>
      </c>
      <c r="F65" s="162"/>
      <c r="G65" s="162"/>
      <c r="H65" s="162"/>
      <c r="I65" s="159">
        <f t="shared" ref="I65:K68" si="0">IF($A$7="","",C65-F65)</f>
        <v>0</v>
      </c>
      <c r="J65" s="159">
        <f t="shared" si="0"/>
        <v>0</v>
      </c>
      <c r="K65" s="159">
        <f t="shared" si="0"/>
        <v>0</v>
      </c>
      <c r="L65" s="159" t="str">
        <f>IF($A$7="","",IF(AND(ABS(I65)&lt;=10,ABS(J65)&lt;=10,ABS(K65)&lt;=10),"PASS","FAIL"))</f>
        <v>PASS</v>
      </c>
    </row>
    <row r="66" spans="1:12" ht="15" customHeight="1" x14ac:dyDescent="0.3">
      <c r="A66" s="159"/>
      <c r="B66" s="159" t="str">
        <f>IF($A$7="","","Spring")</f>
        <v>Spring</v>
      </c>
      <c r="C66" s="159">
        <f>IF($A$7="","",SUMIFS('Pupils Insert Table'!J:J,'Pupils Insert Table'!D:D,$A$7,'Pupils Insert Table'!E:E,"PUPIL_SPRING*"))</f>
        <v>0</v>
      </c>
      <c r="D66" s="159">
        <f>IF($A$7="","",SUMIFS('Pupils Insert Table'!K:K,'Pupils Insert Table'!D:D,$A$7,'Pupils Insert Table'!E:E,"PUPIL_SPRING*"))</f>
        <v>0</v>
      </c>
      <c r="E66" s="159">
        <f>IF($A$7="","",SUMIFS('Pupils Insert Table'!L:L,'Pupils Insert Table'!D:D,$A$7,'Pupils Insert Table'!E:E,"PUPIL_SPRING*"))</f>
        <v>0</v>
      </c>
      <c r="F66" s="162"/>
      <c r="G66" s="162"/>
      <c r="H66" s="162"/>
      <c r="I66" s="159">
        <f t="shared" si="0"/>
        <v>0</v>
      </c>
      <c r="J66" s="159">
        <f t="shared" si="0"/>
        <v>0</v>
      </c>
      <c r="K66" s="159">
        <f t="shared" si="0"/>
        <v>0</v>
      </c>
      <c r="L66" s="159" t="str">
        <f>IF($A$7="","",IF(AND(ABS(I66)&lt;=10,ABS(J66)&lt;=10,ABS(K66)&lt;=10),"PASS","FAIL"))</f>
        <v>PASS</v>
      </c>
    </row>
    <row r="67" spans="1:12" ht="15" customHeight="1" x14ac:dyDescent="0.3">
      <c r="A67" s="159"/>
      <c r="B67" s="159" t="str">
        <f>IF($A$7="","","UIFSM")</f>
        <v>UIFSM</v>
      </c>
      <c r="C67" s="159">
        <f>IF($A$7="","",SUMIFS('Pupils Insert Table'!J:J,'Pupils Insert Table'!D:D,$A$7,'Pupils Insert Table'!E:E,"PUPIL_UIFSM*"))</f>
        <v>0</v>
      </c>
      <c r="D67" s="159">
        <f>IF($A$7="","",SUMIFS('Pupils Insert Table'!K:K,'Pupils Insert Table'!D:D,$A$7,'Pupils Insert Table'!E:E,"PUPIL_UIFSM*"))</f>
        <v>0</v>
      </c>
      <c r="E67" s="159">
        <f>IF($A$7="","",SUMIFS('Pupils Insert Table'!L:L,'Pupils Insert Table'!D:D,$A$7,'Pupils Insert Table'!E:E,"PUPIL_UIFSM*"))</f>
        <v>0</v>
      </c>
      <c r="F67" s="162"/>
      <c r="G67" s="162"/>
      <c r="H67" s="162"/>
      <c r="I67" s="159">
        <f t="shared" si="0"/>
        <v>0</v>
      </c>
      <c r="J67" s="159">
        <f t="shared" si="0"/>
        <v>0</v>
      </c>
      <c r="K67" s="159">
        <f t="shared" si="0"/>
        <v>0</v>
      </c>
      <c r="L67" s="159" t="str">
        <f>IF($A$7="","",IF(AND(ABS(I67)&lt;=10,ABS(J67)&lt;=10,ABS(K67)&lt;=10),"PASS","FAIL"))</f>
        <v>PASS</v>
      </c>
    </row>
    <row r="68" spans="1:12" ht="15" customHeight="1" x14ac:dyDescent="0.3">
      <c r="A68" s="159"/>
      <c r="B68" s="159" t="str">
        <f>IF($A$7="","","PP")</f>
        <v>PP</v>
      </c>
      <c r="C68" s="159">
        <f>IF($A$7="","",SUMIFS('Pupils Insert Table'!J:J,'Pupils Insert Table'!D:D,$A$7,'Pupils Insert Table'!E:E,"PUPILPREMIUM*"))</f>
        <v>0</v>
      </c>
      <c r="D68" s="159">
        <f>IF($A$7="","",SUMIFS('Pupils Insert Table'!K:K,'Pupils Insert Table'!D:D,$A$7,'Pupils Insert Table'!E:E,"PUPILPREMIUM*"))</f>
        <v>0</v>
      </c>
      <c r="E68" s="159">
        <f>IF($A$7="","",SUMIFS('Pupils Insert Table'!L:L,'Pupils Insert Table'!D:D,$A$7,'Pupils Insert Table'!E:E,"PUPILPREMIUM*"))</f>
        <v>0</v>
      </c>
      <c r="F68" s="162"/>
      <c r="G68" s="162"/>
      <c r="H68" s="162"/>
      <c r="I68" s="159">
        <f t="shared" si="0"/>
        <v>0</v>
      </c>
      <c r="J68" s="159">
        <f t="shared" si="0"/>
        <v>0</v>
      </c>
      <c r="K68" s="159">
        <f t="shared" si="0"/>
        <v>0</v>
      </c>
      <c r="L68" s="159" t="str">
        <f>IF($A$7="","",IF(AND(ABS(I68)&lt;=10,ABS(J68)&lt;=10,ABS(K68)&lt;=10),"PASS","FAIL"))</f>
        <v>PASS</v>
      </c>
    </row>
    <row r="69" spans="1:12" ht="15" customHeight="1" x14ac:dyDescent="0.3">
      <c r="A69" s="159" t="str">
        <f>IF($A$8="","",$A$8)</f>
        <v>BBP</v>
      </c>
      <c r="B69" s="159" t="str">
        <f>IF($A$8="","","Census")</f>
        <v>Census</v>
      </c>
      <c r="C69" s="159">
        <f>IF($A$8="","",SUMIFS('Pupils Insert Table'!J:J,'Pupils Insert Table'!D:D,$A$8,'Pupils Insert Table'!E:E,"PUPIL_CEN*"))</f>
        <v>0</v>
      </c>
      <c r="D69" s="159">
        <f>IF($A$8="","",SUMIFS('Pupils Insert Table'!K:K,'Pupils Insert Table'!D:D,$A$8,'Pupils Insert Table'!E:E,"PUPIL_CEN*"))</f>
        <v>0</v>
      </c>
      <c r="E69" s="159">
        <f>IF($A$8="","",SUMIFS('Pupils Insert Table'!L:L,'Pupils Insert Table'!D:D,$A$8,'Pupils Insert Table'!E:E,"PUPIL_CEN*"))</f>
        <v>0</v>
      </c>
      <c r="F69" s="162"/>
      <c r="G69" s="162"/>
      <c r="H69" s="162"/>
      <c r="I69" s="159">
        <f t="shared" ref="I69:K72" si="1">IF($A$8="","",C69-F69)</f>
        <v>0</v>
      </c>
      <c r="J69" s="159">
        <f t="shared" si="1"/>
        <v>0</v>
      </c>
      <c r="K69" s="159">
        <f t="shared" si="1"/>
        <v>0</v>
      </c>
      <c r="L69" s="159" t="str">
        <f>IF($A$8="","",IF(AND(ABS(I69)&lt;=10,ABS(J69)&lt;=10,ABS(K69)&lt;=10),"PASS","FAIL"))</f>
        <v>PASS</v>
      </c>
    </row>
    <row r="70" spans="1:12" ht="15" customHeight="1" x14ac:dyDescent="0.3">
      <c r="A70" s="159"/>
      <c r="B70" s="159" t="str">
        <f>IF($A$8="","","Spring")</f>
        <v>Spring</v>
      </c>
      <c r="C70" s="159">
        <f>IF($A$8="","",SUMIFS('Pupils Insert Table'!J:J,'Pupils Insert Table'!D:D,$A$8,'Pupils Insert Table'!E:E,"PUPIL_SPRING*"))</f>
        <v>0</v>
      </c>
      <c r="D70" s="159">
        <f>IF($A$8="","",SUMIFS('Pupils Insert Table'!K:K,'Pupils Insert Table'!D:D,$A$8,'Pupils Insert Table'!E:E,"PUPIL_SPRING*"))</f>
        <v>0</v>
      </c>
      <c r="E70" s="159">
        <f>IF($A$8="","",SUMIFS('Pupils Insert Table'!L:L,'Pupils Insert Table'!D:D,$A$8,'Pupils Insert Table'!E:E,"PUPIL_SPRING*"))</f>
        <v>0</v>
      </c>
      <c r="F70" s="162"/>
      <c r="G70" s="162"/>
      <c r="H70" s="162"/>
      <c r="I70" s="159">
        <f t="shared" si="1"/>
        <v>0</v>
      </c>
      <c r="J70" s="159">
        <f t="shared" si="1"/>
        <v>0</v>
      </c>
      <c r="K70" s="159">
        <f t="shared" si="1"/>
        <v>0</v>
      </c>
      <c r="L70" s="159" t="str">
        <f>IF($A$8="","",IF(AND(ABS(I70)&lt;=10,ABS(J70)&lt;=10,ABS(K70)&lt;=10),"PASS","FAIL"))</f>
        <v>PASS</v>
      </c>
    </row>
    <row r="71" spans="1:12" ht="15" customHeight="1" x14ac:dyDescent="0.3">
      <c r="A71" s="159"/>
      <c r="B71" s="159" t="str">
        <f>IF($A$8="","","UIFSM")</f>
        <v>UIFSM</v>
      </c>
      <c r="C71" s="159">
        <f>IF($A$8="","",SUMIFS('Pupils Insert Table'!J:J,'Pupils Insert Table'!D:D,$A$8,'Pupils Insert Table'!E:E,"PUPIL_UIFSM*"))</f>
        <v>0</v>
      </c>
      <c r="D71" s="159">
        <f>IF($A$8="","",SUMIFS('Pupils Insert Table'!K:K,'Pupils Insert Table'!D:D,$A$8,'Pupils Insert Table'!E:E,"PUPIL_UIFSM*"))</f>
        <v>0</v>
      </c>
      <c r="E71" s="159">
        <f>IF($A$8="","",SUMIFS('Pupils Insert Table'!L:L,'Pupils Insert Table'!D:D,$A$8,'Pupils Insert Table'!E:E,"PUPIL_UIFSM*"))</f>
        <v>0</v>
      </c>
      <c r="F71" s="162"/>
      <c r="G71" s="162"/>
      <c r="H71" s="162"/>
      <c r="I71" s="159">
        <f t="shared" si="1"/>
        <v>0</v>
      </c>
      <c r="J71" s="159">
        <f t="shared" si="1"/>
        <v>0</v>
      </c>
      <c r="K71" s="159">
        <f t="shared" si="1"/>
        <v>0</v>
      </c>
      <c r="L71" s="159" t="str">
        <f>IF($A$8="","",IF(AND(ABS(I71)&lt;=10,ABS(J71)&lt;=10,ABS(K71)&lt;=10),"PASS","FAIL"))</f>
        <v>PASS</v>
      </c>
    </row>
    <row r="72" spans="1:12" ht="15" customHeight="1" x14ac:dyDescent="0.3">
      <c r="A72" s="159"/>
      <c r="B72" s="159" t="str">
        <f>IF($A$8="","","PP")</f>
        <v>PP</v>
      </c>
      <c r="C72" s="159">
        <f>IF($A$8="","",SUMIFS('Pupils Insert Table'!J:J,'Pupils Insert Table'!D:D,$A$8,'Pupils Insert Table'!E:E,"PUPILPREMIUM*"))</f>
        <v>0</v>
      </c>
      <c r="D72" s="159">
        <f>IF($A$8="","",SUMIFS('Pupils Insert Table'!K:K,'Pupils Insert Table'!D:D,$A$8,'Pupils Insert Table'!E:E,"PUPILPREMIUM*"))</f>
        <v>0</v>
      </c>
      <c r="E72" s="159">
        <f>IF($A$8="","",SUMIFS('Pupils Insert Table'!L:L,'Pupils Insert Table'!D:D,$A$8,'Pupils Insert Table'!E:E,"PUPILPREMIUM*"))</f>
        <v>0</v>
      </c>
      <c r="F72" s="162"/>
      <c r="G72" s="162"/>
      <c r="H72" s="162"/>
      <c r="I72" s="159">
        <f t="shared" si="1"/>
        <v>0</v>
      </c>
      <c r="J72" s="159">
        <f t="shared" si="1"/>
        <v>0</v>
      </c>
      <c r="K72" s="159">
        <f t="shared" si="1"/>
        <v>0</v>
      </c>
      <c r="L72" s="159" t="str">
        <f>IF($A$8="","",IF(AND(ABS(I72)&lt;=10,ABS(J72)&lt;=10,ABS(K72)&lt;=10),"PASS","FAIL"))</f>
        <v>PASS</v>
      </c>
    </row>
    <row r="73" spans="1:12" ht="15" customHeight="1" x14ac:dyDescent="0.3">
      <c r="A73" s="159" t="str">
        <f>IF($A$9="","",$A$9)</f>
        <v>LCP</v>
      </c>
      <c r="B73" s="159" t="str">
        <f>IF($A$9="","","Census")</f>
        <v>Census</v>
      </c>
      <c r="C73" s="159">
        <f>IF($A$9="","",SUMIFS('Pupils Insert Table'!J:J,'Pupils Insert Table'!D:D,$A$9,'Pupils Insert Table'!E:E,"PUPIL_CEN*"))</f>
        <v>0</v>
      </c>
      <c r="D73" s="159">
        <f>IF($A$9="","",SUMIFS('Pupils Insert Table'!K:K,'Pupils Insert Table'!D:D,$A$9,'Pupils Insert Table'!E:E,"PUPIL_CEN*"))</f>
        <v>0</v>
      </c>
      <c r="E73" s="159">
        <f>IF($A$9="","",SUMIFS('Pupils Insert Table'!L:L,'Pupils Insert Table'!D:D,$A$9,'Pupils Insert Table'!E:E,"PUPIL_CEN*"))</f>
        <v>0</v>
      </c>
      <c r="F73" s="162"/>
      <c r="G73" s="162"/>
      <c r="H73" s="162"/>
      <c r="I73" s="159">
        <f t="shared" ref="I73:K76" si="2">IF($A$9="","",C73-F73)</f>
        <v>0</v>
      </c>
      <c r="J73" s="159">
        <f t="shared" si="2"/>
        <v>0</v>
      </c>
      <c r="K73" s="159">
        <f t="shared" si="2"/>
        <v>0</v>
      </c>
      <c r="L73" s="159" t="str">
        <f>IF($A$9="","",IF(AND(ABS(I73)&lt;=10,ABS(J73)&lt;=10,ABS(K73)&lt;=10),"PASS","FAIL"))</f>
        <v>PASS</v>
      </c>
    </row>
    <row r="74" spans="1:12" ht="15" customHeight="1" x14ac:dyDescent="0.3">
      <c r="A74" s="159"/>
      <c r="B74" s="159" t="str">
        <f>IF($A$9="","","Spring")</f>
        <v>Spring</v>
      </c>
      <c r="C74" s="159">
        <f>IF($A$9="","",SUMIFS('Pupils Insert Table'!J:J,'Pupils Insert Table'!D:D,$A$9,'Pupils Insert Table'!E:E,"PUPIL_SPRING*"))</f>
        <v>0</v>
      </c>
      <c r="D74" s="159">
        <f>IF($A$9="","",SUMIFS('Pupils Insert Table'!K:K,'Pupils Insert Table'!D:D,$A$9,'Pupils Insert Table'!E:E,"PUPIL_SPRING*"))</f>
        <v>0</v>
      </c>
      <c r="E74" s="159">
        <f>IF($A$9="","",SUMIFS('Pupils Insert Table'!L:L,'Pupils Insert Table'!D:D,$A$9,'Pupils Insert Table'!E:E,"PUPIL_SPRING*"))</f>
        <v>0</v>
      </c>
      <c r="F74" s="162"/>
      <c r="G74" s="162"/>
      <c r="H74" s="162"/>
      <c r="I74" s="159">
        <f t="shared" si="2"/>
        <v>0</v>
      </c>
      <c r="J74" s="159">
        <f t="shared" si="2"/>
        <v>0</v>
      </c>
      <c r="K74" s="159">
        <f t="shared" si="2"/>
        <v>0</v>
      </c>
      <c r="L74" s="159" t="str">
        <f>IF($A$9="","",IF(AND(ABS(I74)&lt;=10,ABS(J74)&lt;=10,ABS(K74)&lt;=10),"PASS","FAIL"))</f>
        <v>PASS</v>
      </c>
    </row>
    <row r="75" spans="1:12" ht="15" customHeight="1" x14ac:dyDescent="0.3">
      <c r="A75" s="159"/>
      <c r="B75" s="159" t="str">
        <f>IF($A$9="","","UIFSM")</f>
        <v>UIFSM</v>
      </c>
      <c r="C75" s="159">
        <f>IF($A$9="","",SUMIFS('Pupils Insert Table'!J:J,'Pupils Insert Table'!D:D,$A$9,'Pupils Insert Table'!E:E,"PUPIL_UIFSM*"))</f>
        <v>0</v>
      </c>
      <c r="D75" s="159">
        <f>IF($A$9="","",SUMIFS('Pupils Insert Table'!K:K,'Pupils Insert Table'!D:D,$A$9,'Pupils Insert Table'!E:E,"PUPIL_UIFSM*"))</f>
        <v>0</v>
      </c>
      <c r="E75" s="159">
        <f>IF($A$9="","",SUMIFS('Pupils Insert Table'!L:L,'Pupils Insert Table'!D:D,$A$9,'Pupils Insert Table'!E:E,"PUPIL_UIFSM*"))</f>
        <v>0</v>
      </c>
      <c r="F75" s="162"/>
      <c r="G75" s="162"/>
      <c r="H75" s="162"/>
      <c r="I75" s="159">
        <f t="shared" si="2"/>
        <v>0</v>
      </c>
      <c r="J75" s="159">
        <f t="shared" si="2"/>
        <v>0</v>
      </c>
      <c r="K75" s="159">
        <f t="shared" si="2"/>
        <v>0</v>
      </c>
      <c r="L75" s="159" t="str">
        <f>IF($A$9="","",IF(AND(ABS(I75)&lt;=10,ABS(J75)&lt;=10,ABS(K75)&lt;=10),"PASS","FAIL"))</f>
        <v>PASS</v>
      </c>
    </row>
    <row r="76" spans="1:12" ht="15" customHeight="1" x14ac:dyDescent="0.3">
      <c r="A76" s="159"/>
      <c r="B76" s="159" t="str">
        <f>IF($A$9="","","PP")</f>
        <v>PP</v>
      </c>
      <c r="C76" s="159">
        <f>IF($A$9="","",SUMIFS('Pupils Insert Table'!J:J,'Pupils Insert Table'!D:D,$A$9,'Pupils Insert Table'!E:E,"PUPILPREMIUM*"))</f>
        <v>0</v>
      </c>
      <c r="D76" s="159">
        <f>IF($A$9="","",SUMIFS('Pupils Insert Table'!K:K,'Pupils Insert Table'!D:D,$A$9,'Pupils Insert Table'!E:E,"PUPILPREMIUM*"))</f>
        <v>0</v>
      </c>
      <c r="E76" s="159">
        <f>IF($A$9="","",SUMIFS('Pupils Insert Table'!L:L,'Pupils Insert Table'!D:D,$A$9,'Pupils Insert Table'!E:E,"PUPILPREMIUM*"))</f>
        <v>0</v>
      </c>
      <c r="F76" s="162"/>
      <c r="G76" s="162"/>
      <c r="H76" s="162"/>
      <c r="I76" s="159">
        <f t="shared" si="2"/>
        <v>0</v>
      </c>
      <c r="J76" s="159">
        <f t="shared" si="2"/>
        <v>0</v>
      </c>
      <c r="K76" s="159">
        <f t="shared" si="2"/>
        <v>0</v>
      </c>
      <c r="L76" s="159" t="str">
        <f>IF($A$9="","",IF(AND(ABS(I76)&lt;=10,ABS(J76)&lt;=10,ABS(K76)&lt;=10),"PASS","FAIL"))</f>
        <v>PASS</v>
      </c>
    </row>
    <row r="77" spans="1:12" ht="15" customHeight="1" x14ac:dyDescent="0.3">
      <c r="A77" s="159" t="str">
        <f>IF($A$10="","",$A$10)</f>
        <v>MMP</v>
      </c>
      <c r="B77" s="159" t="str">
        <f>IF($A$10="","","Census")</f>
        <v>Census</v>
      </c>
      <c r="C77" s="159">
        <f>IF($A$10="","",SUMIFS('Pupils Insert Table'!J:J,'Pupils Insert Table'!D:D,$A$10,'Pupils Insert Table'!E:E,"PUPIL_CEN*"))</f>
        <v>0</v>
      </c>
      <c r="D77" s="159">
        <f>IF($A$10="","",SUMIFS('Pupils Insert Table'!K:K,'Pupils Insert Table'!D:D,$A$10,'Pupils Insert Table'!E:E,"PUPIL_CEN*"))</f>
        <v>0</v>
      </c>
      <c r="E77" s="159">
        <f>IF($A$10="","",SUMIFS('Pupils Insert Table'!L:L,'Pupils Insert Table'!D:D,$A$10,'Pupils Insert Table'!E:E,"PUPIL_CEN*"))</f>
        <v>0</v>
      </c>
      <c r="F77" s="162"/>
      <c r="G77" s="162"/>
      <c r="H77" s="162"/>
      <c r="I77" s="159">
        <f t="shared" ref="I77:K80" si="3">IF($A$10="","",C77-F77)</f>
        <v>0</v>
      </c>
      <c r="J77" s="159">
        <f t="shared" si="3"/>
        <v>0</v>
      </c>
      <c r="K77" s="159">
        <f t="shared" si="3"/>
        <v>0</v>
      </c>
      <c r="L77" s="159" t="str">
        <f>IF($A$10="","",IF(AND(ABS(I77)&lt;=10,ABS(J77)&lt;=10,ABS(K77)&lt;=10),"PASS","FAIL"))</f>
        <v>PASS</v>
      </c>
    </row>
    <row r="78" spans="1:12" ht="15" customHeight="1" x14ac:dyDescent="0.3">
      <c r="A78" s="159"/>
      <c r="B78" s="159" t="str">
        <f>IF($A$10="","","Spring")</f>
        <v>Spring</v>
      </c>
      <c r="C78" s="159">
        <f>IF($A$10="","",SUMIFS('Pupils Insert Table'!J:J,'Pupils Insert Table'!D:D,$A$10,'Pupils Insert Table'!E:E,"PUPIL_SPRING*"))</f>
        <v>0</v>
      </c>
      <c r="D78" s="159">
        <f>IF($A$10="","",SUMIFS('Pupils Insert Table'!K:K,'Pupils Insert Table'!D:D,$A$10,'Pupils Insert Table'!E:E,"PUPIL_SPRING*"))</f>
        <v>0</v>
      </c>
      <c r="E78" s="159">
        <f>IF($A$10="","",SUMIFS('Pupils Insert Table'!L:L,'Pupils Insert Table'!D:D,$A$10,'Pupils Insert Table'!E:E,"PUPIL_SPRING*"))</f>
        <v>0</v>
      </c>
      <c r="F78" s="162"/>
      <c r="G78" s="162"/>
      <c r="H78" s="162"/>
      <c r="I78" s="159">
        <f t="shared" si="3"/>
        <v>0</v>
      </c>
      <c r="J78" s="159">
        <f t="shared" si="3"/>
        <v>0</v>
      </c>
      <c r="K78" s="159">
        <f t="shared" si="3"/>
        <v>0</v>
      </c>
      <c r="L78" s="159" t="str">
        <f>IF($A$10="","",IF(AND(ABS(I78)&lt;=10,ABS(J78)&lt;=10,ABS(K78)&lt;=10),"PASS","FAIL"))</f>
        <v>PASS</v>
      </c>
    </row>
    <row r="79" spans="1:12" ht="15" customHeight="1" x14ac:dyDescent="0.3">
      <c r="A79" s="159"/>
      <c r="B79" s="159" t="str">
        <f>IF($A$10="","","UIFSM")</f>
        <v>UIFSM</v>
      </c>
      <c r="C79" s="159">
        <f>IF($A$10="","",SUMIFS('Pupils Insert Table'!J:J,'Pupils Insert Table'!D:D,$A$10,'Pupils Insert Table'!E:E,"PUPIL_UIFSM*"))</f>
        <v>0</v>
      </c>
      <c r="D79" s="159">
        <f>IF($A$10="","",SUMIFS('Pupils Insert Table'!K:K,'Pupils Insert Table'!D:D,$A$10,'Pupils Insert Table'!E:E,"PUPIL_UIFSM*"))</f>
        <v>0</v>
      </c>
      <c r="E79" s="159">
        <f>IF($A$10="","",SUMIFS('Pupils Insert Table'!L:L,'Pupils Insert Table'!D:D,$A$10,'Pupils Insert Table'!E:E,"PUPIL_UIFSM*"))</f>
        <v>0</v>
      </c>
      <c r="F79" s="162"/>
      <c r="G79" s="162"/>
      <c r="H79" s="162"/>
      <c r="I79" s="159">
        <f t="shared" si="3"/>
        <v>0</v>
      </c>
      <c r="J79" s="159">
        <f t="shared" si="3"/>
        <v>0</v>
      </c>
      <c r="K79" s="159">
        <f t="shared" si="3"/>
        <v>0</v>
      </c>
      <c r="L79" s="159" t="str">
        <f>IF($A$10="","",IF(AND(ABS(I79)&lt;=10,ABS(J79)&lt;=10,ABS(K79)&lt;=10),"PASS","FAIL"))</f>
        <v>PASS</v>
      </c>
    </row>
    <row r="80" spans="1:12" ht="15" customHeight="1" x14ac:dyDescent="0.3">
      <c r="A80" s="159"/>
      <c r="B80" s="159" t="str">
        <f>IF($A$10="","","PP")</f>
        <v>PP</v>
      </c>
      <c r="C80" s="159">
        <f>IF($A$10="","",SUMIFS('Pupils Insert Table'!J:J,'Pupils Insert Table'!D:D,$A$10,'Pupils Insert Table'!E:E,"PUPILPREMIUM*"))</f>
        <v>0</v>
      </c>
      <c r="D80" s="159">
        <f>IF($A$10="","",SUMIFS('Pupils Insert Table'!K:K,'Pupils Insert Table'!D:D,$A$10,'Pupils Insert Table'!E:E,"PUPILPREMIUM*"))</f>
        <v>0</v>
      </c>
      <c r="E80" s="159">
        <f>IF($A$10="","",SUMIFS('Pupils Insert Table'!L:L,'Pupils Insert Table'!D:D,$A$10,'Pupils Insert Table'!E:E,"PUPILPREMIUM*"))</f>
        <v>0</v>
      </c>
      <c r="F80" s="162"/>
      <c r="G80" s="162"/>
      <c r="H80" s="162"/>
      <c r="I80" s="159">
        <f t="shared" si="3"/>
        <v>0</v>
      </c>
      <c r="J80" s="159">
        <f t="shared" si="3"/>
        <v>0</v>
      </c>
      <c r="K80" s="159">
        <f t="shared" si="3"/>
        <v>0</v>
      </c>
      <c r="L80" s="159" t="str">
        <f>IF($A$10="","",IF(AND(ABS(I80)&lt;=10,ABS(J80)&lt;=10,ABS(K80)&lt;=10),"PASS","FAIL"))</f>
        <v>PASS</v>
      </c>
    </row>
    <row r="81" spans="1:12" ht="15" customHeight="1" x14ac:dyDescent="0.3">
      <c r="A81" s="159" t="str">
        <f>IF($A$11="","",$A$11)</f>
        <v>NIN</v>
      </c>
      <c r="B81" s="159" t="str">
        <f>IF($A$11="","","Census")</f>
        <v>Census</v>
      </c>
      <c r="C81" s="159">
        <f>IF($A$11="","",SUMIFS('Pupils Insert Table'!J:J,'Pupils Insert Table'!D:D,$A$11,'Pupils Insert Table'!E:E,"PUPIL_CEN*"))</f>
        <v>0</v>
      </c>
      <c r="D81" s="159">
        <f>IF($A$11="","",SUMIFS('Pupils Insert Table'!K:K,'Pupils Insert Table'!D:D,$A$11,'Pupils Insert Table'!E:E,"PUPIL_CEN*"))</f>
        <v>0</v>
      </c>
      <c r="E81" s="159">
        <f>IF($A$11="","",SUMIFS('Pupils Insert Table'!L:L,'Pupils Insert Table'!D:D,$A$11,'Pupils Insert Table'!E:E,"PUPIL_CEN*"))</f>
        <v>0</v>
      </c>
      <c r="F81" s="162"/>
      <c r="G81" s="162"/>
      <c r="H81" s="162"/>
      <c r="I81" s="159">
        <f t="shared" ref="I81:K84" si="4">IF($A$11="","",C81-F81)</f>
        <v>0</v>
      </c>
      <c r="J81" s="159">
        <f t="shared" si="4"/>
        <v>0</v>
      </c>
      <c r="K81" s="159">
        <f t="shared" si="4"/>
        <v>0</v>
      </c>
      <c r="L81" s="159" t="str">
        <f>IF($A$11="","",IF(AND(ABS(I81)&lt;=10,ABS(J81)&lt;=10,ABS(K81)&lt;=10),"PASS","FAIL"))</f>
        <v>PASS</v>
      </c>
    </row>
    <row r="82" spans="1:12" ht="15" customHeight="1" x14ac:dyDescent="0.3">
      <c r="A82" s="159"/>
      <c r="B82" s="159" t="str">
        <f>IF($A$11="","","Spring")</f>
        <v>Spring</v>
      </c>
      <c r="C82" s="159">
        <f>IF($A$11="","",SUMIFS('Pupils Insert Table'!J:J,'Pupils Insert Table'!D:D,$A$11,'Pupils Insert Table'!E:E,"PUPIL_SPRING*"))</f>
        <v>0</v>
      </c>
      <c r="D82" s="159">
        <f>IF($A$11="","",SUMIFS('Pupils Insert Table'!K:K,'Pupils Insert Table'!D:D,$A$11,'Pupils Insert Table'!E:E,"PUPIL_SPRING*"))</f>
        <v>0</v>
      </c>
      <c r="E82" s="159">
        <f>IF($A$11="","",SUMIFS('Pupils Insert Table'!L:L,'Pupils Insert Table'!D:D,$A$11,'Pupils Insert Table'!E:E,"PUPIL_SPRING*"))</f>
        <v>0</v>
      </c>
      <c r="F82" s="162"/>
      <c r="G82" s="162"/>
      <c r="H82" s="162"/>
      <c r="I82" s="159">
        <f t="shared" si="4"/>
        <v>0</v>
      </c>
      <c r="J82" s="159">
        <f t="shared" si="4"/>
        <v>0</v>
      </c>
      <c r="K82" s="159">
        <f t="shared" si="4"/>
        <v>0</v>
      </c>
      <c r="L82" s="159" t="str">
        <f>IF($A$11="","",IF(AND(ABS(I82)&lt;=10,ABS(J82)&lt;=10,ABS(K82)&lt;=10),"PASS","FAIL"))</f>
        <v>PASS</v>
      </c>
    </row>
    <row r="83" spans="1:12" ht="15" customHeight="1" x14ac:dyDescent="0.3">
      <c r="A83" s="159"/>
      <c r="B83" s="159" t="str">
        <f>IF($A$11="","","UIFSM")</f>
        <v>UIFSM</v>
      </c>
      <c r="C83" s="159">
        <f>IF($A$11="","",SUMIFS('Pupils Insert Table'!J:J,'Pupils Insert Table'!D:D,$A$11,'Pupils Insert Table'!E:E,"PUPIL_UIFSM*"))</f>
        <v>0</v>
      </c>
      <c r="D83" s="159">
        <f>IF($A$11="","",SUMIFS('Pupils Insert Table'!K:K,'Pupils Insert Table'!D:D,$A$11,'Pupils Insert Table'!E:E,"PUPIL_UIFSM*"))</f>
        <v>0</v>
      </c>
      <c r="E83" s="159">
        <f>IF($A$11="","",SUMIFS('Pupils Insert Table'!L:L,'Pupils Insert Table'!D:D,$A$11,'Pupils Insert Table'!E:E,"PUPIL_UIFSM*"))</f>
        <v>0</v>
      </c>
      <c r="F83" s="162"/>
      <c r="G83" s="162"/>
      <c r="H83" s="162"/>
      <c r="I83" s="159">
        <f t="shared" si="4"/>
        <v>0</v>
      </c>
      <c r="J83" s="159">
        <f t="shared" si="4"/>
        <v>0</v>
      </c>
      <c r="K83" s="159">
        <f t="shared" si="4"/>
        <v>0</v>
      </c>
      <c r="L83" s="159" t="str">
        <f>IF($A$11="","",IF(AND(ABS(I83)&lt;=10,ABS(J83)&lt;=10,ABS(K83)&lt;=10),"PASS","FAIL"))</f>
        <v>PASS</v>
      </c>
    </row>
    <row r="84" spans="1:12" ht="15" customHeight="1" x14ac:dyDescent="0.3">
      <c r="A84" s="159"/>
      <c r="B84" s="159" t="str">
        <f>IF($A$11="","","PP")</f>
        <v>PP</v>
      </c>
      <c r="C84" s="159">
        <f>IF($A$11="","",SUMIFS('Pupils Insert Table'!J:J,'Pupils Insert Table'!D:D,$A$11,'Pupils Insert Table'!E:E,"PUPILPREMIUM*"))</f>
        <v>0</v>
      </c>
      <c r="D84" s="159">
        <f>IF($A$11="","",SUMIFS('Pupils Insert Table'!K:K,'Pupils Insert Table'!D:D,$A$11,'Pupils Insert Table'!E:E,"PUPILPREMIUM*"))</f>
        <v>0</v>
      </c>
      <c r="E84" s="159">
        <f>IF($A$11="","",SUMIFS('Pupils Insert Table'!L:L,'Pupils Insert Table'!D:D,$A$11,'Pupils Insert Table'!E:E,"PUPILPREMIUM*"))</f>
        <v>0</v>
      </c>
      <c r="F84" s="162"/>
      <c r="G84" s="162"/>
      <c r="H84" s="162"/>
      <c r="I84" s="159">
        <f t="shared" si="4"/>
        <v>0</v>
      </c>
      <c r="J84" s="159">
        <f t="shared" si="4"/>
        <v>0</v>
      </c>
      <c r="K84" s="159">
        <f t="shared" si="4"/>
        <v>0</v>
      </c>
      <c r="L84" s="159" t="str">
        <f>IF($A$11="","",IF(AND(ABS(I84)&lt;=10,ABS(J84)&lt;=10,ABS(K84)&lt;=10),"PASS","FAIL"))</f>
        <v>PASS</v>
      </c>
    </row>
    <row r="85" spans="1:12" ht="15" customHeight="1" x14ac:dyDescent="0.3">
      <c r="A85" s="159" t="str">
        <f>IF($A$12="","",$A$12)</f>
        <v>SRA</v>
      </c>
      <c r="B85" s="159" t="str">
        <f>IF($A$12="","","Census")</f>
        <v>Census</v>
      </c>
      <c r="C85" s="159">
        <f>IF($A$12="","",SUMIFS('Pupils Insert Table'!J:J,'Pupils Insert Table'!D:D,$A$12,'Pupils Insert Table'!E:E,"PUPIL_CEN*"))</f>
        <v>0</v>
      </c>
      <c r="D85" s="159">
        <f>IF($A$12="","",SUMIFS('Pupils Insert Table'!K:K,'Pupils Insert Table'!D:D,$A$12,'Pupils Insert Table'!E:E,"PUPIL_CEN*"))</f>
        <v>0</v>
      </c>
      <c r="E85" s="159">
        <f>IF($A$12="","",SUMIFS('Pupils Insert Table'!L:L,'Pupils Insert Table'!D:D,$A$12,'Pupils Insert Table'!E:E,"PUPIL_CEN*"))</f>
        <v>0</v>
      </c>
      <c r="F85" s="162"/>
      <c r="G85" s="162"/>
      <c r="H85" s="162"/>
      <c r="I85" s="159">
        <f t="shared" ref="I85:K88" si="5">IF($A$12="","",C85-F85)</f>
        <v>0</v>
      </c>
      <c r="J85" s="159">
        <f t="shared" si="5"/>
        <v>0</v>
      </c>
      <c r="K85" s="159">
        <f t="shared" si="5"/>
        <v>0</v>
      </c>
      <c r="L85" s="159" t="str">
        <f>IF($A$12="","",IF(AND(ABS(I85)&lt;=10,ABS(J85)&lt;=10,ABS(K85)&lt;=10),"PASS","FAIL"))</f>
        <v>PASS</v>
      </c>
    </row>
    <row r="86" spans="1:12" ht="15" customHeight="1" x14ac:dyDescent="0.3">
      <c r="A86" s="159"/>
      <c r="B86" s="159" t="str">
        <f>IF($A$12="","","Spring")</f>
        <v>Spring</v>
      </c>
      <c r="C86" s="159">
        <f>IF($A$12="","",SUMIFS('Pupils Insert Table'!J:J,'Pupils Insert Table'!D:D,$A$12,'Pupils Insert Table'!E:E,"PUPIL_SPRING*"))</f>
        <v>0</v>
      </c>
      <c r="D86" s="159">
        <f>IF($A$12="","",SUMIFS('Pupils Insert Table'!K:K,'Pupils Insert Table'!D:D,$A$12,'Pupils Insert Table'!E:E,"PUPIL_SPRING*"))</f>
        <v>0</v>
      </c>
      <c r="E86" s="159">
        <f>IF($A$12="","",SUMIFS('Pupils Insert Table'!L:L,'Pupils Insert Table'!D:D,$A$12,'Pupils Insert Table'!E:E,"PUPIL_SPRING*"))</f>
        <v>0</v>
      </c>
      <c r="F86" s="162"/>
      <c r="G86" s="162"/>
      <c r="H86" s="162"/>
      <c r="I86" s="159">
        <f t="shared" si="5"/>
        <v>0</v>
      </c>
      <c r="J86" s="159">
        <f t="shared" si="5"/>
        <v>0</v>
      </c>
      <c r="K86" s="159">
        <f t="shared" si="5"/>
        <v>0</v>
      </c>
      <c r="L86" s="159" t="str">
        <f>IF($A$12="","",IF(AND(ABS(I86)&lt;=10,ABS(J86)&lt;=10,ABS(K86)&lt;=10),"PASS","FAIL"))</f>
        <v>PASS</v>
      </c>
    </row>
    <row r="87" spans="1:12" ht="15" customHeight="1" x14ac:dyDescent="0.3">
      <c r="A87" s="159"/>
      <c r="B87" s="159" t="str">
        <f>IF($A$12="","","UIFSM")</f>
        <v>UIFSM</v>
      </c>
      <c r="C87" s="159">
        <f>IF($A$12="","",SUMIFS('Pupils Insert Table'!J:J,'Pupils Insert Table'!D:D,$A$12,'Pupils Insert Table'!E:E,"PUPIL_UIFSM*"))</f>
        <v>0</v>
      </c>
      <c r="D87" s="159">
        <f>IF($A$12="","",SUMIFS('Pupils Insert Table'!K:K,'Pupils Insert Table'!D:D,$A$12,'Pupils Insert Table'!E:E,"PUPIL_UIFSM*"))</f>
        <v>0</v>
      </c>
      <c r="E87" s="159">
        <f>IF($A$12="","",SUMIFS('Pupils Insert Table'!L:L,'Pupils Insert Table'!D:D,$A$12,'Pupils Insert Table'!E:E,"PUPIL_UIFSM*"))</f>
        <v>0</v>
      </c>
      <c r="F87" s="162"/>
      <c r="G87" s="162"/>
      <c r="H87" s="162"/>
      <c r="I87" s="159">
        <f t="shared" si="5"/>
        <v>0</v>
      </c>
      <c r="J87" s="159">
        <f t="shared" si="5"/>
        <v>0</v>
      </c>
      <c r="K87" s="159">
        <f t="shared" si="5"/>
        <v>0</v>
      </c>
      <c r="L87" s="159" t="str">
        <f>IF($A$12="","",IF(AND(ABS(I87)&lt;=10,ABS(J87)&lt;=10,ABS(K87)&lt;=10),"PASS","FAIL"))</f>
        <v>PASS</v>
      </c>
    </row>
    <row r="88" spans="1:12" ht="15" customHeight="1" x14ac:dyDescent="0.3">
      <c r="A88" s="159"/>
      <c r="B88" s="159" t="str">
        <f>IF($A$12="","","PP")</f>
        <v>PP</v>
      </c>
      <c r="C88" s="159">
        <f>IF($A$12="","",SUMIFS('Pupils Insert Table'!J:J,'Pupils Insert Table'!D:D,$A$12,'Pupils Insert Table'!E:E,"PUPILPREMIUM*"))</f>
        <v>0</v>
      </c>
      <c r="D88" s="159">
        <f>IF($A$12="","",SUMIFS('Pupils Insert Table'!K:K,'Pupils Insert Table'!D:D,$A$12,'Pupils Insert Table'!E:E,"PUPILPREMIUM*"))</f>
        <v>0</v>
      </c>
      <c r="E88" s="159">
        <f>IF($A$12="","",SUMIFS('Pupils Insert Table'!L:L,'Pupils Insert Table'!D:D,$A$12,'Pupils Insert Table'!E:E,"PUPILPREMIUM*"))</f>
        <v>0</v>
      </c>
      <c r="F88" s="162"/>
      <c r="G88" s="162"/>
      <c r="H88" s="162"/>
      <c r="I88" s="159">
        <f t="shared" si="5"/>
        <v>0</v>
      </c>
      <c r="J88" s="159">
        <f t="shared" si="5"/>
        <v>0</v>
      </c>
      <c r="K88" s="159">
        <f t="shared" si="5"/>
        <v>0</v>
      </c>
      <c r="L88" s="159" t="str">
        <f>IF($A$12="","",IF(AND(ABS(I88)&lt;=10,ABS(J88)&lt;=10,ABS(K88)&lt;=10),"PASS","FAIL"))</f>
        <v>PASS</v>
      </c>
    </row>
    <row r="89" spans="1:12" ht="15" customHeight="1" x14ac:dyDescent="0.3">
      <c r="A89" s="159" t="str">
        <f>IF($A$13="","",$A$13)</f>
        <v>BBS</v>
      </c>
      <c r="B89" s="159" t="str">
        <f>IF($A$13="","","Census")</f>
        <v>Census</v>
      </c>
      <c r="C89" s="159">
        <f>IF($A$13="","",SUMIFS('Pupils Insert Table'!J:J,'Pupils Insert Table'!D:D,$A$13,'Pupils Insert Table'!E:E,"PUPIL_CEN*"))</f>
        <v>0</v>
      </c>
      <c r="D89" s="159">
        <f>IF($A$13="","",SUMIFS('Pupils Insert Table'!K:K,'Pupils Insert Table'!D:D,$A$13,'Pupils Insert Table'!E:E,"PUPIL_CEN*"))</f>
        <v>0</v>
      </c>
      <c r="E89" s="159">
        <f>IF($A$13="","",SUMIFS('Pupils Insert Table'!L:L,'Pupils Insert Table'!D:D,$A$13,'Pupils Insert Table'!E:E,"PUPIL_CEN*"))</f>
        <v>0</v>
      </c>
      <c r="F89" s="162"/>
      <c r="G89" s="162"/>
      <c r="H89" s="162"/>
      <c r="I89" s="159">
        <f t="shared" ref="I89:K92" si="6">IF($A$13="","",C89-F89)</f>
        <v>0</v>
      </c>
      <c r="J89" s="159">
        <f t="shared" si="6"/>
        <v>0</v>
      </c>
      <c r="K89" s="159">
        <f t="shared" si="6"/>
        <v>0</v>
      </c>
      <c r="L89" s="159" t="str">
        <f>IF($A$13="","",IF(AND(ABS(I89)&lt;=10,ABS(J89)&lt;=10,ABS(K89)&lt;=10),"PASS","FAIL"))</f>
        <v>PASS</v>
      </c>
    </row>
    <row r="90" spans="1:12" ht="15" customHeight="1" x14ac:dyDescent="0.3">
      <c r="A90" s="159"/>
      <c r="B90" s="159" t="str">
        <f>IF($A$13="","","Spring")</f>
        <v>Spring</v>
      </c>
      <c r="C90" s="159">
        <f>IF($A$13="","",SUMIFS('Pupils Insert Table'!J:J,'Pupils Insert Table'!D:D,$A$13,'Pupils Insert Table'!E:E,"PUPIL_SPRING*"))</f>
        <v>0</v>
      </c>
      <c r="D90" s="159">
        <f>IF($A$13="","",SUMIFS('Pupils Insert Table'!K:K,'Pupils Insert Table'!D:D,$A$13,'Pupils Insert Table'!E:E,"PUPIL_SPRING*"))</f>
        <v>0</v>
      </c>
      <c r="E90" s="159">
        <f>IF($A$13="","",SUMIFS('Pupils Insert Table'!L:L,'Pupils Insert Table'!D:D,$A$13,'Pupils Insert Table'!E:E,"PUPIL_SPRING*"))</f>
        <v>0</v>
      </c>
      <c r="F90" s="162"/>
      <c r="G90" s="162"/>
      <c r="H90" s="162"/>
      <c r="I90" s="159">
        <f t="shared" si="6"/>
        <v>0</v>
      </c>
      <c r="J90" s="159">
        <f t="shared" si="6"/>
        <v>0</v>
      </c>
      <c r="K90" s="159">
        <f t="shared" si="6"/>
        <v>0</v>
      </c>
      <c r="L90" s="159" t="str">
        <f>IF($A$13="","",IF(AND(ABS(I90)&lt;=10,ABS(J90)&lt;=10,ABS(K90)&lt;=10),"PASS","FAIL"))</f>
        <v>PASS</v>
      </c>
    </row>
    <row r="91" spans="1:12" ht="15" customHeight="1" x14ac:dyDescent="0.3">
      <c r="A91" s="159"/>
      <c r="B91" s="159" t="str">
        <f>IF($A$13="","","UIFSM")</f>
        <v>UIFSM</v>
      </c>
      <c r="C91" s="159">
        <f>IF($A$13="","",SUMIFS('Pupils Insert Table'!J:J,'Pupils Insert Table'!D:D,$A$13,'Pupils Insert Table'!E:E,"PUPIL_UIFSM*"))</f>
        <v>0</v>
      </c>
      <c r="D91" s="159">
        <f>IF($A$13="","",SUMIFS('Pupils Insert Table'!K:K,'Pupils Insert Table'!D:D,$A$13,'Pupils Insert Table'!E:E,"PUPIL_UIFSM*"))</f>
        <v>0</v>
      </c>
      <c r="E91" s="159">
        <f>IF($A$13="","",SUMIFS('Pupils Insert Table'!L:L,'Pupils Insert Table'!D:D,$A$13,'Pupils Insert Table'!E:E,"PUPIL_UIFSM*"))</f>
        <v>0</v>
      </c>
      <c r="F91" s="162"/>
      <c r="G91" s="162"/>
      <c r="H91" s="162"/>
      <c r="I91" s="159">
        <f t="shared" si="6"/>
        <v>0</v>
      </c>
      <c r="J91" s="159">
        <f t="shared" si="6"/>
        <v>0</v>
      </c>
      <c r="K91" s="159">
        <f t="shared" si="6"/>
        <v>0</v>
      </c>
      <c r="L91" s="159" t="str">
        <f>IF($A$13="","",IF(AND(ABS(I91)&lt;=10,ABS(J91)&lt;=10,ABS(K91)&lt;=10),"PASS","FAIL"))</f>
        <v>PASS</v>
      </c>
    </row>
    <row r="92" spans="1:12" ht="15" customHeight="1" x14ac:dyDescent="0.3">
      <c r="A92" s="159"/>
      <c r="B92" s="159" t="str">
        <f>IF($A$13="","","PP")</f>
        <v>PP</v>
      </c>
      <c r="C92" s="159">
        <f>IF($A$13="","",SUMIFS('Pupils Insert Table'!J:J,'Pupils Insert Table'!D:D,$A$13,'Pupils Insert Table'!E:E,"PUPILPREMIUM*"))</f>
        <v>0</v>
      </c>
      <c r="D92" s="159">
        <f>IF($A$13="","",SUMIFS('Pupils Insert Table'!K:K,'Pupils Insert Table'!D:D,$A$13,'Pupils Insert Table'!E:E,"PUPILPREMIUM*"))</f>
        <v>0</v>
      </c>
      <c r="E92" s="159">
        <f>IF($A$13="","",SUMIFS('Pupils Insert Table'!L:L,'Pupils Insert Table'!D:D,$A$13,'Pupils Insert Table'!E:E,"PUPILPREMIUM*"))</f>
        <v>0</v>
      </c>
      <c r="F92" s="162"/>
      <c r="G92" s="162"/>
      <c r="H92" s="162"/>
      <c r="I92" s="159">
        <f t="shared" si="6"/>
        <v>0</v>
      </c>
      <c r="J92" s="159">
        <f t="shared" si="6"/>
        <v>0</v>
      </c>
      <c r="K92" s="159">
        <f t="shared" si="6"/>
        <v>0</v>
      </c>
      <c r="L92" s="159" t="str">
        <f>IF($A$13="","",IF(AND(ABS(I92)&lt;=10,ABS(J92)&lt;=10,ABS(K92)&lt;=10),"PASS","FAIL"))</f>
        <v>PASS</v>
      </c>
    </row>
    <row r="93" spans="1:12" ht="15" customHeight="1" x14ac:dyDescent="0.3">
      <c r="A93" s="159" t="str">
        <f>IF($A$14="","",$A$14)</f>
        <v>HHS</v>
      </c>
      <c r="B93" s="159" t="str">
        <f>IF($A$14="","","Census")</f>
        <v>Census</v>
      </c>
      <c r="C93" s="159">
        <f>IF($A$14="","",SUMIFS('Pupils Insert Table'!J:J,'Pupils Insert Table'!D:D,$A$14,'Pupils Insert Table'!E:E,"PUPIL_CEN*"))</f>
        <v>0</v>
      </c>
      <c r="D93" s="159">
        <f>IF($A$14="","",SUMIFS('Pupils Insert Table'!K:K,'Pupils Insert Table'!D:D,$A$14,'Pupils Insert Table'!E:E,"PUPIL_CEN*"))</f>
        <v>0</v>
      </c>
      <c r="E93" s="159">
        <f>IF($A$14="","",SUMIFS('Pupils Insert Table'!L:L,'Pupils Insert Table'!D:D,$A$14,'Pupils Insert Table'!E:E,"PUPIL_CEN*"))</f>
        <v>0</v>
      </c>
      <c r="F93" s="162"/>
      <c r="G93" s="162"/>
      <c r="H93" s="162"/>
      <c r="I93" s="159">
        <f t="shared" ref="I93:K96" si="7">IF($A$14="","",C93-F93)</f>
        <v>0</v>
      </c>
      <c r="J93" s="159">
        <f t="shared" si="7"/>
        <v>0</v>
      </c>
      <c r="K93" s="159">
        <f t="shared" si="7"/>
        <v>0</v>
      </c>
      <c r="L93" s="159" t="str">
        <f>IF($A$14="","",IF(AND(ABS(I93)&lt;=10,ABS(J93)&lt;=10,ABS(K93)&lt;=10),"PASS","FAIL"))</f>
        <v>PASS</v>
      </c>
    </row>
    <row r="94" spans="1:12" ht="15" customHeight="1" x14ac:dyDescent="0.3">
      <c r="A94" s="159"/>
      <c r="B94" s="159" t="str">
        <f>IF($A$14="","","Spring")</f>
        <v>Spring</v>
      </c>
      <c r="C94" s="159">
        <f>IF($A$14="","",SUMIFS('Pupils Insert Table'!J:J,'Pupils Insert Table'!D:D,$A$14,'Pupils Insert Table'!E:E,"PUPIL_SPRING*"))</f>
        <v>0</v>
      </c>
      <c r="D94" s="159">
        <f>IF($A$14="","",SUMIFS('Pupils Insert Table'!K:K,'Pupils Insert Table'!D:D,$A$14,'Pupils Insert Table'!E:E,"PUPIL_SPRING*"))</f>
        <v>0</v>
      </c>
      <c r="E94" s="159">
        <f>IF($A$14="","",SUMIFS('Pupils Insert Table'!L:L,'Pupils Insert Table'!D:D,$A$14,'Pupils Insert Table'!E:E,"PUPIL_SPRING*"))</f>
        <v>0</v>
      </c>
      <c r="F94" s="162"/>
      <c r="G94" s="162"/>
      <c r="H94" s="162"/>
      <c r="I94" s="159">
        <f t="shared" si="7"/>
        <v>0</v>
      </c>
      <c r="J94" s="159">
        <f t="shared" si="7"/>
        <v>0</v>
      </c>
      <c r="K94" s="159">
        <f t="shared" si="7"/>
        <v>0</v>
      </c>
      <c r="L94" s="159" t="str">
        <f>IF($A$14="","",IF(AND(ABS(I94)&lt;=10,ABS(J94)&lt;=10,ABS(K94)&lt;=10),"PASS","FAIL"))</f>
        <v>PASS</v>
      </c>
    </row>
    <row r="95" spans="1:12" ht="15" customHeight="1" x14ac:dyDescent="0.3">
      <c r="A95" s="159"/>
      <c r="B95" s="159" t="str">
        <f>IF($A$14="","","UIFSM")</f>
        <v>UIFSM</v>
      </c>
      <c r="C95" s="159">
        <f>IF($A$14="","",SUMIFS('Pupils Insert Table'!J:J,'Pupils Insert Table'!D:D,$A$14,'Pupils Insert Table'!E:E,"PUPIL_UIFSM*"))</f>
        <v>0</v>
      </c>
      <c r="D95" s="159">
        <f>IF($A$14="","",SUMIFS('Pupils Insert Table'!K:K,'Pupils Insert Table'!D:D,$A$14,'Pupils Insert Table'!E:E,"PUPIL_UIFSM*"))</f>
        <v>0</v>
      </c>
      <c r="E95" s="159">
        <f>IF($A$14="","",SUMIFS('Pupils Insert Table'!L:L,'Pupils Insert Table'!D:D,$A$14,'Pupils Insert Table'!E:E,"PUPIL_UIFSM*"))</f>
        <v>0</v>
      </c>
      <c r="F95" s="162"/>
      <c r="G95" s="162"/>
      <c r="H95" s="162"/>
      <c r="I95" s="159">
        <f t="shared" si="7"/>
        <v>0</v>
      </c>
      <c r="J95" s="159">
        <f t="shared" si="7"/>
        <v>0</v>
      </c>
      <c r="K95" s="159">
        <f t="shared" si="7"/>
        <v>0</v>
      </c>
      <c r="L95" s="159" t="str">
        <f>IF($A$14="","",IF(AND(ABS(I95)&lt;=10,ABS(J95)&lt;=10,ABS(K95)&lt;=10),"PASS","FAIL"))</f>
        <v>PASS</v>
      </c>
    </row>
    <row r="96" spans="1:12" ht="15" customHeight="1" x14ac:dyDescent="0.3">
      <c r="A96" s="159"/>
      <c r="B96" s="159" t="str">
        <f>IF($A$14="","","PP")</f>
        <v>PP</v>
      </c>
      <c r="C96" s="159">
        <f>IF($A$14="","",SUMIFS('Pupils Insert Table'!J:J,'Pupils Insert Table'!D:D,$A$14,'Pupils Insert Table'!E:E,"PUPILPREMIUM*"))</f>
        <v>0</v>
      </c>
      <c r="D96" s="159">
        <f>IF($A$14="","",SUMIFS('Pupils Insert Table'!K:K,'Pupils Insert Table'!D:D,$A$14,'Pupils Insert Table'!E:E,"PUPILPREMIUM*"))</f>
        <v>0</v>
      </c>
      <c r="E96" s="159">
        <f>IF($A$14="","",SUMIFS('Pupils Insert Table'!L:L,'Pupils Insert Table'!D:D,$A$14,'Pupils Insert Table'!E:E,"PUPILPREMIUM*"))</f>
        <v>0</v>
      </c>
      <c r="F96" s="162"/>
      <c r="G96" s="162"/>
      <c r="H96" s="162"/>
      <c r="I96" s="159">
        <f t="shared" si="7"/>
        <v>0</v>
      </c>
      <c r="J96" s="159">
        <f t="shared" si="7"/>
        <v>0</v>
      </c>
      <c r="K96" s="159">
        <f t="shared" si="7"/>
        <v>0</v>
      </c>
      <c r="L96" s="159" t="str">
        <f>IF($A$14="","",IF(AND(ABS(I96)&lt;=10,ABS(J96)&lt;=10,ABS(K96)&lt;=10),"PASS","FAIL"))</f>
        <v>PASS</v>
      </c>
    </row>
    <row r="97" spans="1:12" ht="15" customHeight="1" x14ac:dyDescent="0.3">
      <c r="A97" s="159" t="str">
        <f>IF($A$15="","",$A$15)</f>
        <v>RVS</v>
      </c>
      <c r="B97" s="159" t="str">
        <f>IF($A$15="","","Census")</f>
        <v>Census</v>
      </c>
      <c r="C97" s="159">
        <f>IF($A$15="","",SUMIFS('Pupils Insert Table'!J:J,'Pupils Insert Table'!D:D,$A$15,'Pupils Insert Table'!E:E,"PUPIL_CEN*"))</f>
        <v>0</v>
      </c>
      <c r="D97" s="159">
        <f>IF($A$15="","",SUMIFS('Pupils Insert Table'!K:K,'Pupils Insert Table'!D:D,$A$15,'Pupils Insert Table'!E:E,"PUPIL_CEN*"))</f>
        <v>0</v>
      </c>
      <c r="E97" s="159">
        <f>IF($A$15="","",SUMIFS('Pupils Insert Table'!L:L,'Pupils Insert Table'!D:D,$A$15,'Pupils Insert Table'!E:E,"PUPIL_CEN*"))</f>
        <v>0</v>
      </c>
      <c r="F97" s="162"/>
      <c r="G97" s="162"/>
      <c r="H97" s="162"/>
      <c r="I97" s="159">
        <f t="shared" ref="I97:K100" si="8">IF($A$15="","",C97-F97)</f>
        <v>0</v>
      </c>
      <c r="J97" s="159">
        <f t="shared" si="8"/>
        <v>0</v>
      </c>
      <c r="K97" s="159">
        <f t="shared" si="8"/>
        <v>0</v>
      </c>
      <c r="L97" s="159" t="str">
        <f>IF($A$15="","",IF(AND(ABS(I97)&lt;=10,ABS(J97)&lt;=10,ABS(K97)&lt;=10),"PASS","FAIL"))</f>
        <v>PASS</v>
      </c>
    </row>
    <row r="98" spans="1:12" ht="15" customHeight="1" x14ac:dyDescent="0.3">
      <c r="A98" s="159"/>
      <c r="B98" s="159" t="str">
        <f>IF($A$15="","","Spring")</f>
        <v>Spring</v>
      </c>
      <c r="C98" s="159">
        <f>IF($A$15="","",SUMIFS('Pupils Insert Table'!J:J,'Pupils Insert Table'!D:D,$A$15,'Pupils Insert Table'!E:E,"PUPIL_SPRING*"))</f>
        <v>0</v>
      </c>
      <c r="D98" s="159">
        <f>IF($A$15="","",SUMIFS('Pupils Insert Table'!K:K,'Pupils Insert Table'!D:D,$A$15,'Pupils Insert Table'!E:E,"PUPIL_SPRING*"))</f>
        <v>0</v>
      </c>
      <c r="E98" s="159">
        <f>IF($A$15="","",SUMIFS('Pupils Insert Table'!L:L,'Pupils Insert Table'!D:D,$A$15,'Pupils Insert Table'!E:E,"PUPIL_SPRING*"))</f>
        <v>0</v>
      </c>
      <c r="F98" s="162"/>
      <c r="G98" s="162"/>
      <c r="H98" s="162"/>
      <c r="I98" s="159">
        <f t="shared" si="8"/>
        <v>0</v>
      </c>
      <c r="J98" s="159">
        <f t="shared" si="8"/>
        <v>0</v>
      </c>
      <c r="K98" s="159">
        <f t="shared" si="8"/>
        <v>0</v>
      </c>
      <c r="L98" s="159" t="str">
        <f>IF($A$15="","",IF(AND(ABS(I98)&lt;=10,ABS(J98)&lt;=10,ABS(K98)&lt;=10),"PASS","FAIL"))</f>
        <v>PASS</v>
      </c>
    </row>
    <row r="99" spans="1:12" ht="15" customHeight="1" x14ac:dyDescent="0.3">
      <c r="A99" s="159"/>
      <c r="B99" s="159" t="str">
        <f>IF($A$15="","","UIFSM")</f>
        <v>UIFSM</v>
      </c>
      <c r="C99" s="159">
        <f>IF($A$15="","",SUMIFS('Pupils Insert Table'!J:J,'Pupils Insert Table'!D:D,$A$15,'Pupils Insert Table'!E:E,"PUPIL_UIFSM*"))</f>
        <v>0</v>
      </c>
      <c r="D99" s="159">
        <f>IF($A$15="","",SUMIFS('Pupils Insert Table'!K:K,'Pupils Insert Table'!D:D,$A$15,'Pupils Insert Table'!E:E,"PUPIL_UIFSM*"))</f>
        <v>0</v>
      </c>
      <c r="E99" s="159">
        <f>IF($A$15="","",SUMIFS('Pupils Insert Table'!L:L,'Pupils Insert Table'!D:D,$A$15,'Pupils Insert Table'!E:E,"PUPIL_UIFSM*"))</f>
        <v>0</v>
      </c>
      <c r="F99" s="162"/>
      <c r="G99" s="162"/>
      <c r="H99" s="162"/>
      <c r="I99" s="159">
        <f t="shared" si="8"/>
        <v>0</v>
      </c>
      <c r="J99" s="159">
        <f t="shared" si="8"/>
        <v>0</v>
      </c>
      <c r="K99" s="159">
        <f t="shared" si="8"/>
        <v>0</v>
      </c>
      <c r="L99" s="159" t="str">
        <f>IF($A$15="","",IF(AND(ABS(I99)&lt;=10,ABS(J99)&lt;=10,ABS(K99)&lt;=10),"PASS","FAIL"))</f>
        <v>PASS</v>
      </c>
    </row>
    <row r="100" spans="1:12" ht="15" customHeight="1" x14ac:dyDescent="0.3">
      <c r="A100" s="159"/>
      <c r="B100" s="159" t="str">
        <f>IF($A$15="","","PP")</f>
        <v>PP</v>
      </c>
      <c r="C100" s="159">
        <f>IF($A$15="","",SUMIFS('Pupils Insert Table'!J:J,'Pupils Insert Table'!D:D,$A$15,'Pupils Insert Table'!E:E,"PUPILPREMIUM*"))</f>
        <v>0</v>
      </c>
      <c r="D100" s="159">
        <f>IF($A$15="","",SUMIFS('Pupils Insert Table'!K:K,'Pupils Insert Table'!D:D,$A$15,'Pupils Insert Table'!E:E,"PUPILPREMIUM*"))</f>
        <v>0</v>
      </c>
      <c r="E100" s="159">
        <f>IF($A$15="","",SUMIFS('Pupils Insert Table'!L:L,'Pupils Insert Table'!D:D,$A$15,'Pupils Insert Table'!E:E,"PUPILPREMIUM*"))</f>
        <v>0</v>
      </c>
      <c r="F100" s="162"/>
      <c r="G100" s="162"/>
      <c r="H100" s="162"/>
      <c r="I100" s="159">
        <f t="shared" si="8"/>
        <v>0</v>
      </c>
      <c r="J100" s="159">
        <f t="shared" si="8"/>
        <v>0</v>
      </c>
      <c r="K100" s="159">
        <f t="shared" si="8"/>
        <v>0</v>
      </c>
      <c r="L100" s="159" t="str">
        <f>IF($A$15="","",IF(AND(ABS(I100)&lt;=10,ABS(J100)&lt;=10,ABS(K100)&lt;=10),"PASS","FAIL"))</f>
        <v>PASS</v>
      </c>
    </row>
    <row r="101" spans="1:12" ht="15" customHeight="1" x14ac:dyDescent="0.3">
      <c r="A101" s="159" t="str">
        <f>IF($A$16="","",$A$16)</f>
        <v>CHS</v>
      </c>
      <c r="B101" s="159" t="str">
        <f>IF($A$16="","","Census")</f>
        <v>Census</v>
      </c>
      <c r="C101" s="159">
        <f>IF($A$16="","",SUMIFS('Pupils Insert Table'!J:J,'Pupils Insert Table'!D:D,$A$16,'Pupils Insert Table'!E:E,"PUPIL_CEN*"))</f>
        <v>0</v>
      </c>
      <c r="D101" s="159">
        <f>IF($A$16="","",SUMIFS('Pupils Insert Table'!K:K,'Pupils Insert Table'!D:D,$A$16,'Pupils Insert Table'!E:E,"PUPIL_CEN*"))</f>
        <v>0</v>
      </c>
      <c r="E101" s="159">
        <f>IF($A$16="","",SUMIFS('Pupils Insert Table'!L:L,'Pupils Insert Table'!D:D,$A$16,'Pupils Insert Table'!E:E,"PUPIL_CEN*"))</f>
        <v>0</v>
      </c>
      <c r="F101" s="162"/>
      <c r="G101" s="162"/>
      <c r="H101" s="162"/>
      <c r="I101" s="159">
        <f t="shared" ref="I101:K104" si="9">IF($A$16="","",C101-F101)</f>
        <v>0</v>
      </c>
      <c r="J101" s="159">
        <f t="shared" si="9"/>
        <v>0</v>
      </c>
      <c r="K101" s="159">
        <f t="shared" si="9"/>
        <v>0</v>
      </c>
      <c r="L101" s="159" t="str">
        <f>IF($A$16="","",IF(AND(ABS(I101)&lt;=10,ABS(J101)&lt;=10,ABS(K101)&lt;=10),"PASS","FAIL"))</f>
        <v>PASS</v>
      </c>
    </row>
    <row r="102" spans="1:12" ht="15" customHeight="1" x14ac:dyDescent="0.3">
      <c r="A102" s="159"/>
      <c r="B102" s="159" t="str">
        <f>IF($A$16="","","Spring")</f>
        <v>Spring</v>
      </c>
      <c r="C102" s="159">
        <f>IF($A$16="","",SUMIFS('Pupils Insert Table'!J:J,'Pupils Insert Table'!D:D,$A$16,'Pupils Insert Table'!E:E,"PUPIL_SPRING*"))</f>
        <v>0</v>
      </c>
      <c r="D102" s="159">
        <f>IF($A$16="","",SUMIFS('Pupils Insert Table'!K:K,'Pupils Insert Table'!D:D,$A$16,'Pupils Insert Table'!E:E,"PUPIL_SPRING*"))</f>
        <v>0</v>
      </c>
      <c r="E102" s="159">
        <f>IF($A$16="","",SUMIFS('Pupils Insert Table'!L:L,'Pupils Insert Table'!D:D,$A$16,'Pupils Insert Table'!E:E,"PUPIL_SPRING*"))</f>
        <v>0</v>
      </c>
      <c r="F102" s="162"/>
      <c r="G102" s="162"/>
      <c r="H102" s="162"/>
      <c r="I102" s="159">
        <f t="shared" si="9"/>
        <v>0</v>
      </c>
      <c r="J102" s="159">
        <f t="shared" si="9"/>
        <v>0</v>
      </c>
      <c r="K102" s="159">
        <f t="shared" si="9"/>
        <v>0</v>
      </c>
      <c r="L102" s="159" t="str">
        <f>IF($A$16="","",IF(AND(ABS(I102)&lt;=10,ABS(J102)&lt;=10,ABS(K102)&lt;=10),"PASS","FAIL"))</f>
        <v>PASS</v>
      </c>
    </row>
    <row r="103" spans="1:12" ht="15" customHeight="1" x14ac:dyDescent="0.3">
      <c r="A103" s="159"/>
      <c r="B103" s="159" t="str">
        <f>IF($A$16="","","UIFSM")</f>
        <v>UIFSM</v>
      </c>
      <c r="C103" s="159">
        <f>IF($A$16="","",SUMIFS('Pupils Insert Table'!J:J,'Pupils Insert Table'!D:D,$A$16,'Pupils Insert Table'!E:E,"PUPIL_UIFSM*"))</f>
        <v>0</v>
      </c>
      <c r="D103" s="159">
        <f>IF($A$16="","",SUMIFS('Pupils Insert Table'!K:K,'Pupils Insert Table'!D:D,$A$16,'Pupils Insert Table'!E:E,"PUPIL_UIFSM*"))</f>
        <v>0</v>
      </c>
      <c r="E103" s="159">
        <f>IF($A$16="","",SUMIFS('Pupils Insert Table'!L:L,'Pupils Insert Table'!D:D,$A$16,'Pupils Insert Table'!E:E,"PUPIL_UIFSM*"))</f>
        <v>0</v>
      </c>
      <c r="F103" s="162"/>
      <c r="G103" s="162"/>
      <c r="H103" s="162"/>
      <c r="I103" s="159">
        <f t="shared" si="9"/>
        <v>0</v>
      </c>
      <c r="J103" s="159">
        <f t="shared" si="9"/>
        <v>0</v>
      </c>
      <c r="K103" s="159">
        <f t="shared" si="9"/>
        <v>0</v>
      </c>
      <c r="L103" s="159" t="str">
        <f>IF($A$16="","",IF(AND(ABS(I103)&lt;=10,ABS(J103)&lt;=10,ABS(K103)&lt;=10),"PASS","FAIL"))</f>
        <v>PASS</v>
      </c>
    </row>
    <row r="104" spans="1:12" ht="15" customHeight="1" x14ac:dyDescent="0.3">
      <c r="A104" s="159"/>
      <c r="B104" s="159" t="str">
        <f>IF($A$16="","","PP")</f>
        <v>PP</v>
      </c>
      <c r="C104" s="159">
        <f>IF($A$16="","",SUMIFS('Pupils Insert Table'!J:J,'Pupils Insert Table'!D:D,$A$16,'Pupils Insert Table'!E:E,"PUPILPREMIUM*"))</f>
        <v>0</v>
      </c>
      <c r="D104" s="159">
        <f>IF($A$16="","",SUMIFS('Pupils Insert Table'!K:K,'Pupils Insert Table'!D:D,$A$16,'Pupils Insert Table'!E:E,"PUPILPREMIUM*"))</f>
        <v>0</v>
      </c>
      <c r="E104" s="159">
        <f>IF($A$16="","",SUMIFS('Pupils Insert Table'!L:L,'Pupils Insert Table'!D:D,$A$16,'Pupils Insert Table'!E:E,"PUPILPREMIUM*"))</f>
        <v>0</v>
      </c>
      <c r="F104" s="162"/>
      <c r="G104" s="162"/>
      <c r="H104" s="162"/>
      <c r="I104" s="159">
        <f t="shared" si="9"/>
        <v>0</v>
      </c>
      <c r="J104" s="159">
        <f t="shared" si="9"/>
        <v>0</v>
      </c>
      <c r="K104" s="159">
        <f t="shared" si="9"/>
        <v>0</v>
      </c>
      <c r="L104" s="159" t="str">
        <f>IF($A$16="","",IF(AND(ABS(I104)&lt;=10,ABS(J104)&lt;=10,ABS(K104)&lt;=10),"PASS","FAIL"))</f>
        <v>PASS</v>
      </c>
    </row>
    <row r="105" spans="1:12" ht="15" customHeight="1" x14ac:dyDescent="0.3">
      <c r="A105" s="159" t="str">
        <f>IF($A$17="","",$A$17)</f>
        <v/>
      </c>
      <c r="B105" s="159" t="str">
        <f>IF($A$17="","","Census")</f>
        <v/>
      </c>
      <c r="C105" s="159" t="str">
        <f>IF($A$17="","",SUMIFS('Pupils Insert Table'!J:J,'Pupils Insert Table'!D:D,$A$17,'Pupils Insert Table'!E:E,"PUPIL_CEN*"))</f>
        <v/>
      </c>
      <c r="D105" s="159" t="str">
        <f>IF($A$17="","",SUMIFS('Pupils Insert Table'!K:K,'Pupils Insert Table'!D:D,$A$17,'Pupils Insert Table'!E:E,"PUPIL_CEN*"))</f>
        <v/>
      </c>
      <c r="E105" s="159" t="str">
        <f>IF($A$17="","",SUMIFS('Pupils Insert Table'!L:L,'Pupils Insert Table'!D:D,$A$17,'Pupils Insert Table'!E:E,"PUPIL_CEN*"))</f>
        <v/>
      </c>
      <c r="F105" s="162"/>
      <c r="G105" s="162"/>
      <c r="H105" s="162"/>
      <c r="I105" s="159" t="str">
        <f t="shared" ref="I105:K108" si="10">IF($A$17="","",C105-F105)</f>
        <v/>
      </c>
      <c r="J105" s="159" t="str">
        <f t="shared" si="10"/>
        <v/>
      </c>
      <c r="K105" s="159" t="str">
        <f t="shared" si="10"/>
        <v/>
      </c>
      <c r="L105" s="159" t="str">
        <f>IF($A$17="","",IF(AND(ABS(I105)&lt;=10,ABS(J105)&lt;=10,ABS(K105)&lt;=10),"PASS","FAIL"))</f>
        <v/>
      </c>
    </row>
    <row r="106" spans="1:12" ht="15" customHeight="1" x14ac:dyDescent="0.3">
      <c r="A106" s="159"/>
      <c r="B106" s="159" t="str">
        <f>IF($A$17="","","Spring")</f>
        <v/>
      </c>
      <c r="C106" s="159" t="str">
        <f>IF($A$17="","",SUMIFS('Pupils Insert Table'!J:J,'Pupils Insert Table'!D:D,$A$17,'Pupils Insert Table'!E:E,"PUPIL_SPRING*"))</f>
        <v/>
      </c>
      <c r="D106" s="159" t="str">
        <f>IF($A$17="","",SUMIFS('Pupils Insert Table'!K:K,'Pupils Insert Table'!D:D,$A$17,'Pupils Insert Table'!E:E,"PUPIL_SPRING*"))</f>
        <v/>
      </c>
      <c r="E106" s="159" t="str">
        <f>IF($A$17="","",SUMIFS('Pupils Insert Table'!L:L,'Pupils Insert Table'!D:D,$A$17,'Pupils Insert Table'!E:E,"PUPIL_SPRING*"))</f>
        <v/>
      </c>
      <c r="F106" s="162"/>
      <c r="G106" s="162"/>
      <c r="H106" s="162"/>
      <c r="I106" s="159" t="str">
        <f t="shared" si="10"/>
        <v/>
      </c>
      <c r="J106" s="159" t="str">
        <f t="shared" si="10"/>
        <v/>
      </c>
      <c r="K106" s="159" t="str">
        <f t="shared" si="10"/>
        <v/>
      </c>
      <c r="L106" s="159" t="str">
        <f>IF($A$17="","",IF(AND(ABS(I106)&lt;=10,ABS(J106)&lt;=10,ABS(K106)&lt;=10),"PASS","FAIL"))</f>
        <v/>
      </c>
    </row>
    <row r="107" spans="1:12" ht="15" customHeight="1" x14ac:dyDescent="0.3">
      <c r="A107" s="159"/>
      <c r="B107" s="159" t="str">
        <f>IF($A$17="","","UIFSM")</f>
        <v/>
      </c>
      <c r="C107" s="159" t="str">
        <f>IF($A$17="","",SUMIFS('Pupils Insert Table'!J:J,'Pupils Insert Table'!D:D,$A$17,'Pupils Insert Table'!E:E,"PUPIL_UIFSM*"))</f>
        <v/>
      </c>
      <c r="D107" s="159" t="str">
        <f>IF($A$17="","",SUMIFS('Pupils Insert Table'!K:K,'Pupils Insert Table'!D:D,$A$17,'Pupils Insert Table'!E:E,"PUPIL_UIFSM*"))</f>
        <v/>
      </c>
      <c r="E107" s="159" t="str">
        <f>IF($A$17="","",SUMIFS('Pupils Insert Table'!L:L,'Pupils Insert Table'!D:D,$A$17,'Pupils Insert Table'!E:E,"PUPIL_UIFSM*"))</f>
        <v/>
      </c>
      <c r="F107" s="162"/>
      <c r="G107" s="162"/>
      <c r="H107" s="162"/>
      <c r="I107" s="159" t="str">
        <f t="shared" si="10"/>
        <v/>
      </c>
      <c r="J107" s="159" t="str">
        <f t="shared" si="10"/>
        <v/>
      </c>
      <c r="K107" s="159" t="str">
        <f t="shared" si="10"/>
        <v/>
      </c>
      <c r="L107" s="159" t="str">
        <f>IF($A$17="","",IF(AND(ABS(I107)&lt;=10,ABS(J107)&lt;=10,ABS(K107)&lt;=10),"PASS","FAIL"))</f>
        <v/>
      </c>
    </row>
    <row r="108" spans="1:12" ht="15" customHeight="1" x14ac:dyDescent="0.3">
      <c r="A108" s="159"/>
      <c r="B108" s="159" t="str">
        <f>IF($A$17="","","PP")</f>
        <v/>
      </c>
      <c r="C108" s="159" t="str">
        <f>IF($A$17="","",SUMIFS('Pupils Insert Table'!J:J,'Pupils Insert Table'!D:D,$A$17,'Pupils Insert Table'!E:E,"PUPILPREMIUM*"))</f>
        <v/>
      </c>
      <c r="D108" s="159" t="str">
        <f>IF($A$17="","",SUMIFS('Pupils Insert Table'!K:K,'Pupils Insert Table'!D:D,$A$17,'Pupils Insert Table'!E:E,"PUPILPREMIUM*"))</f>
        <v/>
      </c>
      <c r="E108" s="159" t="str">
        <f>IF($A$17="","",SUMIFS('Pupils Insert Table'!L:L,'Pupils Insert Table'!D:D,$A$17,'Pupils Insert Table'!E:E,"PUPILPREMIUM*"))</f>
        <v/>
      </c>
      <c r="F108" s="162"/>
      <c r="G108" s="162"/>
      <c r="H108" s="162"/>
      <c r="I108" s="159" t="str">
        <f t="shared" si="10"/>
        <v/>
      </c>
      <c r="J108" s="159" t="str">
        <f t="shared" si="10"/>
        <v/>
      </c>
      <c r="K108" s="159" t="str">
        <f t="shared" si="10"/>
        <v/>
      </c>
      <c r="L108" s="159" t="str">
        <f>IF($A$17="","",IF(AND(ABS(I108)&lt;=10,ABS(J108)&lt;=10,ABS(K108)&lt;=10),"PASS","FAIL"))</f>
        <v/>
      </c>
    </row>
    <row r="109" spans="1:12" ht="15" customHeight="1" x14ac:dyDescent="0.3">
      <c r="A109" s="159" t="str">
        <f>IF($A$18="","",$A$18)</f>
        <v/>
      </c>
      <c r="B109" s="159" t="str">
        <f>IF($A$18="","","Census")</f>
        <v/>
      </c>
      <c r="C109" s="159" t="str">
        <f>IF($A$18="","",SUMIFS('Pupils Insert Table'!J:J,'Pupils Insert Table'!D:D,$A$18,'Pupils Insert Table'!E:E,"PUPIL_CEN*"))</f>
        <v/>
      </c>
      <c r="D109" s="159" t="str">
        <f>IF($A$18="","",SUMIFS('Pupils Insert Table'!K:K,'Pupils Insert Table'!D:D,$A$18,'Pupils Insert Table'!E:E,"PUPIL_CEN*"))</f>
        <v/>
      </c>
      <c r="E109" s="159" t="str">
        <f>IF($A$18="","",SUMIFS('Pupils Insert Table'!L:L,'Pupils Insert Table'!D:D,$A$18,'Pupils Insert Table'!E:E,"PUPIL_CEN*"))</f>
        <v/>
      </c>
      <c r="F109" s="162"/>
      <c r="G109" s="162"/>
      <c r="H109" s="162"/>
      <c r="I109" s="159" t="str">
        <f t="shared" ref="I109:K112" si="11">IF($A$18="","",C109-F109)</f>
        <v/>
      </c>
      <c r="J109" s="159" t="str">
        <f t="shared" si="11"/>
        <v/>
      </c>
      <c r="K109" s="159" t="str">
        <f t="shared" si="11"/>
        <v/>
      </c>
      <c r="L109" s="159" t="str">
        <f>IF($A$18="","",IF(AND(ABS(I109)&lt;=10,ABS(J109)&lt;=10,ABS(K109)&lt;=10),"PASS","FAIL"))</f>
        <v/>
      </c>
    </row>
    <row r="110" spans="1:12" ht="15" customHeight="1" x14ac:dyDescent="0.3">
      <c r="A110" s="159"/>
      <c r="B110" s="159" t="str">
        <f>IF($A$18="","","Spring")</f>
        <v/>
      </c>
      <c r="C110" s="159" t="str">
        <f>IF($A$18="","",SUMIFS('Pupils Insert Table'!J:J,'Pupils Insert Table'!D:D,$A$18,'Pupils Insert Table'!E:E,"PUPIL_SPRING*"))</f>
        <v/>
      </c>
      <c r="D110" s="159" t="str">
        <f>IF($A$18="","",SUMIFS('Pupils Insert Table'!K:K,'Pupils Insert Table'!D:D,$A$18,'Pupils Insert Table'!E:E,"PUPIL_SPRING*"))</f>
        <v/>
      </c>
      <c r="E110" s="159" t="str">
        <f>IF($A$18="","",SUMIFS('Pupils Insert Table'!L:L,'Pupils Insert Table'!D:D,$A$18,'Pupils Insert Table'!E:E,"PUPIL_SPRING*"))</f>
        <v/>
      </c>
      <c r="F110" s="162"/>
      <c r="G110" s="162"/>
      <c r="H110" s="162"/>
      <c r="I110" s="159" t="str">
        <f t="shared" si="11"/>
        <v/>
      </c>
      <c r="J110" s="159" t="str">
        <f t="shared" si="11"/>
        <v/>
      </c>
      <c r="K110" s="159" t="str">
        <f t="shared" si="11"/>
        <v/>
      </c>
      <c r="L110" s="159" t="str">
        <f>IF($A$18="","",IF(AND(ABS(I110)&lt;=10,ABS(J110)&lt;=10,ABS(K110)&lt;=10),"PASS","FAIL"))</f>
        <v/>
      </c>
    </row>
    <row r="111" spans="1:12" ht="15" customHeight="1" x14ac:dyDescent="0.3">
      <c r="A111" s="159"/>
      <c r="B111" s="159" t="str">
        <f>IF($A$18="","","UIFSM")</f>
        <v/>
      </c>
      <c r="C111" s="159" t="str">
        <f>IF($A$18="","",SUMIFS('Pupils Insert Table'!J:J,'Pupils Insert Table'!D:D,$A$18,'Pupils Insert Table'!E:E,"PUPIL_UIFSM*"))</f>
        <v/>
      </c>
      <c r="D111" s="159" t="str">
        <f>IF($A$18="","",SUMIFS('Pupils Insert Table'!K:K,'Pupils Insert Table'!D:D,$A$18,'Pupils Insert Table'!E:E,"PUPIL_UIFSM*"))</f>
        <v/>
      </c>
      <c r="E111" s="159" t="str">
        <f>IF($A$18="","",SUMIFS('Pupils Insert Table'!L:L,'Pupils Insert Table'!D:D,$A$18,'Pupils Insert Table'!E:E,"PUPIL_UIFSM*"))</f>
        <v/>
      </c>
      <c r="F111" s="162"/>
      <c r="G111" s="162"/>
      <c r="H111" s="162"/>
      <c r="I111" s="159" t="str">
        <f t="shared" si="11"/>
        <v/>
      </c>
      <c r="J111" s="159" t="str">
        <f t="shared" si="11"/>
        <v/>
      </c>
      <c r="K111" s="159" t="str">
        <f t="shared" si="11"/>
        <v/>
      </c>
      <c r="L111" s="159" t="str">
        <f>IF($A$18="","",IF(AND(ABS(I111)&lt;=10,ABS(J111)&lt;=10,ABS(K111)&lt;=10),"PASS","FAIL"))</f>
        <v/>
      </c>
    </row>
    <row r="112" spans="1:12" ht="15" customHeight="1" x14ac:dyDescent="0.3">
      <c r="A112" s="159"/>
      <c r="B112" s="159" t="str">
        <f>IF($A$18="","","PP")</f>
        <v/>
      </c>
      <c r="C112" s="159" t="str">
        <f>IF($A$18="","",SUMIFS('Pupils Insert Table'!J:J,'Pupils Insert Table'!D:D,$A$18,'Pupils Insert Table'!E:E,"PUPILPREMIUM*"))</f>
        <v/>
      </c>
      <c r="D112" s="159" t="str">
        <f>IF($A$18="","",SUMIFS('Pupils Insert Table'!K:K,'Pupils Insert Table'!D:D,$A$18,'Pupils Insert Table'!E:E,"PUPILPREMIUM*"))</f>
        <v/>
      </c>
      <c r="E112" s="159" t="str">
        <f>IF($A$18="","",SUMIFS('Pupils Insert Table'!L:L,'Pupils Insert Table'!D:D,$A$18,'Pupils Insert Table'!E:E,"PUPILPREMIUM*"))</f>
        <v/>
      </c>
      <c r="F112" s="162"/>
      <c r="G112" s="162"/>
      <c r="H112" s="162"/>
      <c r="I112" s="159" t="str">
        <f t="shared" si="11"/>
        <v/>
      </c>
      <c r="J112" s="159" t="str">
        <f t="shared" si="11"/>
        <v/>
      </c>
      <c r="K112" s="159" t="str">
        <f t="shared" si="11"/>
        <v/>
      </c>
      <c r="L112" s="159" t="str">
        <f>IF($A$18="","",IF(AND(ABS(I112)&lt;=10,ABS(J112)&lt;=10,ABS(K112)&lt;=10),"PASS","FAIL"))</f>
        <v/>
      </c>
    </row>
    <row r="113" spans="1:12" ht="15" customHeight="1" x14ac:dyDescent="0.3">
      <c r="A113" s="159" t="str">
        <f>IF($A$19="","",$A$19)</f>
        <v/>
      </c>
      <c r="B113" s="159" t="str">
        <f>IF($A$19="","","Census")</f>
        <v/>
      </c>
      <c r="C113" s="159" t="str">
        <f>IF($A$19="","",SUMIFS('Pupils Insert Table'!J:J,'Pupils Insert Table'!D:D,$A$19,'Pupils Insert Table'!E:E,"PUPIL_CEN*"))</f>
        <v/>
      </c>
      <c r="D113" s="159" t="str">
        <f>IF($A$19="","",SUMIFS('Pupils Insert Table'!K:K,'Pupils Insert Table'!D:D,$A$19,'Pupils Insert Table'!E:E,"PUPIL_CEN*"))</f>
        <v/>
      </c>
      <c r="E113" s="159" t="str">
        <f>IF($A$19="","",SUMIFS('Pupils Insert Table'!L:L,'Pupils Insert Table'!D:D,$A$19,'Pupils Insert Table'!E:E,"PUPIL_CEN*"))</f>
        <v/>
      </c>
      <c r="F113" s="162"/>
      <c r="G113" s="162"/>
      <c r="H113" s="162"/>
      <c r="I113" s="159" t="str">
        <f t="shared" ref="I113:K116" si="12">IF($A$19="","",C113-F113)</f>
        <v/>
      </c>
      <c r="J113" s="159" t="str">
        <f t="shared" si="12"/>
        <v/>
      </c>
      <c r="K113" s="159" t="str">
        <f t="shared" si="12"/>
        <v/>
      </c>
      <c r="L113" s="159" t="str">
        <f>IF($A$19="","",IF(AND(ABS(I113)&lt;=10,ABS(J113)&lt;=10,ABS(K113)&lt;=10),"PASS","FAIL"))</f>
        <v/>
      </c>
    </row>
    <row r="114" spans="1:12" ht="15" customHeight="1" x14ac:dyDescent="0.3">
      <c r="A114" s="159"/>
      <c r="B114" s="159" t="str">
        <f>IF($A$19="","","Spring")</f>
        <v/>
      </c>
      <c r="C114" s="159" t="str">
        <f>IF($A$19="","",SUMIFS('Pupils Insert Table'!J:J,'Pupils Insert Table'!D:D,$A$19,'Pupils Insert Table'!E:E,"PUPIL_SPRING*"))</f>
        <v/>
      </c>
      <c r="D114" s="159" t="str">
        <f>IF($A$19="","",SUMIFS('Pupils Insert Table'!K:K,'Pupils Insert Table'!D:D,$A$19,'Pupils Insert Table'!E:E,"PUPIL_SPRING*"))</f>
        <v/>
      </c>
      <c r="E114" s="159" t="str">
        <f>IF($A$19="","",SUMIFS('Pupils Insert Table'!L:L,'Pupils Insert Table'!D:D,$A$19,'Pupils Insert Table'!E:E,"PUPIL_SPRING*"))</f>
        <v/>
      </c>
      <c r="F114" s="162"/>
      <c r="G114" s="162"/>
      <c r="H114" s="162"/>
      <c r="I114" s="159" t="str">
        <f t="shared" si="12"/>
        <v/>
      </c>
      <c r="J114" s="159" t="str">
        <f t="shared" si="12"/>
        <v/>
      </c>
      <c r="K114" s="159" t="str">
        <f t="shared" si="12"/>
        <v/>
      </c>
      <c r="L114" s="159" t="str">
        <f>IF($A$19="","",IF(AND(ABS(I114)&lt;=10,ABS(J114)&lt;=10,ABS(K114)&lt;=10),"PASS","FAIL"))</f>
        <v/>
      </c>
    </row>
    <row r="115" spans="1:12" ht="15" customHeight="1" x14ac:dyDescent="0.3">
      <c r="A115" s="159"/>
      <c r="B115" s="159" t="str">
        <f>IF($A$19="","","UIFSM")</f>
        <v/>
      </c>
      <c r="C115" s="159" t="str">
        <f>IF($A$19="","",SUMIFS('Pupils Insert Table'!J:J,'Pupils Insert Table'!D:D,$A$19,'Pupils Insert Table'!E:E,"PUPIL_UIFSM*"))</f>
        <v/>
      </c>
      <c r="D115" s="159" t="str">
        <f>IF($A$19="","",SUMIFS('Pupils Insert Table'!K:K,'Pupils Insert Table'!D:D,$A$19,'Pupils Insert Table'!E:E,"PUPIL_UIFSM*"))</f>
        <v/>
      </c>
      <c r="E115" s="159" t="str">
        <f>IF($A$19="","",SUMIFS('Pupils Insert Table'!L:L,'Pupils Insert Table'!D:D,$A$19,'Pupils Insert Table'!E:E,"PUPIL_UIFSM*"))</f>
        <v/>
      </c>
      <c r="F115" s="162"/>
      <c r="G115" s="162"/>
      <c r="H115" s="162"/>
      <c r="I115" s="159" t="str">
        <f t="shared" si="12"/>
        <v/>
      </c>
      <c r="J115" s="159" t="str">
        <f t="shared" si="12"/>
        <v/>
      </c>
      <c r="K115" s="159" t="str">
        <f t="shared" si="12"/>
        <v/>
      </c>
      <c r="L115" s="159" t="str">
        <f>IF($A$19="","",IF(AND(ABS(I115)&lt;=10,ABS(J115)&lt;=10,ABS(K115)&lt;=10),"PASS","FAIL"))</f>
        <v/>
      </c>
    </row>
    <row r="116" spans="1:12" ht="15" customHeight="1" x14ac:dyDescent="0.3">
      <c r="A116" s="159"/>
      <c r="B116" s="159" t="str">
        <f>IF($A$19="","","PP")</f>
        <v/>
      </c>
      <c r="C116" s="159" t="str">
        <f>IF($A$19="","",SUMIFS('Pupils Insert Table'!J:J,'Pupils Insert Table'!D:D,$A$19,'Pupils Insert Table'!E:E,"PUPILPREMIUM*"))</f>
        <v/>
      </c>
      <c r="D116" s="159" t="str">
        <f>IF($A$19="","",SUMIFS('Pupils Insert Table'!K:K,'Pupils Insert Table'!D:D,$A$19,'Pupils Insert Table'!E:E,"PUPILPREMIUM*"))</f>
        <v/>
      </c>
      <c r="E116" s="159" t="str">
        <f>IF($A$19="","",SUMIFS('Pupils Insert Table'!L:L,'Pupils Insert Table'!D:D,$A$19,'Pupils Insert Table'!E:E,"PUPILPREMIUM*"))</f>
        <v/>
      </c>
      <c r="F116" s="162"/>
      <c r="G116" s="162"/>
      <c r="H116" s="162"/>
      <c r="I116" s="159" t="str">
        <f t="shared" si="12"/>
        <v/>
      </c>
      <c r="J116" s="159" t="str">
        <f t="shared" si="12"/>
        <v/>
      </c>
      <c r="K116" s="159" t="str">
        <f t="shared" si="12"/>
        <v/>
      </c>
      <c r="L116" s="159" t="str">
        <f>IF($A$19="","",IF(AND(ABS(I116)&lt;=10,ABS(J116)&lt;=10,ABS(K116)&lt;=10),"PASS","FAIL"))</f>
        <v/>
      </c>
    </row>
    <row r="117" spans="1:12" ht="15" customHeight="1" x14ac:dyDescent="0.3">
      <c r="A117" s="159" t="str">
        <f>IF($A$20="","",$A$20)</f>
        <v/>
      </c>
      <c r="B117" s="159" t="str">
        <f>IF($A$20="","","Census")</f>
        <v/>
      </c>
      <c r="C117" s="159" t="str">
        <f>IF($A$20="","",SUMIFS('Pupils Insert Table'!J:J,'Pupils Insert Table'!D:D,$A$20,'Pupils Insert Table'!E:E,"PUPIL_CEN*"))</f>
        <v/>
      </c>
      <c r="D117" s="159" t="str">
        <f>IF($A$20="","",SUMIFS('Pupils Insert Table'!K:K,'Pupils Insert Table'!D:D,$A$20,'Pupils Insert Table'!E:E,"PUPIL_CEN*"))</f>
        <v/>
      </c>
      <c r="E117" s="159" t="str">
        <f>IF($A$20="","",SUMIFS('Pupils Insert Table'!L:L,'Pupils Insert Table'!D:D,$A$20,'Pupils Insert Table'!E:E,"PUPIL_CEN*"))</f>
        <v/>
      </c>
      <c r="F117" s="162"/>
      <c r="G117" s="162"/>
      <c r="H117" s="162"/>
      <c r="I117" s="159" t="str">
        <f t="shared" ref="I117:K120" si="13">IF($A$20="","",C117-F117)</f>
        <v/>
      </c>
      <c r="J117" s="159" t="str">
        <f t="shared" si="13"/>
        <v/>
      </c>
      <c r="K117" s="159" t="str">
        <f t="shared" si="13"/>
        <v/>
      </c>
      <c r="L117" s="159" t="str">
        <f>IF($A$20="","",IF(AND(ABS(I117)&lt;=10,ABS(J117)&lt;=10,ABS(K117)&lt;=10),"PASS","FAIL"))</f>
        <v/>
      </c>
    </row>
    <row r="118" spans="1:12" ht="15" customHeight="1" x14ac:dyDescent="0.3">
      <c r="A118" s="159"/>
      <c r="B118" s="159" t="str">
        <f>IF($A$20="","","Spring")</f>
        <v/>
      </c>
      <c r="C118" s="159" t="str">
        <f>IF($A$20="","",SUMIFS('Pupils Insert Table'!J:J,'Pupils Insert Table'!D:D,$A$20,'Pupils Insert Table'!E:E,"PUPIL_SPRING*"))</f>
        <v/>
      </c>
      <c r="D118" s="159" t="str">
        <f>IF($A$20="","",SUMIFS('Pupils Insert Table'!K:K,'Pupils Insert Table'!D:D,$A$20,'Pupils Insert Table'!E:E,"PUPIL_SPRING*"))</f>
        <v/>
      </c>
      <c r="E118" s="159" t="str">
        <f>IF($A$20="","",SUMIFS('Pupils Insert Table'!L:L,'Pupils Insert Table'!D:D,$A$20,'Pupils Insert Table'!E:E,"PUPIL_SPRING*"))</f>
        <v/>
      </c>
      <c r="F118" s="162"/>
      <c r="G118" s="162"/>
      <c r="H118" s="162"/>
      <c r="I118" s="159" t="str">
        <f t="shared" si="13"/>
        <v/>
      </c>
      <c r="J118" s="159" t="str">
        <f t="shared" si="13"/>
        <v/>
      </c>
      <c r="K118" s="159" t="str">
        <f t="shared" si="13"/>
        <v/>
      </c>
      <c r="L118" s="159" t="str">
        <f>IF($A$20="","",IF(AND(ABS(I118)&lt;=10,ABS(J118)&lt;=10,ABS(K118)&lt;=10),"PASS","FAIL"))</f>
        <v/>
      </c>
    </row>
    <row r="119" spans="1:12" ht="15" customHeight="1" x14ac:dyDescent="0.3">
      <c r="A119" s="159"/>
      <c r="B119" s="159" t="str">
        <f>IF($A$20="","","UIFSM")</f>
        <v/>
      </c>
      <c r="C119" s="159" t="str">
        <f>IF($A$20="","",SUMIFS('Pupils Insert Table'!J:J,'Pupils Insert Table'!D:D,$A$20,'Pupils Insert Table'!E:E,"PUPIL_UIFSM*"))</f>
        <v/>
      </c>
      <c r="D119" s="159" t="str">
        <f>IF($A$20="","",SUMIFS('Pupils Insert Table'!K:K,'Pupils Insert Table'!D:D,$A$20,'Pupils Insert Table'!E:E,"PUPIL_UIFSM*"))</f>
        <v/>
      </c>
      <c r="E119" s="159" t="str">
        <f>IF($A$20="","",SUMIFS('Pupils Insert Table'!L:L,'Pupils Insert Table'!D:D,$A$20,'Pupils Insert Table'!E:E,"PUPIL_UIFSM*"))</f>
        <v/>
      </c>
      <c r="F119" s="162"/>
      <c r="G119" s="162"/>
      <c r="H119" s="162"/>
      <c r="I119" s="159" t="str">
        <f t="shared" si="13"/>
        <v/>
      </c>
      <c r="J119" s="159" t="str">
        <f t="shared" si="13"/>
        <v/>
      </c>
      <c r="K119" s="159" t="str">
        <f t="shared" si="13"/>
        <v/>
      </c>
      <c r="L119" s="159" t="str">
        <f>IF($A$20="","",IF(AND(ABS(I119)&lt;=10,ABS(J119)&lt;=10,ABS(K119)&lt;=10),"PASS","FAIL"))</f>
        <v/>
      </c>
    </row>
    <row r="120" spans="1:12" ht="15" customHeight="1" x14ac:dyDescent="0.3">
      <c r="A120" s="159"/>
      <c r="B120" s="159" t="str">
        <f>IF($A$20="","","PP")</f>
        <v/>
      </c>
      <c r="C120" s="159" t="str">
        <f>IF($A$20="","",SUMIFS('Pupils Insert Table'!J:J,'Pupils Insert Table'!D:D,$A$20,'Pupils Insert Table'!E:E,"PUPILPREMIUM*"))</f>
        <v/>
      </c>
      <c r="D120" s="159" t="str">
        <f>IF($A$20="","",SUMIFS('Pupils Insert Table'!K:K,'Pupils Insert Table'!D:D,$A$20,'Pupils Insert Table'!E:E,"PUPILPREMIUM*"))</f>
        <v/>
      </c>
      <c r="E120" s="159" t="str">
        <f>IF($A$20="","",SUMIFS('Pupils Insert Table'!L:L,'Pupils Insert Table'!D:D,$A$20,'Pupils Insert Table'!E:E,"PUPILPREMIUM*"))</f>
        <v/>
      </c>
      <c r="F120" s="162"/>
      <c r="G120" s="162"/>
      <c r="H120" s="162"/>
      <c r="I120" s="159" t="str">
        <f t="shared" si="13"/>
        <v/>
      </c>
      <c r="J120" s="159" t="str">
        <f t="shared" si="13"/>
        <v/>
      </c>
      <c r="K120" s="159" t="str">
        <f t="shared" si="13"/>
        <v/>
      </c>
      <c r="L120" s="159" t="str">
        <f>IF($A$20="","",IF(AND(ABS(I120)&lt;=10,ABS(J120)&lt;=10,ABS(K120)&lt;=10),"PASS","FAIL"))</f>
        <v/>
      </c>
    </row>
    <row r="121" spans="1:12" ht="15" customHeight="1" x14ac:dyDescent="0.3">
      <c r="A121" s="159" t="str">
        <f>IF($A$21="","",$A$21)</f>
        <v/>
      </c>
      <c r="B121" s="159" t="str">
        <f>IF($A$21="","","Census")</f>
        <v/>
      </c>
      <c r="C121" s="159" t="str">
        <f>IF($A$21="","",SUMIFS('Pupils Insert Table'!J:J,'Pupils Insert Table'!D:D,$A$21,'Pupils Insert Table'!E:E,"PUPIL_CEN*"))</f>
        <v/>
      </c>
      <c r="D121" s="159" t="str">
        <f>IF($A$21="","",SUMIFS('Pupils Insert Table'!K:K,'Pupils Insert Table'!D:D,$A$21,'Pupils Insert Table'!E:E,"PUPIL_CEN*"))</f>
        <v/>
      </c>
      <c r="E121" s="159" t="str">
        <f>IF($A$21="","",SUMIFS('Pupils Insert Table'!L:L,'Pupils Insert Table'!D:D,$A$21,'Pupils Insert Table'!E:E,"PUPIL_CEN*"))</f>
        <v/>
      </c>
      <c r="F121" s="162"/>
      <c r="G121" s="162"/>
      <c r="H121" s="162"/>
      <c r="I121" s="159" t="str">
        <f t="shared" ref="I121:K124" si="14">IF($A$21="","",C121-F121)</f>
        <v/>
      </c>
      <c r="J121" s="159" t="str">
        <f t="shared" si="14"/>
        <v/>
      </c>
      <c r="K121" s="159" t="str">
        <f t="shared" si="14"/>
        <v/>
      </c>
      <c r="L121" s="159" t="str">
        <f>IF($A$21="","",IF(AND(ABS(I121)&lt;=10,ABS(J121)&lt;=10,ABS(K121)&lt;=10),"PASS","FAIL"))</f>
        <v/>
      </c>
    </row>
    <row r="122" spans="1:12" ht="15" customHeight="1" x14ac:dyDescent="0.3">
      <c r="A122" s="159"/>
      <c r="B122" s="159" t="str">
        <f>IF($A$21="","","Spring")</f>
        <v/>
      </c>
      <c r="C122" s="159" t="str">
        <f>IF($A$21="","",SUMIFS('Pupils Insert Table'!J:J,'Pupils Insert Table'!D:D,$A$21,'Pupils Insert Table'!E:E,"PUPIL_SPRING*"))</f>
        <v/>
      </c>
      <c r="D122" s="159" t="str">
        <f>IF($A$21="","",SUMIFS('Pupils Insert Table'!K:K,'Pupils Insert Table'!D:D,$A$21,'Pupils Insert Table'!E:E,"PUPIL_SPRING*"))</f>
        <v/>
      </c>
      <c r="E122" s="159" t="str">
        <f>IF($A$21="","",SUMIFS('Pupils Insert Table'!L:L,'Pupils Insert Table'!D:D,$A$21,'Pupils Insert Table'!E:E,"PUPIL_SPRING*"))</f>
        <v/>
      </c>
      <c r="F122" s="162"/>
      <c r="G122" s="162"/>
      <c r="H122" s="162"/>
      <c r="I122" s="159" t="str">
        <f t="shared" si="14"/>
        <v/>
      </c>
      <c r="J122" s="159" t="str">
        <f t="shared" si="14"/>
        <v/>
      </c>
      <c r="K122" s="159" t="str">
        <f t="shared" si="14"/>
        <v/>
      </c>
      <c r="L122" s="159" t="str">
        <f>IF($A$21="","",IF(AND(ABS(I122)&lt;=10,ABS(J122)&lt;=10,ABS(K122)&lt;=10),"PASS","FAIL"))</f>
        <v/>
      </c>
    </row>
    <row r="123" spans="1:12" ht="15" customHeight="1" x14ac:dyDescent="0.3">
      <c r="A123" s="159"/>
      <c r="B123" s="159" t="str">
        <f>IF($A$21="","","UIFSM")</f>
        <v/>
      </c>
      <c r="C123" s="159" t="str">
        <f>IF($A$21="","",SUMIFS('Pupils Insert Table'!J:J,'Pupils Insert Table'!D:D,$A$21,'Pupils Insert Table'!E:E,"PUPIL_UIFSM*"))</f>
        <v/>
      </c>
      <c r="D123" s="159" t="str">
        <f>IF($A$21="","",SUMIFS('Pupils Insert Table'!K:K,'Pupils Insert Table'!D:D,$A$21,'Pupils Insert Table'!E:E,"PUPIL_UIFSM*"))</f>
        <v/>
      </c>
      <c r="E123" s="159" t="str">
        <f>IF($A$21="","",SUMIFS('Pupils Insert Table'!L:L,'Pupils Insert Table'!D:D,$A$21,'Pupils Insert Table'!E:E,"PUPIL_UIFSM*"))</f>
        <v/>
      </c>
      <c r="F123" s="162"/>
      <c r="G123" s="162"/>
      <c r="H123" s="162"/>
      <c r="I123" s="159" t="str">
        <f t="shared" si="14"/>
        <v/>
      </c>
      <c r="J123" s="159" t="str">
        <f t="shared" si="14"/>
        <v/>
      </c>
      <c r="K123" s="159" t="str">
        <f t="shared" si="14"/>
        <v/>
      </c>
      <c r="L123" s="159" t="str">
        <f>IF($A$21="","",IF(AND(ABS(I123)&lt;=10,ABS(J123)&lt;=10,ABS(K123)&lt;=10),"PASS","FAIL"))</f>
        <v/>
      </c>
    </row>
    <row r="124" spans="1:12" ht="15" customHeight="1" x14ac:dyDescent="0.3">
      <c r="A124" s="159"/>
      <c r="B124" s="159" t="str">
        <f>IF($A$21="","","PP")</f>
        <v/>
      </c>
      <c r="C124" s="159" t="str">
        <f>IF($A$21="","",SUMIFS('Pupils Insert Table'!J:J,'Pupils Insert Table'!D:D,$A$21,'Pupils Insert Table'!E:E,"PUPILPREMIUM*"))</f>
        <v/>
      </c>
      <c r="D124" s="159" t="str">
        <f>IF($A$21="","",SUMIFS('Pupils Insert Table'!K:K,'Pupils Insert Table'!D:D,$A$21,'Pupils Insert Table'!E:E,"PUPILPREMIUM*"))</f>
        <v/>
      </c>
      <c r="E124" s="159" t="str">
        <f>IF($A$21="","",SUMIFS('Pupils Insert Table'!L:L,'Pupils Insert Table'!D:D,$A$21,'Pupils Insert Table'!E:E,"PUPILPREMIUM*"))</f>
        <v/>
      </c>
      <c r="F124" s="162"/>
      <c r="G124" s="162"/>
      <c r="H124" s="162"/>
      <c r="I124" s="159" t="str">
        <f t="shared" si="14"/>
        <v/>
      </c>
      <c r="J124" s="159" t="str">
        <f t="shared" si="14"/>
        <v/>
      </c>
      <c r="K124" s="159" t="str">
        <f t="shared" si="14"/>
        <v/>
      </c>
      <c r="L124" s="159" t="str">
        <f>IF($A$21="","",IF(AND(ABS(I124)&lt;=10,ABS(J124)&lt;=10,ABS(K124)&lt;=10),"PASS","FAIL"))</f>
        <v/>
      </c>
    </row>
    <row r="125" spans="1:12" ht="15" customHeight="1" x14ac:dyDescent="0.3">
      <c r="A125" s="159" t="str">
        <f>IF($A$22="","",$A$22)</f>
        <v/>
      </c>
      <c r="B125" s="159" t="str">
        <f>IF($A$22="","","Census")</f>
        <v/>
      </c>
      <c r="C125" s="159" t="str">
        <f>IF($A$22="","",SUMIFS('Pupils Insert Table'!J:J,'Pupils Insert Table'!D:D,$A$22,'Pupils Insert Table'!E:E,"PUPIL_CEN*"))</f>
        <v/>
      </c>
      <c r="D125" s="159" t="str">
        <f>IF($A$22="","",SUMIFS('Pupils Insert Table'!K:K,'Pupils Insert Table'!D:D,$A$22,'Pupils Insert Table'!E:E,"PUPIL_CEN*"))</f>
        <v/>
      </c>
      <c r="E125" s="159" t="str">
        <f>IF($A$22="","",SUMIFS('Pupils Insert Table'!L:L,'Pupils Insert Table'!D:D,$A$22,'Pupils Insert Table'!E:E,"PUPIL_CEN*"))</f>
        <v/>
      </c>
      <c r="F125" s="162"/>
      <c r="G125" s="162"/>
      <c r="H125" s="162"/>
      <c r="I125" s="159" t="str">
        <f t="shared" ref="I125:K128" si="15">IF($A$22="","",C125-F125)</f>
        <v/>
      </c>
      <c r="J125" s="159" t="str">
        <f t="shared" si="15"/>
        <v/>
      </c>
      <c r="K125" s="159" t="str">
        <f t="shared" si="15"/>
        <v/>
      </c>
      <c r="L125" s="159" t="str">
        <f>IF($A$22="","",IF(AND(ABS(I125)&lt;=10,ABS(J125)&lt;=10,ABS(K125)&lt;=10),"PASS","FAIL"))</f>
        <v/>
      </c>
    </row>
    <row r="126" spans="1:12" ht="15" customHeight="1" x14ac:dyDescent="0.3">
      <c r="A126" s="159"/>
      <c r="B126" s="159" t="str">
        <f>IF($A$22="","","Spring")</f>
        <v/>
      </c>
      <c r="C126" s="159" t="str">
        <f>IF($A$22="","",SUMIFS('Pupils Insert Table'!J:J,'Pupils Insert Table'!D:D,$A$22,'Pupils Insert Table'!E:E,"PUPIL_SPRING*"))</f>
        <v/>
      </c>
      <c r="D126" s="159" t="str">
        <f>IF($A$22="","",SUMIFS('Pupils Insert Table'!K:K,'Pupils Insert Table'!D:D,$A$22,'Pupils Insert Table'!E:E,"PUPIL_SPRING*"))</f>
        <v/>
      </c>
      <c r="E126" s="159" t="str">
        <f>IF($A$22="","",SUMIFS('Pupils Insert Table'!L:L,'Pupils Insert Table'!D:D,$A$22,'Pupils Insert Table'!E:E,"PUPIL_SPRING*"))</f>
        <v/>
      </c>
      <c r="F126" s="162"/>
      <c r="G126" s="162"/>
      <c r="H126" s="162"/>
      <c r="I126" s="159" t="str">
        <f t="shared" si="15"/>
        <v/>
      </c>
      <c r="J126" s="159" t="str">
        <f t="shared" si="15"/>
        <v/>
      </c>
      <c r="K126" s="159" t="str">
        <f t="shared" si="15"/>
        <v/>
      </c>
      <c r="L126" s="159" t="str">
        <f>IF($A$22="","",IF(AND(ABS(I126)&lt;=10,ABS(J126)&lt;=10,ABS(K126)&lt;=10),"PASS","FAIL"))</f>
        <v/>
      </c>
    </row>
    <row r="127" spans="1:12" ht="15" customHeight="1" x14ac:dyDescent="0.3">
      <c r="A127" s="159"/>
      <c r="B127" s="159" t="str">
        <f>IF($A$22="","","UIFSM")</f>
        <v/>
      </c>
      <c r="C127" s="159" t="str">
        <f>IF($A$22="","",SUMIFS('Pupils Insert Table'!J:J,'Pupils Insert Table'!D:D,$A$22,'Pupils Insert Table'!E:E,"PUPIL_UIFSM*"))</f>
        <v/>
      </c>
      <c r="D127" s="159" t="str">
        <f>IF($A$22="","",SUMIFS('Pupils Insert Table'!K:K,'Pupils Insert Table'!D:D,$A$22,'Pupils Insert Table'!E:E,"PUPIL_UIFSM*"))</f>
        <v/>
      </c>
      <c r="E127" s="159" t="str">
        <f>IF($A$22="","",SUMIFS('Pupils Insert Table'!L:L,'Pupils Insert Table'!D:D,$A$22,'Pupils Insert Table'!E:E,"PUPIL_UIFSM*"))</f>
        <v/>
      </c>
      <c r="F127" s="162"/>
      <c r="G127" s="162"/>
      <c r="H127" s="162"/>
      <c r="I127" s="159" t="str">
        <f t="shared" si="15"/>
        <v/>
      </c>
      <c r="J127" s="159" t="str">
        <f t="shared" si="15"/>
        <v/>
      </c>
      <c r="K127" s="159" t="str">
        <f t="shared" si="15"/>
        <v/>
      </c>
      <c r="L127" s="159" t="str">
        <f>IF($A$22="","",IF(AND(ABS(I127)&lt;=10,ABS(J127)&lt;=10,ABS(K127)&lt;=10),"PASS","FAIL"))</f>
        <v/>
      </c>
    </row>
    <row r="128" spans="1:12" ht="15" customHeight="1" x14ac:dyDescent="0.3">
      <c r="A128" s="159"/>
      <c r="B128" s="159" t="str">
        <f>IF($A$22="","","PP")</f>
        <v/>
      </c>
      <c r="C128" s="159" t="str">
        <f>IF($A$22="","",SUMIFS('Pupils Insert Table'!J:J,'Pupils Insert Table'!D:D,$A$22,'Pupils Insert Table'!E:E,"PUPILPREMIUM*"))</f>
        <v/>
      </c>
      <c r="D128" s="159" t="str">
        <f>IF($A$22="","",SUMIFS('Pupils Insert Table'!K:K,'Pupils Insert Table'!D:D,$A$22,'Pupils Insert Table'!E:E,"PUPILPREMIUM*"))</f>
        <v/>
      </c>
      <c r="E128" s="159" t="str">
        <f>IF($A$22="","",SUMIFS('Pupils Insert Table'!L:L,'Pupils Insert Table'!D:D,$A$22,'Pupils Insert Table'!E:E,"PUPILPREMIUM*"))</f>
        <v/>
      </c>
      <c r="F128" s="162"/>
      <c r="G128" s="162"/>
      <c r="H128" s="162"/>
      <c r="I128" s="159" t="str">
        <f t="shared" si="15"/>
        <v/>
      </c>
      <c r="J128" s="159" t="str">
        <f t="shared" si="15"/>
        <v/>
      </c>
      <c r="K128" s="159" t="str">
        <f t="shared" si="15"/>
        <v/>
      </c>
      <c r="L128" s="159" t="str">
        <f>IF($A$22="","",IF(AND(ABS(I128)&lt;=10,ABS(J128)&lt;=10,ABS(K128)&lt;=10),"PASS","FAIL"))</f>
        <v/>
      </c>
    </row>
    <row r="129" spans="1:12" ht="15" customHeight="1" x14ac:dyDescent="0.3">
      <c r="A129" s="159" t="str">
        <f>IF($A$23="","",$A$23)</f>
        <v/>
      </c>
      <c r="B129" s="159" t="str">
        <f>IF($A$23="","","Census")</f>
        <v/>
      </c>
      <c r="C129" s="159" t="str">
        <f>IF($A$23="","",SUMIFS('Pupils Insert Table'!J:J,'Pupils Insert Table'!D:D,$A$23,'Pupils Insert Table'!E:E,"PUPIL_CEN*"))</f>
        <v/>
      </c>
      <c r="D129" s="159" t="str">
        <f>IF($A$23="","",SUMIFS('Pupils Insert Table'!K:K,'Pupils Insert Table'!D:D,$A$23,'Pupils Insert Table'!E:E,"PUPIL_CEN*"))</f>
        <v/>
      </c>
      <c r="E129" s="159" t="str">
        <f>IF($A$23="","",SUMIFS('Pupils Insert Table'!L:L,'Pupils Insert Table'!D:D,$A$23,'Pupils Insert Table'!E:E,"PUPIL_CEN*"))</f>
        <v/>
      </c>
      <c r="F129" s="162"/>
      <c r="G129" s="162"/>
      <c r="H129" s="162"/>
      <c r="I129" s="159" t="str">
        <f t="shared" ref="I129:K132" si="16">IF($A$23="","",C129-F129)</f>
        <v/>
      </c>
      <c r="J129" s="159" t="str">
        <f t="shared" si="16"/>
        <v/>
      </c>
      <c r="K129" s="159" t="str">
        <f t="shared" si="16"/>
        <v/>
      </c>
      <c r="L129" s="159" t="str">
        <f>IF($A$23="","",IF(AND(ABS(I129)&lt;=10,ABS(J129)&lt;=10,ABS(K129)&lt;=10),"PASS","FAIL"))</f>
        <v/>
      </c>
    </row>
    <row r="130" spans="1:12" ht="15" customHeight="1" x14ac:dyDescent="0.3">
      <c r="A130" s="159"/>
      <c r="B130" s="159" t="str">
        <f>IF($A$23="","","Spring")</f>
        <v/>
      </c>
      <c r="C130" s="159" t="str">
        <f>IF($A$23="","",SUMIFS('Pupils Insert Table'!J:J,'Pupils Insert Table'!D:D,$A$23,'Pupils Insert Table'!E:E,"PUPIL_SPRING*"))</f>
        <v/>
      </c>
      <c r="D130" s="159" t="str">
        <f>IF($A$23="","",SUMIFS('Pupils Insert Table'!K:K,'Pupils Insert Table'!D:D,$A$23,'Pupils Insert Table'!E:E,"PUPIL_SPRING*"))</f>
        <v/>
      </c>
      <c r="E130" s="159" t="str">
        <f>IF($A$23="","",SUMIFS('Pupils Insert Table'!L:L,'Pupils Insert Table'!D:D,$A$23,'Pupils Insert Table'!E:E,"PUPIL_SPRING*"))</f>
        <v/>
      </c>
      <c r="F130" s="162"/>
      <c r="G130" s="162"/>
      <c r="H130" s="162"/>
      <c r="I130" s="159" t="str">
        <f t="shared" si="16"/>
        <v/>
      </c>
      <c r="J130" s="159" t="str">
        <f t="shared" si="16"/>
        <v/>
      </c>
      <c r="K130" s="159" t="str">
        <f t="shared" si="16"/>
        <v/>
      </c>
      <c r="L130" s="159" t="str">
        <f>IF($A$23="","",IF(AND(ABS(I130)&lt;=10,ABS(J130)&lt;=10,ABS(K130)&lt;=10),"PASS","FAIL"))</f>
        <v/>
      </c>
    </row>
    <row r="131" spans="1:12" ht="15" customHeight="1" x14ac:dyDescent="0.3">
      <c r="A131" s="159"/>
      <c r="B131" s="159" t="str">
        <f>IF($A$23="","","UIFSM")</f>
        <v/>
      </c>
      <c r="C131" s="159" t="str">
        <f>IF($A$23="","",SUMIFS('Pupils Insert Table'!J:J,'Pupils Insert Table'!D:D,$A$23,'Pupils Insert Table'!E:E,"PUPIL_UIFSM*"))</f>
        <v/>
      </c>
      <c r="D131" s="159" t="str">
        <f>IF($A$23="","",SUMIFS('Pupils Insert Table'!K:K,'Pupils Insert Table'!D:D,$A$23,'Pupils Insert Table'!E:E,"PUPIL_UIFSM*"))</f>
        <v/>
      </c>
      <c r="E131" s="159" t="str">
        <f>IF($A$23="","",SUMIFS('Pupils Insert Table'!L:L,'Pupils Insert Table'!D:D,$A$23,'Pupils Insert Table'!E:E,"PUPIL_UIFSM*"))</f>
        <v/>
      </c>
      <c r="F131" s="162"/>
      <c r="G131" s="162"/>
      <c r="H131" s="162"/>
      <c r="I131" s="159" t="str">
        <f t="shared" si="16"/>
        <v/>
      </c>
      <c r="J131" s="159" t="str">
        <f t="shared" si="16"/>
        <v/>
      </c>
      <c r="K131" s="159" t="str">
        <f t="shared" si="16"/>
        <v/>
      </c>
      <c r="L131" s="159" t="str">
        <f>IF($A$23="","",IF(AND(ABS(I131)&lt;=10,ABS(J131)&lt;=10,ABS(K131)&lt;=10),"PASS","FAIL"))</f>
        <v/>
      </c>
    </row>
    <row r="132" spans="1:12" ht="15" customHeight="1" x14ac:dyDescent="0.3">
      <c r="A132" s="159"/>
      <c r="B132" s="159" t="str">
        <f>IF($A$23="","","PP")</f>
        <v/>
      </c>
      <c r="C132" s="159" t="str">
        <f>IF($A$23="","",SUMIFS('Pupils Insert Table'!J:J,'Pupils Insert Table'!D:D,$A$23,'Pupils Insert Table'!E:E,"PUPILPREMIUM*"))</f>
        <v/>
      </c>
      <c r="D132" s="159" t="str">
        <f>IF($A$23="","",SUMIFS('Pupils Insert Table'!K:K,'Pupils Insert Table'!D:D,$A$23,'Pupils Insert Table'!E:E,"PUPILPREMIUM*"))</f>
        <v/>
      </c>
      <c r="E132" s="159" t="str">
        <f>IF($A$23="","",SUMIFS('Pupils Insert Table'!L:L,'Pupils Insert Table'!D:D,$A$23,'Pupils Insert Table'!E:E,"PUPILPREMIUM*"))</f>
        <v/>
      </c>
      <c r="F132" s="162"/>
      <c r="G132" s="162"/>
      <c r="H132" s="162"/>
      <c r="I132" s="159" t="str">
        <f t="shared" si="16"/>
        <v/>
      </c>
      <c r="J132" s="159" t="str">
        <f t="shared" si="16"/>
        <v/>
      </c>
      <c r="K132" s="159" t="str">
        <f t="shared" si="16"/>
        <v/>
      </c>
      <c r="L132" s="159" t="str">
        <f>IF($A$23="","",IF(AND(ABS(I132)&lt;=10,ABS(J132)&lt;=10,ABS(K132)&lt;=10),"PASS","FAIL"))</f>
        <v/>
      </c>
    </row>
    <row r="133" spans="1:12" ht="15" customHeight="1" x14ac:dyDescent="0.3">
      <c r="A133" s="159" t="str">
        <f>IF($A$24="","",$A$24)</f>
        <v/>
      </c>
      <c r="B133" s="159" t="str">
        <f>IF($A$24="","","Census")</f>
        <v/>
      </c>
      <c r="C133" s="159" t="str">
        <f>IF($A$24="","",SUMIFS('Pupils Insert Table'!J:J,'Pupils Insert Table'!D:D,$A$24,'Pupils Insert Table'!E:E,"PUPIL_CEN*"))</f>
        <v/>
      </c>
      <c r="D133" s="159" t="str">
        <f>IF($A$24="","",SUMIFS('Pupils Insert Table'!K:K,'Pupils Insert Table'!D:D,$A$24,'Pupils Insert Table'!E:E,"PUPIL_CEN*"))</f>
        <v/>
      </c>
      <c r="E133" s="159" t="str">
        <f>IF($A$24="","",SUMIFS('Pupils Insert Table'!L:L,'Pupils Insert Table'!D:D,$A$24,'Pupils Insert Table'!E:E,"PUPIL_CEN*"))</f>
        <v/>
      </c>
      <c r="F133" s="162"/>
      <c r="G133" s="162"/>
      <c r="H133" s="162"/>
      <c r="I133" s="159" t="str">
        <f t="shared" ref="I133:K136" si="17">IF($A$24="","",C133-F133)</f>
        <v/>
      </c>
      <c r="J133" s="159" t="str">
        <f t="shared" si="17"/>
        <v/>
      </c>
      <c r="K133" s="159" t="str">
        <f t="shared" si="17"/>
        <v/>
      </c>
      <c r="L133" s="159" t="str">
        <f>IF($A$24="","",IF(AND(ABS(I133)&lt;=10,ABS(J133)&lt;=10,ABS(K133)&lt;=10),"PASS","FAIL"))</f>
        <v/>
      </c>
    </row>
    <row r="134" spans="1:12" ht="15" customHeight="1" x14ac:dyDescent="0.3">
      <c r="A134" s="159"/>
      <c r="B134" s="159" t="str">
        <f>IF($A$24="","","Spring")</f>
        <v/>
      </c>
      <c r="C134" s="159" t="str">
        <f>IF($A$24="","",SUMIFS('Pupils Insert Table'!J:J,'Pupils Insert Table'!D:D,$A$24,'Pupils Insert Table'!E:E,"PUPIL_SPRING*"))</f>
        <v/>
      </c>
      <c r="D134" s="159" t="str">
        <f>IF($A$24="","",SUMIFS('Pupils Insert Table'!K:K,'Pupils Insert Table'!D:D,$A$24,'Pupils Insert Table'!E:E,"PUPIL_SPRING*"))</f>
        <v/>
      </c>
      <c r="E134" s="159" t="str">
        <f>IF($A$24="","",SUMIFS('Pupils Insert Table'!L:L,'Pupils Insert Table'!D:D,$A$24,'Pupils Insert Table'!E:E,"PUPIL_SPRING*"))</f>
        <v/>
      </c>
      <c r="F134" s="162"/>
      <c r="G134" s="162"/>
      <c r="H134" s="162"/>
      <c r="I134" s="159" t="str">
        <f t="shared" si="17"/>
        <v/>
      </c>
      <c r="J134" s="159" t="str">
        <f t="shared" si="17"/>
        <v/>
      </c>
      <c r="K134" s="159" t="str">
        <f t="shared" si="17"/>
        <v/>
      </c>
      <c r="L134" s="159" t="str">
        <f>IF($A$24="","",IF(AND(ABS(I134)&lt;=10,ABS(J134)&lt;=10,ABS(K134)&lt;=10),"PASS","FAIL"))</f>
        <v/>
      </c>
    </row>
    <row r="135" spans="1:12" ht="15" customHeight="1" x14ac:dyDescent="0.3">
      <c r="A135" s="159"/>
      <c r="B135" s="159" t="str">
        <f>IF($A$24="","","UIFSM")</f>
        <v/>
      </c>
      <c r="C135" s="159" t="str">
        <f>IF($A$24="","",SUMIFS('Pupils Insert Table'!J:J,'Pupils Insert Table'!D:D,$A$24,'Pupils Insert Table'!E:E,"PUPIL_UIFSM*"))</f>
        <v/>
      </c>
      <c r="D135" s="159" t="str">
        <f>IF($A$24="","",SUMIFS('Pupils Insert Table'!K:K,'Pupils Insert Table'!D:D,$A$24,'Pupils Insert Table'!E:E,"PUPIL_UIFSM*"))</f>
        <v/>
      </c>
      <c r="E135" s="159" t="str">
        <f>IF($A$24="","",SUMIFS('Pupils Insert Table'!L:L,'Pupils Insert Table'!D:D,$A$24,'Pupils Insert Table'!E:E,"PUPIL_UIFSM*"))</f>
        <v/>
      </c>
      <c r="F135" s="162"/>
      <c r="G135" s="162"/>
      <c r="H135" s="162"/>
      <c r="I135" s="159" t="str">
        <f t="shared" si="17"/>
        <v/>
      </c>
      <c r="J135" s="159" t="str">
        <f t="shared" si="17"/>
        <v/>
      </c>
      <c r="K135" s="159" t="str">
        <f t="shared" si="17"/>
        <v/>
      </c>
      <c r="L135" s="159" t="str">
        <f>IF($A$24="","",IF(AND(ABS(I135)&lt;=10,ABS(J135)&lt;=10,ABS(K135)&lt;=10),"PASS","FAIL"))</f>
        <v/>
      </c>
    </row>
    <row r="136" spans="1:12" ht="15" customHeight="1" x14ac:dyDescent="0.3">
      <c r="A136" s="159"/>
      <c r="B136" s="159" t="str">
        <f>IF($A$24="","","PP")</f>
        <v/>
      </c>
      <c r="C136" s="159" t="str">
        <f>IF($A$24="","",SUMIFS('Pupils Insert Table'!J:J,'Pupils Insert Table'!D:D,$A$24,'Pupils Insert Table'!E:E,"PUPILPREMIUM*"))</f>
        <v/>
      </c>
      <c r="D136" s="159" t="str">
        <f>IF($A$24="","",SUMIFS('Pupils Insert Table'!K:K,'Pupils Insert Table'!D:D,$A$24,'Pupils Insert Table'!E:E,"PUPILPREMIUM*"))</f>
        <v/>
      </c>
      <c r="E136" s="159" t="str">
        <f>IF($A$24="","",SUMIFS('Pupils Insert Table'!L:L,'Pupils Insert Table'!D:D,$A$24,'Pupils Insert Table'!E:E,"PUPILPREMIUM*"))</f>
        <v/>
      </c>
      <c r="F136" s="162"/>
      <c r="G136" s="162"/>
      <c r="H136" s="162"/>
      <c r="I136" s="159" t="str">
        <f t="shared" si="17"/>
        <v/>
      </c>
      <c r="J136" s="159" t="str">
        <f t="shared" si="17"/>
        <v/>
      </c>
      <c r="K136" s="159" t="str">
        <f t="shared" si="17"/>
        <v/>
      </c>
      <c r="L136" s="159" t="str">
        <f>IF($A$24="","",IF(AND(ABS(I136)&lt;=10,ABS(J136)&lt;=10,ABS(K136)&lt;=10),"PASS","FAIL"))</f>
        <v/>
      </c>
    </row>
    <row r="137" spans="1:12" ht="15" customHeight="1" x14ac:dyDescent="0.3">
      <c r="A137" s="159" t="str">
        <f>IF($A$25="","",$A$25)</f>
        <v/>
      </c>
      <c r="B137" s="159" t="str">
        <f>IF($A$25="","","Census")</f>
        <v/>
      </c>
      <c r="C137" s="159" t="str">
        <f>IF($A$25="","",SUMIFS('Pupils Insert Table'!J:J,'Pupils Insert Table'!D:D,$A$25,'Pupils Insert Table'!E:E,"PUPIL_CEN*"))</f>
        <v/>
      </c>
      <c r="D137" s="159" t="str">
        <f>IF($A$25="","",SUMIFS('Pupils Insert Table'!K:K,'Pupils Insert Table'!D:D,$A$25,'Pupils Insert Table'!E:E,"PUPIL_CEN*"))</f>
        <v/>
      </c>
      <c r="E137" s="159" t="str">
        <f>IF($A$25="","",SUMIFS('Pupils Insert Table'!L:L,'Pupils Insert Table'!D:D,$A$25,'Pupils Insert Table'!E:E,"PUPIL_CEN*"))</f>
        <v/>
      </c>
      <c r="F137" s="162"/>
      <c r="G137" s="162"/>
      <c r="H137" s="162"/>
      <c r="I137" s="159" t="str">
        <f t="shared" ref="I137:K140" si="18">IF($A$25="","",C137-F137)</f>
        <v/>
      </c>
      <c r="J137" s="159" t="str">
        <f t="shared" si="18"/>
        <v/>
      </c>
      <c r="K137" s="159" t="str">
        <f t="shared" si="18"/>
        <v/>
      </c>
      <c r="L137" s="159" t="str">
        <f>IF($A$25="","",IF(AND(ABS(I137)&lt;=10,ABS(J137)&lt;=10,ABS(K137)&lt;=10),"PASS","FAIL"))</f>
        <v/>
      </c>
    </row>
    <row r="138" spans="1:12" ht="15" customHeight="1" x14ac:dyDescent="0.3">
      <c r="A138" s="159"/>
      <c r="B138" s="159" t="str">
        <f>IF($A$25="","","Spring")</f>
        <v/>
      </c>
      <c r="C138" s="159" t="str">
        <f>IF($A$25="","",SUMIFS('Pupils Insert Table'!J:J,'Pupils Insert Table'!D:D,$A$25,'Pupils Insert Table'!E:E,"PUPIL_SPRING*"))</f>
        <v/>
      </c>
      <c r="D138" s="159" t="str">
        <f>IF($A$25="","",SUMIFS('Pupils Insert Table'!K:K,'Pupils Insert Table'!D:D,$A$25,'Pupils Insert Table'!E:E,"PUPIL_SPRING*"))</f>
        <v/>
      </c>
      <c r="E138" s="159" t="str">
        <f>IF($A$25="","",SUMIFS('Pupils Insert Table'!L:L,'Pupils Insert Table'!D:D,$A$25,'Pupils Insert Table'!E:E,"PUPIL_SPRING*"))</f>
        <v/>
      </c>
      <c r="F138" s="162"/>
      <c r="G138" s="162"/>
      <c r="H138" s="162"/>
      <c r="I138" s="159" t="str">
        <f t="shared" si="18"/>
        <v/>
      </c>
      <c r="J138" s="159" t="str">
        <f t="shared" si="18"/>
        <v/>
      </c>
      <c r="K138" s="159" t="str">
        <f t="shared" si="18"/>
        <v/>
      </c>
      <c r="L138" s="159" t="str">
        <f>IF($A$25="","",IF(AND(ABS(I138)&lt;=10,ABS(J138)&lt;=10,ABS(K138)&lt;=10),"PASS","FAIL"))</f>
        <v/>
      </c>
    </row>
    <row r="139" spans="1:12" ht="15" customHeight="1" x14ac:dyDescent="0.3">
      <c r="A139" s="159"/>
      <c r="B139" s="159" t="str">
        <f>IF($A$25="","","UIFSM")</f>
        <v/>
      </c>
      <c r="C139" s="159" t="str">
        <f>IF($A$25="","",SUMIFS('Pupils Insert Table'!J:J,'Pupils Insert Table'!D:D,$A$25,'Pupils Insert Table'!E:E,"PUPIL_UIFSM*"))</f>
        <v/>
      </c>
      <c r="D139" s="159" t="str">
        <f>IF($A$25="","",SUMIFS('Pupils Insert Table'!K:K,'Pupils Insert Table'!D:D,$A$25,'Pupils Insert Table'!E:E,"PUPIL_UIFSM*"))</f>
        <v/>
      </c>
      <c r="E139" s="159" t="str">
        <f>IF($A$25="","",SUMIFS('Pupils Insert Table'!L:L,'Pupils Insert Table'!D:D,$A$25,'Pupils Insert Table'!E:E,"PUPIL_UIFSM*"))</f>
        <v/>
      </c>
      <c r="F139" s="162"/>
      <c r="G139" s="162"/>
      <c r="H139" s="162"/>
      <c r="I139" s="159" t="str">
        <f t="shared" si="18"/>
        <v/>
      </c>
      <c r="J139" s="159" t="str">
        <f t="shared" si="18"/>
        <v/>
      </c>
      <c r="K139" s="159" t="str">
        <f t="shared" si="18"/>
        <v/>
      </c>
      <c r="L139" s="159" t="str">
        <f>IF($A$25="","",IF(AND(ABS(I139)&lt;=10,ABS(J139)&lt;=10,ABS(K139)&lt;=10),"PASS","FAIL"))</f>
        <v/>
      </c>
    </row>
    <row r="140" spans="1:12" ht="15" customHeight="1" x14ac:dyDescent="0.3">
      <c r="A140" s="159"/>
      <c r="B140" s="159" t="str">
        <f>IF($A$25="","","PP")</f>
        <v/>
      </c>
      <c r="C140" s="159" t="str">
        <f>IF($A$25="","",SUMIFS('Pupils Insert Table'!J:J,'Pupils Insert Table'!D:D,$A$25,'Pupils Insert Table'!E:E,"PUPILPREMIUM*"))</f>
        <v/>
      </c>
      <c r="D140" s="159" t="str">
        <f>IF($A$25="","",SUMIFS('Pupils Insert Table'!K:K,'Pupils Insert Table'!D:D,$A$25,'Pupils Insert Table'!E:E,"PUPILPREMIUM*"))</f>
        <v/>
      </c>
      <c r="E140" s="159" t="str">
        <f>IF($A$25="","",SUMIFS('Pupils Insert Table'!L:L,'Pupils Insert Table'!D:D,$A$25,'Pupils Insert Table'!E:E,"PUPILPREMIUM*"))</f>
        <v/>
      </c>
      <c r="F140" s="162"/>
      <c r="G140" s="162"/>
      <c r="H140" s="162"/>
      <c r="I140" s="159" t="str">
        <f t="shared" si="18"/>
        <v/>
      </c>
      <c r="J140" s="159" t="str">
        <f t="shared" si="18"/>
        <v/>
      </c>
      <c r="K140" s="159" t="str">
        <f t="shared" si="18"/>
        <v/>
      </c>
      <c r="L140" s="159" t="str">
        <f>IF($A$25="","",IF(AND(ABS(I140)&lt;=10,ABS(J140)&lt;=10,ABS(K140)&lt;=10),"PASS","FAIL"))</f>
        <v/>
      </c>
    </row>
    <row r="141" spans="1:12" ht="15" customHeight="1" x14ac:dyDescent="0.3">
      <c r="A141" s="159" t="str">
        <f>IF($A$26="","",$A$26)</f>
        <v/>
      </c>
      <c r="B141" s="159" t="str">
        <f>IF($A$26="","","Census")</f>
        <v/>
      </c>
      <c r="C141" s="159" t="str">
        <f>IF($A$26="","",SUMIFS('Pupils Insert Table'!J:J,'Pupils Insert Table'!D:D,$A$26,'Pupils Insert Table'!E:E,"PUPIL_CEN*"))</f>
        <v/>
      </c>
      <c r="D141" s="159" t="str">
        <f>IF($A$26="","",SUMIFS('Pupils Insert Table'!K:K,'Pupils Insert Table'!D:D,$A$26,'Pupils Insert Table'!E:E,"PUPIL_CEN*"))</f>
        <v/>
      </c>
      <c r="E141" s="159" t="str">
        <f>IF($A$26="","",SUMIFS('Pupils Insert Table'!L:L,'Pupils Insert Table'!D:D,$A$26,'Pupils Insert Table'!E:E,"PUPIL_CEN*"))</f>
        <v/>
      </c>
      <c r="F141" s="162"/>
      <c r="G141" s="162"/>
      <c r="H141" s="162"/>
      <c r="I141" s="159" t="str">
        <f t="shared" ref="I141:K144" si="19">IF($A$26="","",C141-F141)</f>
        <v/>
      </c>
      <c r="J141" s="159" t="str">
        <f t="shared" si="19"/>
        <v/>
      </c>
      <c r="K141" s="159" t="str">
        <f t="shared" si="19"/>
        <v/>
      </c>
      <c r="L141" s="159" t="str">
        <f>IF($A$26="","",IF(AND(ABS(I141)&lt;=10,ABS(J141)&lt;=10,ABS(K141)&lt;=10),"PASS","FAIL"))</f>
        <v/>
      </c>
    </row>
    <row r="142" spans="1:12" ht="15" customHeight="1" x14ac:dyDescent="0.3">
      <c r="A142" s="159"/>
      <c r="B142" s="159" t="str">
        <f>IF($A$26="","","Spring")</f>
        <v/>
      </c>
      <c r="C142" s="159" t="str">
        <f>IF($A$26="","",SUMIFS('Pupils Insert Table'!J:J,'Pupils Insert Table'!D:D,$A$26,'Pupils Insert Table'!E:E,"PUPIL_SPRING*"))</f>
        <v/>
      </c>
      <c r="D142" s="159" t="str">
        <f>IF($A$26="","",SUMIFS('Pupils Insert Table'!K:K,'Pupils Insert Table'!D:D,$A$26,'Pupils Insert Table'!E:E,"PUPIL_SPRING*"))</f>
        <v/>
      </c>
      <c r="E142" s="159" t="str">
        <f>IF($A$26="","",SUMIFS('Pupils Insert Table'!L:L,'Pupils Insert Table'!D:D,$A$26,'Pupils Insert Table'!E:E,"PUPIL_SPRING*"))</f>
        <v/>
      </c>
      <c r="F142" s="162"/>
      <c r="G142" s="162"/>
      <c r="H142" s="162"/>
      <c r="I142" s="159" t="str">
        <f t="shared" si="19"/>
        <v/>
      </c>
      <c r="J142" s="159" t="str">
        <f t="shared" si="19"/>
        <v/>
      </c>
      <c r="K142" s="159" t="str">
        <f t="shared" si="19"/>
        <v/>
      </c>
      <c r="L142" s="159" t="str">
        <f>IF($A$26="","",IF(AND(ABS(I142)&lt;=10,ABS(J142)&lt;=10,ABS(K142)&lt;=10),"PASS","FAIL"))</f>
        <v/>
      </c>
    </row>
    <row r="143" spans="1:12" ht="15" customHeight="1" x14ac:dyDescent="0.3">
      <c r="A143" s="159"/>
      <c r="B143" s="159" t="str">
        <f>IF($A$26="","","UIFSM")</f>
        <v/>
      </c>
      <c r="C143" s="159" t="str">
        <f>IF($A$26="","",SUMIFS('Pupils Insert Table'!J:J,'Pupils Insert Table'!D:D,$A$26,'Pupils Insert Table'!E:E,"PUPIL_UIFSM*"))</f>
        <v/>
      </c>
      <c r="D143" s="159" t="str">
        <f>IF($A$26="","",SUMIFS('Pupils Insert Table'!K:K,'Pupils Insert Table'!D:D,$A$26,'Pupils Insert Table'!E:E,"PUPIL_UIFSM*"))</f>
        <v/>
      </c>
      <c r="E143" s="159" t="str">
        <f>IF($A$26="","",SUMIFS('Pupils Insert Table'!L:L,'Pupils Insert Table'!D:D,$A$26,'Pupils Insert Table'!E:E,"PUPIL_UIFSM*"))</f>
        <v/>
      </c>
      <c r="F143" s="162"/>
      <c r="G143" s="162"/>
      <c r="H143" s="162"/>
      <c r="I143" s="159" t="str">
        <f t="shared" si="19"/>
        <v/>
      </c>
      <c r="J143" s="159" t="str">
        <f t="shared" si="19"/>
        <v/>
      </c>
      <c r="K143" s="159" t="str">
        <f t="shared" si="19"/>
        <v/>
      </c>
      <c r="L143" s="159" t="str">
        <f>IF($A$26="","",IF(AND(ABS(I143)&lt;=10,ABS(J143)&lt;=10,ABS(K143)&lt;=10),"PASS","FAIL"))</f>
        <v/>
      </c>
    </row>
    <row r="144" spans="1:12" ht="15" customHeight="1" x14ac:dyDescent="0.3">
      <c r="A144" s="159"/>
      <c r="B144" s="159" t="str">
        <f>IF($A$26="","","PP")</f>
        <v/>
      </c>
      <c r="C144" s="159" t="str">
        <f>IF($A$26="","",SUMIFS('Pupils Insert Table'!J:J,'Pupils Insert Table'!D:D,$A$26,'Pupils Insert Table'!E:E,"PUPILPREMIUM*"))</f>
        <v/>
      </c>
      <c r="D144" s="159" t="str">
        <f>IF($A$26="","",SUMIFS('Pupils Insert Table'!K:K,'Pupils Insert Table'!D:D,$A$26,'Pupils Insert Table'!E:E,"PUPILPREMIUM*"))</f>
        <v/>
      </c>
      <c r="E144" s="159" t="str">
        <f>IF($A$26="","",SUMIFS('Pupils Insert Table'!L:L,'Pupils Insert Table'!D:D,$A$26,'Pupils Insert Table'!E:E,"PUPILPREMIUM*"))</f>
        <v/>
      </c>
      <c r="F144" s="162"/>
      <c r="G144" s="162"/>
      <c r="H144" s="162"/>
      <c r="I144" s="159" t="str">
        <f t="shared" si="19"/>
        <v/>
      </c>
      <c r="J144" s="159" t="str">
        <f t="shared" si="19"/>
        <v/>
      </c>
      <c r="K144" s="159" t="str">
        <f t="shared" si="19"/>
        <v/>
      </c>
      <c r="L144" s="159" t="str">
        <f>IF($A$26="","",IF(AND(ABS(I144)&lt;=10,ABS(J144)&lt;=10,ABS(K144)&lt;=10),"PASS","FAIL"))</f>
        <v/>
      </c>
    </row>
    <row r="147" spans="1:9" ht="15" customHeight="1" x14ac:dyDescent="0.3">
      <c r="A147" s="182" t="s">
        <v>2659</v>
      </c>
      <c r="B147" s="182"/>
      <c r="C147" s="182"/>
      <c r="D147" s="182"/>
      <c r="E147" s="182"/>
      <c r="F147" s="182"/>
      <c r="G147" s="182"/>
      <c r="H147" s="182"/>
      <c r="I147" s="182"/>
    </row>
    <row r="149" spans="1:9" ht="15" customHeight="1" x14ac:dyDescent="0.3">
      <c r="A149" s="157" t="s">
        <v>1408</v>
      </c>
      <c r="B149" s="157" t="s">
        <v>2660</v>
      </c>
      <c r="C149" s="157" t="s">
        <v>2661</v>
      </c>
      <c r="D149" s="157" t="s">
        <v>2662</v>
      </c>
      <c r="E149" s="157" t="s">
        <v>2663</v>
      </c>
      <c r="F149" s="157" t="s">
        <v>1614</v>
      </c>
      <c r="G149" s="157" t="s">
        <v>44</v>
      </c>
      <c r="H149" s="157" t="s">
        <v>2622</v>
      </c>
    </row>
    <row r="150" spans="1:9" ht="15" customHeight="1" x14ac:dyDescent="0.3">
      <c r="A150" s="159" t="str">
        <f>IF($A$7="","",$A$7)</f>
        <v>TLT</v>
      </c>
      <c r="B150" s="159">
        <f>IF($A$7="","",IF($B$29="",0,SUMIFS(ScenarioApBud!AN:AN,ScenarioApBud!AB:AB,$A$7,ScenarioApBud!AA:AA,$B$29))+IF($B$30="",0,SUMIFS(ScenarioApBud!AN:AN,ScenarioApBud!AB:AB,$A$7,ScenarioApBud!AA:AA,$B$30))+IF($B$31="",0,SUMIFS(ScenarioApBud!AN:AN,ScenarioApBud!AB:AB,$A$7,ScenarioApBud!AA:AA,$B$31)))</f>
        <v>0</v>
      </c>
      <c r="C150" s="159">
        <f>IF($A$7="","",IF($B$32="",0,SUMIFS(ScenarioApBud!AN:AN,ScenarioApBud!AB:AB,$A$7,ScenarioApBud!AA:AA,$B$32))+IF($B$33="",0,SUMIFS(ScenarioApBud!AN:AN,ScenarioApBud!AB:AB,$A$7,ScenarioApBud!AA:AA,$B$33))+IF($B$34="",0,SUMIFS(ScenarioApBud!AN:AN,ScenarioApBud!AB:AB,$A$7,ScenarioApBud!AA:AA,$B$34)))</f>
        <v>0</v>
      </c>
      <c r="D150" s="159">
        <f>IF($A$7="","",B150+C150)</f>
        <v>0</v>
      </c>
      <c r="E150" s="162"/>
      <c r="F150" s="159">
        <f>IF($A$7="","",D150-E150)</f>
        <v>0</v>
      </c>
      <c r="G150" s="163"/>
      <c r="H150" s="159" t="str">
        <f>IF($A$7="","",IF(ABS(F150)&lt;=10,"PASS","FAIL"))</f>
        <v>PASS</v>
      </c>
    </row>
    <row r="151" spans="1:9" ht="15" customHeight="1" x14ac:dyDescent="0.3">
      <c r="A151" s="159" t="str">
        <f>IF($A$8="","",$A$8)</f>
        <v>BBP</v>
      </c>
      <c r="B151" s="159">
        <f>IF($A$8="","",IF($B$29="",0,SUMIFS(ScenarioApBud!AN:AN,ScenarioApBud!AB:AB,$A$8,ScenarioApBud!AA:AA,$B$29))+IF($B$30="",0,SUMIFS(ScenarioApBud!AN:AN,ScenarioApBud!AB:AB,$A$8,ScenarioApBud!AA:AA,$B$30))+IF($B$31="",0,SUMIFS(ScenarioApBud!AN:AN,ScenarioApBud!AB:AB,$A$8,ScenarioApBud!AA:AA,$B$31)))</f>
        <v>0</v>
      </c>
      <c r="C151" s="159">
        <f>IF($A$8="","",IF($B$32="",0,SUMIFS(ScenarioApBud!AN:AN,ScenarioApBud!AB:AB,$A$8,ScenarioApBud!AA:AA,$B$32))+IF($B$33="",0,SUMIFS(ScenarioApBud!AN:AN,ScenarioApBud!AB:AB,$A$8,ScenarioApBud!AA:AA,$B$33))+IF($B$34="",0,SUMIFS(ScenarioApBud!AN:AN,ScenarioApBud!AB:AB,$A$8,ScenarioApBud!AA:AA,$B$34)))</f>
        <v>0</v>
      </c>
      <c r="D151" s="159">
        <f>IF($A$8="","",B151+C151)</f>
        <v>0</v>
      </c>
      <c r="E151" s="162"/>
      <c r="F151" s="159">
        <f>IF($A$8="","",D151-E151)</f>
        <v>0</v>
      </c>
      <c r="G151" s="163"/>
      <c r="H151" s="159" t="str">
        <f>IF($A$8="","",IF(ABS(F151)&lt;=10,"PASS","FAIL"))</f>
        <v>PASS</v>
      </c>
    </row>
    <row r="152" spans="1:9" ht="15" customHeight="1" x14ac:dyDescent="0.3">
      <c r="A152" s="159" t="str">
        <f>IF($A$9="","",$A$9)</f>
        <v>LCP</v>
      </c>
      <c r="B152" s="159">
        <f>IF($A$9="","",IF($B$29="",0,SUMIFS(ScenarioApBud!AN:AN,ScenarioApBud!AB:AB,$A$9,ScenarioApBud!AA:AA,$B$29))+IF($B$30="",0,SUMIFS(ScenarioApBud!AN:AN,ScenarioApBud!AB:AB,$A$9,ScenarioApBud!AA:AA,$B$30))+IF($B$31="",0,SUMIFS(ScenarioApBud!AN:AN,ScenarioApBud!AB:AB,$A$9,ScenarioApBud!AA:AA,$B$31)))</f>
        <v>0</v>
      </c>
      <c r="C152" s="159">
        <f>IF($A$9="","",IF($B$32="",0,SUMIFS(ScenarioApBud!AN:AN,ScenarioApBud!AB:AB,$A$9,ScenarioApBud!AA:AA,$B$32))+IF($B$33="",0,SUMIFS(ScenarioApBud!AN:AN,ScenarioApBud!AB:AB,$A$9,ScenarioApBud!AA:AA,$B$33))+IF($B$34="",0,SUMIFS(ScenarioApBud!AN:AN,ScenarioApBud!AB:AB,$A$9,ScenarioApBud!AA:AA,$B$34)))</f>
        <v>0</v>
      </c>
      <c r="D152" s="159">
        <f>IF($A$9="","",B152+C152)</f>
        <v>0</v>
      </c>
      <c r="E152" s="162"/>
      <c r="F152" s="159">
        <f>IF($A$9="","",D152-E152)</f>
        <v>0</v>
      </c>
      <c r="G152" s="163"/>
      <c r="H152" s="159" t="str">
        <f>IF($A$9="","",IF(ABS(F152)&lt;=10,"PASS","FAIL"))</f>
        <v>PASS</v>
      </c>
    </row>
    <row r="153" spans="1:9" ht="15" customHeight="1" x14ac:dyDescent="0.3">
      <c r="A153" s="159" t="str">
        <f>IF($A$10="","",$A$10)</f>
        <v>MMP</v>
      </c>
      <c r="B153" s="159">
        <f>IF($A$10="","",IF($B$29="",0,SUMIFS(ScenarioApBud!AN:AN,ScenarioApBud!AB:AB,$A$10,ScenarioApBud!AA:AA,$B$29))+IF($B$30="",0,SUMIFS(ScenarioApBud!AN:AN,ScenarioApBud!AB:AB,$A$10,ScenarioApBud!AA:AA,$B$30))+IF($B$31="",0,SUMIFS(ScenarioApBud!AN:AN,ScenarioApBud!AB:AB,$A$10,ScenarioApBud!AA:AA,$B$31)))</f>
        <v>0</v>
      </c>
      <c r="C153" s="159">
        <f>IF($A$10="","",IF($B$32="",0,SUMIFS(ScenarioApBud!AN:AN,ScenarioApBud!AB:AB,$A$10,ScenarioApBud!AA:AA,$B$32))+IF($B$33="",0,SUMIFS(ScenarioApBud!AN:AN,ScenarioApBud!AB:AB,$A$10,ScenarioApBud!AA:AA,$B$33))+IF($B$34="",0,SUMIFS(ScenarioApBud!AN:AN,ScenarioApBud!AB:AB,$A$10,ScenarioApBud!AA:AA,$B$34)))</f>
        <v>0</v>
      </c>
      <c r="D153" s="159">
        <f>IF($A$10="","",B153+C153)</f>
        <v>0</v>
      </c>
      <c r="E153" s="162"/>
      <c r="F153" s="159">
        <f>IF($A$10="","",D153-E153)</f>
        <v>0</v>
      </c>
      <c r="G153" s="163"/>
      <c r="H153" s="159" t="str">
        <f>IF($A$10="","",IF(ABS(F153)&lt;=10,"PASS","FAIL"))</f>
        <v>PASS</v>
      </c>
    </row>
    <row r="154" spans="1:9" ht="15" customHeight="1" x14ac:dyDescent="0.3">
      <c r="A154" s="159" t="str">
        <f>IF($A$11="","",$A$11)</f>
        <v>NIN</v>
      </c>
      <c r="B154" s="159">
        <f>IF($A$11="","",IF($B$29="",0,SUMIFS(ScenarioApBud!AN:AN,ScenarioApBud!AB:AB,$A$11,ScenarioApBud!AA:AA,$B$29))+IF($B$30="",0,SUMIFS(ScenarioApBud!AN:AN,ScenarioApBud!AB:AB,$A$11,ScenarioApBud!AA:AA,$B$30))+IF($B$31="",0,SUMIFS(ScenarioApBud!AN:AN,ScenarioApBud!AB:AB,$A$11,ScenarioApBud!AA:AA,$B$31)))</f>
        <v>0</v>
      </c>
      <c r="C154" s="159">
        <f>IF($A$11="","",IF($B$32="",0,SUMIFS(ScenarioApBud!AN:AN,ScenarioApBud!AB:AB,$A$11,ScenarioApBud!AA:AA,$B$32))+IF($B$33="",0,SUMIFS(ScenarioApBud!AN:AN,ScenarioApBud!AB:AB,$A$11,ScenarioApBud!AA:AA,$B$33))+IF($B$34="",0,SUMIFS(ScenarioApBud!AN:AN,ScenarioApBud!AB:AB,$A$11,ScenarioApBud!AA:AA,$B$34)))</f>
        <v>0</v>
      </c>
      <c r="D154" s="159">
        <f>IF($A$11="","",B154+C154)</f>
        <v>0</v>
      </c>
      <c r="E154" s="162"/>
      <c r="F154" s="159">
        <f>IF($A$11="","",D154-E154)</f>
        <v>0</v>
      </c>
      <c r="G154" s="163"/>
      <c r="H154" s="159" t="str">
        <f>IF($A$11="","",IF(ABS(F154)&lt;=10,"PASS","FAIL"))</f>
        <v>PASS</v>
      </c>
    </row>
    <row r="155" spans="1:9" ht="15" customHeight="1" x14ac:dyDescent="0.3">
      <c r="A155" s="159" t="str">
        <f>IF($A$12="","",$A$12)</f>
        <v>SRA</v>
      </c>
      <c r="B155" s="159">
        <f>IF($A$12="","",IF($B$29="",0,SUMIFS(ScenarioApBud!AN:AN,ScenarioApBud!AB:AB,$A$12,ScenarioApBud!AA:AA,$B$29))+IF($B$30="",0,SUMIFS(ScenarioApBud!AN:AN,ScenarioApBud!AB:AB,$A$12,ScenarioApBud!AA:AA,$B$30))+IF($B$31="",0,SUMIFS(ScenarioApBud!AN:AN,ScenarioApBud!AB:AB,$A$12,ScenarioApBud!AA:AA,$B$31)))</f>
        <v>0</v>
      </c>
      <c r="C155" s="159">
        <f>IF($A$12="","",IF($B$32="",0,SUMIFS(ScenarioApBud!AN:AN,ScenarioApBud!AB:AB,$A$12,ScenarioApBud!AA:AA,$B$32))+IF($B$33="",0,SUMIFS(ScenarioApBud!AN:AN,ScenarioApBud!AB:AB,$A$12,ScenarioApBud!AA:AA,$B$33))+IF($B$34="",0,SUMIFS(ScenarioApBud!AN:AN,ScenarioApBud!AB:AB,$A$12,ScenarioApBud!AA:AA,$B$34)))</f>
        <v>0</v>
      </c>
      <c r="D155" s="159">
        <f>IF($A$12="","",B155+C155)</f>
        <v>0</v>
      </c>
      <c r="E155" s="162"/>
      <c r="F155" s="159">
        <f>IF($A$12="","",D155-E155)</f>
        <v>0</v>
      </c>
      <c r="G155" s="163"/>
      <c r="H155" s="159" t="str">
        <f>IF($A$12="","",IF(ABS(F155)&lt;=10,"PASS","FAIL"))</f>
        <v>PASS</v>
      </c>
    </row>
    <row r="156" spans="1:9" ht="15" customHeight="1" x14ac:dyDescent="0.3">
      <c r="A156" s="159" t="str">
        <f>IF($A$13="","",$A$13)</f>
        <v>BBS</v>
      </c>
      <c r="B156" s="159">
        <f>IF($A$13="","",IF($B$29="",0,SUMIFS(ScenarioApBud!AN:AN,ScenarioApBud!AB:AB,$A$13,ScenarioApBud!AA:AA,$B$29))+IF($B$30="",0,SUMIFS(ScenarioApBud!AN:AN,ScenarioApBud!AB:AB,$A$13,ScenarioApBud!AA:AA,$B$30))+IF($B$31="",0,SUMIFS(ScenarioApBud!AN:AN,ScenarioApBud!AB:AB,$A$13,ScenarioApBud!AA:AA,$B$31)))</f>
        <v>0</v>
      </c>
      <c r="C156" s="159">
        <f>IF($A$13="","",IF($B$32="",0,SUMIFS(ScenarioApBud!AN:AN,ScenarioApBud!AB:AB,$A$13,ScenarioApBud!AA:AA,$B$32))+IF($B$33="",0,SUMIFS(ScenarioApBud!AN:AN,ScenarioApBud!AB:AB,$A$13,ScenarioApBud!AA:AA,$B$33))+IF($B$34="",0,SUMIFS(ScenarioApBud!AN:AN,ScenarioApBud!AB:AB,$A$13,ScenarioApBud!AA:AA,$B$34)))</f>
        <v>0</v>
      </c>
      <c r="D156" s="159">
        <f>IF($A$13="","",B156+C156)</f>
        <v>0</v>
      </c>
      <c r="E156" s="162"/>
      <c r="F156" s="159">
        <f>IF($A$13="","",D156-E156)</f>
        <v>0</v>
      </c>
      <c r="G156" s="163"/>
      <c r="H156" s="159" t="str">
        <f>IF($A$13="","",IF(ABS(F156)&lt;=10,"PASS","FAIL"))</f>
        <v>PASS</v>
      </c>
    </row>
    <row r="157" spans="1:9" ht="15" customHeight="1" x14ac:dyDescent="0.3">
      <c r="A157" s="159" t="str">
        <f>IF($A$14="","",$A$14)</f>
        <v>HHS</v>
      </c>
      <c r="B157" s="159">
        <f>IF($A$14="","",IF($B$29="",0,SUMIFS(ScenarioApBud!AN:AN,ScenarioApBud!AB:AB,$A$14,ScenarioApBud!AA:AA,$B$29))+IF($B$30="",0,SUMIFS(ScenarioApBud!AN:AN,ScenarioApBud!AB:AB,$A$14,ScenarioApBud!AA:AA,$B$30))+IF($B$31="",0,SUMIFS(ScenarioApBud!AN:AN,ScenarioApBud!AB:AB,$A$14,ScenarioApBud!AA:AA,$B$31)))</f>
        <v>0</v>
      </c>
      <c r="C157" s="159">
        <f>IF($A$14="","",IF($B$32="",0,SUMIFS(ScenarioApBud!AN:AN,ScenarioApBud!AB:AB,$A$14,ScenarioApBud!AA:AA,$B$32))+IF($B$33="",0,SUMIFS(ScenarioApBud!AN:AN,ScenarioApBud!AB:AB,$A$14,ScenarioApBud!AA:AA,$B$33))+IF($B$34="",0,SUMIFS(ScenarioApBud!AN:AN,ScenarioApBud!AB:AB,$A$14,ScenarioApBud!AA:AA,$B$34)))</f>
        <v>0</v>
      </c>
      <c r="D157" s="159">
        <f>IF($A$14="","",B157+C157)</f>
        <v>0</v>
      </c>
      <c r="E157" s="162"/>
      <c r="F157" s="159">
        <f>IF($A$14="","",D157-E157)</f>
        <v>0</v>
      </c>
      <c r="G157" s="163"/>
      <c r="H157" s="159" t="str">
        <f>IF($A$14="","",IF(ABS(F157)&lt;=10,"PASS","FAIL"))</f>
        <v>PASS</v>
      </c>
    </row>
    <row r="158" spans="1:9" ht="15" customHeight="1" x14ac:dyDescent="0.3">
      <c r="A158" s="159" t="str">
        <f>IF($A$15="","",$A$15)</f>
        <v>RVS</v>
      </c>
      <c r="B158" s="159">
        <f>IF($A$15="","",IF($B$29="",0,SUMIFS(ScenarioApBud!AN:AN,ScenarioApBud!AB:AB,$A$15,ScenarioApBud!AA:AA,$B$29))+IF($B$30="",0,SUMIFS(ScenarioApBud!AN:AN,ScenarioApBud!AB:AB,$A$15,ScenarioApBud!AA:AA,$B$30))+IF($B$31="",0,SUMIFS(ScenarioApBud!AN:AN,ScenarioApBud!AB:AB,$A$15,ScenarioApBud!AA:AA,$B$31)))</f>
        <v>0</v>
      </c>
      <c r="C158" s="159">
        <f>IF($A$15="","",IF($B$32="",0,SUMIFS(ScenarioApBud!AN:AN,ScenarioApBud!AB:AB,$A$15,ScenarioApBud!AA:AA,$B$32))+IF($B$33="",0,SUMIFS(ScenarioApBud!AN:AN,ScenarioApBud!AB:AB,$A$15,ScenarioApBud!AA:AA,$B$33))+IF($B$34="",0,SUMIFS(ScenarioApBud!AN:AN,ScenarioApBud!AB:AB,$A$15,ScenarioApBud!AA:AA,$B$34)))</f>
        <v>0</v>
      </c>
      <c r="D158" s="159">
        <f>IF($A$15="","",B158+C158)</f>
        <v>0</v>
      </c>
      <c r="E158" s="162"/>
      <c r="F158" s="159">
        <f>IF($A$15="","",D158-E158)</f>
        <v>0</v>
      </c>
      <c r="G158" s="163"/>
      <c r="H158" s="159" t="str">
        <f>IF($A$15="","",IF(ABS(F158)&lt;=10,"PASS","FAIL"))</f>
        <v>PASS</v>
      </c>
    </row>
    <row r="159" spans="1:9" ht="15" customHeight="1" x14ac:dyDescent="0.3">
      <c r="A159" s="159" t="str">
        <f>IF($A$16="","",$A$16)</f>
        <v>CHS</v>
      </c>
      <c r="B159" s="159">
        <f>IF($A$16="","",IF($B$29="",0,SUMIFS(ScenarioApBud!AN:AN,ScenarioApBud!AB:AB,$A$16,ScenarioApBud!AA:AA,$B$29))+IF($B$30="",0,SUMIFS(ScenarioApBud!AN:AN,ScenarioApBud!AB:AB,$A$16,ScenarioApBud!AA:AA,$B$30))+IF($B$31="",0,SUMIFS(ScenarioApBud!AN:AN,ScenarioApBud!AB:AB,$A$16,ScenarioApBud!AA:AA,$B$31)))</f>
        <v>0</v>
      </c>
      <c r="C159" s="159">
        <f>IF($A$16="","",IF($B$32="",0,SUMIFS(ScenarioApBud!AN:AN,ScenarioApBud!AB:AB,$A$16,ScenarioApBud!AA:AA,$B$32))+IF($B$33="",0,SUMIFS(ScenarioApBud!AN:AN,ScenarioApBud!AB:AB,$A$16,ScenarioApBud!AA:AA,$B$33))+IF($B$34="",0,SUMIFS(ScenarioApBud!AN:AN,ScenarioApBud!AB:AB,$A$16,ScenarioApBud!AA:AA,$B$34)))</f>
        <v>0</v>
      </c>
      <c r="D159" s="159">
        <f>IF($A$16="","",B159+C159)</f>
        <v>0</v>
      </c>
      <c r="E159" s="162"/>
      <c r="F159" s="159">
        <f>IF($A$16="","",D159-E159)</f>
        <v>0</v>
      </c>
      <c r="G159" s="163"/>
      <c r="H159" s="159" t="str">
        <f>IF($A$16="","",IF(ABS(F159)&lt;=10,"PASS","FAIL"))</f>
        <v>PASS</v>
      </c>
    </row>
    <row r="160" spans="1:9" ht="15" customHeight="1" x14ac:dyDescent="0.3">
      <c r="A160" s="159" t="str">
        <f>IF($A$17="","",$A$17)</f>
        <v/>
      </c>
      <c r="B160" s="159" t="str">
        <f>IF($A$17="","",IF($B$29="",0,SUMIFS(ScenarioApBud!AN:AN,ScenarioApBud!AB:AB,$A$17,ScenarioApBud!AA:AA,$B$29))+IF($B$30="",0,SUMIFS(ScenarioApBud!AN:AN,ScenarioApBud!AB:AB,$A$17,ScenarioApBud!AA:AA,$B$30))+IF($B$31="",0,SUMIFS(ScenarioApBud!AN:AN,ScenarioApBud!AB:AB,$A$17,ScenarioApBud!AA:AA,$B$31)))</f>
        <v/>
      </c>
      <c r="C160" s="159" t="str">
        <f>IF($A$17="","",IF($B$32="",0,SUMIFS(ScenarioApBud!AN:AN,ScenarioApBud!AB:AB,$A$17,ScenarioApBud!AA:AA,$B$32))+IF($B$33="",0,SUMIFS(ScenarioApBud!AN:AN,ScenarioApBud!AB:AB,$A$17,ScenarioApBud!AA:AA,$B$33))+IF($B$34="",0,SUMIFS(ScenarioApBud!AN:AN,ScenarioApBud!AB:AB,$A$17,ScenarioApBud!AA:AA,$B$34)))</f>
        <v/>
      </c>
      <c r="D160" s="159" t="str">
        <f>IF($A$17="","",B160+C160)</f>
        <v/>
      </c>
      <c r="E160" s="162"/>
      <c r="F160" s="159" t="str">
        <f>IF($A$17="","",D160-E160)</f>
        <v/>
      </c>
      <c r="G160" s="163"/>
      <c r="H160" s="159" t="str">
        <f>IF($A$17="","",IF(ABS(F160)&lt;=10,"PASS","FAIL"))</f>
        <v/>
      </c>
    </row>
    <row r="161" spans="1:8" ht="15" customHeight="1" x14ac:dyDescent="0.3">
      <c r="A161" s="159" t="str">
        <f>IF($A$18="","",$A$18)</f>
        <v/>
      </c>
      <c r="B161" s="159" t="str">
        <f>IF($A$18="","",IF($B$29="",0,SUMIFS(ScenarioApBud!AN:AN,ScenarioApBud!AB:AB,$A$18,ScenarioApBud!AA:AA,$B$29))+IF($B$30="",0,SUMIFS(ScenarioApBud!AN:AN,ScenarioApBud!AB:AB,$A$18,ScenarioApBud!AA:AA,$B$30))+IF($B$31="",0,SUMIFS(ScenarioApBud!AN:AN,ScenarioApBud!AB:AB,$A$18,ScenarioApBud!AA:AA,$B$31)))</f>
        <v/>
      </c>
      <c r="C161" s="159" t="str">
        <f>IF($A$18="","",IF($B$32="",0,SUMIFS(ScenarioApBud!AN:AN,ScenarioApBud!AB:AB,$A$18,ScenarioApBud!AA:AA,$B$32))+IF($B$33="",0,SUMIFS(ScenarioApBud!AN:AN,ScenarioApBud!AB:AB,$A$18,ScenarioApBud!AA:AA,$B$33))+IF($B$34="",0,SUMIFS(ScenarioApBud!AN:AN,ScenarioApBud!AB:AB,$A$18,ScenarioApBud!AA:AA,$B$34)))</f>
        <v/>
      </c>
      <c r="D161" s="159" t="str">
        <f>IF($A$18="","",B161+C161)</f>
        <v/>
      </c>
      <c r="E161" s="162"/>
      <c r="F161" s="159" t="str">
        <f>IF($A$18="","",D161-E161)</f>
        <v/>
      </c>
      <c r="G161" s="163"/>
      <c r="H161" s="159" t="str">
        <f>IF($A$18="","",IF(ABS(F161)&lt;=10,"PASS","FAIL"))</f>
        <v/>
      </c>
    </row>
    <row r="162" spans="1:8" ht="15" customHeight="1" x14ac:dyDescent="0.3">
      <c r="A162" s="159" t="str">
        <f>IF($A$19="","",$A$19)</f>
        <v/>
      </c>
      <c r="B162" s="159" t="str">
        <f>IF($A$19="","",IF($B$29="",0,SUMIFS(ScenarioApBud!AN:AN,ScenarioApBud!AB:AB,$A$19,ScenarioApBud!AA:AA,$B$29))+IF($B$30="",0,SUMIFS(ScenarioApBud!AN:AN,ScenarioApBud!AB:AB,$A$19,ScenarioApBud!AA:AA,$B$30))+IF($B$31="",0,SUMIFS(ScenarioApBud!AN:AN,ScenarioApBud!AB:AB,$A$19,ScenarioApBud!AA:AA,$B$31)))</f>
        <v/>
      </c>
      <c r="C162" s="159" t="str">
        <f>IF($A$19="","",IF($B$32="",0,SUMIFS(ScenarioApBud!AN:AN,ScenarioApBud!AB:AB,$A$19,ScenarioApBud!AA:AA,$B$32))+IF($B$33="",0,SUMIFS(ScenarioApBud!AN:AN,ScenarioApBud!AB:AB,$A$19,ScenarioApBud!AA:AA,$B$33))+IF($B$34="",0,SUMIFS(ScenarioApBud!AN:AN,ScenarioApBud!AB:AB,$A$19,ScenarioApBud!AA:AA,$B$34)))</f>
        <v/>
      </c>
      <c r="D162" s="159" t="str">
        <f>IF($A$19="","",B162+C162)</f>
        <v/>
      </c>
      <c r="E162" s="162"/>
      <c r="F162" s="159" t="str">
        <f>IF($A$19="","",D162-E162)</f>
        <v/>
      </c>
      <c r="G162" s="163"/>
      <c r="H162" s="159" t="str">
        <f>IF($A$19="","",IF(ABS(F162)&lt;=10,"PASS","FAIL"))</f>
        <v/>
      </c>
    </row>
    <row r="163" spans="1:8" ht="15" customHeight="1" x14ac:dyDescent="0.3">
      <c r="A163" s="159" t="str">
        <f>IF($A$20="","",$A$20)</f>
        <v/>
      </c>
      <c r="B163" s="159" t="str">
        <f>IF($A$20="","",IF($B$29="",0,SUMIFS(ScenarioApBud!AN:AN,ScenarioApBud!AB:AB,$A$20,ScenarioApBud!AA:AA,$B$29))+IF($B$30="",0,SUMIFS(ScenarioApBud!AN:AN,ScenarioApBud!AB:AB,$A$20,ScenarioApBud!AA:AA,$B$30))+IF($B$31="",0,SUMIFS(ScenarioApBud!AN:AN,ScenarioApBud!AB:AB,$A$20,ScenarioApBud!AA:AA,$B$31)))</f>
        <v/>
      </c>
      <c r="C163" s="159" t="str">
        <f>IF($A$20="","",IF($B$32="",0,SUMIFS(ScenarioApBud!AN:AN,ScenarioApBud!AB:AB,$A$20,ScenarioApBud!AA:AA,$B$32))+IF($B$33="",0,SUMIFS(ScenarioApBud!AN:AN,ScenarioApBud!AB:AB,$A$20,ScenarioApBud!AA:AA,$B$33))+IF($B$34="",0,SUMIFS(ScenarioApBud!AN:AN,ScenarioApBud!AB:AB,$A$20,ScenarioApBud!AA:AA,$B$34)))</f>
        <v/>
      </c>
      <c r="D163" s="159" t="str">
        <f>IF($A$20="","",B163+C163)</f>
        <v/>
      </c>
      <c r="E163" s="162"/>
      <c r="F163" s="159" t="str">
        <f>IF($A$20="","",D163-E163)</f>
        <v/>
      </c>
      <c r="G163" s="163"/>
      <c r="H163" s="159" t="str">
        <f>IF($A$20="","",IF(ABS(F163)&lt;=10,"PASS","FAIL"))</f>
        <v/>
      </c>
    </row>
    <row r="164" spans="1:8" ht="15" customHeight="1" x14ac:dyDescent="0.3">
      <c r="A164" s="159" t="str">
        <f>IF($A$21="","",$A$21)</f>
        <v/>
      </c>
      <c r="B164" s="159" t="str">
        <f>IF($A$21="","",IF($B$29="",0,SUMIFS(ScenarioApBud!AN:AN,ScenarioApBud!AB:AB,$A$21,ScenarioApBud!AA:AA,$B$29))+IF($B$30="",0,SUMIFS(ScenarioApBud!AN:AN,ScenarioApBud!AB:AB,$A$21,ScenarioApBud!AA:AA,$B$30))+IF($B$31="",0,SUMIFS(ScenarioApBud!AN:AN,ScenarioApBud!AB:AB,$A$21,ScenarioApBud!AA:AA,$B$31)))</f>
        <v/>
      </c>
      <c r="C164" s="159" t="str">
        <f>IF($A$21="","",IF($B$32="",0,SUMIFS(ScenarioApBud!AN:AN,ScenarioApBud!AB:AB,$A$21,ScenarioApBud!AA:AA,$B$32))+IF($B$33="",0,SUMIFS(ScenarioApBud!AN:AN,ScenarioApBud!AB:AB,$A$21,ScenarioApBud!AA:AA,$B$33))+IF($B$34="",0,SUMIFS(ScenarioApBud!AN:AN,ScenarioApBud!AB:AB,$A$21,ScenarioApBud!AA:AA,$B$34)))</f>
        <v/>
      </c>
      <c r="D164" s="159" t="str">
        <f>IF($A$21="","",B164+C164)</f>
        <v/>
      </c>
      <c r="E164" s="162"/>
      <c r="F164" s="159" t="str">
        <f>IF($A$21="","",D164-E164)</f>
        <v/>
      </c>
      <c r="G164" s="163"/>
      <c r="H164" s="159" t="str">
        <f>IF($A$21="","",IF(ABS(F164)&lt;=10,"PASS","FAIL"))</f>
        <v/>
      </c>
    </row>
    <row r="165" spans="1:8" ht="15" customHeight="1" x14ac:dyDescent="0.3">
      <c r="A165" s="159" t="str">
        <f>IF($A$22="","",$A$22)</f>
        <v/>
      </c>
      <c r="B165" s="159" t="str">
        <f>IF($A$22="","",IF($B$29="",0,SUMIFS(ScenarioApBud!AN:AN,ScenarioApBud!AB:AB,$A$22,ScenarioApBud!AA:AA,$B$29))+IF($B$30="",0,SUMIFS(ScenarioApBud!AN:AN,ScenarioApBud!AB:AB,$A$22,ScenarioApBud!AA:AA,$B$30))+IF($B$31="",0,SUMIFS(ScenarioApBud!AN:AN,ScenarioApBud!AB:AB,$A$22,ScenarioApBud!AA:AA,$B$31)))</f>
        <v/>
      </c>
      <c r="C165" s="159" t="str">
        <f>IF($A$22="","",IF($B$32="",0,SUMIFS(ScenarioApBud!AN:AN,ScenarioApBud!AB:AB,$A$22,ScenarioApBud!AA:AA,$B$32))+IF($B$33="",0,SUMIFS(ScenarioApBud!AN:AN,ScenarioApBud!AB:AB,$A$22,ScenarioApBud!AA:AA,$B$33))+IF($B$34="",0,SUMIFS(ScenarioApBud!AN:AN,ScenarioApBud!AB:AB,$A$22,ScenarioApBud!AA:AA,$B$34)))</f>
        <v/>
      </c>
      <c r="D165" s="159" t="str">
        <f>IF($A$22="","",B165+C165)</f>
        <v/>
      </c>
      <c r="E165" s="162"/>
      <c r="F165" s="159" t="str">
        <f>IF($A$22="","",D165-E165)</f>
        <v/>
      </c>
      <c r="G165" s="163"/>
      <c r="H165" s="159" t="str">
        <f>IF($A$22="","",IF(ABS(F165)&lt;=10,"PASS","FAIL"))</f>
        <v/>
      </c>
    </row>
    <row r="166" spans="1:8" ht="15" customHeight="1" x14ac:dyDescent="0.3">
      <c r="A166" s="159" t="str">
        <f>IF($A$23="","",$A$23)</f>
        <v/>
      </c>
      <c r="B166" s="159" t="str">
        <f>IF($A$23="","",IF($B$29="",0,SUMIFS(ScenarioApBud!AN:AN,ScenarioApBud!AB:AB,$A$23,ScenarioApBud!AA:AA,$B$29))+IF($B$30="",0,SUMIFS(ScenarioApBud!AN:AN,ScenarioApBud!AB:AB,$A$23,ScenarioApBud!AA:AA,$B$30))+IF($B$31="",0,SUMIFS(ScenarioApBud!AN:AN,ScenarioApBud!AB:AB,$A$23,ScenarioApBud!AA:AA,$B$31)))</f>
        <v/>
      </c>
      <c r="C166" s="159" t="str">
        <f>IF($A$23="","",IF($B$32="",0,SUMIFS(ScenarioApBud!AN:AN,ScenarioApBud!AB:AB,$A$23,ScenarioApBud!AA:AA,$B$32))+IF($B$33="",0,SUMIFS(ScenarioApBud!AN:AN,ScenarioApBud!AB:AB,$A$23,ScenarioApBud!AA:AA,$B$33))+IF($B$34="",0,SUMIFS(ScenarioApBud!AN:AN,ScenarioApBud!AB:AB,$A$23,ScenarioApBud!AA:AA,$B$34)))</f>
        <v/>
      </c>
      <c r="D166" s="159" t="str">
        <f>IF($A$23="","",B166+C166)</f>
        <v/>
      </c>
      <c r="E166" s="162"/>
      <c r="F166" s="159" t="str">
        <f>IF($A$23="","",D166-E166)</f>
        <v/>
      </c>
      <c r="G166" s="163"/>
      <c r="H166" s="159" t="str">
        <f>IF($A$23="","",IF(ABS(F166)&lt;=10,"PASS","FAIL"))</f>
        <v/>
      </c>
    </row>
    <row r="167" spans="1:8" ht="15" customHeight="1" x14ac:dyDescent="0.3">
      <c r="A167" s="159" t="str">
        <f>IF($A$24="","",$A$24)</f>
        <v/>
      </c>
      <c r="B167" s="159" t="str">
        <f>IF($A$24="","",IF($B$29="",0,SUMIFS(ScenarioApBud!AN:AN,ScenarioApBud!AB:AB,$A$24,ScenarioApBud!AA:AA,$B$29))+IF($B$30="",0,SUMIFS(ScenarioApBud!AN:AN,ScenarioApBud!AB:AB,$A$24,ScenarioApBud!AA:AA,$B$30))+IF($B$31="",0,SUMIFS(ScenarioApBud!AN:AN,ScenarioApBud!AB:AB,$A$24,ScenarioApBud!AA:AA,$B$31)))</f>
        <v/>
      </c>
      <c r="C167" s="159" t="str">
        <f>IF($A$24="","",IF($B$32="",0,SUMIFS(ScenarioApBud!AN:AN,ScenarioApBud!AB:AB,$A$24,ScenarioApBud!AA:AA,$B$32))+IF($B$33="",0,SUMIFS(ScenarioApBud!AN:AN,ScenarioApBud!AB:AB,$A$24,ScenarioApBud!AA:AA,$B$33))+IF($B$34="",0,SUMIFS(ScenarioApBud!AN:AN,ScenarioApBud!AB:AB,$A$24,ScenarioApBud!AA:AA,$B$34)))</f>
        <v/>
      </c>
      <c r="D167" s="159" t="str">
        <f>IF($A$24="","",B167+C167)</f>
        <v/>
      </c>
      <c r="E167" s="162"/>
      <c r="F167" s="159" t="str">
        <f>IF($A$24="","",D167-E167)</f>
        <v/>
      </c>
      <c r="G167" s="163"/>
      <c r="H167" s="159" t="str">
        <f>IF($A$24="","",IF(ABS(F167)&lt;=10,"PASS","FAIL"))</f>
        <v/>
      </c>
    </row>
    <row r="168" spans="1:8" ht="15" customHeight="1" x14ac:dyDescent="0.3">
      <c r="A168" s="159" t="str">
        <f>IF($A$25="","",$A$25)</f>
        <v/>
      </c>
      <c r="B168" s="159" t="str">
        <f>IF($A$25="","",IF($B$29="",0,SUMIFS(ScenarioApBud!AN:AN,ScenarioApBud!AB:AB,$A$25,ScenarioApBud!AA:AA,$B$29))+IF($B$30="",0,SUMIFS(ScenarioApBud!AN:AN,ScenarioApBud!AB:AB,$A$25,ScenarioApBud!AA:AA,$B$30))+IF($B$31="",0,SUMIFS(ScenarioApBud!AN:AN,ScenarioApBud!AB:AB,$A$25,ScenarioApBud!AA:AA,$B$31)))</f>
        <v/>
      </c>
      <c r="C168" s="159" t="str">
        <f>IF($A$25="","",IF($B$32="",0,SUMIFS(ScenarioApBud!AN:AN,ScenarioApBud!AB:AB,$A$25,ScenarioApBud!AA:AA,$B$32))+IF($B$33="",0,SUMIFS(ScenarioApBud!AN:AN,ScenarioApBud!AB:AB,$A$25,ScenarioApBud!AA:AA,$B$33))+IF($B$34="",0,SUMIFS(ScenarioApBud!AN:AN,ScenarioApBud!AB:AB,$A$25,ScenarioApBud!AA:AA,$B$34)))</f>
        <v/>
      </c>
      <c r="D168" s="159" t="str">
        <f>IF($A$25="","",B168+C168)</f>
        <v/>
      </c>
      <c r="E168" s="162"/>
      <c r="F168" s="159" t="str">
        <f>IF($A$25="","",D168-E168)</f>
        <v/>
      </c>
      <c r="G168" s="163"/>
      <c r="H168" s="159" t="str">
        <f>IF($A$25="","",IF(ABS(F168)&lt;=10,"PASS","FAIL"))</f>
        <v/>
      </c>
    </row>
    <row r="169" spans="1:8" ht="15" customHeight="1" x14ac:dyDescent="0.3">
      <c r="A169" s="159" t="str">
        <f>IF($A$26="","",$A$26)</f>
        <v/>
      </c>
      <c r="B169" s="159" t="str">
        <f>IF($A$26="","",IF($B$29="",0,SUMIFS(ScenarioApBud!AN:AN,ScenarioApBud!AB:AB,$A$26,ScenarioApBud!AA:AA,$B$29))+IF($B$30="",0,SUMIFS(ScenarioApBud!AN:AN,ScenarioApBud!AB:AB,$A$26,ScenarioApBud!AA:AA,$B$30))+IF($B$31="",0,SUMIFS(ScenarioApBud!AN:AN,ScenarioApBud!AB:AB,$A$26,ScenarioApBud!AA:AA,$B$31)))</f>
        <v/>
      </c>
      <c r="C169" s="159" t="str">
        <f>IF($A$26="","",IF($B$32="",0,SUMIFS(ScenarioApBud!AN:AN,ScenarioApBud!AB:AB,$A$26,ScenarioApBud!AA:AA,$B$32))+IF($B$33="",0,SUMIFS(ScenarioApBud!AN:AN,ScenarioApBud!AB:AB,$A$26,ScenarioApBud!AA:AA,$B$33))+IF($B$34="",0,SUMIFS(ScenarioApBud!AN:AN,ScenarioApBud!AB:AB,$A$26,ScenarioApBud!AA:AA,$B$34)))</f>
        <v/>
      </c>
      <c r="D169" s="159" t="str">
        <f>IF($A$26="","",B169+C169)</f>
        <v/>
      </c>
      <c r="E169" s="162"/>
      <c r="F169" s="159" t="str">
        <f>IF($A$26="","",D169-E169)</f>
        <v/>
      </c>
      <c r="G169" s="163"/>
      <c r="H169" s="159" t="str">
        <f>IF($A$26="","",IF(ABS(F169)&lt;=10,"PASS","FAIL"))</f>
        <v/>
      </c>
    </row>
    <row r="172" spans="1:8" ht="15" customHeight="1" x14ac:dyDescent="0.3">
      <c r="A172" s="182" t="s">
        <v>2664</v>
      </c>
      <c r="B172" s="182"/>
      <c r="C172" s="182"/>
      <c r="D172" s="182"/>
      <c r="E172" s="182"/>
      <c r="F172" s="182"/>
    </row>
    <row r="174" spans="1:8" ht="15" customHeight="1" x14ac:dyDescent="0.3">
      <c r="A174" s="157" t="s">
        <v>1408</v>
      </c>
      <c r="B174" s="157" t="s">
        <v>2665</v>
      </c>
      <c r="C174" s="157" t="s">
        <v>2666</v>
      </c>
      <c r="D174" s="157" t="s">
        <v>1614</v>
      </c>
      <c r="E174" s="157" t="s">
        <v>2622</v>
      </c>
    </row>
    <row r="175" spans="1:8" ht="15" customHeight="1" x14ac:dyDescent="0.3">
      <c r="A175" s="159" t="str">
        <f>IF($A$7="","",$A$7)</f>
        <v>TLT</v>
      </c>
      <c r="B175" s="159">
        <f>IF($A$7="","",SUMIF(ScenarioApBud!AB:AB,$A$7,ScenarioApBud!AN:AN))</f>
        <v>0</v>
      </c>
      <c r="C175" s="162"/>
      <c r="D175" s="159">
        <f>IF($A$7="","",B175-C175)</f>
        <v>0</v>
      </c>
      <c r="E175" s="159" t="str">
        <f>IF($A$7="","",IF(ABS(D175)&lt;=10,"PASS","FAIL"))</f>
        <v>PASS</v>
      </c>
    </row>
    <row r="176" spans="1:8" ht="15" customHeight="1" x14ac:dyDescent="0.3">
      <c r="A176" s="159" t="str">
        <f>IF($A$8="","",$A$8)</f>
        <v>BBP</v>
      </c>
      <c r="B176" s="159">
        <f>IF($A$8="","",SUMIF(ScenarioApBud!AB:AB,$A$8,ScenarioApBud!AN:AN))</f>
        <v>0</v>
      </c>
      <c r="C176" s="162"/>
      <c r="D176" s="159">
        <f>IF($A$8="","",B176-C176)</f>
        <v>0</v>
      </c>
      <c r="E176" s="159" t="str">
        <f>IF($A$8="","",IF(ABS(D176)&lt;=10,"PASS","FAIL"))</f>
        <v>PASS</v>
      </c>
    </row>
    <row r="177" spans="1:5" ht="15" customHeight="1" x14ac:dyDescent="0.3">
      <c r="A177" s="159" t="str">
        <f>IF($A$9="","",$A$9)</f>
        <v>LCP</v>
      </c>
      <c r="B177" s="159">
        <f>IF($A$9="","",SUMIF(ScenarioApBud!AB:AB,$A$9,ScenarioApBud!AN:AN))</f>
        <v>0</v>
      </c>
      <c r="C177" s="162"/>
      <c r="D177" s="159">
        <f>IF($A$9="","",B177-C177)</f>
        <v>0</v>
      </c>
      <c r="E177" s="159" t="str">
        <f>IF($A$9="","",IF(ABS(D177)&lt;=10,"PASS","FAIL"))</f>
        <v>PASS</v>
      </c>
    </row>
    <row r="178" spans="1:5" ht="15" customHeight="1" x14ac:dyDescent="0.3">
      <c r="A178" s="159" t="str">
        <f>IF($A$10="","",$A$10)</f>
        <v>MMP</v>
      </c>
      <c r="B178" s="159">
        <f>IF($A$10="","",SUMIF(ScenarioApBud!AB:AB,$A$10,ScenarioApBud!AN:AN))</f>
        <v>0</v>
      </c>
      <c r="C178" s="162"/>
      <c r="D178" s="159">
        <f>IF($A$10="","",B178-C178)</f>
        <v>0</v>
      </c>
      <c r="E178" s="159" t="str">
        <f>IF($A$10="","",IF(ABS(D178)&lt;=10,"PASS","FAIL"))</f>
        <v>PASS</v>
      </c>
    </row>
    <row r="179" spans="1:5" ht="15" customHeight="1" x14ac:dyDescent="0.3">
      <c r="A179" s="159" t="str">
        <f>IF($A$11="","",$A$11)</f>
        <v>NIN</v>
      </c>
      <c r="B179" s="159">
        <f>IF($A$11="","",SUMIF(ScenarioApBud!AB:AB,$A$11,ScenarioApBud!AN:AN))</f>
        <v>0</v>
      </c>
      <c r="C179" s="162"/>
      <c r="D179" s="159">
        <f>IF($A$11="","",B179-C179)</f>
        <v>0</v>
      </c>
      <c r="E179" s="159" t="str">
        <f>IF($A$11="","",IF(ABS(D179)&lt;=10,"PASS","FAIL"))</f>
        <v>PASS</v>
      </c>
    </row>
    <row r="180" spans="1:5" ht="15" customHeight="1" x14ac:dyDescent="0.3">
      <c r="A180" s="159" t="str">
        <f>IF($A$12="","",$A$12)</f>
        <v>SRA</v>
      </c>
      <c r="B180" s="159">
        <f>IF($A$12="","",SUMIF(ScenarioApBud!AB:AB,$A$12,ScenarioApBud!AN:AN))</f>
        <v>0</v>
      </c>
      <c r="C180" s="162"/>
      <c r="D180" s="159">
        <f>IF($A$12="","",B180-C180)</f>
        <v>0</v>
      </c>
      <c r="E180" s="159" t="str">
        <f>IF($A$12="","",IF(ABS(D180)&lt;=10,"PASS","FAIL"))</f>
        <v>PASS</v>
      </c>
    </row>
    <row r="181" spans="1:5" ht="15" customHeight="1" x14ac:dyDescent="0.3">
      <c r="A181" s="159" t="str">
        <f>IF($A$13="","",$A$13)</f>
        <v>BBS</v>
      </c>
      <c r="B181" s="159">
        <f>IF($A$13="","",SUMIF(ScenarioApBud!AB:AB,$A$13,ScenarioApBud!AN:AN))</f>
        <v>0</v>
      </c>
      <c r="C181" s="162"/>
      <c r="D181" s="159">
        <f>IF($A$13="","",B181-C181)</f>
        <v>0</v>
      </c>
      <c r="E181" s="159" t="str">
        <f>IF($A$13="","",IF(ABS(D181)&lt;=10,"PASS","FAIL"))</f>
        <v>PASS</v>
      </c>
    </row>
    <row r="182" spans="1:5" ht="15" customHeight="1" x14ac:dyDescent="0.3">
      <c r="A182" s="159" t="str">
        <f>IF($A$14="","",$A$14)</f>
        <v>HHS</v>
      </c>
      <c r="B182" s="159">
        <f>IF($A$14="","",SUMIF(ScenarioApBud!AB:AB,$A$14,ScenarioApBud!AN:AN))</f>
        <v>0</v>
      </c>
      <c r="C182" s="162"/>
      <c r="D182" s="159">
        <f>IF($A$14="","",B182-C182)</f>
        <v>0</v>
      </c>
      <c r="E182" s="159" t="str">
        <f>IF($A$14="","",IF(ABS(D182)&lt;=10,"PASS","FAIL"))</f>
        <v>PASS</v>
      </c>
    </row>
    <row r="183" spans="1:5" ht="15" customHeight="1" x14ac:dyDescent="0.3">
      <c r="A183" s="159" t="str">
        <f>IF($A$15="","",$A$15)</f>
        <v>RVS</v>
      </c>
      <c r="B183" s="159">
        <f>IF($A$15="","",SUMIF(ScenarioApBud!AB:AB,$A$15,ScenarioApBud!AN:AN))</f>
        <v>0</v>
      </c>
      <c r="C183" s="162"/>
      <c r="D183" s="159">
        <f>IF($A$15="","",B183-C183)</f>
        <v>0</v>
      </c>
      <c r="E183" s="159" t="str">
        <f>IF($A$15="","",IF(ABS(D183)&lt;=10,"PASS","FAIL"))</f>
        <v>PASS</v>
      </c>
    </row>
    <row r="184" spans="1:5" ht="15" customHeight="1" x14ac:dyDescent="0.3">
      <c r="A184" s="159" t="str">
        <f>IF($A$16="","",$A$16)</f>
        <v>CHS</v>
      </c>
      <c r="B184" s="159">
        <f>IF($A$16="","",SUMIF(ScenarioApBud!AB:AB,$A$16,ScenarioApBud!AN:AN))</f>
        <v>0</v>
      </c>
      <c r="C184" s="162"/>
      <c r="D184" s="159">
        <f>IF($A$16="","",B184-C184)</f>
        <v>0</v>
      </c>
      <c r="E184" s="159" t="str">
        <f>IF($A$16="","",IF(ABS(D184)&lt;=10,"PASS","FAIL"))</f>
        <v>PASS</v>
      </c>
    </row>
    <row r="185" spans="1:5" ht="15" customHeight="1" x14ac:dyDescent="0.3">
      <c r="A185" s="159" t="str">
        <f>IF($A$17="","",$A$17)</f>
        <v/>
      </c>
      <c r="B185" s="159" t="str">
        <f>IF($A$17="","",SUMIF(ScenarioApBud!AB:AB,$A$17,ScenarioApBud!AN:AN))</f>
        <v/>
      </c>
      <c r="C185" s="162"/>
      <c r="D185" s="159" t="str">
        <f>IF($A$17="","",B185-C185)</f>
        <v/>
      </c>
      <c r="E185" s="159" t="str">
        <f>IF($A$17="","",IF(ABS(D185)&lt;=10,"PASS","FAIL"))</f>
        <v/>
      </c>
    </row>
    <row r="186" spans="1:5" ht="15" customHeight="1" x14ac:dyDescent="0.3">
      <c r="A186" s="159" t="str">
        <f>IF($A$18="","",$A$18)</f>
        <v/>
      </c>
      <c r="B186" s="159" t="str">
        <f>IF($A$18="","",SUMIF(ScenarioApBud!AB:AB,$A$18,ScenarioApBud!AN:AN))</f>
        <v/>
      </c>
      <c r="C186" s="162"/>
      <c r="D186" s="159" t="str">
        <f>IF($A$18="","",B186-C186)</f>
        <v/>
      </c>
      <c r="E186" s="159" t="str">
        <f>IF($A$18="","",IF(ABS(D186)&lt;=10,"PASS","FAIL"))</f>
        <v/>
      </c>
    </row>
    <row r="187" spans="1:5" ht="15" customHeight="1" x14ac:dyDescent="0.3">
      <c r="A187" s="159" t="str">
        <f>IF($A$19="","",$A$19)</f>
        <v/>
      </c>
      <c r="B187" s="159" t="str">
        <f>IF($A$19="","",SUMIF(ScenarioApBud!AB:AB,$A$19,ScenarioApBud!AN:AN))</f>
        <v/>
      </c>
      <c r="C187" s="162"/>
      <c r="D187" s="159" t="str">
        <f>IF($A$19="","",B187-C187)</f>
        <v/>
      </c>
      <c r="E187" s="159" t="str">
        <f>IF($A$19="","",IF(ABS(D187)&lt;=10,"PASS","FAIL"))</f>
        <v/>
      </c>
    </row>
    <row r="188" spans="1:5" ht="15" customHeight="1" x14ac:dyDescent="0.3">
      <c r="A188" s="159" t="str">
        <f>IF($A$20="","",$A$20)</f>
        <v/>
      </c>
      <c r="B188" s="159" t="str">
        <f>IF($A$20="","",SUMIF(ScenarioApBud!AB:AB,$A$20,ScenarioApBud!AN:AN))</f>
        <v/>
      </c>
      <c r="C188" s="162"/>
      <c r="D188" s="159" t="str">
        <f>IF($A$20="","",B188-C188)</f>
        <v/>
      </c>
      <c r="E188" s="159" t="str">
        <f>IF($A$20="","",IF(ABS(D188)&lt;=10,"PASS","FAIL"))</f>
        <v/>
      </c>
    </row>
    <row r="189" spans="1:5" ht="15" customHeight="1" x14ac:dyDescent="0.3">
      <c r="A189" s="159" t="str">
        <f>IF($A$21="","",$A$21)</f>
        <v/>
      </c>
      <c r="B189" s="159" t="str">
        <f>IF($A$21="","",SUMIF(ScenarioApBud!AB:AB,$A$21,ScenarioApBud!AN:AN))</f>
        <v/>
      </c>
      <c r="C189" s="162"/>
      <c r="D189" s="159" t="str">
        <f>IF($A$21="","",B189-C189)</f>
        <v/>
      </c>
      <c r="E189" s="159" t="str">
        <f>IF($A$21="","",IF(ABS(D189)&lt;=10,"PASS","FAIL"))</f>
        <v/>
      </c>
    </row>
    <row r="190" spans="1:5" ht="15" customHeight="1" x14ac:dyDescent="0.3">
      <c r="A190" s="159" t="str">
        <f>IF($A$22="","",$A$22)</f>
        <v/>
      </c>
      <c r="B190" s="159" t="str">
        <f>IF($A$22="","",SUMIF(ScenarioApBud!AB:AB,$A$22,ScenarioApBud!AN:AN))</f>
        <v/>
      </c>
      <c r="C190" s="162"/>
      <c r="D190" s="159" t="str">
        <f>IF($A$22="","",B190-C190)</f>
        <v/>
      </c>
      <c r="E190" s="159" t="str">
        <f>IF($A$22="","",IF(ABS(D190)&lt;=10,"PASS","FAIL"))</f>
        <v/>
      </c>
    </row>
    <row r="191" spans="1:5" ht="15" customHeight="1" x14ac:dyDescent="0.3">
      <c r="A191" s="159" t="str">
        <f>IF($A$23="","",$A$23)</f>
        <v/>
      </c>
      <c r="B191" s="159" t="str">
        <f>IF($A$23="","",SUMIF(ScenarioApBud!AB:AB,$A$23,ScenarioApBud!AN:AN))</f>
        <v/>
      </c>
      <c r="C191" s="162"/>
      <c r="D191" s="159" t="str">
        <f>IF($A$23="","",B191-C191)</f>
        <v/>
      </c>
      <c r="E191" s="159" t="str">
        <f>IF($A$23="","",IF(ABS(D191)&lt;=10,"PASS","FAIL"))</f>
        <v/>
      </c>
    </row>
    <row r="192" spans="1:5" ht="15" customHeight="1" x14ac:dyDescent="0.3">
      <c r="A192" s="159" t="str">
        <f>IF($A$24="","",$A$24)</f>
        <v/>
      </c>
      <c r="B192" s="159" t="str">
        <f>IF($A$24="","",SUMIF(ScenarioApBud!AB:AB,$A$24,ScenarioApBud!AN:AN))</f>
        <v/>
      </c>
      <c r="C192" s="162"/>
      <c r="D192" s="159" t="str">
        <f>IF($A$24="","",B192-C192)</f>
        <v/>
      </c>
      <c r="E192" s="159" t="str">
        <f>IF($A$24="","",IF(ABS(D192)&lt;=10,"PASS","FAIL"))</f>
        <v/>
      </c>
    </row>
    <row r="193" spans="1:5" ht="15" customHeight="1" x14ac:dyDescent="0.3">
      <c r="A193" s="159" t="str">
        <f>IF($A$25="","",$A$25)</f>
        <v/>
      </c>
      <c r="B193" s="159" t="str">
        <f>IF($A$25="","",SUMIF(ScenarioApBud!AB:AB,$A$25,ScenarioApBud!AN:AN))</f>
        <v/>
      </c>
      <c r="C193" s="162"/>
      <c r="D193" s="159" t="str">
        <f>IF($A$25="","",B193-C193)</f>
        <v/>
      </c>
      <c r="E193" s="159" t="str">
        <f>IF($A$25="","",IF(ABS(D193)&lt;=10,"PASS","FAIL"))</f>
        <v/>
      </c>
    </row>
    <row r="194" spans="1:5" ht="15" customHeight="1" x14ac:dyDescent="0.3">
      <c r="A194" s="159" t="str">
        <f>IF($A$26="","",$A$26)</f>
        <v/>
      </c>
      <c r="B194" s="159" t="str">
        <f>IF($A$26="","",SUMIF(ScenarioApBud!AB:AB,$A$26,ScenarioApBud!AN:AN))</f>
        <v/>
      </c>
      <c r="C194" s="162"/>
      <c r="D194" s="159" t="str">
        <f>IF($A$26="","",B194-C194)</f>
        <v/>
      </c>
      <c r="E194" s="159" t="str">
        <f>IF($A$26="","",IF(ABS(D194)&lt;=10,"PASS","FAIL"))</f>
        <v/>
      </c>
    </row>
  </sheetData>
  <mergeCells count="9">
    <mergeCell ref="A62:L62"/>
    <mergeCell ref="A147:I147"/>
    <mergeCell ref="A172:F172"/>
    <mergeCell ref="A1:L1"/>
    <mergeCell ref="A3:D3"/>
    <mergeCell ref="F3:I3"/>
    <mergeCell ref="A4:D4"/>
    <mergeCell ref="A28:B28"/>
    <mergeCell ref="A37:O37"/>
  </mergeCells>
  <conditionalFormatting sqref="E175:E194">
    <cfRule type="cellIs" dxfId="16" priority="7" operator="equal">
      <formula>"PASS"</formula>
    </cfRule>
    <cfRule type="cellIs" dxfId="15" priority="8" operator="equal">
      <formula>"FAIL"</formula>
    </cfRule>
  </conditionalFormatting>
  <conditionalFormatting sqref="H150:H169">
    <cfRule type="cellIs" dxfId="14" priority="5" operator="equal">
      <formula>"PASS"</formula>
    </cfRule>
    <cfRule type="cellIs" dxfId="13" priority="6" operator="equal">
      <formula>"FAIL"</formula>
    </cfRule>
  </conditionalFormatting>
  <conditionalFormatting sqref="I6:I9">
    <cfRule type="expression" dxfId="12" priority="9">
      <formula>ISNUMBER(SEARCH("PASSED",I6))</formula>
    </cfRule>
    <cfRule type="expression" dxfId="11" priority="10">
      <formula>ISNUMBER(SEARCH("CHECK",I6))</formula>
    </cfRule>
  </conditionalFormatting>
  <conditionalFormatting sqref="L65:L144">
    <cfRule type="cellIs" dxfId="10" priority="3" operator="equal">
      <formula>"PASS"</formula>
    </cfRule>
    <cfRule type="cellIs" dxfId="9" priority="4" operator="equal">
      <formula>"FAIL"</formula>
    </cfRule>
  </conditionalFormatting>
  <conditionalFormatting sqref="N40:N59">
    <cfRule type="cellIs" dxfId="8" priority="1" operator="equal">
      <formula>"PASS"</formula>
    </cfRule>
    <cfRule type="cellIs" dxfId="7" priority="2" operator="equal">
      <formula>"FAIL"</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325BB-497B-443F-9CC8-F8971AD3F140}">
  <sheetPr codeName="Sheet28"/>
  <dimension ref="A1:G9"/>
  <sheetViews>
    <sheetView workbookViewId="0">
      <pane ySplit="3" topLeftCell="A4" activePane="bottomLeft" state="frozen"/>
      <selection activeCell="D15" sqref="D15"/>
      <selection pane="bottomLeft" activeCell="A10" sqref="A10"/>
    </sheetView>
  </sheetViews>
  <sheetFormatPr defaultColWidth="9.33203125" defaultRowHeight="14.4" x14ac:dyDescent="0.3"/>
  <cols>
    <col min="1" max="1" width="36.33203125" style="45" bestFit="1" customWidth="1"/>
    <col min="2" max="4" width="23.33203125" style="45" customWidth="1"/>
    <col min="5" max="5" width="37.5546875" style="45" customWidth="1"/>
    <col min="6" max="6" width="36.88671875" style="60" customWidth="1"/>
    <col min="7" max="7" width="82.33203125" style="45" bestFit="1" customWidth="1"/>
    <col min="8" max="8" width="135.5546875" style="45" bestFit="1" customWidth="1"/>
    <col min="9" max="16384" width="9.33203125" style="45"/>
  </cols>
  <sheetData>
    <row r="1" spans="1:7" ht="23.4" x14ac:dyDescent="0.45">
      <c r="A1" s="181" t="s">
        <v>10</v>
      </c>
      <c r="B1" s="181"/>
      <c r="C1" s="181"/>
      <c r="D1" s="181"/>
      <c r="E1" s="181"/>
      <c r="F1" s="181"/>
      <c r="G1" s="181"/>
    </row>
    <row r="2" spans="1:7" s="60" customFormat="1" ht="31.2" x14ac:dyDescent="0.3">
      <c r="A2" s="72" t="s">
        <v>11</v>
      </c>
      <c r="B2" s="72" t="s">
        <v>30</v>
      </c>
      <c r="C2" s="72" t="s">
        <v>31</v>
      </c>
      <c r="D2" s="72" t="s">
        <v>32</v>
      </c>
      <c r="E2" s="72" t="s">
        <v>1731</v>
      </c>
      <c r="F2" s="72" t="s">
        <v>1729</v>
      </c>
      <c r="G2" s="72" t="s">
        <v>1730</v>
      </c>
    </row>
    <row r="3" spans="1:7" ht="15.6" x14ac:dyDescent="0.3">
      <c r="A3" s="73" t="s">
        <v>33</v>
      </c>
      <c r="B3" s="74" t="e">
        <f>SUM('Strand 3 Checklist'!C16)</f>
        <v>#N/A</v>
      </c>
      <c r="C3" s="73"/>
      <c r="D3" s="73"/>
      <c r="E3" s="73"/>
      <c r="F3" s="72"/>
      <c r="G3" s="73"/>
    </row>
    <row r="4" spans="1:7" x14ac:dyDescent="0.3">
      <c r="A4" s="78" t="s">
        <v>1904</v>
      </c>
      <c r="B4" s="75">
        <f>COUNTA(FC_import[FinanceCode])</f>
        <v>75</v>
      </c>
      <c r="C4" s="78"/>
      <c r="D4" s="78" t="b">
        <f t="shared" ref="D4" si="0">IF(B4=C4,TRUE,FALSE)</f>
        <v>0</v>
      </c>
      <c r="E4" s="78"/>
      <c r="F4" s="79"/>
      <c r="G4" s="78"/>
    </row>
    <row r="5" spans="1:7" x14ac:dyDescent="0.3">
      <c r="A5" s="77" t="s">
        <v>35</v>
      </c>
      <c r="B5" s="75">
        <f>COUNTA(Calculators[CalculatorEnabled])</f>
        <v>94</v>
      </c>
      <c r="C5" s="75"/>
      <c r="D5" s="75" t="b">
        <f t="shared" ref="D5:D9" si="1">IF(B5=C5,TRUE,FALSE)</f>
        <v>0</v>
      </c>
      <c r="E5" s="75"/>
      <c r="F5" s="76"/>
      <c r="G5" s="75"/>
    </row>
    <row r="6" spans="1:7" x14ac:dyDescent="0.3">
      <c r="A6" s="75" t="s">
        <v>36</v>
      </c>
      <c r="B6" s="75">
        <f>COUNTA(MONTHPRF[Code])</f>
        <v>23</v>
      </c>
      <c r="C6" s="75"/>
      <c r="D6" s="75" t="b">
        <f t="shared" si="1"/>
        <v>0</v>
      </c>
      <c r="E6" s="75"/>
      <c r="F6" s="76"/>
      <c r="G6" s="75"/>
    </row>
    <row r="7" spans="1:7" x14ac:dyDescent="0.3">
      <c r="A7" s="75" t="s">
        <v>37</v>
      </c>
      <c r="B7" s="75">
        <f>COUNTA(ScenarioRows[FinanceCode])</f>
        <v>58</v>
      </c>
      <c r="C7" s="75"/>
      <c r="D7" s="75" t="b">
        <f t="shared" si="1"/>
        <v>0</v>
      </c>
      <c r="E7" s="75"/>
      <c r="F7" s="76"/>
      <c r="G7" s="75"/>
    </row>
    <row r="8" spans="1:7" x14ac:dyDescent="0.3">
      <c r="A8" s="75" t="s">
        <v>38</v>
      </c>
      <c r="B8" s="75">
        <f>COUNTA(ScenarioYearValues[FinanceCode])</f>
        <v>91</v>
      </c>
      <c r="C8" s="75"/>
      <c r="D8" s="75" t="b">
        <f t="shared" si="1"/>
        <v>0</v>
      </c>
      <c r="E8" s="75"/>
      <c r="F8" s="76"/>
      <c r="G8" s="75"/>
    </row>
    <row r="9" spans="1:7" x14ac:dyDescent="0.3">
      <c r="A9" s="78" t="s">
        <v>29</v>
      </c>
      <c r="B9" s="78"/>
      <c r="C9" s="78"/>
      <c r="D9" s="78" t="b">
        <f t="shared" si="1"/>
        <v>1</v>
      </c>
      <c r="E9" s="78"/>
      <c r="F9" s="79"/>
      <c r="G9" s="78"/>
    </row>
  </sheetData>
  <mergeCells count="1">
    <mergeCell ref="A1:G1"/>
  </mergeCells>
  <conditionalFormatting sqref="D4:D8">
    <cfRule type="cellIs" dxfId="6" priority="1" operator="equal">
      <formula>FALSE</formula>
    </cfRule>
  </conditionalFormatting>
  <conditionalFormatting sqref="E4:G9">
    <cfRule type="cellIs" dxfId="5" priority="2" operator="notEqual">
      <formula>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1700E-2205-41D7-B1D6-AE5D068982D0}">
  <sheetPr codeName="Sheet4">
    <tabColor theme="0" tint="-0.499984740745262"/>
  </sheetPr>
  <dimension ref="A1:C509"/>
  <sheetViews>
    <sheetView topLeftCell="A163" workbookViewId="0">
      <selection activeCell="B327" sqref="B327"/>
    </sheetView>
  </sheetViews>
  <sheetFormatPr defaultRowHeight="14.4" x14ac:dyDescent="0.3"/>
  <cols>
    <col min="1" max="1" width="20.5546875" bestFit="1" customWidth="1"/>
    <col min="2" max="2" width="81.109375" bestFit="1" customWidth="1"/>
    <col min="3" max="3" width="25" bestFit="1" customWidth="1"/>
  </cols>
  <sheetData>
    <row r="1" spans="1:3" x14ac:dyDescent="0.3">
      <c r="A1" t="s">
        <v>1768</v>
      </c>
      <c r="B1" t="s">
        <v>40</v>
      </c>
      <c r="C1" t="s">
        <v>1769</v>
      </c>
    </row>
    <row r="2" spans="1:3" x14ac:dyDescent="0.3">
      <c r="A2" t="s">
        <v>54</v>
      </c>
      <c r="B2" t="s">
        <v>55</v>
      </c>
      <c r="C2" t="s">
        <v>1770</v>
      </c>
    </row>
    <row r="3" spans="1:3" x14ac:dyDescent="0.3">
      <c r="A3" t="s">
        <v>56</v>
      </c>
      <c r="B3" t="s">
        <v>57</v>
      </c>
      <c r="C3" t="s">
        <v>1770</v>
      </c>
    </row>
    <row r="4" spans="1:3" x14ac:dyDescent="0.3">
      <c r="A4" t="s">
        <v>58</v>
      </c>
      <c r="B4" t="s">
        <v>59</v>
      </c>
      <c r="C4" t="s">
        <v>1770</v>
      </c>
    </row>
    <row r="5" spans="1:3" x14ac:dyDescent="0.3">
      <c r="A5" t="s">
        <v>60</v>
      </c>
      <c r="B5" t="s">
        <v>61</v>
      </c>
      <c r="C5" t="s">
        <v>1770</v>
      </c>
    </row>
    <row r="6" spans="1:3" x14ac:dyDescent="0.3">
      <c r="A6" t="s">
        <v>62</v>
      </c>
      <c r="B6" t="s">
        <v>63</v>
      </c>
      <c r="C6" t="s">
        <v>1770</v>
      </c>
    </row>
    <row r="7" spans="1:3" x14ac:dyDescent="0.3">
      <c r="A7" t="s">
        <v>64</v>
      </c>
      <c r="B7" t="s">
        <v>65</v>
      </c>
      <c r="C7" t="s">
        <v>1770</v>
      </c>
    </row>
    <row r="8" spans="1:3" x14ac:dyDescent="0.3">
      <c r="A8" t="s">
        <v>66</v>
      </c>
      <c r="B8" t="s">
        <v>67</v>
      </c>
      <c r="C8" t="s">
        <v>1770</v>
      </c>
    </row>
    <row r="9" spans="1:3" x14ac:dyDescent="0.3">
      <c r="A9" t="s">
        <v>68</v>
      </c>
      <c r="B9" t="s">
        <v>69</v>
      </c>
      <c r="C9" t="s">
        <v>1770</v>
      </c>
    </row>
    <row r="10" spans="1:3" x14ac:dyDescent="0.3">
      <c r="A10" t="s">
        <v>70</v>
      </c>
      <c r="B10" t="s">
        <v>71</v>
      </c>
      <c r="C10" t="s">
        <v>1770</v>
      </c>
    </row>
    <row r="11" spans="1:3" x14ac:dyDescent="0.3">
      <c r="A11" t="s">
        <v>72</v>
      </c>
      <c r="B11" t="s">
        <v>73</v>
      </c>
      <c r="C11" t="s">
        <v>1770</v>
      </c>
    </row>
    <row r="12" spans="1:3" x14ac:dyDescent="0.3">
      <c r="A12" t="s">
        <v>74</v>
      </c>
      <c r="B12" t="s">
        <v>75</v>
      </c>
      <c r="C12" t="s">
        <v>1770</v>
      </c>
    </row>
    <row r="13" spans="1:3" x14ac:dyDescent="0.3">
      <c r="A13" t="s">
        <v>76</v>
      </c>
      <c r="B13" t="s">
        <v>77</v>
      </c>
      <c r="C13" t="s">
        <v>1770</v>
      </c>
    </row>
    <row r="14" spans="1:3" x14ac:dyDescent="0.3">
      <c r="A14" t="s">
        <v>78</v>
      </c>
      <c r="B14" t="s">
        <v>79</v>
      </c>
      <c r="C14" t="s">
        <v>1770</v>
      </c>
    </row>
    <row r="15" spans="1:3" x14ac:dyDescent="0.3">
      <c r="A15" t="s">
        <v>80</v>
      </c>
      <c r="B15" t="s">
        <v>81</v>
      </c>
      <c r="C15" t="s">
        <v>1770</v>
      </c>
    </row>
    <row r="16" spans="1:3" x14ac:dyDescent="0.3">
      <c r="A16" t="s">
        <v>82</v>
      </c>
      <c r="B16" t="s">
        <v>83</v>
      </c>
      <c r="C16" t="s">
        <v>1770</v>
      </c>
    </row>
    <row r="17" spans="1:3" x14ac:dyDescent="0.3">
      <c r="A17" t="s">
        <v>84</v>
      </c>
      <c r="B17" t="s">
        <v>85</v>
      </c>
      <c r="C17" t="s">
        <v>1770</v>
      </c>
    </row>
    <row r="18" spans="1:3" x14ac:dyDescent="0.3">
      <c r="A18" t="s">
        <v>86</v>
      </c>
      <c r="B18" t="s">
        <v>87</v>
      </c>
      <c r="C18" t="s">
        <v>1770</v>
      </c>
    </row>
    <row r="19" spans="1:3" x14ac:dyDescent="0.3">
      <c r="A19" t="s">
        <v>88</v>
      </c>
      <c r="B19" t="s">
        <v>89</v>
      </c>
      <c r="C19" t="s">
        <v>1770</v>
      </c>
    </row>
    <row r="20" spans="1:3" x14ac:dyDescent="0.3">
      <c r="A20" t="s">
        <v>1771</v>
      </c>
      <c r="B20" t="s">
        <v>2182</v>
      </c>
      <c r="C20" t="s">
        <v>1770</v>
      </c>
    </row>
    <row r="21" spans="1:3" x14ac:dyDescent="0.3">
      <c r="A21" t="s">
        <v>1772</v>
      </c>
      <c r="B21" t="s">
        <v>2350</v>
      </c>
      <c r="C21" t="s">
        <v>1770</v>
      </c>
    </row>
    <row r="22" spans="1:3" x14ac:dyDescent="0.3">
      <c r="A22" t="s">
        <v>1773</v>
      </c>
      <c r="B22" t="s">
        <v>2351</v>
      </c>
      <c r="C22" t="s">
        <v>1770</v>
      </c>
    </row>
    <row r="23" spans="1:3" x14ac:dyDescent="0.3">
      <c r="A23" t="s">
        <v>90</v>
      </c>
      <c r="B23" t="s">
        <v>91</v>
      </c>
      <c r="C23" t="s">
        <v>1770</v>
      </c>
    </row>
    <row r="24" spans="1:3" x14ac:dyDescent="0.3">
      <c r="A24" t="s">
        <v>92</v>
      </c>
      <c r="B24" t="s">
        <v>2183</v>
      </c>
      <c r="C24" t="s">
        <v>1770</v>
      </c>
    </row>
    <row r="25" spans="1:3" x14ac:dyDescent="0.3">
      <c r="A25" t="s">
        <v>93</v>
      </c>
      <c r="B25" t="s">
        <v>94</v>
      </c>
      <c r="C25" t="s">
        <v>1770</v>
      </c>
    </row>
    <row r="26" spans="1:3" x14ac:dyDescent="0.3">
      <c r="A26" t="s">
        <v>95</v>
      </c>
      <c r="B26" t="s">
        <v>96</v>
      </c>
      <c r="C26" t="s">
        <v>1770</v>
      </c>
    </row>
    <row r="27" spans="1:3" x14ac:dyDescent="0.3">
      <c r="A27" t="s">
        <v>97</v>
      </c>
      <c r="B27" t="s">
        <v>2184</v>
      </c>
      <c r="C27" t="s">
        <v>1770</v>
      </c>
    </row>
    <row r="28" spans="1:3" x14ac:dyDescent="0.3">
      <c r="A28" t="s">
        <v>98</v>
      </c>
      <c r="B28" t="s">
        <v>99</v>
      </c>
      <c r="C28" t="s">
        <v>1770</v>
      </c>
    </row>
    <row r="29" spans="1:3" x14ac:dyDescent="0.3">
      <c r="A29" t="s">
        <v>100</v>
      </c>
      <c r="B29" t="s">
        <v>101</v>
      </c>
      <c r="C29" t="s">
        <v>1770</v>
      </c>
    </row>
    <row r="30" spans="1:3" x14ac:dyDescent="0.3">
      <c r="A30" t="s">
        <v>102</v>
      </c>
      <c r="B30" t="s">
        <v>103</v>
      </c>
      <c r="C30" t="s">
        <v>1770</v>
      </c>
    </row>
    <row r="31" spans="1:3" x14ac:dyDescent="0.3">
      <c r="A31" t="s">
        <v>104</v>
      </c>
      <c r="B31" t="s">
        <v>105</v>
      </c>
      <c r="C31" t="s">
        <v>1770</v>
      </c>
    </row>
    <row r="32" spans="1:3" x14ac:dyDescent="0.3">
      <c r="A32" t="s">
        <v>106</v>
      </c>
      <c r="B32" t="s">
        <v>107</v>
      </c>
      <c r="C32" t="s">
        <v>1770</v>
      </c>
    </row>
    <row r="33" spans="1:3" x14ac:dyDescent="0.3">
      <c r="A33" t="s">
        <v>108</v>
      </c>
      <c r="B33" t="s">
        <v>109</v>
      </c>
      <c r="C33" t="s">
        <v>1770</v>
      </c>
    </row>
    <row r="34" spans="1:3" x14ac:dyDescent="0.3">
      <c r="A34" t="s">
        <v>1774</v>
      </c>
      <c r="B34" t="s">
        <v>1775</v>
      </c>
      <c r="C34" t="s">
        <v>1770</v>
      </c>
    </row>
    <row r="35" spans="1:3" x14ac:dyDescent="0.3">
      <c r="A35" t="s">
        <v>110</v>
      </c>
      <c r="B35" t="s">
        <v>111</v>
      </c>
      <c r="C35" t="s">
        <v>1770</v>
      </c>
    </row>
    <row r="36" spans="1:3" x14ac:dyDescent="0.3">
      <c r="A36" t="s">
        <v>112</v>
      </c>
      <c r="B36" t="s">
        <v>113</v>
      </c>
      <c r="C36" t="s">
        <v>1770</v>
      </c>
    </row>
    <row r="37" spans="1:3" x14ac:dyDescent="0.3">
      <c r="A37" t="s">
        <v>114</v>
      </c>
      <c r="B37" t="s">
        <v>115</v>
      </c>
      <c r="C37" t="s">
        <v>1770</v>
      </c>
    </row>
    <row r="38" spans="1:3" x14ac:dyDescent="0.3">
      <c r="A38" t="s">
        <v>2185</v>
      </c>
      <c r="B38" t="s">
        <v>2186</v>
      </c>
      <c r="C38" t="s">
        <v>1770</v>
      </c>
    </row>
    <row r="39" spans="1:3" x14ac:dyDescent="0.3">
      <c r="A39" t="s">
        <v>116</v>
      </c>
      <c r="B39" t="s">
        <v>117</v>
      </c>
      <c r="C39" t="s">
        <v>1770</v>
      </c>
    </row>
    <row r="40" spans="1:3" x14ac:dyDescent="0.3">
      <c r="A40" t="s">
        <v>118</v>
      </c>
      <c r="B40" t="s">
        <v>119</v>
      </c>
      <c r="C40" t="s">
        <v>1770</v>
      </c>
    </row>
    <row r="41" spans="1:3" x14ac:dyDescent="0.3">
      <c r="A41" t="s">
        <v>2187</v>
      </c>
      <c r="B41" t="s">
        <v>2188</v>
      </c>
      <c r="C41" t="s">
        <v>1770</v>
      </c>
    </row>
    <row r="42" spans="1:3" x14ac:dyDescent="0.3">
      <c r="A42" t="s">
        <v>120</v>
      </c>
      <c r="B42" t="s">
        <v>121</v>
      </c>
      <c r="C42" t="s">
        <v>1770</v>
      </c>
    </row>
    <row r="43" spans="1:3" x14ac:dyDescent="0.3">
      <c r="A43" t="s">
        <v>122</v>
      </c>
      <c r="B43" t="s">
        <v>1921</v>
      </c>
      <c r="C43" t="s">
        <v>1770</v>
      </c>
    </row>
    <row r="44" spans="1:3" x14ac:dyDescent="0.3">
      <c r="A44" t="s">
        <v>123</v>
      </c>
      <c r="B44" t="s">
        <v>124</v>
      </c>
      <c r="C44" t="s">
        <v>1770</v>
      </c>
    </row>
    <row r="45" spans="1:3" x14ac:dyDescent="0.3">
      <c r="A45" t="s">
        <v>125</v>
      </c>
      <c r="B45" t="s">
        <v>126</v>
      </c>
      <c r="C45" t="s">
        <v>1770</v>
      </c>
    </row>
    <row r="46" spans="1:3" x14ac:dyDescent="0.3">
      <c r="A46" t="s">
        <v>127</v>
      </c>
      <c r="B46" t="s">
        <v>128</v>
      </c>
      <c r="C46" t="s">
        <v>1770</v>
      </c>
    </row>
    <row r="47" spans="1:3" x14ac:dyDescent="0.3">
      <c r="A47" t="s">
        <v>129</v>
      </c>
      <c r="B47" t="s">
        <v>130</v>
      </c>
      <c r="C47" t="s">
        <v>1770</v>
      </c>
    </row>
    <row r="48" spans="1:3" x14ac:dyDescent="0.3">
      <c r="A48" t="s">
        <v>131</v>
      </c>
      <c r="B48" t="s">
        <v>132</v>
      </c>
      <c r="C48" t="s">
        <v>1770</v>
      </c>
    </row>
    <row r="49" spans="1:3" x14ac:dyDescent="0.3">
      <c r="A49" t="s">
        <v>133</v>
      </c>
      <c r="B49" t="s">
        <v>134</v>
      </c>
      <c r="C49" t="s">
        <v>1770</v>
      </c>
    </row>
    <row r="50" spans="1:3" x14ac:dyDescent="0.3">
      <c r="A50" t="s">
        <v>135</v>
      </c>
      <c r="B50" t="s">
        <v>136</v>
      </c>
      <c r="C50" t="s">
        <v>1770</v>
      </c>
    </row>
    <row r="51" spans="1:3" x14ac:dyDescent="0.3">
      <c r="A51" t="s">
        <v>137</v>
      </c>
      <c r="B51" t="s">
        <v>138</v>
      </c>
      <c r="C51" t="s">
        <v>1770</v>
      </c>
    </row>
    <row r="52" spans="1:3" x14ac:dyDescent="0.3">
      <c r="A52" t="s">
        <v>139</v>
      </c>
      <c r="B52" t="s">
        <v>140</v>
      </c>
      <c r="C52" t="s">
        <v>1770</v>
      </c>
    </row>
    <row r="53" spans="1:3" x14ac:dyDescent="0.3">
      <c r="A53" t="s">
        <v>141</v>
      </c>
      <c r="B53" t="s">
        <v>142</v>
      </c>
      <c r="C53" t="s">
        <v>1770</v>
      </c>
    </row>
    <row r="54" spans="1:3" x14ac:dyDescent="0.3">
      <c r="A54" t="s">
        <v>143</v>
      </c>
      <c r="B54" t="s">
        <v>144</v>
      </c>
      <c r="C54" t="s">
        <v>1770</v>
      </c>
    </row>
    <row r="55" spans="1:3" x14ac:dyDescent="0.3">
      <c r="A55" t="s">
        <v>145</v>
      </c>
      <c r="B55" t="s">
        <v>146</v>
      </c>
      <c r="C55" t="s">
        <v>1770</v>
      </c>
    </row>
    <row r="56" spans="1:3" x14ac:dyDescent="0.3">
      <c r="A56" t="s">
        <v>2189</v>
      </c>
      <c r="B56" t="s">
        <v>2190</v>
      </c>
      <c r="C56" t="s">
        <v>1770</v>
      </c>
    </row>
    <row r="57" spans="1:3" x14ac:dyDescent="0.3">
      <c r="A57" t="s">
        <v>147</v>
      </c>
      <c r="B57" t="s">
        <v>148</v>
      </c>
      <c r="C57" t="s">
        <v>1770</v>
      </c>
    </row>
    <row r="58" spans="1:3" x14ac:dyDescent="0.3">
      <c r="A58" t="s">
        <v>149</v>
      </c>
      <c r="B58" t="s">
        <v>150</v>
      </c>
      <c r="C58" t="s">
        <v>1770</v>
      </c>
    </row>
    <row r="59" spans="1:3" x14ac:dyDescent="0.3">
      <c r="A59" t="s">
        <v>151</v>
      </c>
      <c r="B59" t="s">
        <v>152</v>
      </c>
      <c r="C59" t="s">
        <v>835</v>
      </c>
    </row>
    <row r="60" spans="1:3" x14ac:dyDescent="0.3">
      <c r="A60" t="s">
        <v>153</v>
      </c>
      <c r="B60" t="s">
        <v>154</v>
      </c>
      <c r="C60" t="s">
        <v>835</v>
      </c>
    </row>
    <row r="61" spans="1:3" x14ac:dyDescent="0.3">
      <c r="A61" t="s">
        <v>155</v>
      </c>
      <c r="B61" t="s">
        <v>156</v>
      </c>
      <c r="C61" t="s">
        <v>835</v>
      </c>
    </row>
    <row r="62" spans="1:3" x14ac:dyDescent="0.3">
      <c r="A62" t="s">
        <v>157</v>
      </c>
      <c r="B62" t="s">
        <v>158</v>
      </c>
      <c r="C62" t="s">
        <v>835</v>
      </c>
    </row>
    <row r="63" spans="1:3" x14ac:dyDescent="0.3">
      <c r="A63" t="s">
        <v>159</v>
      </c>
      <c r="B63" t="s">
        <v>160</v>
      </c>
      <c r="C63" t="s">
        <v>835</v>
      </c>
    </row>
    <row r="64" spans="1:3" x14ac:dyDescent="0.3">
      <c r="A64" t="s">
        <v>161</v>
      </c>
      <c r="B64" t="s">
        <v>162</v>
      </c>
      <c r="C64" t="s">
        <v>835</v>
      </c>
    </row>
    <row r="65" spans="1:3" x14ac:dyDescent="0.3">
      <c r="A65" t="s">
        <v>163</v>
      </c>
      <c r="B65" t="s">
        <v>164</v>
      </c>
      <c r="C65" t="s">
        <v>835</v>
      </c>
    </row>
    <row r="66" spans="1:3" x14ac:dyDescent="0.3">
      <c r="A66" t="s">
        <v>165</v>
      </c>
      <c r="B66" t="s">
        <v>166</v>
      </c>
      <c r="C66" t="s">
        <v>835</v>
      </c>
    </row>
    <row r="67" spans="1:3" x14ac:dyDescent="0.3">
      <c r="A67" t="s">
        <v>167</v>
      </c>
      <c r="B67" t="s">
        <v>1922</v>
      </c>
      <c r="C67" t="s">
        <v>835</v>
      </c>
    </row>
    <row r="68" spans="1:3" x14ac:dyDescent="0.3">
      <c r="A68" t="s">
        <v>1776</v>
      </c>
      <c r="B68" t="s">
        <v>2352</v>
      </c>
      <c r="C68" t="s">
        <v>835</v>
      </c>
    </row>
    <row r="69" spans="1:3" x14ac:dyDescent="0.3">
      <c r="A69" t="s">
        <v>168</v>
      </c>
      <c r="B69" t="s">
        <v>169</v>
      </c>
      <c r="C69" t="s">
        <v>835</v>
      </c>
    </row>
    <row r="70" spans="1:3" x14ac:dyDescent="0.3">
      <c r="A70" t="s">
        <v>170</v>
      </c>
      <c r="B70" t="s">
        <v>2191</v>
      </c>
      <c r="C70" t="s">
        <v>835</v>
      </c>
    </row>
    <row r="71" spans="1:3" x14ac:dyDescent="0.3">
      <c r="A71" t="s">
        <v>171</v>
      </c>
      <c r="B71" t="s">
        <v>172</v>
      </c>
      <c r="C71" t="s">
        <v>835</v>
      </c>
    </row>
    <row r="72" spans="1:3" x14ac:dyDescent="0.3">
      <c r="A72" t="s">
        <v>173</v>
      </c>
      <c r="B72" t="s">
        <v>174</v>
      </c>
      <c r="C72" t="s">
        <v>835</v>
      </c>
    </row>
    <row r="73" spans="1:3" x14ac:dyDescent="0.3">
      <c r="A73" t="s">
        <v>175</v>
      </c>
      <c r="B73" t="s">
        <v>2192</v>
      </c>
      <c r="C73" t="s">
        <v>835</v>
      </c>
    </row>
    <row r="74" spans="1:3" x14ac:dyDescent="0.3">
      <c r="A74" t="s">
        <v>176</v>
      </c>
      <c r="B74" t="s">
        <v>177</v>
      </c>
      <c r="C74" t="s">
        <v>835</v>
      </c>
    </row>
    <row r="75" spans="1:3" x14ac:dyDescent="0.3">
      <c r="A75" t="s">
        <v>178</v>
      </c>
      <c r="B75" t="s">
        <v>179</v>
      </c>
      <c r="C75" t="s">
        <v>835</v>
      </c>
    </row>
    <row r="76" spans="1:3" x14ac:dyDescent="0.3">
      <c r="A76" t="s">
        <v>180</v>
      </c>
      <c r="B76" t="s">
        <v>181</v>
      </c>
      <c r="C76" t="s">
        <v>835</v>
      </c>
    </row>
    <row r="77" spans="1:3" x14ac:dyDescent="0.3">
      <c r="A77" t="s">
        <v>182</v>
      </c>
      <c r="B77" t="s">
        <v>183</v>
      </c>
      <c r="C77" t="s">
        <v>835</v>
      </c>
    </row>
    <row r="78" spans="1:3" x14ac:dyDescent="0.3">
      <c r="A78" t="s">
        <v>184</v>
      </c>
      <c r="B78" t="s">
        <v>185</v>
      </c>
      <c r="C78" t="s">
        <v>835</v>
      </c>
    </row>
    <row r="79" spans="1:3" x14ac:dyDescent="0.3">
      <c r="A79" t="s">
        <v>186</v>
      </c>
      <c r="B79" t="s">
        <v>187</v>
      </c>
      <c r="C79" t="s">
        <v>1770</v>
      </c>
    </row>
    <row r="80" spans="1:3" x14ac:dyDescent="0.3">
      <c r="A80" t="s">
        <v>188</v>
      </c>
      <c r="B80" t="s">
        <v>189</v>
      </c>
      <c r="C80" t="s">
        <v>1770</v>
      </c>
    </row>
    <row r="81" spans="1:3" x14ac:dyDescent="0.3">
      <c r="A81" t="s">
        <v>190</v>
      </c>
      <c r="B81" t="s">
        <v>191</v>
      </c>
      <c r="C81" t="s">
        <v>1770</v>
      </c>
    </row>
    <row r="82" spans="1:3" x14ac:dyDescent="0.3">
      <c r="A82" t="s">
        <v>192</v>
      </c>
      <c r="B82" t="s">
        <v>2193</v>
      </c>
      <c r="C82" t="s">
        <v>1770</v>
      </c>
    </row>
    <row r="83" spans="1:3" x14ac:dyDescent="0.3">
      <c r="A83" t="s">
        <v>193</v>
      </c>
      <c r="B83" t="s">
        <v>194</v>
      </c>
      <c r="C83" t="s">
        <v>1770</v>
      </c>
    </row>
    <row r="84" spans="1:3" x14ac:dyDescent="0.3">
      <c r="A84" t="s">
        <v>195</v>
      </c>
      <c r="B84" t="s">
        <v>196</v>
      </c>
      <c r="C84" t="s">
        <v>1770</v>
      </c>
    </row>
    <row r="85" spans="1:3" x14ac:dyDescent="0.3">
      <c r="A85" t="s">
        <v>197</v>
      </c>
      <c r="B85" t="s">
        <v>198</v>
      </c>
      <c r="C85" t="s">
        <v>835</v>
      </c>
    </row>
    <row r="86" spans="1:3" x14ac:dyDescent="0.3">
      <c r="A86" t="s">
        <v>199</v>
      </c>
      <c r="B86" t="s">
        <v>200</v>
      </c>
      <c r="C86" t="s">
        <v>835</v>
      </c>
    </row>
    <row r="87" spans="1:3" x14ac:dyDescent="0.3">
      <c r="A87" t="s">
        <v>201</v>
      </c>
      <c r="B87" t="s">
        <v>2353</v>
      </c>
      <c r="C87" t="s">
        <v>835</v>
      </c>
    </row>
    <row r="88" spans="1:3" x14ac:dyDescent="0.3">
      <c r="A88" t="s">
        <v>2354</v>
      </c>
      <c r="B88" t="s">
        <v>2355</v>
      </c>
      <c r="C88" t="s">
        <v>835</v>
      </c>
    </row>
    <row r="89" spans="1:3" x14ac:dyDescent="0.3">
      <c r="A89" t="s">
        <v>202</v>
      </c>
      <c r="B89" t="s">
        <v>2356</v>
      </c>
      <c r="C89" t="s">
        <v>835</v>
      </c>
    </row>
    <row r="90" spans="1:3" x14ac:dyDescent="0.3">
      <c r="A90" t="s">
        <v>2357</v>
      </c>
      <c r="B90" t="s">
        <v>2358</v>
      </c>
      <c r="C90" t="s">
        <v>835</v>
      </c>
    </row>
    <row r="91" spans="1:3" x14ac:dyDescent="0.3">
      <c r="A91" t="s">
        <v>203</v>
      </c>
      <c r="B91" t="s">
        <v>2359</v>
      </c>
      <c r="C91" t="s">
        <v>835</v>
      </c>
    </row>
    <row r="92" spans="1:3" x14ac:dyDescent="0.3">
      <c r="A92" t="s">
        <v>2360</v>
      </c>
      <c r="B92" t="s">
        <v>2361</v>
      </c>
      <c r="C92" t="s">
        <v>835</v>
      </c>
    </row>
    <row r="93" spans="1:3" x14ac:dyDescent="0.3">
      <c r="A93" t="s">
        <v>204</v>
      </c>
      <c r="B93" t="s">
        <v>2362</v>
      </c>
      <c r="C93" t="s">
        <v>1770</v>
      </c>
    </row>
    <row r="94" spans="1:3" x14ac:dyDescent="0.3">
      <c r="A94" t="s">
        <v>2363</v>
      </c>
      <c r="B94" t="s">
        <v>2364</v>
      </c>
      <c r="C94" t="s">
        <v>1770</v>
      </c>
    </row>
    <row r="95" spans="1:3" x14ac:dyDescent="0.3">
      <c r="A95" t="s">
        <v>205</v>
      </c>
      <c r="B95" t="s">
        <v>2365</v>
      </c>
      <c r="C95" t="s">
        <v>1770</v>
      </c>
    </row>
    <row r="96" spans="1:3" x14ac:dyDescent="0.3">
      <c r="A96" t="s">
        <v>2366</v>
      </c>
      <c r="B96" t="s">
        <v>2367</v>
      </c>
      <c r="C96" t="s">
        <v>1770</v>
      </c>
    </row>
    <row r="97" spans="1:3" x14ac:dyDescent="0.3">
      <c r="A97" t="s">
        <v>206</v>
      </c>
      <c r="B97" t="s">
        <v>2368</v>
      </c>
      <c r="C97" t="s">
        <v>1770</v>
      </c>
    </row>
    <row r="98" spans="1:3" x14ac:dyDescent="0.3">
      <c r="A98" t="s">
        <v>2369</v>
      </c>
      <c r="B98" t="s">
        <v>2370</v>
      </c>
      <c r="C98" t="s">
        <v>1770</v>
      </c>
    </row>
    <row r="99" spans="1:3" x14ac:dyDescent="0.3">
      <c r="A99" t="s">
        <v>207</v>
      </c>
      <c r="B99" t="s">
        <v>208</v>
      </c>
      <c r="C99" t="s">
        <v>835</v>
      </c>
    </row>
    <row r="100" spans="1:3" x14ac:dyDescent="0.3">
      <c r="A100" t="s">
        <v>209</v>
      </c>
      <c r="B100" t="s">
        <v>210</v>
      </c>
      <c r="C100" t="s">
        <v>1770</v>
      </c>
    </row>
    <row r="101" spans="1:3" x14ac:dyDescent="0.3">
      <c r="A101" t="s">
        <v>211</v>
      </c>
      <c r="B101" t="s">
        <v>212</v>
      </c>
      <c r="C101" t="s">
        <v>1770</v>
      </c>
    </row>
    <row r="102" spans="1:3" x14ac:dyDescent="0.3">
      <c r="A102" t="s">
        <v>213</v>
      </c>
      <c r="B102" t="s">
        <v>214</v>
      </c>
      <c r="C102" t="s">
        <v>835</v>
      </c>
    </row>
    <row r="103" spans="1:3" x14ac:dyDescent="0.3">
      <c r="A103" t="s">
        <v>215</v>
      </c>
      <c r="B103" t="s">
        <v>216</v>
      </c>
      <c r="C103" t="s">
        <v>1770</v>
      </c>
    </row>
    <row r="104" spans="1:3" x14ac:dyDescent="0.3">
      <c r="A104" t="s">
        <v>217</v>
      </c>
      <c r="B104" t="s">
        <v>218</v>
      </c>
      <c r="C104" t="s">
        <v>835</v>
      </c>
    </row>
    <row r="105" spans="1:3" x14ac:dyDescent="0.3">
      <c r="A105" t="s">
        <v>219</v>
      </c>
      <c r="B105" t="s">
        <v>220</v>
      </c>
      <c r="C105" t="s">
        <v>1770</v>
      </c>
    </row>
    <row r="106" spans="1:3" x14ac:dyDescent="0.3">
      <c r="A106" t="s">
        <v>221</v>
      </c>
      <c r="B106" t="s">
        <v>222</v>
      </c>
      <c r="C106" t="s">
        <v>835</v>
      </c>
    </row>
    <row r="107" spans="1:3" x14ac:dyDescent="0.3">
      <c r="A107" t="s">
        <v>223</v>
      </c>
      <c r="B107" t="s">
        <v>224</v>
      </c>
      <c r="C107" t="s">
        <v>1770</v>
      </c>
    </row>
    <row r="108" spans="1:3" x14ac:dyDescent="0.3">
      <c r="A108" t="s">
        <v>225</v>
      </c>
      <c r="B108" t="s">
        <v>1777</v>
      </c>
      <c r="C108" t="s">
        <v>1778</v>
      </c>
    </row>
    <row r="109" spans="1:3" x14ac:dyDescent="0.3">
      <c r="A109" t="s">
        <v>1779</v>
      </c>
      <c r="B109" t="s">
        <v>1780</v>
      </c>
      <c r="C109" t="s">
        <v>1778</v>
      </c>
    </row>
    <row r="110" spans="1:3" x14ac:dyDescent="0.3">
      <c r="A110" t="s">
        <v>226</v>
      </c>
      <c r="B110" t="s">
        <v>1781</v>
      </c>
      <c r="C110" t="s">
        <v>1778</v>
      </c>
    </row>
    <row r="111" spans="1:3" x14ac:dyDescent="0.3">
      <c r="A111" t="s">
        <v>227</v>
      </c>
      <c r="B111" t="s">
        <v>1782</v>
      </c>
      <c r="C111" t="s">
        <v>1778</v>
      </c>
    </row>
    <row r="112" spans="1:3" x14ac:dyDescent="0.3">
      <c r="A112" t="s">
        <v>1783</v>
      </c>
      <c r="B112" t="s">
        <v>1784</v>
      </c>
      <c r="C112" t="s">
        <v>1778</v>
      </c>
    </row>
    <row r="113" spans="1:3" x14ac:dyDescent="0.3">
      <c r="A113" t="s">
        <v>1785</v>
      </c>
      <c r="B113" t="s">
        <v>1786</v>
      </c>
      <c r="C113" t="s">
        <v>1778</v>
      </c>
    </row>
    <row r="114" spans="1:3" x14ac:dyDescent="0.3">
      <c r="A114" t="s">
        <v>1787</v>
      </c>
      <c r="B114" t="s">
        <v>1788</v>
      </c>
      <c r="C114" t="s">
        <v>1778</v>
      </c>
    </row>
    <row r="115" spans="1:3" x14ac:dyDescent="0.3">
      <c r="A115" t="s">
        <v>1789</v>
      </c>
      <c r="B115" t="s">
        <v>1790</v>
      </c>
      <c r="C115" t="s">
        <v>1778</v>
      </c>
    </row>
    <row r="116" spans="1:3" x14ac:dyDescent="0.3">
      <c r="A116" t="s">
        <v>228</v>
      </c>
      <c r="B116" t="s">
        <v>229</v>
      </c>
      <c r="C116" t="s">
        <v>1778</v>
      </c>
    </row>
    <row r="117" spans="1:3" x14ac:dyDescent="0.3">
      <c r="A117" t="s">
        <v>230</v>
      </c>
      <c r="B117" t="s">
        <v>231</v>
      </c>
      <c r="C117" t="s">
        <v>1778</v>
      </c>
    </row>
    <row r="118" spans="1:3" x14ac:dyDescent="0.3">
      <c r="A118" t="s">
        <v>232</v>
      </c>
      <c r="B118" t="s">
        <v>233</v>
      </c>
      <c r="C118" t="s">
        <v>1778</v>
      </c>
    </row>
    <row r="119" spans="1:3" x14ac:dyDescent="0.3">
      <c r="A119" t="s">
        <v>234</v>
      </c>
      <c r="B119" t="s">
        <v>235</v>
      </c>
      <c r="C119" t="s">
        <v>1778</v>
      </c>
    </row>
    <row r="120" spans="1:3" x14ac:dyDescent="0.3">
      <c r="A120" t="s">
        <v>236</v>
      </c>
      <c r="B120" t="s">
        <v>237</v>
      </c>
      <c r="C120" t="s">
        <v>1778</v>
      </c>
    </row>
    <row r="121" spans="1:3" x14ac:dyDescent="0.3">
      <c r="A121" t="s">
        <v>238</v>
      </c>
      <c r="B121" t="s">
        <v>239</v>
      </c>
      <c r="C121" t="s">
        <v>1778</v>
      </c>
    </row>
    <row r="122" spans="1:3" x14ac:dyDescent="0.3">
      <c r="A122" t="s">
        <v>240</v>
      </c>
      <c r="B122" t="s">
        <v>241</v>
      </c>
      <c r="C122" t="s">
        <v>1778</v>
      </c>
    </row>
    <row r="123" spans="1:3" x14ac:dyDescent="0.3">
      <c r="A123" t="s">
        <v>242</v>
      </c>
      <c r="B123" t="s">
        <v>243</v>
      </c>
      <c r="C123" t="s">
        <v>1778</v>
      </c>
    </row>
    <row r="124" spans="1:3" x14ac:dyDescent="0.3">
      <c r="A124" t="s">
        <v>244</v>
      </c>
      <c r="B124" t="s">
        <v>245</v>
      </c>
      <c r="C124" t="s">
        <v>1778</v>
      </c>
    </row>
    <row r="125" spans="1:3" x14ac:dyDescent="0.3">
      <c r="A125" t="s">
        <v>246</v>
      </c>
      <c r="B125" t="s">
        <v>247</v>
      </c>
      <c r="C125" t="s">
        <v>1778</v>
      </c>
    </row>
    <row r="126" spans="1:3" x14ac:dyDescent="0.3">
      <c r="A126" t="s">
        <v>248</v>
      </c>
      <c r="B126" t="s">
        <v>249</v>
      </c>
      <c r="C126" t="s">
        <v>1778</v>
      </c>
    </row>
    <row r="127" spans="1:3" x14ac:dyDescent="0.3">
      <c r="A127" t="s">
        <v>250</v>
      </c>
      <c r="B127" t="s">
        <v>251</v>
      </c>
      <c r="C127" t="s">
        <v>1778</v>
      </c>
    </row>
    <row r="128" spans="1:3" x14ac:dyDescent="0.3">
      <c r="A128" t="s">
        <v>252</v>
      </c>
      <c r="B128" t="s">
        <v>253</v>
      </c>
      <c r="C128" t="s">
        <v>1778</v>
      </c>
    </row>
    <row r="129" spans="1:3" x14ac:dyDescent="0.3">
      <c r="A129" t="s">
        <v>254</v>
      </c>
      <c r="B129" t="s">
        <v>255</v>
      </c>
      <c r="C129" t="s">
        <v>1778</v>
      </c>
    </row>
    <row r="130" spans="1:3" x14ac:dyDescent="0.3">
      <c r="A130" t="s">
        <v>256</v>
      </c>
      <c r="B130" t="s">
        <v>257</v>
      </c>
      <c r="C130" t="s">
        <v>1778</v>
      </c>
    </row>
    <row r="131" spans="1:3" x14ac:dyDescent="0.3">
      <c r="A131" t="s">
        <v>258</v>
      </c>
      <c r="B131" t="s">
        <v>259</v>
      </c>
      <c r="C131" t="s">
        <v>1778</v>
      </c>
    </row>
    <row r="132" spans="1:3" x14ac:dyDescent="0.3">
      <c r="A132" t="s">
        <v>260</v>
      </c>
      <c r="B132" t="s">
        <v>261</v>
      </c>
      <c r="C132" t="s">
        <v>1778</v>
      </c>
    </row>
    <row r="133" spans="1:3" x14ac:dyDescent="0.3">
      <c r="A133" t="s">
        <v>262</v>
      </c>
      <c r="B133" t="s">
        <v>263</v>
      </c>
      <c r="C133" t="s">
        <v>1778</v>
      </c>
    </row>
    <row r="134" spans="1:3" x14ac:dyDescent="0.3">
      <c r="A134" t="s">
        <v>264</v>
      </c>
      <c r="B134" t="s">
        <v>265</v>
      </c>
      <c r="C134" t="s">
        <v>1778</v>
      </c>
    </row>
    <row r="135" spans="1:3" x14ac:dyDescent="0.3">
      <c r="A135" t="s">
        <v>266</v>
      </c>
      <c r="B135" t="s">
        <v>267</v>
      </c>
      <c r="C135" t="s">
        <v>1778</v>
      </c>
    </row>
    <row r="136" spans="1:3" x14ac:dyDescent="0.3">
      <c r="A136" t="s">
        <v>2194</v>
      </c>
      <c r="B136" t="s">
        <v>2195</v>
      </c>
      <c r="C136" t="s">
        <v>1778</v>
      </c>
    </row>
    <row r="137" spans="1:3" x14ac:dyDescent="0.3">
      <c r="A137" t="s">
        <v>2196</v>
      </c>
      <c r="B137" t="s">
        <v>2197</v>
      </c>
      <c r="C137" t="s">
        <v>1778</v>
      </c>
    </row>
    <row r="138" spans="1:3" x14ac:dyDescent="0.3">
      <c r="A138" t="s">
        <v>2198</v>
      </c>
      <c r="B138" t="s">
        <v>2199</v>
      </c>
      <c r="C138" t="s">
        <v>1778</v>
      </c>
    </row>
    <row r="139" spans="1:3" x14ac:dyDescent="0.3">
      <c r="A139" t="s">
        <v>2200</v>
      </c>
      <c r="B139" t="s">
        <v>2201</v>
      </c>
      <c r="C139" t="s">
        <v>1778</v>
      </c>
    </row>
    <row r="140" spans="1:3" x14ac:dyDescent="0.3">
      <c r="A140" t="s">
        <v>268</v>
      </c>
      <c r="B140" t="s">
        <v>269</v>
      </c>
      <c r="C140" t="s">
        <v>1778</v>
      </c>
    </row>
    <row r="141" spans="1:3" x14ac:dyDescent="0.3">
      <c r="A141" t="s">
        <v>270</v>
      </c>
      <c r="B141" t="s">
        <v>271</v>
      </c>
      <c r="C141" t="s">
        <v>1778</v>
      </c>
    </row>
    <row r="142" spans="1:3" x14ac:dyDescent="0.3">
      <c r="A142" t="s">
        <v>272</v>
      </c>
      <c r="B142" t="s">
        <v>273</v>
      </c>
      <c r="C142" t="s">
        <v>1778</v>
      </c>
    </row>
    <row r="143" spans="1:3" x14ac:dyDescent="0.3">
      <c r="A143" t="s">
        <v>274</v>
      </c>
      <c r="B143" t="s">
        <v>275</v>
      </c>
      <c r="C143" t="s">
        <v>1778</v>
      </c>
    </row>
    <row r="144" spans="1:3" x14ac:dyDescent="0.3">
      <c r="A144" t="s">
        <v>276</v>
      </c>
      <c r="B144" t="s">
        <v>277</v>
      </c>
      <c r="C144" t="s">
        <v>1778</v>
      </c>
    </row>
    <row r="145" spans="1:3" x14ac:dyDescent="0.3">
      <c r="A145" t="s">
        <v>278</v>
      </c>
      <c r="B145" t="s">
        <v>279</v>
      </c>
      <c r="C145" t="s">
        <v>1778</v>
      </c>
    </row>
    <row r="146" spans="1:3" x14ac:dyDescent="0.3">
      <c r="A146" t="s">
        <v>280</v>
      </c>
      <c r="B146" t="s">
        <v>281</v>
      </c>
      <c r="C146" t="s">
        <v>1778</v>
      </c>
    </row>
    <row r="147" spans="1:3" x14ac:dyDescent="0.3">
      <c r="A147" t="s">
        <v>282</v>
      </c>
      <c r="B147" t="s">
        <v>283</v>
      </c>
      <c r="C147" t="s">
        <v>1778</v>
      </c>
    </row>
    <row r="148" spans="1:3" x14ac:dyDescent="0.3">
      <c r="A148" t="s">
        <v>284</v>
      </c>
      <c r="B148" t="s">
        <v>285</v>
      </c>
      <c r="C148" t="s">
        <v>1778</v>
      </c>
    </row>
    <row r="149" spans="1:3" x14ac:dyDescent="0.3">
      <c r="A149" t="s">
        <v>286</v>
      </c>
      <c r="B149" t="s">
        <v>287</v>
      </c>
      <c r="C149" t="s">
        <v>1778</v>
      </c>
    </row>
    <row r="150" spans="1:3" x14ac:dyDescent="0.3">
      <c r="A150" t="s">
        <v>288</v>
      </c>
      <c r="B150" t="s">
        <v>289</v>
      </c>
      <c r="C150" t="s">
        <v>1778</v>
      </c>
    </row>
    <row r="151" spans="1:3" x14ac:dyDescent="0.3">
      <c r="A151" t="s">
        <v>290</v>
      </c>
      <c r="B151" t="s">
        <v>291</v>
      </c>
      <c r="C151" t="s">
        <v>1778</v>
      </c>
    </row>
    <row r="152" spans="1:3" x14ac:dyDescent="0.3">
      <c r="A152" t="s">
        <v>292</v>
      </c>
      <c r="B152" t="s">
        <v>293</v>
      </c>
      <c r="C152" t="s">
        <v>1778</v>
      </c>
    </row>
    <row r="153" spans="1:3" x14ac:dyDescent="0.3">
      <c r="A153" t="s">
        <v>294</v>
      </c>
      <c r="B153" t="s">
        <v>295</v>
      </c>
      <c r="C153" t="s">
        <v>1778</v>
      </c>
    </row>
    <row r="154" spans="1:3" x14ac:dyDescent="0.3">
      <c r="A154" t="s">
        <v>296</v>
      </c>
      <c r="B154" t="s">
        <v>297</v>
      </c>
      <c r="C154" t="s">
        <v>1778</v>
      </c>
    </row>
    <row r="155" spans="1:3" x14ac:dyDescent="0.3">
      <c r="A155" t="s">
        <v>298</v>
      </c>
      <c r="B155" t="s">
        <v>299</v>
      </c>
      <c r="C155" t="s">
        <v>1778</v>
      </c>
    </row>
    <row r="156" spans="1:3" x14ac:dyDescent="0.3">
      <c r="A156" t="s">
        <v>300</v>
      </c>
      <c r="B156" t="s">
        <v>301</v>
      </c>
      <c r="C156" t="s">
        <v>1778</v>
      </c>
    </row>
    <row r="157" spans="1:3" x14ac:dyDescent="0.3">
      <c r="A157" t="s">
        <v>302</v>
      </c>
      <c r="B157" t="s">
        <v>303</v>
      </c>
      <c r="C157" t="s">
        <v>1778</v>
      </c>
    </row>
    <row r="158" spans="1:3" x14ac:dyDescent="0.3">
      <c r="A158" t="s">
        <v>304</v>
      </c>
      <c r="B158" t="s">
        <v>305</v>
      </c>
      <c r="C158" t="s">
        <v>1778</v>
      </c>
    </row>
    <row r="159" spans="1:3" x14ac:dyDescent="0.3">
      <c r="A159" t="s">
        <v>306</v>
      </c>
      <c r="B159" t="s">
        <v>307</v>
      </c>
      <c r="C159" t="s">
        <v>1778</v>
      </c>
    </row>
    <row r="160" spans="1:3" x14ac:dyDescent="0.3">
      <c r="A160" t="s">
        <v>308</v>
      </c>
      <c r="B160" t="s">
        <v>309</v>
      </c>
      <c r="C160" t="s">
        <v>1778</v>
      </c>
    </row>
    <row r="161" spans="1:3" x14ac:dyDescent="0.3">
      <c r="A161" t="s">
        <v>310</v>
      </c>
      <c r="B161" t="s">
        <v>311</v>
      </c>
      <c r="C161" t="s">
        <v>1778</v>
      </c>
    </row>
    <row r="162" spans="1:3" x14ac:dyDescent="0.3">
      <c r="A162" t="s">
        <v>312</v>
      </c>
      <c r="B162" t="s">
        <v>313</v>
      </c>
      <c r="C162" t="s">
        <v>1778</v>
      </c>
    </row>
    <row r="163" spans="1:3" x14ac:dyDescent="0.3">
      <c r="A163" t="s">
        <v>314</v>
      </c>
      <c r="B163" t="s">
        <v>315</v>
      </c>
      <c r="C163" t="s">
        <v>1778</v>
      </c>
    </row>
    <row r="164" spans="1:3" x14ac:dyDescent="0.3">
      <c r="A164" t="s">
        <v>316</v>
      </c>
      <c r="B164" t="s">
        <v>317</v>
      </c>
      <c r="C164" t="s">
        <v>1778</v>
      </c>
    </row>
    <row r="165" spans="1:3" x14ac:dyDescent="0.3">
      <c r="A165" t="s">
        <v>318</v>
      </c>
      <c r="B165" t="s">
        <v>319</v>
      </c>
      <c r="C165" t="s">
        <v>1778</v>
      </c>
    </row>
    <row r="166" spans="1:3" x14ac:dyDescent="0.3">
      <c r="A166" t="s">
        <v>320</v>
      </c>
      <c r="B166" t="s">
        <v>321</v>
      </c>
      <c r="C166" t="s">
        <v>1778</v>
      </c>
    </row>
    <row r="167" spans="1:3" x14ac:dyDescent="0.3">
      <c r="A167" t="s">
        <v>322</v>
      </c>
      <c r="B167" t="s">
        <v>323</v>
      </c>
      <c r="C167" t="s">
        <v>1778</v>
      </c>
    </row>
    <row r="168" spans="1:3" x14ac:dyDescent="0.3">
      <c r="A168" t="s">
        <v>324</v>
      </c>
      <c r="B168" t="s">
        <v>325</v>
      </c>
      <c r="C168" t="s">
        <v>1778</v>
      </c>
    </row>
    <row r="169" spans="1:3" x14ac:dyDescent="0.3">
      <c r="A169" t="s">
        <v>326</v>
      </c>
      <c r="B169" t="s">
        <v>327</v>
      </c>
      <c r="C169" t="s">
        <v>1778</v>
      </c>
    </row>
    <row r="170" spans="1:3" x14ac:dyDescent="0.3">
      <c r="A170" t="s">
        <v>328</v>
      </c>
      <c r="B170" t="s">
        <v>329</v>
      </c>
      <c r="C170" t="s">
        <v>1778</v>
      </c>
    </row>
    <row r="171" spans="1:3" x14ac:dyDescent="0.3">
      <c r="A171" t="s">
        <v>330</v>
      </c>
      <c r="B171" t="s">
        <v>331</v>
      </c>
      <c r="C171" t="s">
        <v>1778</v>
      </c>
    </row>
    <row r="172" spans="1:3" x14ac:dyDescent="0.3">
      <c r="A172" t="s">
        <v>332</v>
      </c>
      <c r="B172" t="s">
        <v>333</v>
      </c>
      <c r="C172" t="s">
        <v>1778</v>
      </c>
    </row>
    <row r="173" spans="1:3" x14ac:dyDescent="0.3">
      <c r="A173" t="s">
        <v>334</v>
      </c>
      <c r="B173" t="s">
        <v>335</v>
      </c>
      <c r="C173" t="s">
        <v>1778</v>
      </c>
    </row>
    <row r="174" spans="1:3" x14ac:dyDescent="0.3">
      <c r="A174" t="s">
        <v>336</v>
      </c>
      <c r="B174" t="s">
        <v>337</v>
      </c>
      <c r="C174" t="s">
        <v>1778</v>
      </c>
    </row>
    <row r="175" spans="1:3" x14ac:dyDescent="0.3">
      <c r="A175" t="s">
        <v>338</v>
      </c>
      <c r="B175" t="s">
        <v>339</v>
      </c>
      <c r="C175" t="s">
        <v>1778</v>
      </c>
    </row>
    <row r="176" spans="1:3" x14ac:dyDescent="0.3">
      <c r="A176" t="s">
        <v>340</v>
      </c>
      <c r="B176" t="s">
        <v>2202</v>
      </c>
      <c r="C176" t="s">
        <v>1778</v>
      </c>
    </row>
    <row r="177" spans="1:3" x14ac:dyDescent="0.3">
      <c r="A177" t="s">
        <v>341</v>
      </c>
      <c r="B177" t="s">
        <v>2203</v>
      </c>
      <c r="C177" t="s">
        <v>1778</v>
      </c>
    </row>
    <row r="178" spans="1:3" x14ac:dyDescent="0.3">
      <c r="A178" t="s">
        <v>342</v>
      </c>
      <c r="B178" t="s">
        <v>2204</v>
      </c>
      <c r="C178" t="s">
        <v>1778</v>
      </c>
    </row>
    <row r="179" spans="1:3" x14ac:dyDescent="0.3">
      <c r="A179" t="s">
        <v>343</v>
      </c>
      <c r="B179" t="s">
        <v>2205</v>
      </c>
      <c r="C179" t="s">
        <v>1778</v>
      </c>
    </row>
    <row r="180" spans="1:3" x14ac:dyDescent="0.3">
      <c r="A180" t="s">
        <v>344</v>
      </c>
      <c r="B180" t="s">
        <v>345</v>
      </c>
      <c r="C180" t="s">
        <v>1778</v>
      </c>
    </row>
    <row r="181" spans="1:3" x14ac:dyDescent="0.3">
      <c r="A181" t="s">
        <v>346</v>
      </c>
      <c r="B181" t="s">
        <v>347</v>
      </c>
      <c r="C181" t="s">
        <v>1778</v>
      </c>
    </row>
    <row r="182" spans="1:3" x14ac:dyDescent="0.3">
      <c r="A182" t="s">
        <v>348</v>
      </c>
      <c r="B182" t="s">
        <v>349</v>
      </c>
      <c r="C182" t="s">
        <v>1778</v>
      </c>
    </row>
    <row r="183" spans="1:3" x14ac:dyDescent="0.3">
      <c r="A183" t="s">
        <v>350</v>
      </c>
      <c r="B183" t="s">
        <v>351</v>
      </c>
      <c r="C183" t="s">
        <v>1778</v>
      </c>
    </row>
    <row r="184" spans="1:3" x14ac:dyDescent="0.3">
      <c r="A184" t="s">
        <v>352</v>
      </c>
      <c r="B184" t="s">
        <v>353</v>
      </c>
      <c r="C184" t="s">
        <v>1778</v>
      </c>
    </row>
    <row r="185" spans="1:3" x14ac:dyDescent="0.3">
      <c r="A185" t="s">
        <v>1791</v>
      </c>
      <c r="B185" t="s">
        <v>2206</v>
      </c>
      <c r="C185" t="s">
        <v>1778</v>
      </c>
    </row>
    <row r="186" spans="1:3" x14ac:dyDescent="0.3">
      <c r="A186" t="s">
        <v>354</v>
      </c>
      <c r="B186" t="s">
        <v>2207</v>
      </c>
      <c r="C186" t="s">
        <v>1778</v>
      </c>
    </row>
    <row r="187" spans="1:3" x14ac:dyDescent="0.3">
      <c r="A187" t="s">
        <v>355</v>
      </c>
      <c r="B187" t="s">
        <v>2208</v>
      </c>
      <c r="C187" t="s">
        <v>1778</v>
      </c>
    </row>
    <row r="188" spans="1:3" x14ac:dyDescent="0.3">
      <c r="A188" t="s">
        <v>356</v>
      </c>
      <c r="B188" t="s">
        <v>2209</v>
      </c>
      <c r="C188" t="s">
        <v>1778</v>
      </c>
    </row>
    <row r="189" spans="1:3" x14ac:dyDescent="0.3">
      <c r="A189" t="s">
        <v>357</v>
      </c>
      <c r="B189" t="s">
        <v>2210</v>
      </c>
      <c r="C189" t="s">
        <v>1778</v>
      </c>
    </row>
    <row r="190" spans="1:3" x14ac:dyDescent="0.3">
      <c r="A190" t="s">
        <v>358</v>
      </c>
      <c r="B190" t="s">
        <v>2211</v>
      </c>
      <c r="C190" t="s">
        <v>1778</v>
      </c>
    </row>
    <row r="191" spans="1:3" x14ac:dyDescent="0.3">
      <c r="A191" t="s">
        <v>359</v>
      </c>
      <c r="B191" t="s">
        <v>2212</v>
      </c>
      <c r="C191" t="s">
        <v>1778</v>
      </c>
    </row>
    <row r="192" spans="1:3" x14ac:dyDescent="0.3">
      <c r="A192" t="s">
        <v>360</v>
      </c>
      <c r="B192" t="s">
        <v>2213</v>
      </c>
      <c r="C192" t="s">
        <v>1778</v>
      </c>
    </row>
    <row r="193" spans="1:3" x14ac:dyDescent="0.3">
      <c r="A193" t="s">
        <v>361</v>
      </c>
      <c r="B193" t="s">
        <v>2214</v>
      </c>
      <c r="C193" t="s">
        <v>1778</v>
      </c>
    </row>
    <row r="194" spans="1:3" x14ac:dyDescent="0.3">
      <c r="A194" t="s">
        <v>362</v>
      </c>
      <c r="B194" t="s">
        <v>2215</v>
      </c>
      <c r="C194" t="s">
        <v>1778</v>
      </c>
    </row>
    <row r="195" spans="1:3" x14ac:dyDescent="0.3">
      <c r="A195" t="s">
        <v>363</v>
      </c>
      <c r="B195" t="s">
        <v>2216</v>
      </c>
      <c r="C195" t="s">
        <v>1778</v>
      </c>
    </row>
    <row r="196" spans="1:3" x14ac:dyDescent="0.3">
      <c r="A196" t="s">
        <v>364</v>
      </c>
      <c r="B196" t="s">
        <v>2217</v>
      </c>
      <c r="C196" t="s">
        <v>1778</v>
      </c>
    </row>
    <row r="197" spans="1:3" x14ac:dyDescent="0.3">
      <c r="A197" t="s">
        <v>365</v>
      </c>
      <c r="B197" t="s">
        <v>2218</v>
      </c>
      <c r="C197" t="s">
        <v>1778</v>
      </c>
    </row>
    <row r="198" spans="1:3" x14ac:dyDescent="0.3">
      <c r="A198" t="s">
        <v>366</v>
      </c>
      <c r="B198" t="s">
        <v>367</v>
      </c>
      <c r="C198" t="s">
        <v>1778</v>
      </c>
    </row>
    <row r="199" spans="1:3" x14ac:dyDescent="0.3">
      <c r="A199" t="s">
        <v>368</v>
      </c>
      <c r="B199" t="s">
        <v>369</v>
      </c>
      <c r="C199" t="s">
        <v>1778</v>
      </c>
    </row>
    <row r="200" spans="1:3" x14ac:dyDescent="0.3">
      <c r="A200" t="s">
        <v>370</v>
      </c>
      <c r="B200" t="s">
        <v>371</v>
      </c>
      <c r="C200" t="s">
        <v>1778</v>
      </c>
    </row>
    <row r="201" spans="1:3" x14ac:dyDescent="0.3">
      <c r="A201" t="s">
        <v>372</v>
      </c>
      <c r="B201" t="s">
        <v>373</v>
      </c>
      <c r="C201" t="s">
        <v>1778</v>
      </c>
    </row>
    <row r="202" spans="1:3" x14ac:dyDescent="0.3">
      <c r="A202" t="s">
        <v>374</v>
      </c>
      <c r="B202" t="s">
        <v>375</v>
      </c>
      <c r="C202" t="s">
        <v>1778</v>
      </c>
    </row>
    <row r="203" spans="1:3" x14ac:dyDescent="0.3">
      <c r="A203" t="s">
        <v>376</v>
      </c>
      <c r="B203" t="s">
        <v>377</v>
      </c>
      <c r="C203" t="s">
        <v>1778</v>
      </c>
    </row>
    <row r="204" spans="1:3" x14ac:dyDescent="0.3">
      <c r="A204" t="s">
        <v>378</v>
      </c>
      <c r="B204" t="s">
        <v>379</v>
      </c>
      <c r="C204" t="s">
        <v>1778</v>
      </c>
    </row>
    <row r="205" spans="1:3" x14ac:dyDescent="0.3">
      <c r="A205" t="s">
        <v>380</v>
      </c>
      <c r="B205" t="s">
        <v>381</v>
      </c>
      <c r="C205" t="s">
        <v>1778</v>
      </c>
    </row>
    <row r="206" spans="1:3" x14ac:dyDescent="0.3">
      <c r="A206" t="s">
        <v>382</v>
      </c>
      <c r="B206" t="s">
        <v>383</v>
      </c>
      <c r="C206" t="s">
        <v>1778</v>
      </c>
    </row>
    <row r="207" spans="1:3" x14ac:dyDescent="0.3">
      <c r="A207" t="s">
        <v>384</v>
      </c>
      <c r="B207" t="s">
        <v>385</v>
      </c>
      <c r="C207" t="s">
        <v>1778</v>
      </c>
    </row>
    <row r="208" spans="1:3" x14ac:dyDescent="0.3">
      <c r="A208" t="s">
        <v>386</v>
      </c>
      <c r="B208" t="s">
        <v>387</v>
      </c>
      <c r="C208" t="s">
        <v>1778</v>
      </c>
    </row>
    <row r="209" spans="1:3" x14ac:dyDescent="0.3">
      <c r="A209" t="s">
        <v>388</v>
      </c>
      <c r="B209" t="s">
        <v>389</v>
      </c>
      <c r="C209" t="s">
        <v>1778</v>
      </c>
    </row>
    <row r="210" spans="1:3" x14ac:dyDescent="0.3">
      <c r="A210" t="s">
        <v>390</v>
      </c>
      <c r="B210" t="s">
        <v>391</v>
      </c>
      <c r="C210" t="s">
        <v>1778</v>
      </c>
    </row>
    <row r="211" spans="1:3" x14ac:dyDescent="0.3">
      <c r="A211" t="s">
        <v>392</v>
      </c>
      <c r="B211" t="s">
        <v>393</v>
      </c>
      <c r="C211" t="s">
        <v>1778</v>
      </c>
    </row>
    <row r="212" spans="1:3" x14ac:dyDescent="0.3">
      <c r="A212" t="s">
        <v>394</v>
      </c>
      <c r="B212" t="s">
        <v>395</v>
      </c>
      <c r="C212" t="s">
        <v>1778</v>
      </c>
    </row>
    <row r="213" spans="1:3" x14ac:dyDescent="0.3">
      <c r="A213" t="s">
        <v>396</v>
      </c>
      <c r="B213" t="s">
        <v>397</v>
      </c>
      <c r="C213" t="s">
        <v>1778</v>
      </c>
    </row>
    <row r="214" spans="1:3" x14ac:dyDescent="0.3">
      <c r="A214" t="s">
        <v>398</v>
      </c>
      <c r="B214" t="s">
        <v>2371</v>
      </c>
      <c r="C214" t="s">
        <v>1778</v>
      </c>
    </row>
    <row r="215" spans="1:3" x14ac:dyDescent="0.3">
      <c r="A215" t="s">
        <v>2372</v>
      </c>
      <c r="B215" t="s">
        <v>2373</v>
      </c>
      <c r="C215" t="s">
        <v>1778</v>
      </c>
    </row>
    <row r="216" spans="1:3" x14ac:dyDescent="0.3">
      <c r="A216" t="s">
        <v>399</v>
      </c>
      <c r="B216" t="s">
        <v>2374</v>
      </c>
      <c r="C216" t="s">
        <v>1778</v>
      </c>
    </row>
    <row r="217" spans="1:3" x14ac:dyDescent="0.3">
      <c r="A217" t="s">
        <v>400</v>
      </c>
      <c r="B217" t="s">
        <v>2375</v>
      </c>
      <c r="C217" t="s">
        <v>1778</v>
      </c>
    </row>
    <row r="218" spans="1:3" x14ac:dyDescent="0.3">
      <c r="A218" t="s">
        <v>401</v>
      </c>
      <c r="B218" t="s">
        <v>2376</v>
      </c>
      <c r="C218" t="s">
        <v>1778</v>
      </c>
    </row>
    <row r="219" spans="1:3" x14ac:dyDescent="0.3">
      <c r="A219" t="s">
        <v>402</v>
      </c>
      <c r="B219" t="s">
        <v>403</v>
      </c>
      <c r="C219" t="s">
        <v>1778</v>
      </c>
    </row>
    <row r="220" spans="1:3" x14ac:dyDescent="0.3">
      <c r="A220" t="s">
        <v>404</v>
      </c>
      <c r="B220" t="s">
        <v>2377</v>
      </c>
      <c r="C220" t="s">
        <v>1778</v>
      </c>
    </row>
    <row r="221" spans="1:3" x14ac:dyDescent="0.3">
      <c r="A221" t="s">
        <v>405</v>
      </c>
      <c r="B221" t="s">
        <v>2378</v>
      </c>
      <c r="C221" t="s">
        <v>1778</v>
      </c>
    </row>
    <row r="222" spans="1:3" x14ac:dyDescent="0.3">
      <c r="A222" t="s">
        <v>406</v>
      </c>
      <c r="B222" t="s">
        <v>2379</v>
      </c>
      <c r="C222" t="s">
        <v>1778</v>
      </c>
    </row>
    <row r="223" spans="1:3" x14ac:dyDescent="0.3">
      <c r="A223" t="s">
        <v>407</v>
      </c>
      <c r="B223" t="s">
        <v>2380</v>
      </c>
      <c r="C223" t="s">
        <v>1778</v>
      </c>
    </row>
    <row r="224" spans="1:3" x14ac:dyDescent="0.3">
      <c r="A224" t="s">
        <v>408</v>
      </c>
      <c r="B224" t="s">
        <v>409</v>
      </c>
      <c r="C224" t="s">
        <v>1778</v>
      </c>
    </row>
    <row r="225" spans="1:3" x14ac:dyDescent="0.3">
      <c r="A225" t="s">
        <v>410</v>
      </c>
      <c r="B225" t="s">
        <v>411</v>
      </c>
      <c r="C225" t="s">
        <v>1778</v>
      </c>
    </row>
    <row r="226" spans="1:3" x14ac:dyDescent="0.3">
      <c r="A226" t="s">
        <v>412</v>
      </c>
      <c r="B226" t="s">
        <v>413</v>
      </c>
      <c r="C226" t="s">
        <v>1778</v>
      </c>
    </row>
    <row r="227" spans="1:3" x14ac:dyDescent="0.3">
      <c r="A227" t="s">
        <v>414</v>
      </c>
      <c r="B227" t="s">
        <v>415</v>
      </c>
      <c r="C227" t="s">
        <v>1778</v>
      </c>
    </row>
    <row r="228" spans="1:3" x14ac:dyDescent="0.3">
      <c r="A228" t="s">
        <v>416</v>
      </c>
      <c r="B228" t="s">
        <v>2381</v>
      </c>
      <c r="C228" t="s">
        <v>1778</v>
      </c>
    </row>
    <row r="229" spans="1:3" x14ac:dyDescent="0.3">
      <c r="A229" t="s">
        <v>417</v>
      </c>
      <c r="B229" t="s">
        <v>418</v>
      </c>
      <c r="C229" t="s">
        <v>1778</v>
      </c>
    </row>
    <row r="230" spans="1:3" x14ac:dyDescent="0.3">
      <c r="A230" t="s">
        <v>419</v>
      </c>
      <c r="B230" t="s">
        <v>420</v>
      </c>
      <c r="C230" t="s">
        <v>1778</v>
      </c>
    </row>
    <row r="231" spans="1:3" x14ac:dyDescent="0.3">
      <c r="A231" t="s">
        <v>2219</v>
      </c>
      <c r="B231" t="s">
        <v>2220</v>
      </c>
      <c r="C231" t="s">
        <v>1778</v>
      </c>
    </row>
    <row r="232" spans="1:3" x14ac:dyDescent="0.3">
      <c r="A232" t="s">
        <v>421</v>
      </c>
      <c r="B232" t="s">
        <v>2382</v>
      </c>
      <c r="C232" t="s">
        <v>1778</v>
      </c>
    </row>
    <row r="233" spans="1:3" x14ac:dyDescent="0.3">
      <c r="A233" t="s">
        <v>422</v>
      </c>
      <c r="B233" t="s">
        <v>423</v>
      </c>
      <c r="C233" t="s">
        <v>1778</v>
      </c>
    </row>
    <row r="234" spans="1:3" x14ac:dyDescent="0.3">
      <c r="A234" t="s">
        <v>424</v>
      </c>
      <c r="B234" t="s">
        <v>425</v>
      </c>
      <c r="C234" t="s">
        <v>1778</v>
      </c>
    </row>
    <row r="235" spans="1:3" x14ac:dyDescent="0.3">
      <c r="A235" t="s">
        <v>426</v>
      </c>
      <c r="B235" t="s">
        <v>2383</v>
      </c>
      <c r="C235" t="s">
        <v>1778</v>
      </c>
    </row>
    <row r="236" spans="1:3" x14ac:dyDescent="0.3">
      <c r="A236" t="s">
        <v>427</v>
      </c>
      <c r="B236" t="s">
        <v>2384</v>
      </c>
      <c r="C236" t="s">
        <v>1778</v>
      </c>
    </row>
    <row r="237" spans="1:3" x14ac:dyDescent="0.3">
      <c r="A237" t="s">
        <v>428</v>
      </c>
      <c r="B237" t="s">
        <v>1792</v>
      </c>
      <c r="C237" t="s">
        <v>1778</v>
      </c>
    </row>
    <row r="238" spans="1:3" x14ac:dyDescent="0.3">
      <c r="A238" t="s">
        <v>429</v>
      </c>
      <c r="B238" t="s">
        <v>2385</v>
      </c>
      <c r="C238" t="s">
        <v>1778</v>
      </c>
    </row>
    <row r="239" spans="1:3" x14ac:dyDescent="0.3">
      <c r="A239" t="s">
        <v>430</v>
      </c>
      <c r="B239" t="s">
        <v>431</v>
      </c>
      <c r="C239" t="s">
        <v>1778</v>
      </c>
    </row>
    <row r="240" spans="1:3" x14ac:dyDescent="0.3">
      <c r="A240" t="s">
        <v>432</v>
      </c>
      <c r="B240" t="s">
        <v>2386</v>
      </c>
      <c r="C240" t="s">
        <v>1778</v>
      </c>
    </row>
    <row r="241" spans="1:3" x14ac:dyDescent="0.3">
      <c r="A241" t="s">
        <v>433</v>
      </c>
      <c r="B241" t="s">
        <v>434</v>
      </c>
      <c r="C241" t="s">
        <v>1778</v>
      </c>
    </row>
    <row r="242" spans="1:3" x14ac:dyDescent="0.3">
      <c r="A242" t="s">
        <v>435</v>
      </c>
      <c r="B242" t="s">
        <v>436</v>
      </c>
      <c r="C242" t="s">
        <v>1778</v>
      </c>
    </row>
    <row r="243" spans="1:3" x14ac:dyDescent="0.3">
      <c r="A243" t="s">
        <v>437</v>
      </c>
      <c r="B243" t="s">
        <v>2387</v>
      </c>
      <c r="C243" t="s">
        <v>1778</v>
      </c>
    </row>
    <row r="244" spans="1:3" x14ac:dyDescent="0.3">
      <c r="A244" t="s">
        <v>438</v>
      </c>
      <c r="B244" t="s">
        <v>2388</v>
      </c>
      <c r="C244" t="s">
        <v>1778</v>
      </c>
    </row>
    <row r="245" spans="1:3" x14ac:dyDescent="0.3">
      <c r="A245" t="s">
        <v>439</v>
      </c>
      <c r="B245" t="s">
        <v>2389</v>
      </c>
      <c r="C245" t="s">
        <v>1778</v>
      </c>
    </row>
    <row r="246" spans="1:3" x14ac:dyDescent="0.3">
      <c r="A246" t="s">
        <v>440</v>
      </c>
      <c r="B246" t="s">
        <v>2390</v>
      </c>
      <c r="C246" t="s">
        <v>1778</v>
      </c>
    </row>
    <row r="247" spans="1:3" x14ac:dyDescent="0.3">
      <c r="A247" t="s">
        <v>441</v>
      </c>
      <c r="B247" t="s">
        <v>442</v>
      </c>
      <c r="C247" t="s">
        <v>1778</v>
      </c>
    </row>
    <row r="248" spans="1:3" x14ac:dyDescent="0.3">
      <c r="A248" t="s">
        <v>443</v>
      </c>
      <c r="B248" t="s">
        <v>2221</v>
      </c>
      <c r="C248" t="s">
        <v>1778</v>
      </c>
    </row>
    <row r="249" spans="1:3" x14ac:dyDescent="0.3">
      <c r="A249" t="s">
        <v>2222</v>
      </c>
      <c r="B249" t="s">
        <v>2391</v>
      </c>
      <c r="C249" t="s">
        <v>1778</v>
      </c>
    </row>
    <row r="250" spans="1:3" x14ac:dyDescent="0.3">
      <c r="A250" t="s">
        <v>2223</v>
      </c>
      <c r="B250" t="s">
        <v>2392</v>
      </c>
      <c r="C250" t="s">
        <v>1778</v>
      </c>
    </row>
    <row r="251" spans="1:3" x14ac:dyDescent="0.3">
      <c r="A251" t="s">
        <v>444</v>
      </c>
      <c r="B251" t="s">
        <v>445</v>
      </c>
      <c r="C251" t="s">
        <v>1793</v>
      </c>
    </row>
    <row r="252" spans="1:3" x14ac:dyDescent="0.3">
      <c r="A252" t="s">
        <v>446</v>
      </c>
      <c r="B252" t="s">
        <v>447</v>
      </c>
      <c r="C252" t="s">
        <v>1793</v>
      </c>
    </row>
    <row r="253" spans="1:3" x14ac:dyDescent="0.3">
      <c r="A253" t="s">
        <v>448</v>
      </c>
      <c r="B253" t="s">
        <v>449</v>
      </c>
      <c r="C253" t="s">
        <v>1793</v>
      </c>
    </row>
    <row r="254" spans="1:3" x14ac:dyDescent="0.3">
      <c r="A254" t="s">
        <v>450</v>
      </c>
      <c r="B254" t="s">
        <v>451</v>
      </c>
      <c r="C254" t="s">
        <v>1793</v>
      </c>
    </row>
    <row r="255" spans="1:3" x14ac:dyDescent="0.3">
      <c r="A255" t="s">
        <v>452</v>
      </c>
      <c r="B255" t="s">
        <v>453</v>
      </c>
      <c r="C255" t="s">
        <v>1793</v>
      </c>
    </row>
    <row r="256" spans="1:3" x14ac:dyDescent="0.3">
      <c r="A256" t="s">
        <v>454</v>
      </c>
      <c r="B256" t="s">
        <v>455</v>
      </c>
      <c r="C256" t="s">
        <v>1793</v>
      </c>
    </row>
    <row r="257" spans="1:3" x14ac:dyDescent="0.3">
      <c r="A257" t="s">
        <v>2393</v>
      </c>
      <c r="B257" t="s">
        <v>2394</v>
      </c>
      <c r="C257" t="s">
        <v>1793</v>
      </c>
    </row>
    <row r="258" spans="1:3" x14ac:dyDescent="0.3">
      <c r="A258" t="s">
        <v>456</v>
      </c>
      <c r="B258" t="s">
        <v>457</v>
      </c>
      <c r="C258" t="s">
        <v>1793</v>
      </c>
    </row>
    <row r="259" spans="1:3" x14ac:dyDescent="0.3">
      <c r="A259" t="s">
        <v>458</v>
      </c>
      <c r="B259" t="s">
        <v>459</v>
      </c>
      <c r="C259" t="s">
        <v>1793</v>
      </c>
    </row>
    <row r="260" spans="1:3" x14ac:dyDescent="0.3">
      <c r="A260" t="s">
        <v>460</v>
      </c>
      <c r="B260" t="s">
        <v>461</v>
      </c>
      <c r="C260" t="s">
        <v>1793</v>
      </c>
    </row>
    <row r="261" spans="1:3" x14ac:dyDescent="0.3">
      <c r="A261" t="s">
        <v>462</v>
      </c>
      <c r="B261" t="s">
        <v>463</v>
      </c>
      <c r="C261" t="s">
        <v>1793</v>
      </c>
    </row>
    <row r="262" spans="1:3" x14ac:dyDescent="0.3">
      <c r="A262" t="s">
        <v>464</v>
      </c>
      <c r="B262" t="s">
        <v>465</v>
      </c>
      <c r="C262" t="s">
        <v>1793</v>
      </c>
    </row>
    <row r="263" spans="1:3" x14ac:dyDescent="0.3">
      <c r="A263" t="s">
        <v>466</v>
      </c>
      <c r="B263" t="s">
        <v>467</v>
      </c>
      <c r="C263" t="s">
        <v>1793</v>
      </c>
    </row>
    <row r="264" spans="1:3" x14ac:dyDescent="0.3">
      <c r="A264" t="s">
        <v>468</v>
      </c>
      <c r="B264" t="s">
        <v>469</v>
      </c>
      <c r="C264" t="s">
        <v>1793</v>
      </c>
    </row>
    <row r="265" spans="1:3" x14ac:dyDescent="0.3">
      <c r="A265" t="s">
        <v>470</v>
      </c>
      <c r="B265" t="s">
        <v>471</v>
      </c>
      <c r="C265" t="s">
        <v>1793</v>
      </c>
    </row>
    <row r="266" spans="1:3" x14ac:dyDescent="0.3">
      <c r="A266" t="s">
        <v>472</v>
      </c>
      <c r="B266" t="s">
        <v>2224</v>
      </c>
      <c r="C266" t="s">
        <v>1793</v>
      </c>
    </row>
    <row r="267" spans="1:3" x14ac:dyDescent="0.3">
      <c r="A267" t="s">
        <v>473</v>
      </c>
      <c r="B267" t="s">
        <v>474</v>
      </c>
      <c r="C267" t="s">
        <v>1793</v>
      </c>
    </row>
    <row r="268" spans="1:3" x14ac:dyDescent="0.3">
      <c r="A268" t="s">
        <v>475</v>
      </c>
      <c r="B268" t="s">
        <v>2225</v>
      </c>
      <c r="C268" t="s">
        <v>1793</v>
      </c>
    </row>
    <row r="269" spans="1:3" x14ac:dyDescent="0.3">
      <c r="A269" t="s">
        <v>2226</v>
      </c>
      <c r="B269" t="s">
        <v>2227</v>
      </c>
      <c r="C269" t="s">
        <v>1793</v>
      </c>
    </row>
    <row r="270" spans="1:3" x14ac:dyDescent="0.3">
      <c r="A270" t="s">
        <v>2228</v>
      </c>
      <c r="B270" t="s">
        <v>2229</v>
      </c>
      <c r="C270" t="s">
        <v>1793</v>
      </c>
    </row>
    <row r="271" spans="1:3" x14ac:dyDescent="0.3">
      <c r="A271" t="s">
        <v>476</v>
      </c>
      <c r="B271" t="s">
        <v>477</v>
      </c>
      <c r="C271" t="s">
        <v>1793</v>
      </c>
    </row>
    <row r="272" spans="1:3" x14ac:dyDescent="0.3">
      <c r="A272" t="s">
        <v>2230</v>
      </c>
      <c r="B272" t="s">
        <v>2231</v>
      </c>
      <c r="C272" t="s">
        <v>1793</v>
      </c>
    </row>
    <row r="273" spans="1:3" x14ac:dyDescent="0.3">
      <c r="A273" t="s">
        <v>2232</v>
      </c>
      <c r="B273" t="s">
        <v>2233</v>
      </c>
      <c r="C273" t="s">
        <v>1793</v>
      </c>
    </row>
    <row r="274" spans="1:3" x14ac:dyDescent="0.3">
      <c r="A274" t="s">
        <v>478</v>
      </c>
      <c r="B274" t="s">
        <v>479</v>
      </c>
      <c r="C274" t="s">
        <v>1793</v>
      </c>
    </row>
    <row r="275" spans="1:3" x14ac:dyDescent="0.3">
      <c r="A275" t="s">
        <v>480</v>
      </c>
      <c r="B275" t="s">
        <v>481</v>
      </c>
      <c r="C275" t="s">
        <v>1793</v>
      </c>
    </row>
    <row r="276" spans="1:3" x14ac:dyDescent="0.3">
      <c r="A276" t="s">
        <v>482</v>
      </c>
      <c r="B276" t="s">
        <v>483</v>
      </c>
      <c r="C276" t="s">
        <v>1793</v>
      </c>
    </row>
    <row r="277" spans="1:3" x14ac:dyDescent="0.3">
      <c r="A277" t="s">
        <v>484</v>
      </c>
      <c r="B277" t="s">
        <v>485</v>
      </c>
      <c r="C277" t="s">
        <v>1793</v>
      </c>
    </row>
    <row r="278" spans="1:3" x14ac:dyDescent="0.3">
      <c r="A278" t="s">
        <v>486</v>
      </c>
      <c r="B278" t="s">
        <v>487</v>
      </c>
      <c r="C278" t="s">
        <v>1793</v>
      </c>
    </row>
    <row r="279" spans="1:3" x14ac:dyDescent="0.3">
      <c r="A279" t="s">
        <v>488</v>
      </c>
      <c r="B279" t="s">
        <v>489</v>
      </c>
      <c r="C279" t="s">
        <v>1793</v>
      </c>
    </row>
    <row r="280" spans="1:3" x14ac:dyDescent="0.3">
      <c r="A280" t="s">
        <v>490</v>
      </c>
      <c r="B280" t="s">
        <v>491</v>
      </c>
      <c r="C280" t="s">
        <v>1793</v>
      </c>
    </row>
    <row r="281" spans="1:3" x14ac:dyDescent="0.3">
      <c r="A281" t="s">
        <v>492</v>
      </c>
      <c r="B281" t="s">
        <v>493</v>
      </c>
      <c r="C281" t="s">
        <v>1793</v>
      </c>
    </row>
    <row r="282" spans="1:3" x14ac:dyDescent="0.3">
      <c r="A282" t="s">
        <v>494</v>
      </c>
      <c r="B282" t="s">
        <v>495</v>
      </c>
      <c r="C282" t="s">
        <v>1793</v>
      </c>
    </row>
    <row r="283" spans="1:3" x14ac:dyDescent="0.3">
      <c r="A283" t="s">
        <v>496</v>
      </c>
      <c r="B283" t="s">
        <v>497</v>
      </c>
      <c r="C283" t="s">
        <v>1793</v>
      </c>
    </row>
    <row r="284" spans="1:3" x14ac:dyDescent="0.3">
      <c r="A284" t="s">
        <v>498</v>
      </c>
      <c r="B284" t="s">
        <v>499</v>
      </c>
      <c r="C284" t="s">
        <v>1793</v>
      </c>
    </row>
    <row r="285" spans="1:3" x14ac:dyDescent="0.3">
      <c r="A285" t="s">
        <v>500</v>
      </c>
      <c r="B285" t="s">
        <v>501</v>
      </c>
      <c r="C285" t="s">
        <v>1793</v>
      </c>
    </row>
    <row r="286" spans="1:3" x14ac:dyDescent="0.3">
      <c r="A286" t="s">
        <v>502</v>
      </c>
      <c r="B286" t="s">
        <v>503</v>
      </c>
      <c r="C286" t="s">
        <v>1793</v>
      </c>
    </row>
    <row r="287" spans="1:3" x14ac:dyDescent="0.3">
      <c r="A287" t="s">
        <v>504</v>
      </c>
      <c r="B287" t="s">
        <v>505</v>
      </c>
      <c r="C287" t="s">
        <v>1793</v>
      </c>
    </row>
    <row r="288" spans="1:3" x14ac:dyDescent="0.3">
      <c r="A288" t="s">
        <v>506</v>
      </c>
      <c r="B288" t="s">
        <v>507</v>
      </c>
      <c r="C288" t="s">
        <v>1793</v>
      </c>
    </row>
    <row r="289" spans="1:3" x14ac:dyDescent="0.3">
      <c r="A289" t="s">
        <v>508</v>
      </c>
      <c r="B289" t="s">
        <v>509</v>
      </c>
      <c r="C289" t="s">
        <v>1793</v>
      </c>
    </row>
    <row r="290" spans="1:3" x14ac:dyDescent="0.3">
      <c r="A290" t="s">
        <v>510</v>
      </c>
      <c r="B290" t="s">
        <v>511</v>
      </c>
      <c r="C290" t="s">
        <v>1793</v>
      </c>
    </row>
    <row r="291" spans="1:3" x14ac:dyDescent="0.3">
      <c r="A291" t="s">
        <v>512</v>
      </c>
      <c r="B291" t="s">
        <v>513</v>
      </c>
      <c r="C291" t="s">
        <v>1793</v>
      </c>
    </row>
    <row r="292" spans="1:3" x14ac:dyDescent="0.3">
      <c r="A292" t="s">
        <v>514</v>
      </c>
      <c r="B292" t="s">
        <v>515</v>
      </c>
      <c r="C292" t="s">
        <v>1793</v>
      </c>
    </row>
    <row r="293" spans="1:3" x14ac:dyDescent="0.3">
      <c r="A293" t="s">
        <v>516</v>
      </c>
      <c r="B293" t="s">
        <v>517</v>
      </c>
      <c r="C293" t="s">
        <v>1793</v>
      </c>
    </row>
    <row r="294" spans="1:3" x14ac:dyDescent="0.3">
      <c r="A294" t="s">
        <v>518</v>
      </c>
      <c r="B294" t="s">
        <v>519</v>
      </c>
      <c r="C294" t="s">
        <v>1793</v>
      </c>
    </row>
    <row r="295" spans="1:3" x14ac:dyDescent="0.3">
      <c r="A295" t="s">
        <v>2234</v>
      </c>
      <c r="B295" t="s">
        <v>2235</v>
      </c>
      <c r="C295" t="s">
        <v>1793</v>
      </c>
    </row>
    <row r="296" spans="1:3" x14ac:dyDescent="0.3">
      <c r="A296" t="s">
        <v>520</v>
      </c>
      <c r="B296" t="s">
        <v>521</v>
      </c>
      <c r="C296" t="s">
        <v>1793</v>
      </c>
    </row>
    <row r="297" spans="1:3" x14ac:dyDescent="0.3">
      <c r="A297" t="s">
        <v>522</v>
      </c>
      <c r="B297" t="s">
        <v>2236</v>
      </c>
      <c r="C297" t="s">
        <v>1793</v>
      </c>
    </row>
    <row r="298" spans="1:3" x14ac:dyDescent="0.3">
      <c r="A298" t="s">
        <v>523</v>
      </c>
      <c r="B298" t="s">
        <v>524</v>
      </c>
      <c r="C298" t="s">
        <v>1793</v>
      </c>
    </row>
    <row r="299" spans="1:3" x14ac:dyDescent="0.3">
      <c r="A299" t="s">
        <v>525</v>
      </c>
      <c r="B299" t="s">
        <v>526</v>
      </c>
      <c r="C299" t="s">
        <v>1793</v>
      </c>
    </row>
    <row r="300" spans="1:3" x14ac:dyDescent="0.3">
      <c r="A300" t="s">
        <v>527</v>
      </c>
      <c r="B300" t="s">
        <v>528</v>
      </c>
      <c r="C300" t="s">
        <v>1793</v>
      </c>
    </row>
    <row r="301" spans="1:3" x14ac:dyDescent="0.3">
      <c r="A301" t="s">
        <v>529</v>
      </c>
      <c r="B301" t="s">
        <v>530</v>
      </c>
      <c r="C301" t="s">
        <v>1793</v>
      </c>
    </row>
    <row r="302" spans="1:3" x14ac:dyDescent="0.3">
      <c r="A302" t="s">
        <v>531</v>
      </c>
      <c r="B302" t="s">
        <v>532</v>
      </c>
      <c r="C302" t="s">
        <v>1793</v>
      </c>
    </row>
    <row r="303" spans="1:3" x14ac:dyDescent="0.3">
      <c r="A303" t="s">
        <v>533</v>
      </c>
      <c r="B303" t="s">
        <v>534</v>
      </c>
      <c r="C303" t="s">
        <v>1793</v>
      </c>
    </row>
    <row r="304" spans="1:3" x14ac:dyDescent="0.3">
      <c r="A304" t="s">
        <v>535</v>
      </c>
      <c r="B304" t="s">
        <v>536</v>
      </c>
      <c r="C304" t="s">
        <v>1793</v>
      </c>
    </row>
    <row r="305" spans="1:3" x14ac:dyDescent="0.3">
      <c r="A305" t="s">
        <v>537</v>
      </c>
      <c r="B305" t="s">
        <v>538</v>
      </c>
      <c r="C305" t="s">
        <v>1793</v>
      </c>
    </row>
    <row r="306" spans="1:3" x14ac:dyDescent="0.3">
      <c r="A306" t="s">
        <v>539</v>
      </c>
      <c r="B306" t="s">
        <v>540</v>
      </c>
      <c r="C306" t="s">
        <v>1793</v>
      </c>
    </row>
    <row r="307" spans="1:3" x14ac:dyDescent="0.3">
      <c r="A307" t="s">
        <v>541</v>
      </c>
      <c r="B307" t="s">
        <v>542</v>
      </c>
      <c r="C307" t="s">
        <v>1793</v>
      </c>
    </row>
    <row r="308" spans="1:3" x14ac:dyDescent="0.3">
      <c r="A308" t="s">
        <v>543</v>
      </c>
      <c r="B308" t="s">
        <v>544</v>
      </c>
      <c r="C308" t="s">
        <v>1793</v>
      </c>
    </row>
    <row r="309" spans="1:3" x14ac:dyDescent="0.3">
      <c r="A309" t="s">
        <v>545</v>
      </c>
      <c r="B309" t="s">
        <v>546</v>
      </c>
      <c r="C309" t="s">
        <v>1793</v>
      </c>
    </row>
    <row r="310" spans="1:3" x14ac:dyDescent="0.3">
      <c r="A310" t="s">
        <v>547</v>
      </c>
      <c r="B310" t="s">
        <v>548</v>
      </c>
      <c r="C310" t="s">
        <v>1793</v>
      </c>
    </row>
    <row r="311" spans="1:3" x14ac:dyDescent="0.3">
      <c r="A311" t="s">
        <v>549</v>
      </c>
      <c r="B311" t="s">
        <v>550</v>
      </c>
      <c r="C311" t="s">
        <v>1793</v>
      </c>
    </row>
    <row r="312" spans="1:3" x14ac:dyDescent="0.3">
      <c r="A312" t="s">
        <v>551</v>
      </c>
      <c r="B312" t="s">
        <v>552</v>
      </c>
      <c r="C312" t="s">
        <v>1793</v>
      </c>
    </row>
    <row r="313" spans="1:3" x14ac:dyDescent="0.3">
      <c r="A313" t="s">
        <v>553</v>
      </c>
      <c r="B313" t="s">
        <v>554</v>
      </c>
      <c r="C313" t="s">
        <v>1793</v>
      </c>
    </row>
    <row r="314" spans="1:3" x14ac:dyDescent="0.3">
      <c r="A314" t="s">
        <v>555</v>
      </c>
      <c r="B314" t="s">
        <v>556</v>
      </c>
      <c r="C314" t="s">
        <v>1793</v>
      </c>
    </row>
    <row r="315" spans="1:3" x14ac:dyDescent="0.3">
      <c r="A315" t="s">
        <v>557</v>
      </c>
      <c r="B315" t="s">
        <v>558</v>
      </c>
      <c r="C315" t="s">
        <v>1793</v>
      </c>
    </row>
    <row r="316" spans="1:3" x14ac:dyDescent="0.3">
      <c r="A316" t="s">
        <v>559</v>
      </c>
      <c r="B316" t="s">
        <v>560</v>
      </c>
      <c r="C316" t="s">
        <v>1793</v>
      </c>
    </row>
    <row r="317" spans="1:3" x14ac:dyDescent="0.3">
      <c r="A317" t="s">
        <v>2395</v>
      </c>
      <c r="B317" t="s">
        <v>2396</v>
      </c>
      <c r="C317" t="s">
        <v>1793</v>
      </c>
    </row>
    <row r="318" spans="1:3" x14ac:dyDescent="0.3">
      <c r="A318" t="s">
        <v>561</v>
      </c>
      <c r="B318" t="s">
        <v>562</v>
      </c>
      <c r="C318" t="s">
        <v>1793</v>
      </c>
    </row>
    <row r="319" spans="1:3" x14ac:dyDescent="0.3">
      <c r="A319" t="s">
        <v>563</v>
      </c>
      <c r="B319" t="s">
        <v>564</v>
      </c>
      <c r="C319" t="s">
        <v>1793</v>
      </c>
    </row>
    <row r="320" spans="1:3" x14ac:dyDescent="0.3">
      <c r="A320" t="s">
        <v>565</v>
      </c>
      <c r="B320" t="s">
        <v>566</v>
      </c>
      <c r="C320" t="s">
        <v>1793</v>
      </c>
    </row>
    <row r="321" spans="1:3" x14ac:dyDescent="0.3">
      <c r="A321" t="s">
        <v>567</v>
      </c>
      <c r="B321" t="s">
        <v>568</v>
      </c>
      <c r="C321" t="s">
        <v>1793</v>
      </c>
    </row>
    <row r="322" spans="1:3" x14ac:dyDescent="0.3">
      <c r="A322" t="s">
        <v>569</v>
      </c>
      <c r="B322" t="s">
        <v>570</v>
      </c>
      <c r="C322" t="s">
        <v>1793</v>
      </c>
    </row>
    <row r="323" spans="1:3" x14ac:dyDescent="0.3">
      <c r="A323" t="s">
        <v>571</v>
      </c>
      <c r="B323" t="s">
        <v>572</v>
      </c>
      <c r="C323" t="s">
        <v>1793</v>
      </c>
    </row>
    <row r="324" spans="1:3" x14ac:dyDescent="0.3">
      <c r="A324" t="s">
        <v>2237</v>
      </c>
      <c r="B324" t="s">
        <v>2238</v>
      </c>
      <c r="C324" t="s">
        <v>1793</v>
      </c>
    </row>
    <row r="325" spans="1:3" x14ac:dyDescent="0.3">
      <c r="A325" t="s">
        <v>573</v>
      </c>
      <c r="B325" t="s">
        <v>574</v>
      </c>
      <c r="C325" t="s">
        <v>1793</v>
      </c>
    </row>
    <row r="326" spans="1:3" x14ac:dyDescent="0.3">
      <c r="A326" t="s">
        <v>575</v>
      </c>
      <c r="B326" t="s">
        <v>576</v>
      </c>
      <c r="C326" t="s">
        <v>1793</v>
      </c>
    </row>
    <row r="327" spans="1:3" x14ac:dyDescent="0.3">
      <c r="A327" t="s">
        <v>577</v>
      </c>
      <c r="B327" t="s">
        <v>578</v>
      </c>
      <c r="C327" t="s">
        <v>1793</v>
      </c>
    </row>
    <row r="328" spans="1:3" x14ac:dyDescent="0.3">
      <c r="A328" t="s">
        <v>579</v>
      </c>
      <c r="B328" t="s">
        <v>2397</v>
      </c>
      <c r="C328" t="s">
        <v>1793</v>
      </c>
    </row>
    <row r="329" spans="1:3" x14ac:dyDescent="0.3">
      <c r="A329" t="s">
        <v>2239</v>
      </c>
      <c r="B329" t="s">
        <v>2240</v>
      </c>
      <c r="C329" t="s">
        <v>1793</v>
      </c>
    </row>
    <row r="330" spans="1:3" x14ac:dyDescent="0.3">
      <c r="A330" t="s">
        <v>580</v>
      </c>
      <c r="B330" t="s">
        <v>581</v>
      </c>
      <c r="C330" t="s">
        <v>1793</v>
      </c>
    </row>
    <row r="331" spans="1:3" x14ac:dyDescent="0.3">
      <c r="A331" t="s">
        <v>2241</v>
      </c>
      <c r="B331" t="s">
        <v>2398</v>
      </c>
      <c r="C331" t="s">
        <v>1793</v>
      </c>
    </row>
    <row r="332" spans="1:3" x14ac:dyDescent="0.3">
      <c r="A332" t="s">
        <v>2242</v>
      </c>
      <c r="B332" t="s">
        <v>2243</v>
      </c>
      <c r="C332" t="s">
        <v>1793</v>
      </c>
    </row>
    <row r="333" spans="1:3" x14ac:dyDescent="0.3">
      <c r="A333" t="s">
        <v>2399</v>
      </c>
      <c r="B333" t="s">
        <v>2400</v>
      </c>
      <c r="C333" t="s">
        <v>1793</v>
      </c>
    </row>
    <row r="334" spans="1:3" x14ac:dyDescent="0.3">
      <c r="A334" t="s">
        <v>2401</v>
      </c>
      <c r="B334" t="s">
        <v>2402</v>
      </c>
      <c r="C334" t="s">
        <v>1793</v>
      </c>
    </row>
    <row r="335" spans="1:3" x14ac:dyDescent="0.3">
      <c r="A335" t="s">
        <v>582</v>
      </c>
      <c r="B335" t="s">
        <v>583</v>
      </c>
      <c r="C335" t="s">
        <v>1793</v>
      </c>
    </row>
    <row r="336" spans="1:3" x14ac:dyDescent="0.3">
      <c r="A336" t="s">
        <v>2244</v>
      </c>
      <c r="B336" t="s">
        <v>2245</v>
      </c>
      <c r="C336" t="s">
        <v>1793</v>
      </c>
    </row>
    <row r="337" spans="1:3" x14ac:dyDescent="0.3">
      <c r="A337" t="s">
        <v>584</v>
      </c>
      <c r="B337" t="s">
        <v>2246</v>
      </c>
      <c r="C337" t="s">
        <v>1793</v>
      </c>
    </row>
    <row r="338" spans="1:3" x14ac:dyDescent="0.3">
      <c r="A338" t="s">
        <v>2247</v>
      </c>
      <c r="B338" t="s">
        <v>2248</v>
      </c>
      <c r="C338" t="s">
        <v>1793</v>
      </c>
    </row>
    <row r="339" spans="1:3" x14ac:dyDescent="0.3">
      <c r="A339" t="s">
        <v>585</v>
      </c>
      <c r="B339" t="s">
        <v>2249</v>
      </c>
      <c r="C339" t="s">
        <v>1793</v>
      </c>
    </row>
    <row r="340" spans="1:3" x14ac:dyDescent="0.3">
      <c r="A340" t="s">
        <v>586</v>
      </c>
      <c r="B340" t="s">
        <v>2250</v>
      </c>
      <c r="C340" t="s">
        <v>1793</v>
      </c>
    </row>
    <row r="341" spans="1:3" x14ac:dyDescent="0.3">
      <c r="A341" t="s">
        <v>587</v>
      </c>
      <c r="B341" t="s">
        <v>2251</v>
      </c>
      <c r="C341" t="s">
        <v>1793</v>
      </c>
    </row>
    <row r="342" spans="1:3" x14ac:dyDescent="0.3">
      <c r="A342" t="s">
        <v>588</v>
      </c>
      <c r="B342" t="s">
        <v>2252</v>
      </c>
      <c r="C342" t="s">
        <v>1793</v>
      </c>
    </row>
    <row r="343" spans="1:3" x14ac:dyDescent="0.3">
      <c r="A343" t="s">
        <v>589</v>
      </c>
      <c r="B343" t="s">
        <v>2253</v>
      </c>
      <c r="C343" t="s">
        <v>1793</v>
      </c>
    </row>
    <row r="344" spans="1:3" x14ac:dyDescent="0.3">
      <c r="A344" t="s">
        <v>590</v>
      </c>
      <c r="B344" t="s">
        <v>591</v>
      </c>
      <c r="C344" t="s">
        <v>1793</v>
      </c>
    </row>
    <row r="345" spans="1:3" x14ac:dyDescent="0.3">
      <c r="A345" t="s">
        <v>592</v>
      </c>
      <c r="B345" t="s">
        <v>593</v>
      </c>
      <c r="C345" t="s">
        <v>1793</v>
      </c>
    </row>
    <row r="346" spans="1:3" x14ac:dyDescent="0.3">
      <c r="A346" t="s">
        <v>594</v>
      </c>
      <c r="B346" t="s">
        <v>595</v>
      </c>
      <c r="C346" t="s">
        <v>1793</v>
      </c>
    </row>
    <row r="347" spans="1:3" x14ac:dyDescent="0.3">
      <c r="A347" t="s">
        <v>596</v>
      </c>
      <c r="B347" t="s">
        <v>597</v>
      </c>
      <c r="C347" t="s">
        <v>1793</v>
      </c>
    </row>
    <row r="348" spans="1:3" x14ac:dyDescent="0.3">
      <c r="A348" t="s">
        <v>598</v>
      </c>
      <c r="B348" t="s">
        <v>599</v>
      </c>
      <c r="C348" t="s">
        <v>1793</v>
      </c>
    </row>
    <row r="349" spans="1:3" x14ac:dyDescent="0.3">
      <c r="A349" t="s">
        <v>600</v>
      </c>
      <c r="B349" t="s">
        <v>601</v>
      </c>
      <c r="C349" t="s">
        <v>1793</v>
      </c>
    </row>
    <row r="350" spans="1:3" x14ac:dyDescent="0.3">
      <c r="A350" t="s">
        <v>602</v>
      </c>
      <c r="B350" t="s">
        <v>603</v>
      </c>
      <c r="C350" t="s">
        <v>1793</v>
      </c>
    </row>
    <row r="351" spans="1:3" x14ac:dyDescent="0.3">
      <c r="A351" t="s">
        <v>604</v>
      </c>
      <c r="B351" t="s">
        <v>605</v>
      </c>
      <c r="C351" t="s">
        <v>1793</v>
      </c>
    </row>
    <row r="352" spans="1:3" x14ac:dyDescent="0.3">
      <c r="A352" t="s">
        <v>606</v>
      </c>
      <c r="B352" t="s">
        <v>607</v>
      </c>
      <c r="C352" t="s">
        <v>1793</v>
      </c>
    </row>
    <row r="353" spans="1:3" x14ac:dyDescent="0.3">
      <c r="A353" t="s">
        <v>608</v>
      </c>
      <c r="B353" t="s">
        <v>609</v>
      </c>
      <c r="C353" t="s">
        <v>1793</v>
      </c>
    </row>
    <row r="354" spans="1:3" x14ac:dyDescent="0.3">
      <c r="A354" t="s">
        <v>1794</v>
      </c>
      <c r="B354" t="s">
        <v>1795</v>
      </c>
      <c r="C354" t="s">
        <v>1793</v>
      </c>
    </row>
    <row r="355" spans="1:3" x14ac:dyDescent="0.3">
      <c r="A355" t="s">
        <v>610</v>
      </c>
      <c r="B355" t="s">
        <v>611</v>
      </c>
      <c r="C355" t="s">
        <v>1793</v>
      </c>
    </row>
    <row r="356" spans="1:3" x14ac:dyDescent="0.3">
      <c r="A356" t="s">
        <v>612</v>
      </c>
      <c r="B356" t="s">
        <v>613</v>
      </c>
      <c r="C356" t="s">
        <v>1793</v>
      </c>
    </row>
    <row r="357" spans="1:3" x14ac:dyDescent="0.3">
      <c r="A357" t="s">
        <v>614</v>
      </c>
      <c r="B357" t="s">
        <v>615</v>
      </c>
      <c r="C357" t="s">
        <v>1793</v>
      </c>
    </row>
    <row r="358" spans="1:3" x14ac:dyDescent="0.3">
      <c r="A358" t="s">
        <v>616</v>
      </c>
      <c r="B358" t="s">
        <v>617</v>
      </c>
      <c r="C358" t="s">
        <v>1793</v>
      </c>
    </row>
    <row r="359" spans="1:3" x14ac:dyDescent="0.3">
      <c r="A359" t="s">
        <v>2254</v>
      </c>
      <c r="B359" t="s">
        <v>2255</v>
      </c>
      <c r="C359" t="s">
        <v>1793</v>
      </c>
    </row>
    <row r="360" spans="1:3" x14ac:dyDescent="0.3">
      <c r="A360" t="s">
        <v>618</v>
      </c>
      <c r="B360" t="s">
        <v>2256</v>
      </c>
      <c r="C360" t="s">
        <v>1793</v>
      </c>
    </row>
    <row r="361" spans="1:3" x14ac:dyDescent="0.3">
      <c r="A361" t="s">
        <v>619</v>
      </c>
      <c r="B361" t="s">
        <v>620</v>
      </c>
      <c r="C361" t="s">
        <v>1793</v>
      </c>
    </row>
    <row r="362" spans="1:3" x14ac:dyDescent="0.3">
      <c r="A362" t="s">
        <v>621</v>
      </c>
      <c r="B362" t="s">
        <v>622</v>
      </c>
      <c r="C362" t="s">
        <v>1793</v>
      </c>
    </row>
    <row r="363" spans="1:3" x14ac:dyDescent="0.3">
      <c r="A363" t="s">
        <v>2403</v>
      </c>
      <c r="B363" t="s">
        <v>2404</v>
      </c>
      <c r="C363" t="s">
        <v>1793</v>
      </c>
    </row>
    <row r="364" spans="1:3" x14ac:dyDescent="0.3">
      <c r="A364" t="s">
        <v>623</v>
      </c>
      <c r="B364" t="s">
        <v>2257</v>
      </c>
      <c r="C364" t="s">
        <v>1793</v>
      </c>
    </row>
    <row r="365" spans="1:3" x14ac:dyDescent="0.3">
      <c r="A365" t="s">
        <v>624</v>
      </c>
      <c r="B365" t="s">
        <v>625</v>
      </c>
      <c r="C365" t="s">
        <v>1793</v>
      </c>
    </row>
    <row r="366" spans="1:3" x14ac:dyDescent="0.3">
      <c r="A366" t="s">
        <v>626</v>
      </c>
      <c r="B366" t="s">
        <v>627</v>
      </c>
      <c r="C366" t="s">
        <v>1793</v>
      </c>
    </row>
    <row r="367" spans="1:3" x14ac:dyDescent="0.3">
      <c r="A367" t="s">
        <v>628</v>
      </c>
      <c r="B367" t="s">
        <v>629</v>
      </c>
      <c r="C367" t="s">
        <v>1793</v>
      </c>
    </row>
    <row r="368" spans="1:3" x14ac:dyDescent="0.3">
      <c r="A368" t="s">
        <v>630</v>
      </c>
      <c r="B368" t="s">
        <v>631</v>
      </c>
      <c r="C368" t="s">
        <v>1793</v>
      </c>
    </row>
    <row r="369" spans="1:3" x14ac:dyDescent="0.3">
      <c r="A369" t="s">
        <v>632</v>
      </c>
      <c r="B369" t="s">
        <v>633</v>
      </c>
      <c r="C369" t="s">
        <v>1793</v>
      </c>
    </row>
    <row r="370" spans="1:3" x14ac:dyDescent="0.3">
      <c r="A370" t="s">
        <v>634</v>
      </c>
      <c r="B370" t="s">
        <v>635</v>
      </c>
      <c r="C370" t="s">
        <v>1793</v>
      </c>
    </row>
    <row r="371" spans="1:3" x14ac:dyDescent="0.3">
      <c r="A371" t="s">
        <v>636</v>
      </c>
      <c r="B371" t="s">
        <v>2258</v>
      </c>
      <c r="C371" t="s">
        <v>1793</v>
      </c>
    </row>
    <row r="372" spans="1:3" x14ac:dyDescent="0.3">
      <c r="A372" t="s">
        <v>637</v>
      </c>
      <c r="B372" t="s">
        <v>638</v>
      </c>
      <c r="C372" t="s">
        <v>1793</v>
      </c>
    </row>
    <row r="373" spans="1:3" x14ac:dyDescent="0.3">
      <c r="A373" t="s">
        <v>639</v>
      </c>
      <c r="B373" t="s">
        <v>640</v>
      </c>
      <c r="C373" t="s">
        <v>1793</v>
      </c>
    </row>
    <row r="374" spans="1:3" x14ac:dyDescent="0.3">
      <c r="A374" t="s">
        <v>641</v>
      </c>
      <c r="B374" t="s">
        <v>642</v>
      </c>
      <c r="C374" t="s">
        <v>1793</v>
      </c>
    </row>
    <row r="375" spans="1:3" x14ac:dyDescent="0.3">
      <c r="A375" t="s">
        <v>643</v>
      </c>
      <c r="B375" t="s">
        <v>644</v>
      </c>
      <c r="C375" t="s">
        <v>1793</v>
      </c>
    </row>
    <row r="376" spans="1:3" x14ac:dyDescent="0.3">
      <c r="A376" t="s">
        <v>645</v>
      </c>
      <c r="B376" t="s">
        <v>646</v>
      </c>
      <c r="C376" t="s">
        <v>1793</v>
      </c>
    </row>
    <row r="377" spans="1:3" x14ac:dyDescent="0.3">
      <c r="A377" t="s">
        <v>647</v>
      </c>
      <c r="B377" t="s">
        <v>648</v>
      </c>
      <c r="C377" t="s">
        <v>1793</v>
      </c>
    </row>
    <row r="378" spans="1:3" x14ac:dyDescent="0.3">
      <c r="A378" t="s">
        <v>649</v>
      </c>
      <c r="B378" t="s">
        <v>650</v>
      </c>
      <c r="C378" t="s">
        <v>1793</v>
      </c>
    </row>
    <row r="379" spans="1:3" x14ac:dyDescent="0.3">
      <c r="A379" t="s">
        <v>651</v>
      </c>
      <c r="B379" t="s">
        <v>652</v>
      </c>
      <c r="C379" t="s">
        <v>1793</v>
      </c>
    </row>
    <row r="380" spans="1:3" x14ac:dyDescent="0.3">
      <c r="A380" t="s">
        <v>653</v>
      </c>
      <c r="B380" t="s">
        <v>654</v>
      </c>
      <c r="C380" t="s">
        <v>1793</v>
      </c>
    </row>
    <row r="381" spans="1:3" x14ac:dyDescent="0.3">
      <c r="A381" t="s">
        <v>655</v>
      </c>
      <c r="B381" t="s">
        <v>2259</v>
      </c>
      <c r="C381" t="s">
        <v>1793</v>
      </c>
    </row>
    <row r="382" spans="1:3" x14ac:dyDescent="0.3">
      <c r="A382" t="s">
        <v>656</v>
      </c>
      <c r="B382" t="s">
        <v>657</v>
      </c>
      <c r="C382" t="s">
        <v>1793</v>
      </c>
    </row>
    <row r="383" spans="1:3" x14ac:dyDescent="0.3">
      <c r="A383" t="s">
        <v>2260</v>
      </c>
      <c r="B383" t="s">
        <v>2261</v>
      </c>
      <c r="C383" t="s">
        <v>1793</v>
      </c>
    </row>
    <row r="384" spans="1:3" x14ac:dyDescent="0.3">
      <c r="A384" t="s">
        <v>658</v>
      </c>
      <c r="B384" t="s">
        <v>2262</v>
      </c>
      <c r="C384" t="s">
        <v>1793</v>
      </c>
    </row>
    <row r="385" spans="1:3" x14ac:dyDescent="0.3">
      <c r="A385" t="s">
        <v>2263</v>
      </c>
      <c r="B385" t="s">
        <v>2264</v>
      </c>
      <c r="C385" t="s">
        <v>1793</v>
      </c>
    </row>
    <row r="386" spans="1:3" x14ac:dyDescent="0.3">
      <c r="A386" t="s">
        <v>2265</v>
      </c>
      <c r="B386" t="s">
        <v>2266</v>
      </c>
      <c r="C386" t="s">
        <v>1793</v>
      </c>
    </row>
    <row r="387" spans="1:3" x14ac:dyDescent="0.3">
      <c r="A387" t="s">
        <v>2267</v>
      </c>
      <c r="B387" t="s">
        <v>2268</v>
      </c>
      <c r="C387" t="s">
        <v>1793</v>
      </c>
    </row>
    <row r="388" spans="1:3" x14ac:dyDescent="0.3">
      <c r="A388" t="s">
        <v>659</v>
      </c>
      <c r="B388" t="s">
        <v>660</v>
      </c>
      <c r="C388" t="s">
        <v>1793</v>
      </c>
    </row>
    <row r="389" spans="1:3" x14ac:dyDescent="0.3">
      <c r="A389" t="s">
        <v>661</v>
      </c>
      <c r="B389" t="s">
        <v>2405</v>
      </c>
      <c r="C389" t="s">
        <v>1778</v>
      </c>
    </row>
    <row r="390" spans="1:3" x14ac:dyDescent="0.3">
      <c r="A390" t="s">
        <v>662</v>
      </c>
      <c r="B390" t="s">
        <v>2406</v>
      </c>
      <c r="C390" t="s">
        <v>1778</v>
      </c>
    </row>
    <row r="391" spans="1:3" x14ac:dyDescent="0.3">
      <c r="A391" t="s">
        <v>663</v>
      </c>
      <c r="B391" t="s">
        <v>664</v>
      </c>
      <c r="C391" t="s">
        <v>1778</v>
      </c>
    </row>
    <row r="392" spans="1:3" x14ac:dyDescent="0.3">
      <c r="A392" t="s">
        <v>1796</v>
      </c>
      <c r="B392" t="s">
        <v>1797</v>
      </c>
      <c r="C392" t="s">
        <v>1778</v>
      </c>
    </row>
    <row r="393" spans="1:3" x14ac:dyDescent="0.3">
      <c r="A393" t="s">
        <v>1798</v>
      </c>
      <c r="B393" t="s">
        <v>1799</v>
      </c>
      <c r="C393" t="s">
        <v>1778</v>
      </c>
    </row>
    <row r="394" spans="1:3" x14ac:dyDescent="0.3">
      <c r="A394" t="s">
        <v>1800</v>
      </c>
      <c r="B394" t="s">
        <v>1801</v>
      </c>
      <c r="C394" t="s">
        <v>1778</v>
      </c>
    </row>
    <row r="395" spans="1:3" x14ac:dyDescent="0.3">
      <c r="A395" t="s">
        <v>1802</v>
      </c>
      <c r="B395" t="s">
        <v>1803</v>
      </c>
      <c r="C395" t="s">
        <v>1778</v>
      </c>
    </row>
    <row r="396" spans="1:3" x14ac:dyDescent="0.3">
      <c r="A396" t="s">
        <v>1804</v>
      </c>
      <c r="B396" t="s">
        <v>1805</v>
      </c>
      <c r="C396" t="s">
        <v>1778</v>
      </c>
    </row>
    <row r="397" spans="1:3" x14ac:dyDescent="0.3">
      <c r="A397" t="s">
        <v>1806</v>
      </c>
      <c r="B397" t="s">
        <v>2407</v>
      </c>
      <c r="C397" t="s">
        <v>1778</v>
      </c>
    </row>
    <row r="398" spans="1:3" x14ac:dyDescent="0.3">
      <c r="A398" t="s">
        <v>665</v>
      </c>
      <c r="B398" t="s">
        <v>666</v>
      </c>
      <c r="C398" t="s">
        <v>1793</v>
      </c>
    </row>
    <row r="399" spans="1:3" x14ac:dyDescent="0.3">
      <c r="A399" t="s">
        <v>667</v>
      </c>
      <c r="B399" t="s">
        <v>668</v>
      </c>
      <c r="C399" t="s">
        <v>1793</v>
      </c>
    </row>
    <row r="400" spans="1:3" x14ac:dyDescent="0.3">
      <c r="A400" t="s">
        <v>669</v>
      </c>
      <c r="B400" t="s">
        <v>670</v>
      </c>
      <c r="C400" t="s">
        <v>1793</v>
      </c>
    </row>
    <row r="401" spans="1:3" x14ac:dyDescent="0.3">
      <c r="A401" t="s">
        <v>671</v>
      </c>
      <c r="B401" t="s">
        <v>672</v>
      </c>
      <c r="C401" t="s">
        <v>1793</v>
      </c>
    </row>
    <row r="402" spans="1:3" x14ac:dyDescent="0.3">
      <c r="A402" t="s">
        <v>673</v>
      </c>
      <c r="B402" t="s">
        <v>674</v>
      </c>
      <c r="C402" t="s">
        <v>1793</v>
      </c>
    </row>
    <row r="403" spans="1:3" x14ac:dyDescent="0.3">
      <c r="A403" t="s">
        <v>675</v>
      </c>
      <c r="B403" t="s">
        <v>676</v>
      </c>
      <c r="C403" t="s">
        <v>1793</v>
      </c>
    </row>
    <row r="404" spans="1:3" x14ac:dyDescent="0.3">
      <c r="A404" t="s">
        <v>677</v>
      </c>
      <c r="B404" t="s">
        <v>678</v>
      </c>
      <c r="C404" t="s">
        <v>1793</v>
      </c>
    </row>
    <row r="405" spans="1:3" x14ac:dyDescent="0.3">
      <c r="A405" t="s">
        <v>679</v>
      </c>
      <c r="B405" t="s">
        <v>680</v>
      </c>
      <c r="C405" t="s">
        <v>1793</v>
      </c>
    </row>
    <row r="406" spans="1:3" x14ac:dyDescent="0.3">
      <c r="A406" t="s">
        <v>681</v>
      </c>
      <c r="B406" t="s">
        <v>682</v>
      </c>
      <c r="C406" t="s">
        <v>1793</v>
      </c>
    </row>
    <row r="407" spans="1:3" x14ac:dyDescent="0.3">
      <c r="A407" t="s">
        <v>683</v>
      </c>
      <c r="B407" t="s">
        <v>1477</v>
      </c>
      <c r="C407" t="s">
        <v>1793</v>
      </c>
    </row>
    <row r="408" spans="1:3" x14ac:dyDescent="0.3">
      <c r="A408" t="s">
        <v>684</v>
      </c>
      <c r="B408" t="s">
        <v>685</v>
      </c>
      <c r="C408" t="s">
        <v>1793</v>
      </c>
    </row>
    <row r="409" spans="1:3" x14ac:dyDescent="0.3">
      <c r="A409" t="s">
        <v>686</v>
      </c>
      <c r="B409" t="s">
        <v>687</v>
      </c>
      <c r="C409" t="s">
        <v>1793</v>
      </c>
    </row>
    <row r="410" spans="1:3" x14ac:dyDescent="0.3">
      <c r="A410" t="s">
        <v>688</v>
      </c>
      <c r="B410" t="s">
        <v>689</v>
      </c>
      <c r="C410" t="s">
        <v>1793</v>
      </c>
    </row>
    <row r="411" spans="1:3" x14ac:dyDescent="0.3">
      <c r="A411" t="s">
        <v>690</v>
      </c>
      <c r="B411" t="s">
        <v>691</v>
      </c>
      <c r="C411" t="s">
        <v>1793</v>
      </c>
    </row>
    <row r="412" spans="1:3" x14ac:dyDescent="0.3">
      <c r="A412" t="s">
        <v>692</v>
      </c>
      <c r="B412" t="s">
        <v>693</v>
      </c>
      <c r="C412" t="s">
        <v>1793</v>
      </c>
    </row>
    <row r="413" spans="1:3" x14ac:dyDescent="0.3">
      <c r="A413" t="s">
        <v>694</v>
      </c>
      <c r="B413" t="s">
        <v>695</v>
      </c>
      <c r="C413" t="s">
        <v>1793</v>
      </c>
    </row>
    <row r="414" spans="1:3" x14ac:dyDescent="0.3">
      <c r="A414" t="s">
        <v>696</v>
      </c>
      <c r="B414" t="s">
        <v>697</v>
      </c>
      <c r="C414" t="s">
        <v>1793</v>
      </c>
    </row>
    <row r="415" spans="1:3" x14ac:dyDescent="0.3">
      <c r="A415" t="s">
        <v>698</v>
      </c>
      <c r="B415" t="s">
        <v>699</v>
      </c>
      <c r="C415" t="s">
        <v>1793</v>
      </c>
    </row>
    <row r="416" spans="1:3" x14ac:dyDescent="0.3">
      <c r="A416" t="s">
        <v>700</v>
      </c>
      <c r="B416" t="s">
        <v>2269</v>
      </c>
      <c r="C416" t="s">
        <v>1793</v>
      </c>
    </row>
    <row r="417" spans="1:3" x14ac:dyDescent="0.3">
      <c r="A417" t="s">
        <v>701</v>
      </c>
      <c r="B417" t="s">
        <v>2270</v>
      </c>
      <c r="C417" t="s">
        <v>1793</v>
      </c>
    </row>
    <row r="418" spans="1:3" x14ac:dyDescent="0.3">
      <c r="A418" t="s">
        <v>702</v>
      </c>
      <c r="B418" t="s">
        <v>2271</v>
      </c>
      <c r="C418" t="s">
        <v>1793</v>
      </c>
    </row>
    <row r="419" spans="1:3" x14ac:dyDescent="0.3">
      <c r="A419" t="s">
        <v>703</v>
      </c>
      <c r="B419" t="s">
        <v>704</v>
      </c>
      <c r="C419" t="s">
        <v>1793</v>
      </c>
    </row>
    <row r="420" spans="1:3" x14ac:dyDescent="0.3">
      <c r="A420" t="s">
        <v>705</v>
      </c>
      <c r="B420" t="s">
        <v>706</v>
      </c>
      <c r="C420" t="s">
        <v>1793</v>
      </c>
    </row>
    <row r="421" spans="1:3" x14ac:dyDescent="0.3">
      <c r="A421" t="s">
        <v>1807</v>
      </c>
      <c r="B421" t="s">
        <v>1808</v>
      </c>
      <c r="C421" t="s">
        <v>1793</v>
      </c>
    </row>
    <row r="422" spans="1:3" x14ac:dyDescent="0.3">
      <c r="A422" t="s">
        <v>707</v>
      </c>
      <c r="B422" t="s">
        <v>708</v>
      </c>
      <c r="C422" t="s">
        <v>1793</v>
      </c>
    </row>
    <row r="423" spans="1:3" x14ac:dyDescent="0.3">
      <c r="A423" t="s">
        <v>709</v>
      </c>
      <c r="B423" t="s">
        <v>710</v>
      </c>
      <c r="C423" t="s">
        <v>1793</v>
      </c>
    </row>
    <row r="424" spans="1:3" x14ac:dyDescent="0.3">
      <c r="A424" t="s">
        <v>711</v>
      </c>
      <c r="B424" t="s">
        <v>712</v>
      </c>
      <c r="C424" t="s">
        <v>1793</v>
      </c>
    </row>
    <row r="425" spans="1:3" x14ac:dyDescent="0.3">
      <c r="A425" t="s">
        <v>713</v>
      </c>
      <c r="B425" t="s">
        <v>714</v>
      </c>
      <c r="C425" t="s">
        <v>1793</v>
      </c>
    </row>
    <row r="426" spans="1:3" x14ac:dyDescent="0.3">
      <c r="A426" t="s">
        <v>715</v>
      </c>
      <c r="B426" t="s">
        <v>716</v>
      </c>
      <c r="C426" t="s">
        <v>1793</v>
      </c>
    </row>
    <row r="427" spans="1:3" x14ac:dyDescent="0.3">
      <c r="A427" t="s">
        <v>717</v>
      </c>
      <c r="B427" t="s">
        <v>718</v>
      </c>
      <c r="C427" t="s">
        <v>1793</v>
      </c>
    </row>
    <row r="428" spans="1:3" x14ac:dyDescent="0.3">
      <c r="A428" t="s">
        <v>719</v>
      </c>
      <c r="B428" t="s">
        <v>2272</v>
      </c>
      <c r="C428" t="s">
        <v>1793</v>
      </c>
    </row>
    <row r="429" spans="1:3" x14ac:dyDescent="0.3">
      <c r="A429" t="s">
        <v>720</v>
      </c>
      <c r="B429" t="s">
        <v>2273</v>
      </c>
      <c r="C429" t="s">
        <v>1793</v>
      </c>
    </row>
    <row r="430" spans="1:3" x14ac:dyDescent="0.3">
      <c r="A430" t="s">
        <v>721</v>
      </c>
      <c r="B430" t="s">
        <v>2274</v>
      </c>
      <c r="C430" t="s">
        <v>1793</v>
      </c>
    </row>
    <row r="431" spans="1:3" x14ac:dyDescent="0.3">
      <c r="A431" t="s">
        <v>722</v>
      </c>
      <c r="B431" t="s">
        <v>2275</v>
      </c>
      <c r="C431" t="s">
        <v>1793</v>
      </c>
    </row>
    <row r="432" spans="1:3" x14ac:dyDescent="0.3">
      <c r="A432" t="s">
        <v>723</v>
      </c>
      <c r="B432" t="s">
        <v>724</v>
      </c>
      <c r="C432" t="s">
        <v>1793</v>
      </c>
    </row>
    <row r="433" spans="1:3" x14ac:dyDescent="0.3">
      <c r="A433" t="s">
        <v>725</v>
      </c>
      <c r="B433" t="s">
        <v>726</v>
      </c>
      <c r="C433" t="s">
        <v>1793</v>
      </c>
    </row>
    <row r="434" spans="1:3" x14ac:dyDescent="0.3">
      <c r="A434" t="s">
        <v>727</v>
      </c>
      <c r="B434" t="s">
        <v>728</v>
      </c>
      <c r="C434" t="s">
        <v>1793</v>
      </c>
    </row>
    <row r="435" spans="1:3" x14ac:dyDescent="0.3">
      <c r="A435" t="s">
        <v>729</v>
      </c>
      <c r="B435" t="s">
        <v>730</v>
      </c>
      <c r="C435" t="s">
        <v>1793</v>
      </c>
    </row>
    <row r="436" spans="1:3" x14ac:dyDescent="0.3">
      <c r="A436" t="s">
        <v>731</v>
      </c>
      <c r="B436" t="s">
        <v>732</v>
      </c>
      <c r="C436" t="s">
        <v>1793</v>
      </c>
    </row>
    <row r="437" spans="1:3" x14ac:dyDescent="0.3">
      <c r="A437" t="s">
        <v>733</v>
      </c>
      <c r="B437" t="s">
        <v>734</v>
      </c>
      <c r="C437" t="s">
        <v>1793</v>
      </c>
    </row>
    <row r="438" spans="1:3" x14ac:dyDescent="0.3">
      <c r="A438" t="s">
        <v>735</v>
      </c>
      <c r="B438" t="s">
        <v>736</v>
      </c>
      <c r="C438" t="s">
        <v>1793</v>
      </c>
    </row>
    <row r="439" spans="1:3" x14ac:dyDescent="0.3">
      <c r="A439" t="s">
        <v>737</v>
      </c>
      <c r="B439" t="s">
        <v>738</v>
      </c>
      <c r="C439" t="s">
        <v>1793</v>
      </c>
    </row>
    <row r="440" spans="1:3" x14ac:dyDescent="0.3">
      <c r="A440" t="s">
        <v>739</v>
      </c>
      <c r="B440" t="s">
        <v>740</v>
      </c>
      <c r="C440" t="s">
        <v>1793</v>
      </c>
    </row>
    <row r="441" spans="1:3" x14ac:dyDescent="0.3">
      <c r="A441" t="s">
        <v>741</v>
      </c>
      <c r="B441" t="s">
        <v>742</v>
      </c>
      <c r="C441" t="s">
        <v>1793</v>
      </c>
    </row>
    <row r="442" spans="1:3" x14ac:dyDescent="0.3">
      <c r="A442" t="s">
        <v>1809</v>
      </c>
      <c r="B442" t="s">
        <v>1810</v>
      </c>
      <c r="C442" t="s">
        <v>1793</v>
      </c>
    </row>
    <row r="443" spans="1:3" x14ac:dyDescent="0.3">
      <c r="A443" t="s">
        <v>743</v>
      </c>
      <c r="B443" t="s">
        <v>744</v>
      </c>
      <c r="C443" t="s">
        <v>1793</v>
      </c>
    </row>
    <row r="444" spans="1:3" x14ac:dyDescent="0.3">
      <c r="A444" t="s">
        <v>745</v>
      </c>
      <c r="B444" t="s">
        <v>746</v>
      </c>
      <c r="C444" t="s">
        <v>1793</v>
      </c>
    </row>
    <row r="445" spans="1:3" x14ac:dyDescent="0.3">
      <c r="A445" t="s">
        <v>747</v>
      </c>
      <c r="B445" t="s">
        <v>748</v>
      </c>
      <c r="C445" t="s">
        <v>1793</v>
      </c>
    </row>
    <row r="446" spans="1:3" x14ac:dyDescent="0.3">
      <c r="A446" t="s">
        <v>749</v>
      </c>
      <c r="B446" t="s">
        <v>750</v>
      </c>
      <c r="C446" t="s">
        <v>1793</v>
      </c>
    </row>
    <row r="447" spans="1:3" x14ac:dyDescent="0.3">
      <c r="A447" t="s">
        <v>751</v>
      </c>
      <c r="B447" t="s">
        <v>752</v>
      </c>
      <c r="C447" t="s">
        <v>1793</v>
      </c>
    </row>
    <row r="448" spans="1:3" x14ac:dyDescent="0.3">
      <c r="A448" t="s">
        <v>753</v>
      </c>
      <c r="B448" t="s">
        <v>754</v>
      </c>
      <c r="C448" t="s">
        <v>1793</v>
      </c>
    </row>
    <row r="449" spans="1:3" x14ac:dyDescent="0.3">
      <c r="A449" t="s">
        <v>755</v>
      </c>
      <c r="B449" t="s">
        <v>756</v>
      </c>
      <c r="C449" t="s">
        <v>1793</v>
      </c>
    </row>
    <row r="450" spans="1:3" x14ac:dyDescent="0.3">
      <c r="A450" t="s">
        <v>757</v>
      </c>
      <c r="B450" t="s">
        <v>1923</v>
      </c>
      <c r="C450" t="s">
        <v>1793</v>
      </c>
    </row>
    <row r="451" spans="1:3" x14ac:dyDescent="0.3">
      <c r="A451" t="s">
        <v>1811</v>
      </c>
      <c r="B451" t="s">
        <v>1812</v>
      </c>
      <c r="C451" t="s">
        <v>1793</v>
      </c>
    </row>
    <row r="452" spans="1:3" x14ac:dyDescent="0.3">
      <c r="A452" t="s">
        <v>758</v>
      </c>
      <c r="B452" t="s">
        <v>759</v>
      </c>
      <c r="C452" t="s">
        <v>1793</v>
      </c>
    </row>
    <row r="453" spans="1:3" x14ac:dyDescent="0.3">
      <c r="A453" t="s">
        <v>760</v>
      </c>
      <c r="B453" t="s">
        <v>761</v>
      </c>
      <c r="C453" t="s">
        <v>1793</v>
      </c>
    </row>
    <row r="454" spans="1:3" x14ac:dyDescent="0.3">
      <c r="A454" t="s">
        <v>762</v>
      </c>
      <c r="B454" t="s">
        <v>763</v>
      </c>
      <c r="C454" t="s">
        <v>1793</v>
      </c>
    </row>
    <row r="455" spans="1:3" x14ac:dyDescent="0.3">
      <c r="A455" t="s">
        <v>764</v>
      </c>
      <c r="B455" t="s">
        <v>765</v>
      </c>
      <c r="C455" t="s">
        <v>1793</v>
      </c>
    </row>
    <row r="456" spans="1:3" x14ac:dyDescent="0.3">
      <c r="A456" t="s">
        <v>766</v>
      </c>
      <c r="B456" t="s">
        <v>767</v>
      </c>
      <c r="C456" t="s">
        <v>1793</v>
      </c>
    </row>
    <row r="457" spans="1:3" x14ac:dyDescent="0.3">
      <c r="A457" t="s">
        <v>768</v>
      </c>
      <c r="B457" t="s">
        <v>769</v>
      </c>
      <c r="C457" t="s">
        <v>1793</v>
      </c>
    </row>
    <row r="458" spans="1:3" x14ac:dyDescent="0.3">
      <c r="A458" t="s">
        <v>770</v>
      </c>
      <c r="B458" t="s">
        <v>771</v>
      </c>
      <c r="C458" t="s">
        <v>1793</v>
      </c>
    </row>
    <row r="459" spans="1:3" x14ac:dyDescent="0.3">
      <c r="A459" t="s">
        <v>772</v>
      </c>
      <c r="B459" t="s">
        <v>773</v>
      </c>
      <c r="C459" t="s">
        <v>1793</v>
      </c>
    </row>
    <row r="460" spans="1:3" x14ac:dyDescent="0.3">
      <c r="A460" t="s">
        <v>774</v>
      </c>
      <c r="B460" t="s">
        <v>775</v>
      </c>
      <c r="C460" t="s">
        <v>1793</v>
      </c>
    </row>
    <row r="461" spans="1:3" x14ac:dyDescent="0.3">
      <c r="A461" t="s">
        <v>776</v>
      </c>
      <c r="B461" t="s">
        <v>777</v>
      </c>
      <c r="C461" t="s">
        <v>1793</v>
      </c>
    </row>
    <row r="462" spans="1:3" x14ac:dyDescent="0.3">
      <c r="A462" t="s">
        <v>778</v>
      </c>
      <c r="B462" t="s">
        <v>779</v>
      </c>
      <c r="C462" t="s">
        <v>1793</v>
      </c>
    </row>
    <row r="463" spans="1:3" x14ac:dyDescent="0.3">
      <c r="A463" t="s">
        <v>780</v>
      </c>
      <c r="B463" t="s">
        <v>781</v>
      </c>
      <c r="C463" t="s">
        <v>1793</v>
      </c>
    </row>
    <row r="464" spans="1:3" x14ac:dyDescent="0.3">
      <c r="A464" t="s">
        <v>782</v>
      </c>
      <c r="B464" t="s">
        <v>783</v>
      </c>
      <c r="C464" t="s">
        <v>1793</v>
      </c>
    </row>
    <row r="465" spans="1:3" x14ac:dyDescent="0.3">
      <c r="A465" t="s">
        <v>784</v>
      </c>
      <c r="B465" t="s">
        <v>785</v>
      </c>
      <c r="C465" t="s">
        <v>1793</v>
      </c>
    </row>
    <row r="466" spans="1:3" x14ac:dyDescent="0.3">
      <c r="A466" t="s">
        <v>786</v>
      </c>
      <c r="B466" t="s">
        <v>787</v>
      </c>
      <c r="C466" t="s">
        <v>1793</v>
      </c>
    </row>
    <row r="467" spans="1:3" x14ac:dyDescent="0.3">
      <c r="A467" t="s">
        <v>788</v>
      </c>
      <c r="B467" t="s">
        <v>789</v>
      </c>
      <c r="C467" t="s">
        <v>1793</v>
      </c>
    </row>
    <row r="468" spans="1:3" x14ac:dyDescent="0.3">
      <c r="A468" t="s">
        <v>790</v>
      </c>
      <c r="B468" t="s">
        <v>791</v>
      </c>
      <c r="C468" t="s">
        <v>1793</v>
      </c>
    </row>
    <row r="469" spans="1:3" x14ac:dyDescent="0.3">
      <c r="A469" t="s">
        <v>792</v>
      </c>
      <c r="B469" t="s">
        <v>793</v>
      </c>
      <c r="C469" t="s">
        <v>1793</v>
      </c>
    </row>
    <row r="470" spans="1:3" x14ac:dyDescent="0.3">
      <c r="A470" t="s">
        <v>794</v>
      </c>
      <c r="B470" t="s">
        <v>795</v>
      </c>
      <c r="C470" t="s">
        <v>1793</v>
      </c>
    </row>
    <row r="471" spans="1:3" x14ac:dyDescent="0.3">
      <c r="A471" t="s">
        <v>796</v>
      </c>
      <c r="B471" t="s">
        <v>797</v>
      </c>
      <c r="C471" t="s">
        <v>1793</v>
      </c>
    </row>
    <row r="472" spans="1:3" x14ac:dyDescent="0.3">
      <c r="A472" t="s">
        <v>798</v>
      </c>
      <c r="B472" t="s">
        <v>799</v>
      </c>
      <c r="C472" t="s">
        <v>1793</v>
      </c>
    </row>
    <row r="473" spans="1:3" x14ac:dyDescent="0.3">
      <c r="A473" t="s">
        <v>800</v>
      </c>
      <c r="B473" t="s">
        <v>801</v>
      </c>
      <c r="C473" t="s">
        <v>1793</v>
      </c>
    </row>
    <row r="474" spans="1:3" x14ac:dyDescent="0.3">
      <c r="A474" t="s">
        <v>802</v>
      </c>
      <c r="B474" t="s">
        <v>803</v>
      </c>
      <c r="C474" t="s">
        <v>1793</v>
      </c>
    </row>
    <row r="475" spans="1:3" x14ac:dyDescent="0.3">
      <c r="A475" t="s">
        <v>804</v>
      </c>
      <c r="B475" t="s">
        <v>805</v>
      </c>
      <c r="C475" t="s">
        <v>1793</v>
      </c>
    </row>
    <row r="476" spans="1:3" x14ac:dyDescent="0.3">
      <c r="A476" t="s">
        <v>806</v>
      </c>
      <c r="B476" t="s">
        <v>807</v>
      </c>
      <c r="C476" t="s">
        <v>1793</v>
      </c>
    </row>
    <row r="477" spans="1:3" x14ac:dyDescent="0.3">
      <c r="A477" t="s">
        <v>808</v>
      </c>
      <c r="B477" t="s">
        <v>1813</v>
      </c>
      <c r="C477" t="s">
        <v>1793</v>
      </c>
    </row>
    <row r="478" spans="1:3" x14ac:dyDescent="0.3">
      <c r="A478" t="s">
        <v>809</v>
      </c>
      <c r="B478" t="s">
        <v>810</v>
      </c>
      <c r="C478" t="s">
        <v>1793</v>
      </c>
    </row>
    <row r="479" spans="1:3" x14ac:dyDescent="0.3">
      <c r="A479" t="s">
        <v>811</v>
      </c>
      <c r="B479" t="s">
        <v>812</v>
      </c>
      <c r="C479" t="s">
        <v>1778</v>
      </c>
    </row>
    <row r="480" spans="1:3" x14ac:dyDescent="0.3">
      <c r="A480" t="s">
        <v>813</v>
      </c>
      <c r="B480" t="s">
        <v>814</v>
      </c>
      <c r="C480" t="s">
        <v>1778</v>
      </c>
    </row>
    <row r="481" spans="1:3" x14ac:dyDescent="0.3">
      <c r="A481" t="s">
        <v>815</v>
      </c>
      <c r="B481" t="s">
        <v>816</v>
      </c>
      <c r="C481" t="s">
        <v>1793</v>
      </c>
    </row>
    <row r="482" spans="1:3" x14ac:dyDescent="0.3">
      <c r="A482" t="s">
        <v>817</v>
      </c>
      <c r="B482" t="s">
        <v>818</v>
      </c>
      <c r="C482" t="s">
        <v>1793</v>
      </c>
    </row>
    <row r="483" spans="1:3" x14ac:dyDescent="0.3">
      <c r="A483" t="s">
        <v>819</v>
      </c>
      <c r="B483" t="s">
        <v>820</v>
      </c>
      <c r="C483" t="s">
        <v>1793</v>
      </c>
    </row>
    <row r="484" spans="1:3" x14ac:dyDescent="0.3">
      <c r="A484" t="s">
        <v>821</v>
      </c>
      <c r="B484" t="s">
        <v>822</v>
      </c>
      <c r="C484" t="s">
        <v>1793</v>
      </c>
    </row>
    <row r="485" spans="1:3" x14ac:dyDescent="0.3">
      <c r="A485" t="s">
        <v>823</v>
      </c>
      <c r="B485" t="s">
        <v>824</v>
      </c>
      <c r="C485" t="s">
        <v>1793</v>
      </c>
    </row>
    <row r="486" spans="1:3" x14ac:dyDescent="0.3">
      <c r="A486" t="s">
        <v>825</v>
      </c>
      <c r="B486" t="s">
        <v>826</v>
      </c>
      <c r="C486" t="s">
        <v>1793</v>
      </c>
    </row>
    <row r="487" spans="1:3" x14ac:dyDescent="0.3">
      <c r="A487" t="s">
        <v>827</v>
      </c>
      <c r="B487" t="s">
        <v>828</v>
      </c>
      <c r="C487" t="s">
        <v>1793</v>
      </c>
    </row>
    <row r="488" spans="1:3" x14ac:dyDescent="0.3">
      <c r="A488" t="s">
        <v>829</v>
      </c>
      <c r="B488" t="s">
        <v>830</v>
      </c>
      <c r="C488" t="s">
        <v>1793</v>
      </c>
    </row>
    <row r="489" spans="1:3" x14ac:dyDescent="0.3">
      <c r="A489" t="s">
        <v>831</v>
      </c>
      <c r="B489" t="s">
        <v>832</v>
      </c>
      <c r="C489" t="s">
        <v>1793</v>
      </c>
    </row>
    <row r="490" spans="1:3" x14ac:dyDescent="0.3">
      <c r="A490" t="s">
        <v>833</v>
      </c>
      <c r="B490" t="s">
        <v>834</v>
      </c>
      <c r="C490" t="s">
        <v>52</v>
      </c>
    </row>
    <row r="491" spans="1:3" x14ac:dyDescent="0.3">
      <c r="A491" t="s">
        <v>835</v>
      </c>
      <c r="B491" t="s">
        <v>836</v>
      </c>
      <c r="C491" t="s">
        <v>835</v>
      </c>
    </row>
    <row r="492" spans="1:3" x14ac:dyDescent="0.3">
      <c r="A492" t="s">
        <v>837</v>
      </c>
      <c r="B492" t="s">
        <v>838</v>
      </c>
      <c r="C492" t="s">
        <v>837</v>
      </c>
    </row>
    <row r="493" spans="1:3" x14ac:dyDescent="0.3">
      <c r="A493" t="s">
        <v>2276</v>
      </c>
      <c r="B493" t="s">
        <v>2277</v>
      </c>
      <c r="C493" t="s">
        <v>2276</v>
      </c>
    </row>
    <row r="494" spans="1:3" x14ac:dyDescent="0.3">
      <c r="A494" t="s">
        <v>2278</v>
      </c>
      <c r="B494" t="s">
        <v>2279</v>
      </c>
      <c r="C494" t="s">
        <v>2278</v>
      </c>
    </row>
    <row r="495" spans="1:3" x14ac:dyDescent="0.3">
      <c r="A495" t="s">
        <v>839</v>
      </c>
      <c r="B495" t="s">
        <v>840</v>
      </c>
      <c r="C495" t="s">
        <v>52</v>
      </c>
    </row>
    <row r="496" spans="1:3" x14ac:dyDescent="0.3">
      <c r="A496" t="s">
        <v>841</v>
      </c>
      <c r="B496" t="s">
        <v>842</v>
      </c>
      <c r="C496" t="s">
        <v>52</v>
      </c>
    </row>
    <row r="497" spans="1:3" x14ac:dyDescent="0.3">
      <c r="A497" t="s">
        <v>843</v>
      </c>
      <c r="B497" t="s">
        <v>844</v>
      </c>
      <c r="C497" t="s">
        <v>52</v>
      </c>
    </row>
    <row r="498" spans="1:3" x14ac:dyDescent="0.3">
      <c r="A498" t="s">
        <v>845</v>
      </c>
      <c r="B498" t="s">
        <v>846</v>
      </c>
      <c r="C498" t="s">
        <v>52</v>
      </c>
    </row>
    <row r="499" spans="1:3" x14ac:dyDescent="0.3">
      <c r="A499" t="s">
        <v>847</v>
      </c>
      <c r="B499" t="s">
        <v>848</v>
      </c>
      <c r="C499" t="s">
        <v>52</v>
      </c>
    </row>
    <row r="500" spans="1:3" x14ac:dyDescent="0.3">
      <c r="A500" t="s">
        <v>849</v>
      </c>
      <c r="B500" t="s">
        <v>850</v>
      </c>
      <c r="C500" t="s">
        <v>52</v>
      </c>
    </row>
    <row r="501" spans="1:3" x14ac:dyDescent="0.3">
      <c r="A501" t="s">
        <v>851</v>
      </c>
      <c r="B501" t="s">
        <v>1814</v>
      </c>
      <c r="C501" t="s">
        <v>52</v>
      </c>
    </row>
    <row r="502" spans="1:3" x14ac:dyDescent="0.3">
      <c r="A502" t="s">
        <v>852</v>
      </c>
      <c r="B502" t="s">
        <v>853</v>
      </c>
      <c r="C502" t="s">
        <v>52</v>
      </c>
    </row>
    <row r="503" spans="1:3" x14ac:dyDescent="0.3">
      <c r="A503" t="s">
        <v>854</v>
      </c>
      <c r="B503" t="s">
        <v>855</v>
      </c>
      <c r="C503" t="s">
        <v>52</v>
      </c>
    </row>
    <row r="504" spans="1:3" x14ac:dyDescent="0.3">
      <c r="A504" t="s">
        <v>1815</v>
      </c>
      <c r="B504" t="s">
        <v>1816</v>
      </c>
      <c r="C504" t="s">
        <v>52</v>
      </c>
    </row>
    <row r="505" spans="1:3" x14ac:dyDescent="0.3">
      <c r="A505" t="s">
        <v>1874</v>
      </c>
      <c r="B505" t="s">
        <v>1879</v>
      </c>
      <c r="C505" t="s">
        <v>52</v>
      </c>
    </row>
    <row r="506" spans="1:3" x14ac:dyDescent="0.3">
      <c r="A506" t="s">
        <v>1867</v>
      </c>
      <c r="B506" t="s">
        <v>1883</v>
      </c>
      <c r="C506" t="s">
        <v>52</v>
      </c>
    </row>
    <row r="507" spans="1:3" x14ac:dyDescent="0.3">
      <c r="A507" t="s">
        <v>1859</v>
      </c>
      <c r="B507" t="s">
        <v>1864</v>
      </c>
      <c r="C507" t="s">
        <v>52</v>
      </c>
    </row>
    <row r="508" spans="1:3" x14ac:dyDescent="0.3">
      <c r="A508" t="s">
        <v>1852</v>
      </c>
      <c r="B508" t="s">
        <v>1884</v>
      </c>
      <c r="C508" t="s">
        <v>52</v>
      </c>
    </row>
    <row r="509" spans="1:3" x14ac:dyDescent="0.3">
      <c r="A509" t="s">
        <v>52</v>
      </c>
      <c r="B509" t="s">
        <v>856</v>
      </c>
      <c r="C509" t="s">
        <v>52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14EC1-C28A-4C07-8313-CC3447168FB6}">
  <sheetPr codeName="Sheet13">
    <tabColor theme="5" tint="0.79998168889431442"/>
  </sheetPr>
  <dimension ref="A1:I3"/>
  <sheetViews>
    <sheetView workbookViewId="0">
      <pane ySplit="2" topLeftCell="A3" activePane="bottomLeft" state="frozen"/>
      <selection pane="bottomLeft" activeCell="H27" sqref="H27"/>
    </sheetView>
  </sheetViews>
  <sheetFormatPr defaultColWidth="9.33203125" defaultRowHeight="14.4" outlineLevelCol="1" x14ac:dyDescent="0.3"/>
  <cols>
    <col min="1" max="1" width="15" hidden="1" customWidth="1" outlineLevel="1"/>
    <col min="2" max="2" width="14.44140625" hidden="1" customWidth="1" outlineLevel="1"/>
    <col min="3" max="3" width="17.6640625" hidden="1" customWidth="1" outlineLevel="1"/>
    <col min="4" max="4" width="20" hidden="1" customWidth="1" outlineLevel="1"/>
    <col min="5" max="5" width="19" hidden="1" customWidth="1" outlineLevel="1"/>
    <col min="6" max="6" width="19.6640625" bestFit="1" customWidth="1" collapsed="1"/>
    <col min="7" max="7" width="12.33203125" bestFit="1" customWidth="1"/>
    <col min="8" max="8" width="21.88671875" bestFit="1" customWidth="1"/>
    <col min="9" max="9" width="14.88671875" bestFit="1" customWidth="1"/>
  </cols>
  <sheetData>
    <row r="1" spans="1:9" x14ac:dyDescent="0.3">
      <c r="G1" s="186" t="s">
        <v>1919</v>
      </c>
      <c r="H1" s="186"/>
      <c r="I1" s="186"/>
    </row>
    <row r="2" spans="1:9" x14ac:dyDescent="0.3">
      <c r="A2" s="83" t="s">
        <v>45</v>
      </c>
      <c r="B2" s="83" t="s">
        <v>46</v>
      </c>
      <c r="C2" s="83" t="s">
        <v>47</v>
      </c>
      <c r="D2" s="83" t="s">
        <v>1714</v>
      </c>
      <c r="E2" s="83" t="s">
        <v>1715</v>
      </c>
      <c r="F2" s="83" t="s">
        <v>48</v>
      </c>
      <c r="G2" t="s">
        <v>49</v>
      </c>
      <c r="H2" t="s">
        <v>50</v>
      </c>
      <c r="I2" t="s">
        <v>1958</v>
      </c>
    </row>
    <row r="3" spans="1:9" x14ac:dyDescent="0.3">
      <c r="A3" s="69" t="b">
        <f>ISBLANK(FUNDS[[#This Row],[FundCode]])</f>
        <v>1</v>
      </c>
      <c r="B3" s="69" t="b">
        <f>ISBLANK(FUNDS[[#This Row],[Title]])</f>
        <v>1</v>
      </c>
      <c r="C3" s="69" t="b">
        <f>ISBLANK(FUNDS[[#This Row],[FundEnabled]])</f>
        <v>0</v>
      </c>
      <c r="D3" s="69" t="b">
        <f>IF(LEN(FUNDS[[#This Row],[FundCode]])&lt;100,FALSE,TRUE)</f>
        <v>0</v>
      </c>
      <c r="E3" s="69" t="b">
        <f>IF(LEN(FUNDS[[#This Row],[Title]])&lt;100,FALSE,TRUE)</f>
        <v>0</v>
      </c>
      <c r="F3" s="69">
        <f>COUNTIF(FUNDS[[#This Row],[Code is Blank]:[Title length check]],"TRUE")</f>
        <v>2</v>
      </c>
      <c r="I3" t="b">
        <v>1</v>
      </c>
    </row>
  </sheetData>
  <mergeCells count="1">
    <mergeCell ref="G1:I1"/>
  </mergeCells>
  <phoneticPr fontId="2" type="noConversion"/>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B1934-E673-49D1-B05C-7AC148378315}">
  <sheetPr codeName="Sheet50">
    <tabColor theme="5" tint="0.79998168889431442"/>
  </sheetPr>
  <dimension ref="A1:I3"/>
  <sheetViews>
    <sheetView topLeftCell="F1" workbookViewId="0">
      <pane ySplit="2" topLeftCell="A3" activePane="bottomLeft" state="frozen"/>
      <selection pane="bottomLeft" activeCell="G23" sqref="G23"/>
    </sheetView>
  </sheetViews>
  <sheetFormatPr defaultColWidth="9.33203125" defaultRowHeight="14.4" outlineLevelCol="1" x14ac:dyDescent="0.3"/>
  <cols>
    <col min="1" max="1" width="15" hidden="1" customWidth="1" outlineLevel="1"/>
    <col min="2" max="2" width="14.44140625" hidden="1" customWidth="1" outlineLevel="1"/>
    <col min="3" max="3" width="20" hidden="1" customWidth="1" outlineLevel="1"/>
    <col min="4" max="4" width="19" hidden="1" customWidth="1" outlineLevel="1"/>
    <col min="5" max="5" width="17.6640625" hidden="1" customWidth="1" outlineLevel="1"/>
    <col min="6" max="6" width="19.6640625" bestFit="1" customWidth="1" collapsed="1"/>
    <col min="7" max="7" width="14.5546875" bestFit="1" customWidth="1"/>
    <col min="8" max="8" width="30.33203125" bestFit="1" customWidth="1"/>
    <col min="9" max="9" width="17.33203125" bestFit="1" customWidth="1"/>
  </cols>
  <sheetData>
    <row r="1" spans="1:9" x14ac:dyDescent="0.3">
      <c r="G1" s="186" t="s">
        <v>1919</v>
      </c>
      <c r="H1" s="186"/>
      <c r="I1" s="186"/>
    </row>
    <row r="2" spans="1:9" x14ac:dyDescent="0.3">
      <c r="A2" s="83" t="s">
        <v>45</v>
      </c>
      <c r="B2" s="83" t="s">
        <v>46</v>
      </c>
      <c r="C2" s="83" t="s">
        <v>1714</v>
      </c>
      <c r="D2" s="83" t="s">
        <v>1715</v>
      </c>
      <c r="E2" s="83" t="s">
        <v>47</v>
      </c>
      <c r="F2" s="83" t="s">
        <v>48</v>
      </c>
      <c r="G2" t="s">
        <v>1959</v>
      </c>
      <c r="H2" t="s">
        <v>50</v>
      </c>
      <c r="I2" t="s">
        <v>1960</v>
      </c>
    </row>
    <row r="3" spans="1:9" x14ac:dyDescent="0.3">
      <c r="A3" s="80" t="b">
        <f>ISBLANK(ACTIVITIES[[#This Row],[ActivityCode]])</f>
        <v>1</v>
      </c>
      <c r="B3" s="80" t="b">
        <f>ISBLANK(ACTIVITIES[[#This Row],[Title]])</f>
        <v>1</v>
      </c>
      <c r="C3" s="80" t="b">
        <f>IF(LEN(ACTIVITIES[[#This Row],[ActivityCode]])&lt;100,FALSE,TRUE)</f>
        <v>0</v>
      </c>
      <c r="D3" s="80" t="b">
        <f>IF(LEN(ACTIVITIES[[#This Row],[Title]])&lt;100,FALSE,TRUE)</f>
        <v>0</v>
      </c>
      <c r="E3" s="80" t="b">
        <f>ISBLANK(ACTIVITIES[[#This Row],[ActivityEnabled]])</f>
        <v>0</v>
      </c>
      <c r="F3" s="80">
        <f>COUNTIF(ACTIVITIES[[#This Row],[Code is Blank]:[Enabled is blank]],"TRUE")</f>
        <v>2</v>
      </c>
      <c r="I3" t="b">
        <v>1</v>
      </c>
    </row>
  </sheetData>
  <mergeCells count="1">
    <mergeCell ref="G1:I1"/>
  </mergeCells>
  <phoneticPr fontId="2"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6F2EA-DB75-4ABF-855B-905EAC0058B1}">
  <sheetPr codeName="Sheet10">
    <tabColor theme="5" tint="0.79998168889431442"/>
  </sheetPr>
  <dimension ref="A1:I4"/>
  <sheetViews>
    <sheetView workbookViewId="0">
      <pane ySplit="2" topLeftCell="A3" activePane="bottomLeft" state="frozen"/>
      <selection pane="bottomLeft" activeCell="G4" sqref="G4"/>
    </sheetView>
  </sheetViews>
  <sheetFormatPr defaultColWidth="9.33203125" defaultRowHeight="14.4" outlineLevelCol="1" x14ac:dyDescent="0.3"/>
  <cols>
    <col min="1" max="1" width="15" hidden="1" customWidth="1" outlineLevel="1"/>
    <col min="2" max="2" width="14.44140625" hidden="1" customWidth="1" outlineLevel="1"/>
    <col min="3" max="3" width="17.6640625" hidden="1" customWidth="1" outlineLevel="1"/>
    <col min="4" max="4" width="20" hidden="1" customWidth="1" outlineLevel="1"/>
    <col min="5" max="5" width="19" hidden="1" customWidth="1" outlineLevel="1"/>
    <col min="6" max="6" width="19.6640625" bestFit="1" customWidth="1" collapsed="1"/>
    <col min="7" max="7" width="14.109375" bestFit="1" customWidth="1"/>
    <col min="8" max="8" width="19.33203125" bestFit="1" customWidth="1"/>
    <col min="9" max="9" width="16.5546875" bestFit="1" customWidth="1"/>
  </cols>
  <sheetData>
    <row r="1" spans="1:9" x14ac:dyDescent="0.3">
      <c r="G1" s="186" t="s">
        <v>1919</v>
      </c>
      <c r="H1" s="186"/>
      <c r="I1" s="186"/>
    </row>
    <row r="2" spans="1:9" x14ac:dyDescent="0.3">
      <c r="A2" s="115" t="s">
        <v>45</v>
      </c>
      <c r="B2" s="115" t="s">
        <v>46</v>
      </c>
      <c r="C2" s="115" t="s">
        <v>47</v>
      </c>
      <c r="D2" s="81" t="s">
        <v>1714</v>
      </c>
      <c r="E2" s="81" t="s">
        <v>1715</v>
      </c>
      <c r="F2" s="83" t="s">
        <v>48</v>
      </c>
      <c r="G2" t="s">
        <v>857</v>
      </c>
      <c r="H2" t="s">
        <v>50</v>
      </c>
      <c r="I2" t="s">
        <v>1961</v>
      </c>
    </row>
    <row r="3" spans="1:9" x14ac:dyDescent="0.3">
      <c r="A3" s="80" t="b">
        <f>ISBLANK(LEDGER[[#This Row],[LedgerCode]])</f>
        <v>0</v>
      </c>
      <c r="B3" s="80" t="b">
        <f>ISBLANK(LEDGER[[#This Row],[Title]])</f>
        <v>0</v>
      </c>
      <c r="C3" s="80" t="b">
        <f>ISBLANK(LEDGER[[#This Row],[LedgerEnabled]])</f>
        <v>0</v>
      </c>
      <c r="D3" s="80" t="b">
        <f>IF(LEN(LEDGER[[#This Row],[LedgerCode]])&lt;100,FALSE,TRUE)</f>
        <v>0</v>
      </c>
      <c r="E3" s="80" t="b">
        <f>IF(LEN(LEDGER[[#This Row],[Title]])&lt;100,FALSE,TRUE)</f>
        <v>0</v>
      </c>
      <c r="F3" s="80">
        <f>COUNTIF(LEDGER[[#This Row],[Code is Blank]:[Title length check]],"TRUE")</f>
        <v>0</v>
      </c>
      <c r="G3" t="s">
        <v>51</v>
      </c>
      <c r="H3" t="s">
        <v>2447</v>
      </c>
      <c r="I3" t="b">
        <v>1</v>
      </c>
    </row>
    <row r="4" spans="1:9" x14ac:dyDescent="0.3">
      <c r="A4" s="80" t="b">
        <f>ISBLANK(LEDGER[[#This Row],[LedgerCode]])</f>
        <v>0</v>
      </c>
      <c r="B4" s="80" t="b">
        <f>ISBLANK(LEDGER[[#This Row],[Title]])</f>
        <v>0</v>
      </c>
      <c r="C4" s="80" t="b">
        <f>ISBLANK(LEDGER[[#This Row],[LedgerEnabled]])</f>
        <v>0</v>
      </c>
      <c r="D4" s="80" t="b">
        <f>IF(LEN(LEDGER[[#This Row],[LedgerCode]])&lt;100,FALSE,TRUE)</f>
        <v>0</v>
      </c>
      <c r="E4" s="80" t="b">
        <f>IF(LEN(LEDGER[[#This Row],[Title]])&lt;100,FALSE,TRUE)</f>
        <v>0</v>
      </c>
      <c r="F4" s="80">
        <f>COUNTIF(LEDGER[[#This Row],[Code is Blank]:[Title length check]],"TRUE")</f>
        <v>0</v>
      </c>
      <c r="G4" t="s">
        <v>2448</v>
      </c>
      <c r="H4" t="s">
        <v>2563</v>
      </c>
      <c r="I4" t="b">
        <v>1</v>
      </c>
    </row>
  </sheetData>
  <mergeCells count="1">
    <mergeCell ref="G1:I1"/>
  </mergeCells>
  <phoneticPr fontId="2"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292-FA8E-48FB-963A-6CC08CD89A2C}">
  <sheetPr codeName="Sheet9">
    <tabColor theme="5" tint="0.79998168889431442"/>
  </sheetPr>
  <dimension ref="A1:I3"/>
  <sheetViews>
    <sheetView topLeftCell="F1" workbookViewId="0">
      <pane ySplit="2" topLeftCell="A3" activePane="bottomLeft" state="frozen"/>
      <selection pane="bottomLeft" activeCell="H17" sqref="H17"/>
    </sheetView>
  </sheetViews>
  <sheetFormatPr defaultColWidth="14.33203125" defaultRowHeight="14.4" outlineLevelCol="1" x14ac:dyDescent="0.3"/>
  <cols>
    <col min="1" max="1" width="15" hidden="1" customWidth="1" outlineLevel="1"/>
    <col min="2" max="2" width="14.44140625" hidden="1" customWidth="1" outlineLevel="1"/>
    <col min="3" max="3" width="20" hidden="1" customWidth="1" outlineLevel="1"/>
    <col min="4" max="4" width="19" hidden="1" customWidth="1" outlineLevel="1"/>
    <col min="5" max="5" width="17.6640625" hidden="1" customWidth="1" outlineLevel="1"/>
    <col min="6" max="6" width="19.6640625" bestFit="1" customWidth="1" collapsed="1"/>
    <col min="7" max="7" width="23.109375" bestFit="1" customWidth="1"/>
    <col min="8" max="8" width="43" bestFit="1" customWidth="1"/>
    <col min="9" max="9" width="25.88671875" bestFit="1" customWidth="1"/>
  </cols>
  <sheetData>
    <row r="1" spans="1:9" x14ac:dyDescent="0.3">
      <c r="G1" s="186" t="s">
        <v>1919</v>
      </c>
      <c r="H1" s="186"/>
      <c r="I1" s="186"/>
    </row>
    <row r="2" spans="1:9" x14ac:dyDescent="0.3">
      <c r="A2" s="83" t="s">
        <v>45</v>
      </c>
      <c r="B2" s="83" t="s">
        <v>46</v>
      </c>
      <c r="C2" s="83" t="s">
        <v>1714</v>
      </c>
      <c r="D2" s="83" t="s">
        <v>1715</v>
      </c>
      <c r="E2" s="83" t="s">
        <v>47</v>
      </c>
      <c r="F2" s="83" t="s">
        <v>48</v>
      </c>
      <c r="G2" t="s">
        <v>1962</v>
      </c>
      <c r="H2" t="s">
        <v>50</v>
      </c>
      <c r="I2" t="s">
        <v>1963</v>
      </c>
    </row>
    <row r="3" spans="1:9" x14ac:dyDescent="0.3">
      <c r="A3" s="80" t="b">
        <f>ISBLANK(CUSTGROUP[[#This Row],[CustomGroupingCode]])</f>
        <v>1</v>
      </c>
      <c r="B3" s="80" t="b">
        <f>ISBLANK(CUSTGROUP[[#This Row],[Title]])</f>
        <v>1</v>
      </c>
      <c r="C3" s="80" t="b">
        <f>IF(LEN(CUSTGROUP[[#This Row],[CustomGroupingCode]])&lt;100,FALSE,TRUE)</f>
        <v>0</v>
      </c>
      <c r="D3" s="80" t="b">
        <f>IF(LEN(CUSTGROUP[[#This Row],[Title]])&lt;100,FALSE,TRUE)</f>
        <v>0</v>
      </c>
      <c r="E3" s="80" t="b">
        <f>ISBLANK(CUSTGROUP[[#This Row],[CustomGroupingEnabled]])</f>
        <v>0</v>
      </c>
      <c r="F3" s="80">
        <f>COUNTIF(CUSTGROUP[[#This Row],[Code is Blank]:[Enabled is blank]],"TRUE")</f>
        <v>2</v>
      </c>
      <c r="I3" t="b">
        <v>1</v>
      </c>
    </row>
  </sheetData>
  <mergeCells count="1">
    <mergeCell ref="G1:I1"/>
  </mergeCells>
  <phoneticPr fontId="2"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E41B5-301E-4D0D-8402-058714BC0556}">
  <sheetPr codeName="Sheet7">
    <tabColor theme="5" tint="0.79998168889431442"/>
  </sheetPr>
  <dimension ref="A1:I3"/>
  <sheetViews>
    <sheetView workbookViewId="0">
      <pane ySplit="2" topLeftCell="A3" activePane="bottomLeft" state="frozen"/>
      <selection pane="bottomLeft" activeCell="G4" sqref="G4:G6"/>
    </sheetView>
  </sheetViews>
  <sheetFormatPr defaultColWidth="9.33203125" defaultRowHeight="14.4" outlineLevelCol="1" x14ac:dyDescent="0.3"/>
  <cols>
    <col min="1" max="1" width="15" hidden="1" customWidth="1" outlineLevel="1"/>
    <col min="2" max="2" width="14.44140625" hidden="1" customWidth="1" outlineLevel="1"/>
    <col min="3" max="3" width="17.6640625" hidden="1" customWidth="1" outlineLevel="1"/>
    <col min="4" max="4" width="20" hidden="1" customWidth="1" outlineLevel="1"/>
    <col min="5" max="5" width="19" hidden="1" customWidth="1" outlineLevel="1"/>
    <col min="6" max="6" width="19.6640625" bestFit="1" customWidth="1" collapsed="1"/>
    <col min="7" max="7" width="17.44140625" bestFit="1" customWidth="1"/>
    <col min="8" max="8" width="20" bestFit="1" customWidth="1"/>
    <col min="9" max="9" width="20.109375" bestFit="1" customWidth="1"/>
  </cols>
  <sheetData>
    <row r="1" spans="1:9" x14ac:dyDescent="0.3">
      <c r="G1" s="186" t="s">
        <v>1919</v>
      </c>
      <c r="H1" s="186"/>
      <c r="I1" s="186"/>
    </row>
    <row r="2" spans="1:9" x14ac:dyDescent="0.3">
      <c r="A2" s="116" t="s">
        <v>45</v>
      </c>
      <c r="B2" s="116" t="s">
        <v>46</v>
      </c>
      <c r="C2" s="116" t="s">
        <v>47</v>
      </c>
      <c r="D2" s="83" t="s">
        <v>1714</v>
      </c>
      <c r="E2" s="83" t="s">
        <v>1715</v>
      </c>
      <c r="F2" s="83" t="s">
        <v>48</v>
      </c>
      <c r="G2" t="s">
        <v>1964</v>
      </c>
      <c r="H2" t="s">
        <v>50</v>
      </c>
      <c r="I2" t="s">
        <v>1965</v>
      </c>
    </row>
    <row r="3" spans="1:9" x14ac:dyDescent="0.3">
      <c r="A3" s="80" t="b">
        <f>ISBLANK(SCHHUB[[#This Row],[SchoolHubCode]])</f>
        <v>0</v>
      </c>
      <c r="B3" s="80" t="b">
        <f>ISBLANK(SCHHUB[[#This Row],[Title]])</f>
        <v>0</v>
      </c>
      <c r="C3" s="80" t="b">
        <f>ISBLANK(SCHHUB[[#This Row],[SchoolHubEnabled]])</f>
        <v>0</v>
      </c>
      <c r="D3" s="80" t="b">
        <f>IF(LEN(SCHHUB[[#This Row],[SchoolHubCode]])&lt;100,FALSE,TRUE)</f>
        <v>0</v>
      </c>
      <c r="E3" s="80" t="b">
        <f>IF(LEN(SCHHUB[[#This Row],[Title]])&lt;100,FALSE,TRUE)</f>
        <v>0</v>
      </c>
      <c r="F3" s="80">
        <f>COUNTIF(SCHHUB[[#This Row],[Code is Blank]:[Title length check]],"TRUE")</f>
        <v>0</v>
      </c>
      <c r="G3" t="s">
        <v>2564</v>
      </c>
      <c r="H3" t="s">
        <v>2565</v>
      </c>
      <c r="I3" t="b">
        <v>1</v>
      </c>
    </row>
  </sheetData>
  <mergeCells count="1">
    <mergeCell ref="G1:I1"/>
  </mergeCells>
  <phoneticPr fontId="2" type="noConversion"/>
  <conditionalFormatting sqref="G3:I3">
    <cfRule type="expression" dxfId="4" priority="1">
      <formula>#REF!</formula>
    </cfRule>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EACDA-62B9-4FED-A805-D9F41980504F}">
  <sheetPr codeName="Sheet6">
    <tabColor theme="5" tint="0.79998168889431442"/>
  </sheetPr>
  <dimension ref="A1:I5"/>
  <sheetViews>
    <sheetView zoomScaleNormal="100" workbookViewId="0">
      <pane ySplit="2" topLeftCell="A3" activePane="bottomLeft" state="frozen"/>
      <selection pane="bottomLeft" activeCell="H24" sqref="H24"/>
    </sheetView>
  </sheetViews>
  <sheetFormatPr defaultColWidth="9.33203125" defaultRowHeight="14.4" outlineLevelCol="1" x14ac:dyDescent="0.3"/>
  <cols>
    <col min="1" max="1" width="15" hidden="1" customWidth="1" outlineLevel="1"/>
    <col min="2" max="2" width="14.44140625" hidden="1" customWidth="1" outlineLevel="1"/>
    <col min="3" max="3" width="17.6640625" hidden="1" customWidth="1" outlineLevel="1"/>
    <col min="4" max="4" width="20" hidden="1" customWidth="1" outlineLevel="1"/>
    <col min="5" max="5" width="19" hidden="1" customWidth="1" outlineLevel="1"/>
    <col min="6" max="6" width="19.6640625" bestFit="1" customWidth="1" collapsed="1"/>
    <col min="7" max="7" width="18.109375" bestFit="1" customWidth="1"/>
    <col min="8" max="8" width="15.33203125" bestFit="1" customWidth="1"/>
    <col min="9" max="9" width="20.88671875" bestFit="1" customWidth="1"/>
  </cols>
  <sheetData>
    <row r="1" spans="1:9" x14ac:dyDescent="0.3">
      <c r="G1" s="186" t="s">
        <v>1919</v>
      </c>
      <c r="H1" s="186"/>
      <c r="I1" s="186"/>
    </row>
    <row r="2" spans="1:9" x14ac:dyDescent="0.3">
      <c r="A2" s="117" t="s">
        <v>45</v>
      </c>
      <c r="B2" s="115" t="s">
        <v>46</v>
      </c>
      <c r="C2" s="115" t="s">
        <v>47</v>
      </c>
      <c r="D2" s="81" t="s">
        <v>1714</v>
      </c>
      <c r="E2" s="81" t="s">
        <v>1715</v>
      </c>
      <c r="F2" s="83" t="s">
        <v>48</v>
      </c>
      <c r="G2" t="s">
        <v>1966</v>
      </c>
      <c r="H2" t="s">
        <v>50</v>
      </c>
      <c r="I2" t="s">
        <v>1967</v>
      </c>
    </row>
    <row r="3" spans="1:9" x14ac:dyDescent="0.3">
      <c r="A3" s="80" t="b">
        <f>ISBLANK(SCHTYPE[[#This Row],[SchoolTypeCode]])</f>
        <v>0</v>
      </c>
      <c r="B3" s="80" t="b">
        <f>ISBLANK(SCHTYPE[[#This Row],[Title]])</f>
        <v>0</v>
      </c>
      <c r="C3" s="80" t="b">
        <f>ISBLANK(SCHTYPE[[#This Row],[SchoolTypeEnabled]])</f>
        <v>0</v>
      </c>
      <c r="D3" s="80" t="b">
        <f>IF(LEN(SCHTYPE[[#This Row],[SchoolTypeCode]])&lt;100,FALSE,TRUE)</f>
        <v>0</v>
      </c>
      <c r="E3" s="80" t="b">
        <f>IF(LEN(SCHTYPE[[#This Row],[Title]])&lt;100,FALSE,TRUE)</f>
        <v>0</v>
      </c>
      <c r="F3" s="80">
        <f>COUNTIF(SCHTYPE[[#This Row],[Code is Blank]:[Title length check]],"TRUE")</f>
        <v>0</v>
      </c>
      <c r="G3" t="s">
        <v>2566</v>
      </c>
      <c r="H3" t="s">
        <v>2567</v>
      </c>
      <c r="I3" t="b">
        <v>1</v>
      </c>
    </row>
    <row r="4" spans="1:9" x14ac:dyDescent="0.3">
      <c r="A4" s="80" t="b">
        <f>ISBLANK(SCHTYPE[[#This Row],[SchoolTypeCode]])</f>
        <v>0</v>
      </c>
      <c r="B4" s="80" t="b">
        <f>ISBLANK(SCHTYPE[[#This Row],[Title]])</f>
        <v>0</v>
      </c>
      <c r="C4" s="80" t="b">
        <f>ISBLANK(SCHTYPE[[#This Row],[SchoolTypeEnabled]])</f>
        <v>0</v>
      </c>
      <c r="D4" s="80" t="b">
        <f>IF(LEN(SCHTYPE[[#This Row],[SchoolTypeCode]])&lt;100,FALSE,TRUE)</f>
        <v>0</v>
      </c>
      <c r="E4" s="80" t="b">
        <f>IF(LEN(SCHTYPE[[#This Row],[Title]])&lt;100,FALSE,TRUE)</f>
        <v>0</v>
      </c>
      <c r="F4" s="80">
        <f>COUNTIF(SCHTYPE[[#This Row],[Code is Blank]:[Title length check]],"TRUE")</f>
        <v>0</v>
      </c>
      <c r="G4" t="s">
        <v>2449</v>
      </c>
      <c r="H4" t="s">
        <v>2568</v>
      </c>
      <c r="I4" t="b">
        <v>1</v>
      </c>
    </row>
    <row r="5" spans="1:9" x14ac:dyDescent="0.3">
      <c r="A5" s="80" t="b">
        <f>ISBLANK(SCHTYPE[[#This Row],[SchoolTypeCode]])</f>
        <v>0</v>
      </c>
      <c r="B5" s="80" t="b">
        <f>ISBLANK(SCHTYPE[[#This Row],[Title]])</f>
        <v>0</v>
      </c>
      <c r="C5" s="80" t="b">
        <f>ISBLANK(SCHTYPE[[#This Row],[SchoolTypeEnabled]])</f>
        <v>0</v>
      </c>
      <c r="D5" s="80" t="b">
        <f>IF(LEN(SCHTYPE[[#This Row],[SchoolTypeCode]])&lt;100,FALSE,TRUE)</f>
        <v>0</v>
      </c>
      <c r="E5" s="80" t="b">
        <f>IF(LEN(SCHTYPE[[#This Row],[Title]])&lt;100,FALSE,TRUE)</f>
        <v>0</v>
      </c>
      <c r="F5" s="80">
        <f>COUNTIF(SCHTYPE[[#This Row],[Code is Blank]:[Title length check]],"TRUE")</f>
        <v>0</v>
      </c>
      <c r="G5" t="s">
        <v>2450</v>
      </c>
      <c r="H5" t="s">
        <v>859</v>
      </c>
      <c r="I5" t="b">
        <v>1</v>
      </c>
    </row>
  </sheetData>
  <mergeCells count="1">
    <mergeCell ref="G1:I1"/>
  </mergeCells>
  <phoneticPr fontId="2" type="noConversion"/>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22EB2-B90A-4EBA-BE84-13F2D49FE83A}">
  <sheetPr codeName="Sheet51">
    <tabColor theme="5" tint="0.79998168889431442"/>
  </sheetPr>
  <dimension ref="A1:K5"/>
  <sheetViews>
    <sheetView workbookViewId="0">
      <pane ySplit="2" topLeftCell="A3" activePane="bottomLeft" state="frozen"/>
      <selection pane="bottomLeft" activeCell="I3" sqref="I3"/>
    </sheetView>
  </sheetViews>
  <sheetFormatPr defaultColWidth="9.33203125" defaultRowHeight="14.4" outlineLevelCol="1" x14ac:dyDescent="0.3"/>
  <cols>
    <col min="1" max="1" width="15" hidden="1" customWidth="1" outlineLevel="1"/>
    <col min="2" max="2" width="14.44140625" hidden="1" customWidth="1" outlineLevel="1"/>
    <col min="3" max="3" width="17.6640625" hidden="1" customWidth="1" outlineLevel="1"/>
    <col min="4" max="4" width="20" hidden="1" customWidth="1" outlineLevel="1"/>
    <col min="5" max="5" width="19" hidden="1" customWidth="1" outlineLevel="1"/>
    <col min="6" max="6" width="19.6640625" bestFit="1" customWidth="1" collapsed="1"/>
    <col min="7" max="7" width="5.44140625" bestFit="1" customWidth="1"/>
    <col min="8" max="8" width="27" bestFit="1" customWidth="1"/>
    <col min="9" max="9" width="26" bestFit="1" customWidth="1"/>
    <col min="10" max="10" width="29.6640625" bestFit="1" customWidth="1"/>
    <col min="11" max="11" width="8.33203125" bestFit="1" customWidth="1"/>
  </cols>
  <sheetData>
    <row r="1" spans="1:11" x14ac:dyDescent="0.3">
      <c r="G1" s="130" t="s">
        <v>1957</v>
      </c>
      <c r="H1" s="187" t="s">
        <v>1919</v>
      </c>
      <c r="I1" s="187"/>
      <c r="J1" s="187"/>
      <c r="K1" s="131"/>
    </row>
    <row r="2" spans="1:11" x14ac:dyDescent="0.3">
      <c r="A2" s="117" t="s">
        <v>45</v>
      </c>
      <c r="B2" s="115" t="s">
        <v>46</v>
      </c>
      <c r="C2" s="115" t="s">
        <v>47</v>
      </c>
      <c r="D2" s="124" t="s">
        <v>1714</v>
      </c>
      <c r="E2" s="124" t="s">
        <v>1715</v>
      </c>
      <c r="F2" s="83" t="s">
        <v>48</v>
      </c>
      <c r="G2" s="83" t="s">
        <v>861</v>
      </c>
      <c r="H2" t="s">
        <v>862</v>
      </c>
      <c r="I2" t="s">
        <v>50</v>
      </c>
      <c r="J2" t="s">
        <v>863</v>
      </c>
      <c r="K2" s="80" t="s">
        <v>1991</v>
      </c>
    </row>
    <row r="3" spans="1:11" x14ac:dyDescent="0.3">
      <c r="A3" s="80" t="b">
        <f>ISBLANK(LA[[#This Row],[SchoolLocalAuthorityCode]])</f>
        <v>0</v>
      </c>
      <c r="B3" s="80" t="b">
        <f>ISBLANK(LA[[#This Row],[Title]])</f>
        <v>0</v>
      </c>
      <c r="C3" s="80" t="b">
        <f>ISBLANK(LA[[#This Row],[SchoolLocalAuthorityEnabled]])</f>
        <v>0</v>
      </c>
      <c r="D3" s="80" t="b">
        <f>IF(LEN(LA[[#This Row],[SchoolLocalAuthorityCode]])&lt;100,FALSE,TRUE)</f>
        <v>0</v>
      </c>
      <c r="E3" s="80" t="b">
        <f>IF(LEN(LA[[#This Row],[Title]])&lt;100,FALSE,TRUE)</f>
        <v>0</v>
      </c>
      <c r="F3" s="80">
        <f>COUNTIF(LA[[#This Row],[Code is Blank]:[Title length check]],"TRUE")</f>
        <v>0</v>
      </c>
      <c r="G3" s="80" t="str">
        <f>IF(LA[[#This Row],[SchoolLocalAuthorityCode]]="DEFAULT","LA0","LA"&amp;LA[[#This Row],[Index]])</f>
        <v>LA1</v>
      </c>
      <c r="H3" t="s">
        <v>2587</v>
      </c>
      <c r="I3" t="s">
        <v>2611</v>
      </c>
      <c r="J3" t="b">
        <v>1</v>
      </c>
      <c r="K3" s="80">
        <v>1</v>
      </c>
    </row>
    <row r="4" spans="1:11" x14ac:dyDescent="0.3">
      <c r="A4" s="80" t="b">
        <f>ISBLANK(LA[[#This Row],[SchoolLocalAuthorityCode]])</f>
        <v>0</v>
      </c>
      <c r="B4" s="80" t="b">
        <f>ISBLANK(LA[[#This Row],[Title]])</f>
        <v>0</v>
      </c>
      <c r="C4" s="80" t="b">
        <f>ISBLANK(LA[[#This Row],[SchoolLocalAuthorityEnabled]])</f>
        <v>0</v>
      </c>
      <c r="D4" s="80" t="b">
        <f>IF(LEN(LA[[#This Row],[SchoolLocalAuthorityCode]])&lt;100,FALSE,TRUE)</f>
        <v>0</v>
      </c>
      <c r="E4" s="80" t="b">
        <f>IF(LEN(LA[[#This Row],[Title]])&lt;100,FALSE,TRUE)</f>
        <v>0</v>
      </c>
      <c r="F4" s="80">
        <f>COUNTIF(LA[[#This Row],[Code is Blank]:[Title length check]],"TRUE")</f>
        <v>0</v>
      </c>
      <c r="G4" s="80" t="str">
        <f>IF(LA[[#This Row],[SchoolLocalAuthorityCode]]="DEFAULT","LA0","LA"&amp;LA[[#This Row],[Index]])</f>
        <v>LA0</v>
      </c>
      <c r="H4" t="s">
        <v>51</v>
      </c>
      <c r="I4" t="s">
        <v>2612</v>
      </c>
      <c r="J4" t="b">
        <v>1</v>
      </c>
      <c r="K4" s="80">
        <v>2</v>
      </c>
    </row>
    <row r="5" spans="1:11" x14ac:dyDescent="0.3">
      <c r="A5" s="80" t="b">
        <f>ISBLANK(LA[[#This Row],[SchoolLocalAuthorityCode]])</f>
        <v>0</v>
      </c>
      <c r="B5" s="80" t="b">
        <f>ISBLANK(LA[[#This Row],[Title]])</f>
        <v>0</v>
      </c>
      <c r="C5" s="80" t="b">
        <f>ISBLANK(LA[[#This Row],[SchoolLocalAuthorityEnabled]])</f>
        <v>0</v>
      </c>
      <c r="D5" s="80" t="b">
        <f>IF(LEN(LA[[#This Row],[SchoolLocalAuthorityCode]])&lt;100,FALSE,TRUE)</f>
        <v>0</v>
      </c>
      <c r="E5" s="80" t="b">
        <f>IF(LEN(LA[[#This Row],[Title]])&lt;100,FALSE,TRUE)</f>
        <v>0</v>
      </c>
      <c r="F5" s="80">
        <f>COUNTIF(LA[[#This Row],[Code is Blank]:[Title length check]],"TRUE")</f>
        <v>0</v>
      </c>
      <c r="G5" s="80" t="str">
        <f>IF(LA[[#This Row],[SchoolLocalAuthorityCode]]="DEFAULT","LA0","LA"&amp;LA[[#This Row],[Index]])</f>
        <v>LA3</v>
      </c>
      <c r="H5" t="s">
        <v>2593</v>
      </c>
      <c r="I5" t="s">
        <v>2613</v>
      </c>
      <c r="J5" t="b">
        <v>1</v>
      </c>
      <c r="K5" s="80">
        <v>3</v>
      </c>
    </row>
  </sheetData>
  <mergeCells count="1">
    <mergeCell ref="H1:J1"/>
  </mergeCells>
  <phoneticPr fontId="2" type="noConversion"/>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E67E6-6719-41E6-95A4-807F6707A11B}">
  <sheetPr codeName="Sheet8">
    <tabColor theme="5" tint="0.79998168889431442"/>
  </sheetPr>
  <dimension ref="A1:R12"/>
  <sheetViews>
    <sheetView topLeftCell="F1" workbookViewId="0">
      <pane ySplit="2" topLeftCell="A3" activePane="bottomLeft" state="frozen"/>
      <selection pane="bottomLeft" activeCell="N26" sqref="N26"/>
    </sheetView>
  </sheetViews>
  <sheetFormatPr defaultColWidth="9.33203125" defaultRowHeight="14.4" outlineLevelCol="1" x14ac:dyDescent="0.3"/>
  <cols>
    <col min="1" max="1" width="12.33203125" hidden="1" customWidth="1" outlineLevel="1"/>
    <col min="2" max="2" width="15.109375" hidden="1" customWidth="1" outlineLevel="1"/>
    <col min="3" max="3" width="12.5546875" hidden="1" customWidth="1" outlineLevel="1"/>
    <col min="4" max="4" width="20" hidden="1" customWidth="1" outlineLevel="1"/>
    <col min="5" max="5" width="19" hidden="1" customWidth="1" outlineLevel="1"/>
    <col min="6" max="6" width="16.6640625" bestFit="1" customWidth="1" collapsed="1"/>
    <col min="7" max="7" width="24.6640625" style="7" bestFit="1" customWidth="1"/>
    <col min="8" max="8" width="5.5546875" style="7" bestFit="1" customWidth="1"/>
    <col min="9" max="9" width="13.88671875" style="7" bestFit="1" customWidth="1"/>
    <col min="10" max="10" width="22.33203125" bestFit="1" customWidth="1"/>
    <col min="11" max="11" width="13.6640625" bestFit="1" customWidth="1"/>
    <col min="12" max="12" width="12.6640625" bestFit="1" customWidth="1"/>
    <col min="13" max="13" width="13.44140625" bestFit="1" customWidth="1"/>
    <col min="14" max="14" width="34.33203125" bestFit="1" customWidth="1"/>
    <col min="15" max="15" width="19.33203125" bestFit="1" customWidth="1"/>
    <col min="16" max="16" width="26.6640625" bestFit="1" customWidth="1"/>
    <col min="17" max="18" width="16.44140625" bestFit="1" customWidth="1"/>
  </cols>
  <sheetData>
    <row r="1" spans="1:18" x14ac:dyDescent="0.3">
      <c r="G1" s="188" t="s">
        <v>1957</v>
      </c>
      <c r="H1" s="188"/>
      <c r="I1" s="188"/>
      <c r="J1" s="187" t="s">
        <v>1919</v>
      </c>
      <c r="K1" s="187"/>
      <c r="L1" s="187"/>
      <c r="M1" s="187"/>
      <c r="N1" s="187"/>
      <c r="O1" s="187"/>
      <c r="P1" s="187"/>
      <c r="Q1" s="187"/>
      <c r="R1" s="187"/>
    </row>
    <row r="2" spans="1:18" x14ac:dyDescent="0.3">
      <c r="A2" s="118" t="s">
        <v>864</v>
      </c>
      <c r="B2" s="118" t="s">
        <v>865</v>
      </c>
      <c r="C2" s="118" t="s">
        <v>866</v>
      </c>
      <c r="D2" s="118" t="s">
        <v>1714</v>
      </c>
      <c r="E2" s="118" t="s">
        <v>1715</v>
      </c>
      <c r="F2" s="83" t="s">
        <v>867</v>
      </c>
      <c r="G2" s="126" t="s">
        <v>868</v>
      </c>
      <c r="H2" s="126" t="s">
        <v>861</v>
      </c>
      <c r="I2" s="127" t="s">
        <v>869</v>
      </c>
      <c r="J2" t="s">
        <v>870</v>
      </c>
      <c r="K2" t="s">
        <v>871</v>
      </c>
      <c r="L2" t="s">
        <v>872</v>
      </c>
      <c r="M2" t="s">
        <v>873</v>
      </c>
      <c r="N2" t="s">
        <v>50</v>
      </c>
      <c r="O2" t="s">
        <v>874</v>
      </c>
      <c r="P2" t="s">
        <v>875</v>
      </c>
      <c r="Q2" t="s">
        <v>876</v>
      </c>
      <c r="R2" t="s">
        <v>877</v>
      </c>
    </row>
    <row r="3" spans="1:18" s="17" customFormat="1" x14ac:dyDescent="0.3">
      <c r="A3" s="80">
        <f>IF(COUNTIF(SCHHUB[SchoolHubCode],SCHOOLS[[#This Row],[SchoolHub]])&gt;0,0,1)</f>
        <v>1</v>
      </c>
      <c r="B3" s="80">
        <f>IF(COUNTIF(SCHTYPE[SchoolTypeCode],SCHOOLS[[#This Row],[SchoolType]])&gt;0,0,1)</f>
        <v>0</v>
      </c>
      <c r="C3" s="80">
        <f>COUNTBLANK(SCHOOLS[[#This Row],[SchoolLocalAuthority]:[SchoolEnabled]])</f>
        <v>0</v>
      </c>
      <c r="D3" s="80">
        <f>IF(LEN(SCHOOLS[[#This Row],[SchoolCode]])&lt;100,0,1)</f>
        <v>0</v>
      </c>
      <c r="E3" s="80">
        <f>IF(LEN(SCHOOLS[[#This Row],[Title]])&lt;100,0,1)</f>
        <v>0</v>
      </c>
      <c r="F3" s="80">
        <f>SUM(SCHOOLS[[#This Row],[HubIssues]:[Title length check]])</f>
        <v>1</v>
      </c>
      <c r="G3" s="147"/>
      <c r="H3" s="80" t="str">
        <f>_xlfn.XLOOKUP(SCHOOLS[[#This Row],[SchoolLocalAuthority]],LA[SchoolLocalAuthorityCode],LA[LA])</f>
        <v>LA1</v>
      </c>
      <c r="I3" s="147" t="s">
        <v>880</v>
      </c>
      <c r="J3" s="17" t="s">
        <v>2587</v>
      </c>
      <c r="K3" s="17" t="s">
        <v>2609</v>
      </c>
      <c r="L3" s="17" t="s">
        <v>51</v>
      </c>
      <c r="M3" s="17" t="s">
        <v>2449</v>
      </c>
      <c r="N3" s="17" t="s">
        <v>2610</v>
      </c>
      <c r="O3" s="17" t="b">
        <v>0</v>
      </c>
      <c r="P3" s="17">
        <v>1</v>
      </c>
      <c r="Q3" s="17">
        <v>32.5</v>
      </c>
      <c r="R3" s="17" t="b">
        <v>1</v>
      </c>
    </row>
    <row r="4" spans="1:18" x14ac:dyDescent="0.3">
      <c r="A4" s="80">
        <f>IF(COUNTIF(SCHHUB[SchoolHubCode],SCHOOLS[[#This Row],[SchoolHub]])&gt;0,0,1)</f>
        <v>1</v>
      </c>
      <c r="B4" s="80">
        <f>IF(COUNTIF(SCHTYPE[SchoolTypeCode],SCHOOLS[[#This Row],[SchoolType]])&gt;0,0,1)</f>
        <v>1</v>
      </c>
      <c r="C4" s="80">
        <f>COUNTBLANK(SCHOOLS[[#This Row],[SchoolLocalAuthority]:[SchoolEnabled]])</f>
        <v>0</v>
      </c>
      <c r="D4" s="80">
        <f>IF(LEN(SCHOOLS[[#This Row],[SchoolCode]])&lt;100,0,1)</f>
        <v>0</v>
      </c>
      <c r="E4" s="80">
        <f>IF(LEN(SCHOOLS[[#This Row],[Title]])&lt;100,0,1)</f>
        <v>0</v>
      </c>
      <c r="F4" s="80">
        <f>SUM(SCHOOLS[[#This Row],[HubIssues]:[Title length check]])</f>
        <v>2</v>
      </c>
      <c r="G4" s="147"/>
      <c r="H4" s="80" t="str">
        <f>_xlfn.XLOOKUP(SCHOOLS[[#This Row],[SchoolLocalAuthority]],LA[SchoolLocalAuthorityCode],LA[LA])</f>
        <v>LA1</v>
      </c>
      <c r="I4" s="147" t="s">
        <v>858</v>
      </c>
      <c r="J4" s="17" t="s">
        <v>2587</v>
      </c>
      <c r="K4" s="17" t="s">
        <v>2588</v>
      </c>
      <c r="L4" s="17" t="s">
        <v>51</v>
      </c>
      <c r="M4" s="17" t="s">
        <v>2589</v>
      </c>
      <c r="N4" s="17" t="s">
        <v>2590</v>
      </c>
      <c r="O4" s="17" t="b">
        <v>0</v>
      </c>
      <c r="P4" s="17">
        <v>137392</v>
      </c>
      <c r="Q4" s="17">
        <v>32.5</v>
      </c>
      <c r="R4" s="17" t="b">
        <v>1</v>
      </c>
    </row>
    <row r="5" spans="1:18" x14ac:dyDescent="0.3">
      <c r="A5" s="80">
        <f>IF(COUNTIF(SCHHUB[SchoolHubCode],SCHOOLS[[#This Row],[SchoolHub]])&gt;0,0,1)</f>
        <v>1</v>
      </c>
      <c r="B5" s="80">
        <f>IF(COUNTIF(SCHTYPE[SchoolTypeCode],SCHOOLS[[#This Row],[SchoolType]])&gt;0,0,1)</f>
        <v>1</v>
      </c>
      <c r="C5" s="80">
        <f>COUNTBLANK(SCHOOLS[[#This Row],[SchoolLocalAuthority]:[SchoolEnabled]])</f>
        <v>0</v>
      </c>
      <c r="D5" s="80">
        <f>IF(LEN(SCHOOLS[[#This Row],[SchoolCode]])&lt;100,0,1)</f>
        <v>0</v>
      </c>
      <c r="E5" s="80">
        <f>IF(LEN(SCHOOLS[[#This Row],[Title]])&lt;100,0,1)</f>
        <v>0</v>
      </c>
      <c r="F5" s="80">
        <f>SUM(SCHOOLS[[#This Row],[HubIssues]:[Title length check]])</f>
        <v>2</v>
      </c>
      <c r="G5" s="147"/>
      <c r="H5" s="80" t="str">
        <f>_xlfn.XLOOKUP(SCHOOLS[[#This Row],[SchoolLocalAuthority]],LA[SchoolLocalAuthorityCode],LA[LA])</f>
        <v>LA3</v>
      </c>
      <c r="I5" s="147" t="s">
        <v>858</v>
      </c>
      <c r="J5" s="17" t="s">
        <v>2593</v>
      </c>
      <c r="K5" s="17" t="s">
        <v>2599</v>
      </c>
      <c r="L5" s="17" t="s">
        <v>51</v>
      </c>
      <c r="M5" s="17" t="s">
        <v>2589</v>
      </c>
      <c r="N5" s="17" t="s">
        <v>2600</v>
      </c>
      <c r="O5" s="17" t="b">
        <v>0</v>
      </c>
      <c r="P5" s="17">
        <v>150960</v>
      </c>
      <c r="Q5" s="17">
        <v>32.5</v>
      </c>
      <c r="R5" s="17" t="b">
        <v>1</v>
      </c>
    </row>
    <row r="6" spans="1:18" x14ac:dyDescent="0.3">
      <c r="A6" s="80">
        <f>IF(COUNTIF(SCHHUB[SchoolHubCode],SCHOOLS[[#This Row],[SchoolHub]])&gt;0,0,1)</f>
        <v>1</v>
      </c>
      <c r="B6" s="80">
        <f>IF(COUNTIF(SCHTYPE[SchoolTypeCode],SCHOOLS[[#This Row],[SchoolType]])&gt;0,0,1)</f>
        <v>1</v>
      </c>
      <c r="C6" s="80">
        <f>COUNTBLANK(SCHOOLS[[#This Row],[SchoolLocalAuthority]:[SchoolEnabled]])</f>
        <v>0</v>
      </c>
      <c r="D6" s="80">
        <f>IF(LEN(SCHOOLS[[#This Row],[SchoolCode]])&lt;100,0,1)</f>
        <v>0</v>
      </c>
      <c r="E6" s="80">
        <f>IF(LEN(SCHOOLS[[#This Row],[Title]])&lt;100,0,1)</f>
        <v>0</v>
      </c>
      <c r="F6" s="80">
        <f>SUM(SCHOOLS[[#This Row],[HubIssues]:[Title length check]])</f>
        <v>2</v>
      </c>
      <c r="G6" s="147"/>
      <c r="H6" s="80" t="str">
        <f>_xlfn.XLOOKUP(SCHOOLS[[#This Row],[SchoolLocalAuthority]],LA[SchoolLocalAuthorityCode],LA[LA])</f>
        <v>LA3</v>
      </c>
      <c r="I6" s="147" t="s">
        <v>858</v>
      </c>
      <c r="J6" s="17" t="s">
        <v>2593</v>
      </c>
      <c r="K6" s="17" t="s">
        <v>2601</v>
      </c>
      <c r="L6" s="17" t="s">
        <v>51</v>
      </c>
      <c r="M6" s="17" t="s">
        <v>2589</v>
      </c>
      <c r="N6" s="17" t="s">
        <v>2602</v>
      </c>
      <c r="O6" s="17" t="b">
        <v>0</v>
      </c>
      <c r="P6" s="17">
        <v>146890</v>
      </c>
      <c r="Q6" s="17">
        <v>32.5</v>
      </c>
      <c r="R6" s="17" t="b">
        <v>1</v>
      </c>
    </row>
    <row r="7" spans="1:18" x14ac:dyDescent="0.3">
      <c r="A7" s="80">
        <f>IF(COUNTIF(SCHHUB[SchoolHubCode],SCHOOLS[[#This Row],[SchoolHub]])&gt;0,0,1)</f>
        <v>1</v>
      </c>
      <c r="B7" s="80">
        <f>IF(COUNTIF(SCHTYPE[SchoolTypeCode],SCHOOLS[[#This Row],[SchoolType]])&gt;0,0,1)</f>
        <v>1</v>
      </c>
      <c r="C7" s="80">
        <f>COUNTBLANK(SCHOOLS[[#This Row],[SchoolLocalAuthority]:[SchoolEnabled]])</f>
        <v>0</v>
      </c>
      <c r="D7" s="80">
        <f>IF(LEN(SCHOOLS[[#This Row],[SchoolCode]])&lt;100,0,1)</f>
        <v>0</v>
      </c>
      <c r="E7" s="80">
        <f>IF(LEN(SCHOOLS[[#This Row],[Title]])&lt;100,0,1)</f>
        <v>0</v>
      </c>
      <c r="F7" s="80">
        <f>SUM(SCHOOLS[[#This Row],[HubIssues]:[Title length check]])</f>
        <v>2</v>
      </c>
      <c r="G7" s="147"/>
      <c r="H7" s="80" t="str">
        <f>_xlfn.XLOOKUP(SCHOOLS[[#This Row],[SchoolLocalAuthority]],LA[SchoolLocalAuthorityCode],LA[LA])</f>
        <v>LA3</v>
      </c>
      <c r="I7" s="147" t="s">
        <v>858</v>
      </c>
      <c r="J7" s="17" t="s">
        <v>2593</v>
      </c>
      <c r="K7" s="17" t="s">
        <v>2603</v>
      </c>
      <c r="L7" s="17" t="s">
        <v>51</v>
      </c>
      <c r="M7" s="17" t="s">
        <v>2589</v>
      </c>
      <c r="N7" s="17" t="s">
        <v>2604</v>
      </c>
      <c r="O7" s="17" t="b">
        <v>0</v>
      </c>
      <c r="P7" s="17">
        <v>146861</v>
      </c>
      <c r="Q7" s="17">
        <v>32.5</v>
      </c>
      <c r="R7" s="17" t="b">
        <v>1</v>
      </c>
    </row>
    <row r="8" spans="1:18" x14ac:dyDescent="0.3">
      <c r="A8" s="80">
        <f>IF(COUNTIF(SCHHUB[SchoolHubCode],SCHOOLS[[#This Row],[SchoolHub]])&gt;0,0,1)</f>
        <v>1</v>
      </c>
      <c r="B8" s="80">
        <f>IF(COUNTIF(SCHTYPE[SchoolTypeCode],SCHOOLS[[#This Row],[SchoolType]])&gt;0,0,1)</f>
        <v>1</v>
      </c>
      <c r="C8" s="80">
        <f>COUNTBLANK(SCHOOLS[[#This Row],[SchoolLocalAuthority]:[SchoolEnabled]])</f>
        <v>0</v>
      </c>
      <c r="D8" s="80">
        <f>IF(LEN(SCHOOLS[[#This Row],[SchoolCode]])&lt;100,0,1)</f>
        <v>0</v>
      </c>
      <c r="E8" s="80">
        <f>IF(LEN(SCHOOLS[[#This Row],[Title]])&lt;100,0,1)</f>
        <v>0</v>
      </c>
      <c r="F8" s="80">
        <f>SUM(SCHOOLS[[#This Row],[HubIssues]:[Title length check]])</f>
        <v>2</v>
      </c>
      <c r="G8" s="147"/>
      <c r="H8" s="80" t="str">
        <f>_xlfn.XLOOKUP(SCHOOLS[[#This Row],[SchoolLocalAuthority]],LA[SchoolLocalAuthorityCode],LA[LA])</f>
        <v>LA1</v>
      </c>
      <c r="I8" s="147" t="s">
        <v>858</v>
      </c>
      <c r="J8" s="17" t="s">
        <v>2587</v>
      </c>
      <c r="K8" s="17" t="s">
        <v>2607</v>
      </c>
      <c r="L8" s="17" t="s">
        <v>51</v>
      </c>
      <c r="M8" s="17" t="s">
        <v>2589</v>
      </c>
      <c r="N8" s="17" t="s">
        <v>2608</v>
      </c>
      <c r="O8" s="17" t="b">
        <v>0</v>
      </c>
      <c r="P8" s="17">
        <v>137341</v>
      </c>
      <c r="Q8" s="17">
        <v>32.5</v>
      </c>
      <c r="R8" s="17" t="b">
        <v>1</v>
      </c>
    </row>
    <row r="9" spans="1:18" x14ac:dyDescent="0.3">
      <c r="A9" s="80">
        <f>IF(COUNTIF(SCHHUB[SchoolHubCode],SCHOOLS[[#This Row],[SchoolHub]])&gt;0,0,1)</f>
        <v>1</v>
      </c>
      <c r="B9" s="80">
        <f>IF(COUNTIF(SCHTYPE[SchoolTypeCode],SCHOOLS[[#This Row],[SchoolType]])&gt;0,0,1)</f>
        <v>0</v>
      </c>
      <c r="C9" s="80">
        <f>COUNTBLANK(SCHOOLS[[#This Row],[SchoolLocalAuthority]:[SchoolEnabled]])</f>
        <v>0</v>
      </c>
      <c r="D9" s="80">
        <f>IF(LEN(SCHOOLS[[#This Row],[SchoolCode]])&lt;100,0,1)</f>
        <v>0</v>
      </c>
      <c r="E9" s="80">
        <f>IF(LEN(SCHOOLS[[#This Row],[Title]])&lt;100,0,1)</f>
        <v>0</v>
      </c>
      <c r="F9" s="80">
        <f>SUM(SCHOOLS[[#This Row],[HubIssues]:[Title length check]])</f>
        <v>1</v>
      </c>
      <c r="G9" s="147"/>
      <c r="H9" s="80" t="str">
        <f>_xlfn.XLOOKUP(SCHOOLS[[#This Row],[SchoolLocalAuthority]],LA[SchoolLocalAuthorityCode],LA[LA])</f>
        <v>LA1</v>
      </c>
      <c r="I9" s="147" t="s">
        <v>859</v>
      </c>
      <c r="J9" s="17" t="s">
        <v>2587</v>
      </c>
      <c r="K9" s="17" t="s">
        <v>2591</v>
      </c>
      <c r="L9" s="17" t="s">
        <v>51</v>
      </c>
      <c r="M9" s="17" t="s">
        <v>2450</v>
      </c>
      <c r="N9" s="17" t="s">
        <v>2592</v>
      </c>
      <c r="O9" s="17" t="b">
        <v>0</v>
      </c>
      <c r="P9" s="17">
        <v>149531</v>
      </c>
      <c r="Q9" s="17">
        <v>32.5</v>
      </c>
      <c r="R9" s="17" t="b">
        <v>1</v>
      </c>
    </row>
    <row r="10" spans="1:18" x14ac:dyDescent="0.3">
      <c r="A10" s="80">
        <f>IF(COUNTIF(SCHHUB[SchoolHubCode],SCHOOLS[[#This Row],[SchoolHub]])&gt;0,0,1)</f>
        <v>1</v>
      </c>
      <c r="B10" s="80">
        <f>IF(COUNTIF(SCHTYPE[SchoolTypeCode],SCHOOLS[[#This Row],[SchoolType]])&gt;0,0,1)</f>
        <v>0</v>
      </c>
      <c r="C10" s="80">
        <f>COUNTBLANK(SCHOOLS[[#This Row],[SchoolLocalAuthority]:[SchoolEnabled]])</f>
        <v>0</v>
      </c>
      <c r="D10" s="80">
        <f>IF(LEN(SCHOOLS[[#This Row],[SchoolCode]])&lt;100,0,1)</f>
        <v>0</v>
      </c>
      <c r="E10" s="80">
        <f>IF(LEN(SCHOOLS[[#This Row],[Title]])&lt;100,0,1)</f>
        <v>0</v>
      </c>
      <c r="F10" s="80">
        <f>SUM(SCHOOLS[[#This Row],[HubIssues]:[Title length check]])</f>
        <v>1</v>
      </c>
      <c r="G10" s="147"/>
      <c r="H10" s="80" t="str">
        <f>_xlfn.XLOOKUP(SCHOOLS[[#This Row],[SchoolLocalAuthority]],LA[SchoolLocalAuthorityCode],LA[LA])</f>
        <v>LA3</v>
      </c>
      <c r="I10" s="147" t="s">
        <v>859</v>
      </c>
      <c r="J10" s="17" t="s">
        <v>2593</v>
      </c>
      <c r="K10" s="17" t="s">
        <v>2597</v>
      </c>
      <c r="L10" s="17" t="s">
        <v>51</v>
      </c>
      <c r="M10" s="17" t="s">
        <v>2450</v>
      </c>
      <c r="N10" s="17" t="s">
        <v>2598</v>
      </c>
      <c r="O10" s="17" t="b">
        <v>0</v>
      </c>
      <c r="P10" s="17">
        <v>146906</v>
      </c>
      <c r="Q10" s="17">
        <v>32.5</v>
      </c>
      <c r="R10" s="17" t="b">
        <v>1</v>
      </c>
    </row>
    <row r="11" spans="1:18" x14ac:dyDescent="0.3">
      <c r="A11" s="80">
        <f>IF(COUNTIF(SCHHUB[SchoolHubCode],SCHOOLS[[#This Row],[SchoolHub]])&gt;0,0,1)</f>
        <v>1</v>
      </c>
      <c r="B11" s="80">
        <f>IF(COUNTIF(SCHTYPE[SchoolTypeCode],SCHOOLS[[#This Row],[SchoolType]])&gt;0,0,1)</f>
        <v>0</v>
      </c>
      <c r="C11" s="80">
        <f>COUNTBLANK(SCHOOLS[[#This Row],[SchoolLocalAuthority]:[SchoolEnabled]])</f>
        <v>0</v>
      </c>
      <c r="D11" s="80">
        <f>IF(LEN(SCHOOLS[[#This Row],[SchoolCode]])&lt;100,0,1)</f>
        <v>0</v>
      </c>
      <c r="E11" s="80">
        <f>IF(LEN(SCHOOLS[[#This Row],[Title]])&lt;100,0,1)</f>
        <v>0</v>
      </c>
      <c r="F11" s="80">
        <f>SUM(SCHOOLS[[#This Row],[HubIssues]:[Title length check]])</f>
        <v>1</v>
      </c>
      <c r="G11" s="147"/>
      <c r="H11" s="80" t="str">
        <f>_xlfn.XLOOKUP(SCHOOLS[[#This Row],[SchoolLocalAuthority]],LA[SchoolLocalAuthorityCode],LA[LA])</f>
        <v>LA1</v>
      </c>
      <c r="I11" s="147" t="s">
        <v>859</v>
      </c>
      <c r="J11" s="17" t="s">
        <v>2587</v>
      </c>
      <c r="K11" s="17" t="s">
        <v>2605</v>
      </c>
      <c r="L11" s="17" t="s">
        <v>51</v>
      </c>
      <c r="M11" s="17" t="s">
        <v>2450</v>
      </c>
      <c r="N11" s="17" t="s">
        <v>2606</v>
      </c>
      <c r="O11" s="17" t="b">
        <v>0</v>
      </c>
      <c r="P11" s="17">
        <v>141307</v>
      </c>
      <c r="Q11" s="17">
        <v>32.5</v>
      </c>
      <c r="R11" s="17" t="b">
        <v>1</v>
      </c>
    </row>
    <row r="12" spans="1:18" x14ac:dyDescent="0.3">
      <c r="A12" s="80">
        <f>IF(COUNTIF(SCHHUB[SchoolHubCode],SCHOOLS[[#This Row],[SchoolHub]])&gt;0,0,1)</f>
        <v>1</v>
      </c>
      <c r="B12" s="80">
        <f>IF(COUNTIF(SCHTYPE[SchoolTypeCode],SCHOOLS[[#This Row],[SchoolType]])&gt;0,0,1)</f>
        <v>1</v>
      </c>
      <c r="C12" s="80">
        <f>COUNTBLANK(SCHOOLS[[#This Row],[SchoolLocalAuthority]:[SchoolEnabled]])</f>
        <v>0</v>
      </c>
      <c r="D12" s="80">
        <f>IF(LEN(SCHOOLS[[#This Row],[SchoolCode]])&lt;100,0,1)</f>
        <v>0</v>
      </c>
      <c r="E12" s="80">
        <f>IF(LEN(SCHOOLS[[#This Row],[Title]])&lt;100,0,1)</f>
        <v>0</v>
      </c>
      <c r="F12" s="80">
        <f>SUM(SCHOOLS[[#This Row],[HubIssues]:[Title length check]])</f>
        <v>2</v>
      </c>
      <c r="G12" s="147"/>
      <c r="H12" s="80" t="str">
        <f>_xlfn.XLOOKUP(SCHOOLS[[#This Row],[SchoolLocalAuthority]],LA[SchoolLocalAuthorityCode],LA[LA])</f>
        <v>LA3</v>
      </c>
      <c r="I12" s="147" t="s">
        <v>860</v>
      </c>
      <c r="J12" s="17" t="s">
        <v>2593</v>
      </c>
      <c r="K12" s="17" t="s">
        <v>2594</v>
      </c>
      <c r="L12" s="17" t="s">
        <v>51</v>
      </c>
      <c r="M12" s="17" t="s">
        <v>2595</v>
      </c>
      <c r="N12" s="17" t="s">
        <v>2596</v>
      </c>
      <c r="O12" s="17" t="b">
        <v>0</v>
      </c>
      <c r="P12" s="17">
        <v>142420</v>
      </c>
      <c r="Q12" s="17">
        <v>32.5</v>
      </c>
      <c r="R12" s="17" t="b">
        <v>1</v>
      </c>
    </row>
  </sheetData>
  <mergeCells count="2">
    <mergeCell ref="J1:R1"/>
    <mergeCell ref="G1:I1"/>
  </mergeCells>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8F794A5-9111-4138-96F0-20BC0C120B31}">
          <x14:formula1>
            <xm:f>Validation!$A$15:$A$20</xm:f>
          </x14:formula1>
          <xm:sqref>I13:I1048576</xm:sqref>
        </x14:dataValidation>
        <x14:dataValidation type="list" allowBlank="1" showInputMessage="1" showErrorMessage="1" xr:uid="{FA872AE6-6968-4320-940E-420CF6095AFD}">
          <x14:formula1>
            <xm:f>Validation!$A$10:$A$13</xm:f>
          </x14:formula1>
          <xm:sqref>G3:G12</xm:sqref>
        </x14:dataValidation>
        <x14:dataValidation type="list" allowBlank="1" showInputMessage="1" showErrorMessage="1" xr:uid="{90D7D70F-9AD8-4A43-ACC5-0623FCC2057E}">
          <x14:formula1>
            <xm:f>Validation!$A$15:$A$27</xm:f>
          </x14:formula1>
          <xm:sqref>I3:I12</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11079-B741-42C5-A8A4-76C13CFFA194}">
  <sheetPr codeName="Sheet12">
    <tabColor theme="5" tint="0.79998168889431442"/>
  </sheetPr>
  <dimension ref="A1:O3"/>
  <sheetViews>
    <sheetView topLeftCell="F1" workbookViewId="0">
      <pane ySplit="2" topLeftCell="A3" activePane="bottomLeft" state="frozen"/>
      <selection pane="bottomLeft" activeCell="H16" sqref="H16"/>
    </sheetView>
  </sheetViews>
  <sheetFormatPr defaultColWidth="8.5546875" defaultRowHeight="14.4" outlineLevelCol="1" x14ac:dyDescent="0.3"/>
  <cols>
    <col min="1" max="1" width="12.33203125" hidden="1" customWidth="1" outlineLevel="1"/>
    <col min="2" max="2" width="14.5546875" hidden="1" customWidth="1" outlineLevel="1"/>
    <col min="3" max="3" width="13.88671875" hidden="1" customWidth="1" outlineLevel="1"/>
    <col min="4" max="4" width="20" hidden="1" customWidth="1" outlineLevel="1"/>
    <col min="5" max="5" width="19" hidden="1" customWidth="1" outlineLevel="1"/>
    <col min="6" max="6" width="16.6640625" bestFit="1" customWidth="1" collapsed="1"/>
    <col min="7" max="7" width="18.6640625" bestFit="1" customWidth="1"/>
    <col min="8" max="8" width="81.109375" bestFit="1" customWidth="1"/>
    <col min="9" max="9" width="23.109375" bestFit="1" customWidth="1"/>
    <col min="10" max="10" width="15.5546875" bestFit="1" customWidth="1"/>
    <col min="11" max="11" width="14.5546875" bestFit="1" customWidth="1"/>
    <col min="12" max="12" width="12.33203125" bestFit="1" customWidth="1"/>
    <col min="13" max="13" width="14.109375" bestFit="1" customWidth="1"/>
    <col min="14" max="14" width="21.5546875" bestFit="1" customWidth="1"/>
    <col min="15" max="15" width="21.44140625" bestFit="1" customWidth="1"/>
  </cols>
  <sheetData>
    <row r="1" spans="1:15" x14ac:dyDescent="0.3">
      <c r="G1" s="186" t="s">
        <v>1919</v>
      </c>
      <c r="H1" s="186"/>
      <c r="I1" s="186"/>
      <c r="J1" s="186"/>
      <c r="K1" s="186"/>
      <c r="L1" s="186"/>
      <c r="M1" s="186"/>
      <c r="N1" s="186"/>
      <c r="O1" s="186"/>
    </row>
    <row r="2" spans="1:15" x14ac:dyDescent="0.3">
      <c r="A2" s="118" t="s">
        <v>881</v>
      </c>
      <c r="B2" s="118" t="s">
        <v>882</v>
      </c>
      <c r="C2" s="118" t="s">
        <v>883</v>
      </c>
      <c r="D2" s="118" t="s">
        <v>1714</v>
      </c>
      <c r="E2" s="118" t="s">
        <v>1715</v>
      </c>
      <c r="F2" s="83" t="s">
        <v>867</v>
      </c>
      <c r="G2" t="s">
        <v>884</v>
      </c>
      <c r="H2" t="s">
        <v>50</v>
      </c>
      <c r="I2" t="s">
        <v>885</v>
      </c>
      <c r="J2" t="s">
        <v>886</v>
      </c>
      <c r="K2" t="s">
        <v>1959</v>
      </c>
      <c r="L2" t="s">
        <v>49</v>
      </c>
      <c r="M2" t="s">
        <v>857</v>
      </c>
      <c r="N2" t="s">
        <v>1968</v>
      </c>
      <c r="O2" t="s">
        <v>1969</v>
      </c>
    </row>
    <row r="3" spans="1:15" x14ac:dyDescent="0.3">
      <c r="A3" s="80"/>
      <c r="B3" s="80"/>
      <c r="C3" s="80"/>
      <c r="D3" s="80"/>
      <c r="E3" s="80"/>
      <c r="F3" s="80"/>
    </row>
  </sheetData>
  <mergeCells count="1">
    <mergeCell ref="G1:O1"/>
  </mergeCells>
  <phoneticPr fontId="2" type="noConversion"/>
  <conditionalFormatting sqref="G1:G1048576">
    <cfRule type="duplicateValues" dxfId="3" priority="1"/>
  </conditionalFormatting>
  <pageMargins left="0.7" right="0.7" top="0.75" bottom="0.75" header="0.3" footer="0.3"/>
  <pageSetup paperSize="9"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907E-19B7-4E1A-9F7F-D7EA3BC14B79}">
  <sheetPr codeName="Sheet16">
    <tabColor theme="5" tint="0.79998168889431442"/>
  </sheetPr>
  <dimension ref="A1:Z76"/>
  <sheetViews>
    <sheetView topLeftCell="P1" zoomScale="80" zoomScaleNormal="80" workbookViewId="0">
      <selection activeCell="P9" sqref="P9:Z15"/>
    </sheetView>
  </sheetViews>
  <sheetFormatPr defaultRowHeight="14.4" outlineLevelCol="1" x14ac:dyDescent="0.3"/>
  <cols>
    <col min="1" max="1" width="13.88671875" hidden="1" customWidth="1" outlineLevel="1"/>
    <col min="2" max="2" width="21" hidden="1" customWidth="1" outlineLevel="1"/>
    <col min="3" max="3" width="13.88671875" hidden="1" customWidth="1" outlineLevel="1"/>
    <col min="4" max="4" width="15.5546875" hidden="1" customWidth="1" outlineLevel="1"/>
    <col min="5" max="5" width="11.33203125" hidden="1" customWidth="1" outlineLevel="1"/>
    <col min="6" max="6" width="11" hidden="1" customWidth="1" outlineLevel="1"/>
    <col min="7" max="7" width="12" hidden="1" customWidth="1" outlineLevel="1"/>
    <col min="8" max="10" width="20" hidden="1" customWidth="1" outlineLevel="1"/>
    <col min="11" max="14" width="19" hidden="1" customWidth="1" outlineLevel="1"/>
    <col min="15" max="15" width="17.33203125" bestFit="1" customWidth="1" collapsed="1"/>
    <col min="16" max="16" width="24.6640625" bestFit="1" customWidth="1"/>
    <col min="17" max="17" width="51.44140625" bestFit="1" customWidth="1"/>
    <col min="18" max="18" width="24.5546875" bestFit="1" customWidth="1"/>
    <col min="19" max="19" width="16.88671875" bestFit="1" customWidth="1"/>
    <col min="20" max="20" width="19" bestFit="1" customWidth="1"/>
    <col min="21" max="21" width="14.44140625" bestFit="1" customWidth="1"/>
    <col min="22" max="22" width="23.6640625" bestFit="1" customWidth="1"/>
    <col min="23" max="23" width="15.109375" bestFit="1" customWidth="1"/>
    <col min="24" max="24" width="22.6640625" bestFit="1" customWidth="1"/>
    <col min="25" max="25" width="20.6640625" bestFit="1" customWidth="1"/>
    <col min="26" max="26" width="17.44140625" bestFit="1" customWidth="1"/>
    <col min="27" max="27" width="38.5546875" customWidth="1"/>
    <col min="28" max="28" width="15.5546875" bestFit="1" customWidth="1"/>
    <col min="29" max="29" width="23.33203125" bestFit="1" customWidth="1"/>
    <col min="30" max="30" width="16.5546875" bestFit="1" customWidth="1"/>
    <col min="31" max="31" width="17.88671875" bestFit="1" customWidth="1"/>
    <col min="32" max="32" width="26.5546875" bestFit="1" customWidth="1"/>
    <col min="33" max="33" width="22.33203125" bestFit="1" customWidth="1"/>
    <col min="34" max="34" width="14.109375" bestFit="1" customWidth="1"/>
    <col min="35" max="35" width="21.5546875" bestFit="1" customWidth="1"/>
    <col min="36" max="36" width="20.5546875" bestFit="1" customWidth="1"/>
    <col min="37" max="37" width="15.5546875" bestFit="1" customWidth="1"/>
  </cols>
  <sheetData>
    <row r="1" spans="1:26" x14ac:dyDescent="0.3">
      <c r="A1" s="84" t="s">
        <v>883</v>
      </c>
      <c r="B1" s="82" t="s">
        <v>1604</v>
      </c>
      <c r="C1" s="82" t="s">
        <v>887</v>
      </c>
      <c r="D1" s="82" t="s">
        <v>888</v>
      </c>
      <c r="E1" s="82" t="s">
        <v>889</v>
      </c>
      <c r="F1" s="82" t="s">
        <v>890</v>
      </c>
      <c r="G1" s="82" t="s">
        <v>891</v>
      </c>
      <c r="H1" s="83" t="s">
        <v>1714</v>
      </c>
      <c r="I1" s="83" t="s">
        <v>2341</v>
      </c>
      <c r="J1" s="83" t="s">
        <v>2337</v>
      </c>
      <c r="K1" s="83" t="s">
        <v>1715</v>
      </c>
      <c r="L1" s="83" t="s">
        <v>1850</v>
      </c>
      <c r="M1" s="83" t="s">
        <v>1926</v>
      </c>
      <c r="N1" s="83" t="s">
        <v>2039</v>
      </c>
      <c r="O1" s="83" t="s">
        <v>867</v>
      </c>
      <c r="P1" t="s">
        <v>893</v>
      </c>
      <c r="Q1" t="s">
        <v>50</v>
      </c>
      <c r="R1" t="s">
        <v>894</v>
      </c>
      <c r="S1" t="s">
        <v>1746</v>
      </c>
      <c r="T1" t="s">
        <v>896</v>
      </c>
      <c r="U1" t="s">
        <v>857</v>
      </c>
      <c r="V1" t="s">
        <v>885</v>
      </c>
      <c r="W1" t="s">
        <v>886</v>
      </c>
      <c r="X1" t="s">
        <v>897</v>
      </c>
      <c r="Y1" t="s">
        <v>1849</v>
      </c>
      <c r="Z1" t="s">
        <v>2416</v>
      </c>
    </row>
    <row r="2" spans="1:26" hidden="1" x14ac:dyDescent="0.3">
      <c r="A2" s="121">
        <f>IF(COUNTIF(LEDGER[LedgerCode],FC_import[[#This Row],[LedgerCode]])&gt;0,0,1)</f>
        <v>0</v>
      </c>
      <c r="B2" s="95">
        <f>IF(COUNTIF(Table_System_Grouping_Codes[groupingCodeCode],FC_import[[#This Row],[GroupingCode]])&gt;0,0,1)</f>
        <v>0</v>
      </c>
      <c r="C2" s="95">
        <f>IF(COUNTIF(CUSTGROUP[CustomGroupingCode],FC_import[[#This Row],[CustomGrouping]])&gt;0,0,1)</f>
        <v>1</v>
      </c>
      <c r="D2" s="95" cm="1">
        <f t="array" ref="D2">IF(FC_import[[#This Row],[AvailableToAllSchools]]=TRUE,0,COUNTA(_xlfn.TEXTSPLIT(FC_import[[#This Row],[SchoolCodes]],",",,TRUE))-SUM(COUNTIF(SCHOOLS[SchoolCode],_xlfn.TEXTSPLIT(FC_import[[#This Row],[SchoolCodes]],",",,TRUE))))</f>
        <v>0</v>
      </c>
      <c r="E2" s="95">
        <f>IF(FC_import[[#This Row],[FinanceCodeTypeCode]]="BUDGET",0,COUNTIF(P:P,P2)-1)</f>
        <v>0</v>
      </c>
      <c r="F2" s="95">
        <f>IF(FC_import[[#This Row],[FinanceCodeTypeCode]]="BUDGET",0,COUNTIF(Q:Q,Q2)-1)</f>
        <v>0</v>
      </c>
      <c r="G2" s="95">
        <f>COUNTIF(Lookup!$A$2:$A$7,R2)-1</f>
        <v>0</v>
      </c>
      <c r="H2" s="80">
        <f>IF(LEN(FC_import[[#This Row],[FinanceCode]])&lt;100,0,1)</f>
        <v>0</v>
      </c>
      <c r="I2" s="80">
        <f>IF(TRIM(FC_import[[#This Row],[FinanceCode]])="",1,0)</f>
        <v>0</v>
      </c>
      <c r="J2" s="80">
        <f>IF(TRIM(FC_import[[#This Row],[Title]])="",1,0)</f>
        <v>0</v>
      </c>
      <c r="K2" s="80">
        <f>IF(LEN(FC_import[[#This Row],[Title]])&lt;100,0,1)</f>
        <v>0</v>
      </c>
      <c r="L2" s="80">
        <f>IF(ISBLANK(FC_import[[#This Row],[BalanceToScenario]]),1,0)</f>
        <v>0</v>
      </c>
      <c r="M2" s="80">
        <f>IF(EXACT(FC_import[[#This Row],[FinanceCode]],UPPER(FC_import[[#This Row],[FinanceCode]])),0,1)</f>
        <v>0</v>
      </c>
      <c r="N2" s="80">
        <f>IF(SUBSTITUTE(TEXT(FC_import[[#This Row],[FinanceCode]],10)," ","")=TEXT(FC_import[[#This Row],[FinanceCode]],10),0,1)</f>
        <v>0</v>
      </c>
      <c r="O2" s="80">
        <f>SUM(FC_import[[#This Row],[LedgerIssue]:[CustGrIssue]],FC_import[[#This Row],[DupCode]:[Space in Code]])</f>
        <v>1</v>
      </c>
      <c r="P2" t="s">
        <v>1073</v>
      </c>
      <c r="Q2" t="s">
        <v>1074</v>
      </c>
      <c r="R2" t="s">
        <v>1075</v>
      </c>
      <c r="S2" t="s">
        <v>849</v>
      </c>
      <c r="T2" t="s">
        <v>52</v>
      </c>
      <c r="U2" t="s">
        <v>51</v>
      </c>
      <c r="V2" t="b">
        <v>1</v>
      </c>
      <c r="X2" t="b">
        <v>1</v>
      </c>
      <c r="Y2" t="b">
        <v>0</v>
      </c>
      <c r="Z2" t="b">
        <v>0</v>
      </c>
    </row>
    <row r="3" spans="1:26" hidden="1" x14ac:dyDescent="0.3">
      <c r="A3" s="120">
        <f>IF(COUNTIF(LEDGER[LedgerCode],FC_import[[#This Row],[LedgerCode]])&gt;0,0,1)</f>
        <v>0</v>
      </c>
      <c r="B3" s="95">
        <f>IF(COUNTIF(Table_System_Grouping_Codes[groupingCodeCode],FC_import[[#This Row],[GroupingCode]])&gt;0,0,1)</f>
        <v>0</v>
      </c>
      <c r="C3" s="85">
        <f>IF(COUNTIF(CUSTGROUP[CustomGroupingCode],FC_import[[#This Row],[CustomGrouping]])&gt;0,0,1)</f>
        <v>1</v>
      </c>
      <c r="D3" s="85" cm="1">
        <f t="array" ref="D3">IF(FC_import[[#This Row],[AvailableToAllSchools]]=TRUE,0,COUNTA(_xlfn.TEXTSPLIT(FC_import[[#This Row],[SchoolCodes]],",",,TRUE))-SUM(COUNTIF(SCHOOLS[SchoolCode],_xlfn.TEXTSPLIT(FC_import[[#This Row],[SchoolCodes]],",",,TRUE))))</f>
        <v>0</v>
      </c>
      <c r="E3" s="85">
        <f>IF(FC_import[[#This Row],[FinanceCodeTypeCode]]="BUDGET",0,COUNTIF(P:P,P3)-1)</f>
        <v>0</v>
      </c>
      <c r="F3" s="85">
        <f>IF(FC_import[[#This Row],[FinanceCodeTypeCode]]="BUDGET",0,COUNTIF(Q:Q,Q3)-1)</f>
        <v>0</v>
      </c>
      <c r="G3" s="85">
        <f>COUNTIF(Lookup!$A$2:$A$7,R3)-1</f>
        <v>0</v>
      </c>
      <c r="H3" s="80">
        <f>IF(LEN(FC_import[[#This Row],[FinanceCode]])&lt;100,0,1)</f>
        <v>0</v>
      </c>
      <c r="I3" s="80">
        <f>IF(TRIM(FC_import[[#This Row],[FinanceCode]])="",1,0)</f>
        <v>0</v>
      </c>
      <c r="J3" s="80">
        <f>IF(TRIM(FC_import[[#This Row],[Title]])="",1,0)</f>
        <v>0</v>
      </c>
      <c r="K3" s="80">
        <f>IF(LEN(FC_import[[#This Row],[Title]])&lt;100,0,1)</f>
        <v>0</v>
      </c>
      <c r="L3" s="80">
        <f>IF(ISBLANK(FC_import[[#This Row],[BalanceToScenario]]),1,0)</f>
        <v>0</v>
      </c>
      <c r="M3" s="80">
        <f>IF(EXACT(FC_import[[#This Row],[FinanceCode]],UPPER(FC_import[[#This Row],[FinanceCode]])),0,1)</f>
        <v>0</v>
      </c>
      <c r="N3" s="80">
        <f>IF(SUBSTITUTE(TEXT(FC_import[[#This Row],[FinanceCode]],10)," ","")=TEXT(FC_import[[#This Row],[FinanceCode]],10),0,1)</f>
        <v>0</v>
      </c>
      <c r="O3" s="80">
        <f>SUM(FC_import[[#This Row],[LedgerIssue]:[CustGrIssue]],FC_import[[#This Row],[DupCode]:[Space in Code]])</f>
        <v>1</v>
      </c>
      <c r="P3" t="s">
        <v>898</v>
      </c>
      <c r="Q3" t="s">
        <v>899</v>
      </c>
      <c r="R3" t="s">
        <v>900</v>
      </c>
      <c r="S3" t="s">
        <v>52</v>
      </c>
      <c r="T3" t="s">
        <v>52</v>
      </c>
      <c r="U3" t="s">
        <v>51</v>
      </c>
      <c r="V3" t="b">
        <v>1</v>
      </c>
      <c r="X3" t="b">
        <v>1</v>
      </c>
      <c r="Y3" t="b">
        <v>0</v>
      </c>
      <c r="Z3" t="b">
        <v>0</v>
      </c>
    </row>
    <row r="4" spans="1:26" hidden="1" x14ac:dyDescent="0.3">
      <c r="A4" s="120">
        <f>IF(COUNTIF(LEDGER[LedgerCode],FC_import[[#This Row],[LedgerCode]])&gt;0,0,1)</f>
        <v>0</v>
      </c>
      <c r="B4" s="95">
        <f>IF(COUNTIF(Table_System_Grouping_Codes[groupingCodeCode],FC_import[[#This Row],[GroupingCode]])&gt;0,0,1)</f>
        <v>0</v>
      </c>
      <c r="C4" s="85">
        <f>IF(COUNTIF(CUSTGROUP[CustomGroupingCode],FC_import[[#This Row],[CustomGrouping]])&gt;0,0,1)</f>
        <v>1</v>
      </c>
      <c r="D4" s="85" cm="1">
        <f t="array" ref="D4">IF(FC_import[[#This Row],[AvailableToAllSchools]]=TRUE,0,COUNTA(_xlfn.TEXTSPLIT(FC_import[[#This Row],[SchoolCodes]],",",,TRUE))-SUM(COUNTIF(SCHOOLS[SchoolCode],_xlfn.TEXTSPLIT(FC_import[[#This Row],[SchoolCodes]],",",,TRUE))))</f>
        <v>0</v>
      </c>
      <c r="E4" s="85">
        <f>IF(FC_import[[#This Row],[FinanceCodeTypeCode]]="BUDGET",0,COUNTIF(P:P,P4)-1)</f>
        <v>0</v>
      </c>
      <c r="F4" s="85">
        <f>IF(FC_import[[#This Row],[FinanceCodeTypeCode]]="BUDGET",0,COUNTIF(Q:Q,Q4)-1)</f>
        <v>0</v>
      </c>
      <c r="G4" s="85">
        <f>COUNTIF(Lookup!$A$2:$A$7,R4)-1</f>
        <v>0</v>
      </c>
      <c r="H4" s="80">
        <f>IF(LEN(FC_import[[#This Row],[FinanceCode]])&lt;100,0,1)</f>
        <v>0</v>
      </c>
      <c r="I4" s="80">
        <f>IF(TRIM(FC_import[[#This Row],[FinanceCode]])="",1,0)</f>
        <v>0</v>
      </c>
      <c r="J4" s="80">
        <f>IF(TRIM(FC_import[[#This Row],[Title]])="",1,0)</f>
        <v>0</v>
      </c>
      <c r="K4" s="80">
        <f>IF(LEN(FC_import[[#This Row],[Title]])&lt;100,0,1)</f>
        <v>0</v>
      </c>
      <c r="L4" s="80">
        <f>IF(ISBLANK(FC_import[[#This Row],[BalanceToScenario]]),1,0)</f>
        <v>0</v>
      </c>
      <c r="M4" s="80">
        <f>IF(EXACT(FC_import[[#This Row],[FinanceCode]],UPPER(FC_import[[#This Row],[FinanceCode]])),0,1)</f>
        <v>0</v>
      </c>
      <c r="N4" s="80">
        <f>IF(SUBSTITUTE(TEXT(FC_import[[#This Row],[FinanceCode]],10)," ","")=TEXT(FC_import[[#This Row],[FinanceCode]],10),0,1)</f>
        <v>0</v>
      </c>
      <c r="O4" s="80">
        <f>SUM(FC_import[[#This Row],[LedgerIssue]:[CustGrIssue]],FC_import[[#This Row],[DupCode]:[Space in Code]])</f>
        <v>1</v>
      </c>
      <c r="P4" t="s">
        <v>2094</v>
      </c>
      <c r="Q4" t="s">
        <v>2096</v>
      </c>
      <c r="R4" t="s">
        <v>900</v>
      </c>
      <c r="S4" t="s">
        <v>52</v>
      </c>
      <c r="T4" t="s">
        <v>52</v>
      </c>
      <c r="U4" t="s">
        <v>51</v>
      </c>
      <c r="V4" t="b">
        <v>1</v>
      </c>
      <c r="X4" t="b">
        <v>1</v>
      </c>
      <c r="Y4" t="b">
        <v>0</v>
      </c>
      <c r="Z4" t="b">
        <v>0</v>
      </c>
    </row>
    <row r="5" spans="1:26" hidden="1" x14ac:dyDescent="0.3">
      <c r="A5" s="120">
        <f>IF(COUNTIF(LEDGER[LedgerCode],FC_import[[#This Row],[LedgerCode]])&gt;0,0,1)</f>
        <v>0</v>
      </c>
      <c r="B5" s="95">
        <f>IF(COUNTIF(Table_System_Grouping_Codes[groupingCodeCode],FC_import[[#This Row],[GroupingCode]])&gt;0,0,1)</f>
        <v>0</v>
      </c>
      <c r="C5" s="85">
        <f>IF(COUNTIF(CUSTGROUP[CustomGroupingCode],FC_import[[#This Row],[CustomGrouping]])&gt;0,0,1)</f>
        <v>1</v>
      </c>
      <c r="D5" s="85" cm="1">
        <f t="array" ref="D5">IF(FC_import[[#This Row],[AvailableToAllSchools]]=TRUE,0,COUNTA(_xlfn.TEXTSPLIT(FC_import[[#This Row],[SchoolCodes]],",",,TRUE))-SUM(COUNTIF(SCHOOLS[SchoolCode],_xlfn.TEXTSPLIT(FC_import[[#This Row],[SchoolCodes]],",",,TRUE))))</f>
        <v>0</v>
      </c>
      <c r="E5" s="85">
        <f>IF(FC_import[[#This Row],[FinanceCodeTypeCode]]="BUDGET",0,COUNTIF(P:P,P5)-1)</f>
        <v>0</v>
      </c>
      <c r="F5" s="85">
        <f>IF(FC_import[[#This Row],[FinanceCodeTypeCode]]="BUDGET",0,COUNTIF(Q:Q,Q5)-1)</f>
        <v>0</v>
      </c>
      <c r="G5" s="85">
        <f>COUNTIF(Lookup!$A$2:$A$7,R5)-1</f>
        <v>0</v>
      </c>
      <c r="H5" s="80">
        <f>IF(LEN(FC_import[[#This Row],[FinanceCode]])&lt;100,0,1)</f>
        <v>0</v>
      </c>
      <c r="I5" s="80">
        <f>IF(TRIM(FC_import[[#This Row],[FinanceCode]])="",1,0)</f>
        <v>0</v>
      </c>
      <c r="J5" s="80">
        <f>IF(TRIM(FC_import[[#This Row],[Title]])="",1,0)</f>
        <v>0</v>
      </c>
      <c r="K5" s="80">
        <f>IF(LEN(FC_import[[#This Row],[Title]])&lt;100,0,1)</f>
        <v>0</v>
      </c>
      <c r="L5" s="80">
        <f>IF(ISBLANK(FC_import[[#This Row],[BalanceToScenario]]),1,0)</f>
        <v>0</v>
      </c>
      <c r="M5" s="80">
        <f>IF(EXACT(FC_import[[#This Row],[FinanceCode]],UPPER(FC_import[[#This Row],[FinanceCode]])),0,1)</f>
        <v>0</v>
      </c>
      <c r="N5" s="80">
        <f>IF(SUBSTITUTE(TEXT(FC_import[[#This Row],[FinanceCode]],10)," ","")=TEXT(FC_import[[#This Row],[FinanceCode]],10),0,1)</f>
        <v>0</v>
      </c>
      <c r="O5" s="80">
        <f>SUM(FC_import[[#This Row],[LedgerIssue]:[CustGrIssue]],FC_import[[#This Row],[DupCode]:[Space in Code]])</f>
        <v>1</v>
      </c>
      <c r="P5" t="s">
        <v>1585</v>
      </c>
      <c r="Q5" t="s">
        <v>2049</v>
      </c>
      <c r="R5" t="s">
        <v>900</v>
      </c>
      <c r="S5" t="s">
        <v>52</v>
      </c>
      <c r="T5" t="s">
        <v>52</v>
      </c>
      <c r="U5" t="s">
        <v>51</v>
      </c>
      <c r="V5" t="b">
        <v>1</v>
      </c>
      <c r="X5" t="b">
        <v>1</v>
      </c>
      <c r="Y5" t="b">
        <v>0</v>
      </c>
      <c r="Z5" t="b">
        <v>0</v>
      </c>
    </row>
    <row r="6" spans="1:26" hidden="1" x14ac:dyDescent="0.3">
      <c r="A6" s="120">
        <f>IF(COUNTIF(LEDGER[LedgerCode],FC_import[[#This Row],[LedgerCode]])&gt;0,0,1)</f>
        <v>0</v>
      </c>
      <c r="B6" s="95">
        <f>IF(COUNTIF(Table_System_Grouping_Codes[groupingCodeCode],FC_import[[#This Row],[GroupingCode]])&gt;0,0,1)</f>
        <v>0</v>
      </c>
      <c r="C6" s="85">
        <f>IF(COUNTIF(CUSTGROUP[CustomGroupingCode],FC_import[[#This Row],[CustomGrouping]])&gt;0,0,1)</f>
        <v>1</v>
      </c>
      <c r="D6" s="85" cm="1">
        <f t="array" ref="D6">IF(FC_import[[#This Row],[AvailableToAllSchools]]=TRUE,0,COUNTA(_xlfn.TEXTSPLIT(FC_import[[#This Row],[SchoolCodes]],",",,TRUE))-SUM(COUNTIF(SCHOOLS[SchoolCode],_xlfn.TEXTSPLIT(FC_import[[#This Row],[SchoolCodes]],",",,TRUE))))</f>
        <v>0</v>
      </c>
      <c r="E6" s="85">
        <f>IF(FC_import[[#This Row],[FinanceCodeTypeCode]]="BUDGET",0,COUNTIF(P:P,P6)-1)</f>
        <v>0</v>
      </c>
      <c r="F6" s="85">
        <f>IF(FC_import[[#This Row],[FinanceCodeTypeCode]]="BUDGET",0,COUNTIF(Q:Q,Q6)-1)</f>
        <v>0</v>
      </c>
      <c r="G6" s="85">
        <f>COUNTIF(Lookup!$A$2:$A$7,R6)-1</f>
        <v>0</v>
      </c>
      <c r="H6" s="80">
        <f>IF(LEN(FC_import[[#This Row],[FinanceCode]])&lt;100,0,1)</f>
        <v>0</v>
      </c>
      <c r="I6" s="80">
        <f>IF(TRIM(FC_import[[#This Row],[FinanceCode]])="",1,0)</f>
        <v>0</v>
      </c>
      <c r="J6" s="80">
        <f>IF(TRIM(FC_import[[#This Row],[Title]])="",1,0)</f>
        <v>0</v>
      </c>
      <c r="K6" s="80">
        <f>IF(LEN(FC_import[[#This Row],[Title]])&lt;100,0,1)</f>
        <v>0</v>
      </c>
      <c r="L6" s="80">
        <f>IF(ISBLANK(FC_import[[#This Row],[BalanceToScenario]]),1,0)</f>
        <v>0</v>
      </c>
      <c r="M6" s="80">
        <f>IF(EXACT(FC_import[[#This Row],[FinanceCode]],UPPER(FC_import[[#This Row],[FinanceCode]])),0,1)</f>
        <v>0</v>
      </c>
      <c r="N6" s="80">
        <f>IF(SUBSTITUTE(TEXT(FC_import[[#This Row],[FinanceCode]],10)," ","")=TEXT(FC_import[[#This Row],[FinanceCode]],10),0,1)</f>
        <v>0</v>
      </c>
      <c r="O6" s="80">
        <f>SUM(FC_import[[#This Row],[LedgerIssue]:[CustGrIssue]],FC_import[[#This Row],[DupCode]:[Space in Code]])</f>
        <v>1</v>
      </c>
      <c r="P6" t="s">
        <v>906</v>
      </c>
      <c r="Q6" t="s">
        <v>907</v>
      </c>
      <c r="R6" t="s">
        <v>900</v>
      </c>
      <c r="S6" t="s">
        <v>52</v>
      </c>
      <c r="T6" t="s">
        <v>52</v>
      </c>
      <c r="U6" t="s">
        <v>51</v>
      </c>
      <c r="V6" t="b">
        <v>1</v>
      </c>
      <c r="X6" t="b">
        <v>1</v>
      </c>
      <c r="Y6" t="b">
        <v>0</v>
      </c>
      <c r="Z6" t="b">
        <v>0</v>
      </c>
    </row>
    <row r="7" spans="1:26" hidden="1" x14ac:dyDescent="0.3">
      <c r="A7" s="120">
        <f>IF(COUNTIF(LEDGER[LedgerCode],FC_import[[#This Row],[LedgerCode]])&gt;0,0,1)</f>
        <v>0</v>
      </c>
      <c r="B7" s="95">
        <f>IF(COUNTIF(Table_System_Grouping_Codes[groupingCodeCode],FC_import[[#This Row],[GroupingCode]])&gt;0,0,1)</f>
        <v>0</v>
      </c>
      <c r="C7" s="85">
        <f>IF(COUNTIF(CUSTGROUP[CustomGroupingCode],FC_import[[#This Row],[CustomGrouping]])&gt;0,0,1)</f>
        <v>1</v>
      </c>
      <c r="D7" s="85" cm="1">
        <f t="array" ref="D7">IF(FC_import[[#This Row],[AvailableToAllSchools]]=TRUE,0,COUNTA(_xlfn.TEXTSPLIT(FC_import[[#This Row],[SchoolCodes]],",",,TRUE))-SUM(COUNTIF(SCHOOLS[SchoolCode],_xlfn.TEXTSPLIT(FC_import[[#This Row],[SchoolCodes]],",",,TRUE))))</f>
        <v>0</v>
      </c>
      <c r="E7" s="85">
        <f>IF(FC_import[[#This Row],[FinanceCodeTypeCode]]="BUDGET",0,COUNTIF(P:P,P7)-1)</f>
        <v>0</v>
      </c>
      <c r="F7" s="85">
        <f>IF(FC_import[[#This Row],[FinanceCodeTypeCode]]="BUDGET",0,COUNTIF(Q:Q,Q7)-1)</f>
        <v>0</v>
      </c>
      <c r="G7" s="85">
        <f>COUNTIF(Lookup!$A$2:$A$7,R7)-1</f>
        <v>0</v>
      </c>
      <c r="H7" s="80">
        <f>IF(LEN(FC_import[[#This Row],[FinanceCode]])&lt;100,0,1)</f>
        <v>0</v>
      </c>
      <c r="I7" s="80">
        <f>IF(TRIM(FC_import[[#This Row],[FinanceCode]])="",1,0)</f>
        <v>0</v>
      </c>
      <c r="J7" s="80">
        <f>IF(TRIM(FC_import[[#This Row],[Title]])="",1,0)</f>
        <v>0</v>
      </c>
      <c r="K7" s="80">
        <f>IF(LEN(FC_import[[#This Row],[Title]])&lt;100,0,1)</f>
        <v>0</v>
      </c>
      <c r="L7" s="80">
        <f>IF(ISBLANK(FC_import[[#This Row],[BalanceToScenario]]),1,0)</f>
        <v>0</v>
      </c>
      <c r="M7" s="80">
        <f>IF(EXACT(FC_import[[#This Row],[FinanceCode]],UPPER(FC_import[[#This Row],[FinanceCode]])),0,1)</f>
        <v>0</v>
      </c>
      <c r="N7" s="80">
        <f>IF(SUBSTITUTE(TEXT(FC_import[[#This Row],[FinanceCode]],10)," ","")=TEXT(FC_import[[#This Row],[FinanceCode]],10),0,1)</f>
        <v>0</v>
      </c>
      <c r="O7" s="80">
        <f>SUM(FC_import[[#This Row],[LedgerIssue]:[CustGrIssue]],FC_import[[#This Row],[DupCode]:[Space in Code]])</f>
        <v>1</v>
      </c>
      <c r="P7" t="s">
        <v>910</v>
      </c>
      <c r="Q7" t="s">
        <v>911</v>
      </c>
      <c r="R7" t="s">
        <v>900</v>
      </c>
      <c r="S7" t="s">
        <v>52</v>
      </c>
      <c r="T7" t="s">
        <v>52</v>
      </c>
      <c r="U7" t="s">
        <v>51</v>
      </c>
      <c r="V7" t="b">
        <v>1</v>
      </c>
      <c r="X7" t="b">
        <v>1</v>
      </c>
      <c r="Y7" t="b">
        <v>0</v>
      </c>
      <c r="Z7" t="b">
        <v>0</v>
      </c>
    </row>
    <row r="8" spans="1:26" hidden="1" x14ac:dyDescent="0.3">
      <c r="A8" s="120">
        <f>IF(COUNTIF(LEDGER[LedgerCode],FC_import[[#This Row],[LedgerCode]])&gt;0,0,1)</f>
        <v>0</v>
      </c>
      <c r="B8" s="95">
        <f>IF(COUNTIF(Table_System_Grouping_Codes[groupingCodeCode],FC_import[[#This Row],[GroupingCode]])&gt;0,0,1)</f>
        <v>0</v>
      </c>
      <c r="C8" s="85">
        <f>IF(COUNTIF(CUSTGROUP[CustomGroupingCode],FC_import[[#This Row],[CustomGrouping]])&gt;0,0,1)</f>
        <v>1</v>
      </c>
      <c r="D8" s="85" cm="1">
        <f t="array" ref="D8">IF(FC_import[[#This Row],[AvailableToAllSchools]]=TRUE,0,COUNTA(_xlfn.TEXTSPLIT(FC_import[[#This Row],[SchoolCodes]],",",,TRUE))-SUM(COUNTIF(SCHOOLS[SchoolCode],_xlfn.TEXTSPLIT(FC_import[[#This Row],[SchoolCodes]],",",,TRUE))))</f>
        <v>0</v>
      </c>
      <c r="E8" s="85">
        <f>IF(FC_import[[#This Row],[FinanceCodeTypeCode]]="BUDGET",0,COUNTIF(P:P,P8)-1)</f>
        <v>0</v>
      </c>
      <c r="F8" s="85">
        <f>IF(FC_import[[#This Row],[FinanceCodeTypeCode]]="BUDGET",0,COUNTIF(Q:Q,Q8)-1)</f>
        <v>0</v>
      </c>
      <c r="G8" s="85">
        <f>COUNTIF(Lookup!$A$2:$A$7,R8)-1</f>
        <v>0</v>
      </c>
      <c r="H8" s="80">
        <f>IF(LEN(FC_import[[#This Row],[FinanceCode]])&lt;100,0,1)</f>
        <v>0</v>
      </c>
      <c r="I8" s="80">
        <f>IF(TRIM(FC_import[[#This Row],[FinanceCode]])="",1,0)</f>
        <v>0</v>
      </c>
      <c r="J8" s="80">
        <f>IF(TRIM(FC_import[[#This Row],[Title]])="",1,0)</f>
        <v>0</v>
      </c>
      <c r="K8" s="80">
        <f>IF(LEN(FC_import[[#This Row],[Title]])&lt;100,0,1)</f>
        <v>0</v>
      </c>
      <c r="L8" s="80">
        <f>IF(ISBLANK(FC_import[[#This Row],[BalanceToScenario]]),1,0)</f>
        <v>0</v>
      </c>
      <c r="M8" s="80">
        <f>IF(EXACT(FC_import[[#This Row],[FinanceCode]],UPPER(FC_import[[#This Row],[FinanceCode]])),0,1)</f>
        <v>0</v>
      </c>
      <c r="N8" s="80">
        <f>IF(SUBSTITUTE(TEXT(FC_import[[#This Row],[FinanceCode]],10)," ","")=TEXT(FC_import[[#This Row],[FinanceCode]],10),0,1)</f>
        <v>0</v>
      </c>
      <c r="O8" s="80">
        <f>SUM(FC_import[[#This Row],[LedgerIssue]:[CustGrIssue]],FC_import[[#This Row],[DupCode]:[Space in Code]])</f>
        <v>1</v>
      </c>
      <c r="P8" t="s">
        <v>1940</v>
      </c>
      <c r="Q8" t="s">
        <v>1942</v>
      </c>
      <c r="R8" t="s">
        <v>900</v>
      </c>
      <c r="S8" t="s">
        <v>52</v>
      </c>
      <c r="T8" t="s">
        <v>52</v>
      </c>
      <c r="U8" t="s">
        <v>51</v>
      </c>
      <c r="V8" t="b">
        <v>1</v>
      </c>
      <c r="X8" t="b">
        <v>1</v>
      </c>
      <c r="Y8" t="b">
        <v>0</v>
      </c>
      <c r="Z8" t="b">
        <v>0</v>
      </c>
    </row>
    <row r="9" spans="1:26" x14ac:dyDescent="0.3">
      <c r="A9" s="120">
        <f>IF(COUNTIF(LEDGER[LedgerCode],FC_import[[#This Row],[LedgerCode]])&gt;0,0,1)</f>
        <v>0</v>
      </c>
      <c r="B9" s="95">
        <f>IF(COUNTIF(Table_System_Grouping_Codes[groupingCodeCode],FC_import[[#This Row],[GroupingCode]])&gt;0,0,1)</f>
        <v>0</v>
      </c>
      <c r="C9" s="85">
        <f>IF(COUNTIF(CUSTGROUP[CustomGroupingCode],FC_import[[#This Row],[CustomGrouping]])&gt;0,0,1)</f>
        <v>1</v>
      </c>
      <c r="D9" s="85" cm="1">
        <f t="array" ref="D9">IF(FC_import[[#This Row],[AvailableToAllSchools]]=TRUE,0,COUNTA(_xlfn.TEXTSPLIT(FC_import[[#This Row],[SchoolCodes]],",",,TRUE))-SUM(COUNTIF(SCHOOLS[SchoolCode],_xlfn.TEXTSPLIT(FC_import[[#This Row],[SchoolCodes]],",",,TRUE))))</f>
        <v>0</v>
      </c>
      <c r="E9" s="85">
        <f>IF(FC_import[[#This Row],[FinanceCodeTypeCode]]="BUDGET",0,COUNTIF(P:P,P9)-1)</f>
        <v>0</v>
      </c>
      <c r="F9" s="85">
        <f>IF(FC_import[[#This Row],[FinanceCodeTypeCode]]="BUDGET",0,COUNTIF(Q:Q,Q9)-1)</f>
        <v>0</v>
      </c>
      <c r="G9" s="85">
        <f>COUNTIF(Lookup!$A$2:$A$7,R9)-1</f>
        <v>0</v>
      </c>
      <c r="H9" s="80">
        <f>IF(LEN(FC_import[[#This Row],[FinanceCode]])&lt;100,0,1)</f>
        <v>0</v>
      </c>
      <c r="I9" s="80">
        <f>IF(TRIM(FC_import[[#This Row],[FinanceCode]])="",1,0)</f>
        <v>0</v>
      </c>
      <c r="J9" s="80">
        <f>IF(TRIM(FC_import[[#This Row],[Title]])="",1,0)</f>
        <v>0</v>
      </c>
      <c r="K9" s="80">
        <f>IF(LEN(FC_import[[#This Row],[Title]])&lt;100,0,1)</f>
        <v>0</v>
      </c>
      <c r="L9" s="80">
        <f>IF(ISBLANK(FC_import[[#This Row],[BalanceToScenario]]),1,0)</f>
        <v>0</v>
      </c>
      <c r="M9" s="80">
        <f>IF(EXACT(FC_import[[#This Row],[FinanceCode]],UPPER(FC_import[[#This Row],[FinanceCode]])),0,1)</f>
        <v>0</v>
      </c>
      <c r="N9" s="80">
        <f>IF(SUBSTITUTE(TEXT(FC_import[[#This Row],[FinanceCode]],10)," ","")=TEXT(FC_import[[#This Row],[FinanceCode]],10),0,1)</f>
        <v>0</v>
      </c>
      <c r="O9" s="80">
        <f>SUM(FC_import[[#This Row],[LedgerIssue]:[CustGrIssue]],FC_import[[#This Row],[DupCode]:[Space in Code]])</f>
        <v>1</v>
      </c>
      <c r="P9" t="s">
        <v>914</v>
      </c>
      <c r="Q9" t="s">
        <v>915</v>
      </c>
      <c r="R9" t="s">
        <v>900</v>
      </c>
      <c r="S9" t="s">
        <v>52</v>
      </c>
      <c r="T9" t="s">
        <v>52</v>
      </c>
      <c r="U9" t="s">
        <v>51</v>
      </c>
      <c r="V9" t="b">
        <v>1</v>
      </c>
      <c r="X9" t="b">
        <v>1</v>
      </c>
      <c r="Y9" t="b">
        <v>0</v>
      </c>
      <c r="Z9" t="b">
        <v>0</v>
      </c>
    </row>
    <row r="10" spans="1:26" hidden="1" x14ac:dyDescent="0.3">
      <c r="A10" s="120">
        <f>IF(COUNTIF(LEDGER[LedgerCode],FC_import[[#This Row],[LedgerCode]])&gt;0,0,1)</f>
        <v>0</v>
      </c>
      <c r="B10" s="95">
        <f>IF(COUNTIF(Table_System_Grouping_Codes[groupingCodeCode],FC_import[[#This Row],[GroupingCode]])&gt;0,0,1)</f>
        <v>0</v>
      </c>
      <c r="C10" s="85">
        <f>IF(COUNTIF(CUSTGROUP[CustomGroupingCode],FC_import[[#This Row],[CustomGrouping]])&gt;0,0,1)</f>
        <v>1</v>
      </c>
      <c r="D10" s="85" cm="1">
        <f t="array" ref="D10">IF(FC_import[[#This Row],[AvailableToAllSchools]]=TRUE,0,COUNTA(_xlfn.TEXTSPLIT(FC_import[[#This Row],[SchoolCodes]],",",,TRUE))-SUM(COUNTIF(SCHOOLS[SchoolCode],_xlfn.TEXTSPLIT(FC_import[[#This Row],[SchoolCodes]],",",,TRUE))))</f>
        <v>0</v>
      </c>
      <c r="E10" s="85">
        <f>IF(FC_import[[#This Row],[FinanceCodeTypeCode]]="BUDGET",0,COUNTIF(P:P,P10)-1)</f>
        <v>0</v>
      </c>
      <c r="F10" s="85">
        <f>IF(FC_import[[#This Row],[FinanceCodeTypeCode]]="BUDGET",0,COUNTIF(Q:Q,Q10)-1)</f>
        <v>0</v>
      </c>
      <c r="G10" s="85">
        <f>COUNTIF(Lookup!$A$2:$A$7,R10)-1</f>
        <v>0</v>
      </c>
      <c r="H10" s="80">
        <f>IF(LEN(FC_import[[#This Row],[FinanceCode]])&lt;100,0,1)</f>
        <v>0</v>
      </c>
      <c r="I10" s="80">
        <f>IF(TRIM(FC_import[[#This Row],[FinanceCode]])="",1,0)</f>
        <v>0</v>
      </c>
      <c r="J10" s="80">
        <f>IF(TRIM(FC_import[[#This Row],[Title]])="",1,0)</f>
        <v>0</v>
      </c>
      <c r="K10" s="80">
        <f>IF(LEN(FC_import[[#This Row],[Title]])&lt;100,0,1)</f>
        <v>0</v>
      </c>
      <c r="L10" s="80">
        <f>IF(ISBLANK(FC_import[[#This Row],[BalanceToScenario]]),1,0)</f>
        <v>0</v>
      </c>
      <c r="M10" s="80">
        <f>IF(EXACT(FC_import[[#This Row],[FinanceCode]],UPPER(FC_import[[#This Row],[FinanceCode]])),0,1)</f>
        <v>0</v>
      </c>
      <c r="N10" s="80">
        <f>IF(SUBSTITUTE(TEXT(FC_import[[#This Row],[FinanceCode]],10)," ","")=TEXT(FC_import[[#This Row],[FinanceCode]],10),0,1)</f>
        <v>0</v>
      </c>
      <c r="O10" s="80">
        <f>SUM(FC_import[[#This Row],[LedgerIssue]:[CustGrIssue]],FC_import[[#This Row],[DupCode]:[Space in Code]])</f>
        <v>1</v>
      </c>
      <c r="P10" t="s">
        <v>918</v>
      </c>
      <c r="Q10" t="s">
        <v>919</v>
      </c>
      <c r="R10" t="s">
        <v>900</v>
      </c>
      <c r="S10" t="s">
        <v>52</v>
      </c>
      <c r="T10" t="s">
        <v>52</v>
      </c>
      <c r="U10" t="s">
        <v>51</v>
      </c>
      <c r="V10" t="b">
        <v>1</v>
      </c>
      <c r="X10" t="b">
        <v>1</v>
      </c>
      <c r="Y10" t="b">
        <v>0</v>
      </c>
      <c r="Z10" t="b">
        <v>0</v>
      </c>
    </row>
    <row r="11" spans="1:26" x14ac:dyDescent="0.3">
      <c r="A11" s="120">
        <f>IF(COUNTIF(LEDGER[LedgerCode],FC_import[[#This Row],[LedgerCode]])&gt;0,0,1)</f>
        <v>0</v>
      </c>
      <c r="B11" s="95">
        <f>IF(COUNTIF(Table_System_Grouping_Codes[groupingCodeCode],FC_import[[#This Row],[GroupingCode]])&gt;0,0,1)</f>
        <v>0</v>
      </c>
      <c r="C11" s="85">
        <f>IF(COUNTIF(CUSTGROUP[CustomGroupingCode],FC_import[[#This Row],[CustomGrouping]])&gt;0,0,1)</f>
        <v>1</v>
      </c>
      <c r="D11" s="85" cm="1">
        <f t="array" ref="D11">IF(FC_import[[#This Row],[AvailableToAllSchools]]=TRUE,0,COUNTA(_xlfn.TEXTSPLIT(FC_import[[#This Row],[SchoolCodes]],",",,TRUE))-SUM(COUNTIF(SCHOOLS[SchoolCode],_xlfn.TEXTSPLIT(FC_import[[#This Row],[SchoolCodes]],",",,TRUE))))</f>
        <v>0</v>
      </c>
      <c r="E11" s="85">
        <f>IF(FC_import[[#This Row],[FinanceCodeTypeCode]]="BUDGET",0,COUNTIF(P:P,P11)-1)</f>
        <v>0</v>
      </c>
      <c r="F11" s="85">
        <f>IF(FC_import[[#This Row],[FinanceCodeTypeCode]]="BUDGET",0,COUNTIF(Q:Q,Q11)-1)</f>
        <v>0</v>
      </c>
      <c r="G11" s="85">
        <f>COUNTIF(Lookup!$A$2:$A$7,R11)-1</f>
        <v>0</v>
      </c>
      <c r="H11" s="80">
        <f>IF(LEN(FC_import[[#This Row],[FinanceCode]])&lt;100,0,1)</f>
        <v>0</v>
      </c>
      <c r="I11" s="80">
        <f>IF(TRIM(FC_import[[#This Row],[FinanceCode]])="",1,0)</f>
        <v>0</v>
      </c>
      <c r="J11" s="80">
        <f>IF(TRIM(FC_import[[#This Row],[Title]])="",1,0)</f>
        <v>0</v>
      </c>
      <c r="K11" s="80">
        <f>IF(LEN(FC_import[[#This Row],[Title]])&lt;100,0,1)</f>
        <v>0</v>
      </c>
      <c r="L11" s="80">
        <f>IF(ISBLANK(FC_import[[#This Row],[BalanceToScenario]]),1,0)</f>
        <v>0</v>
      </c>
      <c r="M11" s="80">
        <f>IF(EXACT(FC_import[[#This Row],[FinanceCode]],UPPER(FC_import[[#This Row],[FinanceCode]])),0,1)</f>
        <v>0</v>
      </c>
      <c r="N11" s="80">
        <f>IF(SUBSTITUTE(TEXT(FC_import[[#This Row],[FinanceCode]],10)," ","")=TEXT(FC_import[[#This Row],[FinanceCode]],10),0,1)</f>
        <v>0</v>
      </c>
      <c r="O11" s="80">
        <f>SUM(FC_import[[#This Row],[LedgerIssue]:[CustGrIssue]],FC_import[[#This Row],[DupCode]:[Space in Code]])</f>
        <v>1</v>
      </c>
      <c r="P11" t="s">
        <v>912</v>
      </c>
      <c r="Q11" t="s">
        <v>913</v>
      </c>
      <c r="R11" t="s">
        <v>900</v>
      </c>
      <c r="S11" t="s">
        <v>52</v>
      </c>
      <c r="T11" t="s">
        <v>52</v>
      </c>
      <c r="U11" t="s">
        <v>51</v>
      </c>
      <c r="V11" t="b">
        <v>1</v>
      </c>
      <c r="X11" t="b">
        <v>1</v>
      </c>
      <c r="Y11" t="b">
        <v>0</v>
      </c>
      <c r="Z11" t="b">
        <v>0</v>
      </c>
    </row>
    <row r="12" spans="1:26" x14ac:dyDescent="0.3">
      <c r="A12" s="120">
        <f>IF(COUNTIF(LEDGER[LedgerCode],FC_import[[#This Row],[LedgerCode]])&gt;0,0,1)</f>
        <v>0</v>
      </c>
      <c r="B12" s="95">
        <f>IF(COUNTIF(Table_System_Grouping_Codes[groupingCodeCode],FC_import[[#This Row],[GroupingCode]])&gt;0,0,1)</f>
        <v>0</v>
      </c>
      <c r="C12" s="85">
        <f>IF(COUNTIF(CUSTGROUP[CustomGroupingCode],FC_import[[#This Row],[CustomGrouping]])&gt;0,0,1)</f>
        <v>1</v>
      </c>
      <c r="D12" s="85" cm="1">
        <f t="array" ref="D12">IF(FC_import[[#This Row],[AvailableToAllSchools]]=TRUE,0,COUNTA(_xlfn.TEXTSPLIT(FC_import[[#This Row],[SchoolCodes]],",",,TRUE))-SUM(COUNTIF(SCHOOLS[SchoolCode],_xlfn.TEXTSPLIT(FC_import[[#This Row],[SchoolCodes]],",",,TRUE))))</f>
        <v>0</v>
      </c>
      <c r="E12" s="85">
        <f>IF(FC_import[[#This Row],[FinanceCodeTypeCode]]="BUDGET",0,COUNTIF(P:P,P12)-1)</f>
        <v>0</v>
      </c>
      <c r="F12" s="85">
        <f>IF(FC_import[[#This Row],[FinanceCodeTypeCode]]="BUDGET",0,COUNTIF(Q:Q,Q12)-1)</f>
        <v>0</v>
      </c>
      <c r="G12" s="85">
        <f>COUNTIF(Lookup!$A$2:$A$7,R12)-1</f>
        <v>0</v>
      </c>
      <c r="H12" s="80">
        <f>IF(LEN(FC_import[[#This Row],[FinanceCode]])&lt;100,0,1)</f>
        <v>0</v>
      </c>
      <c r="I12" s="80">
        <f>IF(TRIM(FC_import[[#This Row],[FinanceCode]])="",1,0)</f>
        <v>0</v>
      </c>
      <c r="J12" s="80">
        <f>IF(TRIM(FC_import[[#This Row],[Title]])="",1,0)</f>
        <v>0</v>
      </c>
      <c r="K12" s="80">
        <f>IF(LEN(FC_import[[#This Row],[Title]])&lt;100,0,1)</f>
        <v>0</v>
      </c>
      <c r="L12" s="80">
        <f>IF(ISBLANK(FC_import[[#This Row],[BalanceToScenario]]),1,0)</f>
        <v>0</v>
      </c>
      <c r="M12" s="80">
        <f>IF(EXACT(FC_import[[#This Row],[FinanceCode]],UPPER(FC_import[[#This Row],[FinanceCode]])),0,1)</f>
        <v>0</v>
      </c>
      <c r="N12" s="80">
        <f>IF(SUBSTITUTE(TEXT(FC_import[[#This Row],[FinanceCode]],10)," ","")=TEXT(FC_import[[#This Row],[FinanceCode]],10),0,1)</f>
        <v>0</v>
      </c>
      <c r="O12" s="80">
        <f>SUM(FC_import[[#This Row],[LedgerIssue]:[CustGrIssue]],FC_import[[#This Row],[DupCode]:[Space in Code]])</f>
        <v>1</v>
      </c>
      <c r="P12" t="s">
        <v>1623</v>
      </c>
      <c r="Q12" t="s">
        <v>1624</v>
      </c>
      <c r="R12" t="s">
        <v>900</v>
      </c>
      <c r="S12" t="s">
        <v>52</v>
      </c>
      <c r="T12" t="s">
        <v>52</v>
      </c>
      <c r="U12" t="s">
        <v>51</v>
      </c>
      <c r="V12" t="b">
        <v>1</v>
      </c>
      <c r="X12" t="b">
        <v>1</v>
      </c>
      <c r="Y12" t="b">
        <v>0</v>
      </c>
      <c r="Z12" t="b">
        <v>0</v>
      </c>
    </row>
    <row r="13" spans="1:26" x14ac:dyDescent="0.3">
      <c r="A13" s="120">
        <f>IF(COUNTIF(LEDGER[LedgerCode],FC_import[[#This Row],[LedgerCode]])&gt;0,0,1)</f>
        <v>0</v>
      </c>
      <c r="B13" s="95">
        <f>IF(COUNTIF(Table_System_Grouping_Codes[groupingCodeCode],FC_import[[#This Row],[GroupingCode]])&gt;0,0,1)</f>
        <v>0</v>
      </c>
      <c r="C13" s="85">
        <f>IF(COUNTIF(CUSTGROUP[CustomGroupingCode],FC_import[[#This Row],[CustomGrouping]])&gt;0,0,1)</f>
        <v>1</v>
      </c>
      <c r="D13" s="85" cm="1">
        <f t="array" ref="D13">IF(FC_import[[#This Row],[AvailableToAllSchools]]=TRUE,0,COUNTA(_xlfn.TEXTSPLIT(FC_import[[#This Row],[SchoolCodes]],",",,TRUE))-SUM(COUNTIF(SCHOOLS[SchoolCode],_xlfn.TEXTSPLIT(FC_import[[#This Row],[SchoolCodes]],",",,TRUE))))</f>
        <v>0</v>
      </c>
      <c r="E13" s="85">
        <f>IF(FC_import[[#This Row],[FinanceCodeTypeCode]]="BUDGET",0,COUNTIF(P:P,P13)-1)</f>
        <v>0</v>
      </c>
      <c r="F13" s="85">
        <f>IF(FC_import[[#This Row],[FinanceCodeTypeCode]]="BUDGET",0,COUNTIF(Q:Q,Q13)-1)</f>
        <v>0</v>
      </c>
      <c r="G13" s="85">
        <f>COUNTIF(Lookup!$A$2:$A$7,R13)-1</f>
        <v>0</v>
      </c>
      <c r="H13" s="80">
        <f>IF(LEN(FC_import[[#This Row],[FinanceCode]])&lt;100,0,1)</f>
        <v>0</v>
      </c>
      <c r="I13" s="80">
        <f>IF(TRIM(FC_import[[#This Row],[FinanceCode]])="",1,0)</f>
        <v>0</v>
      </c>
      <c r="J13" s="80">
        <f>IF(TRIM(FC_import[[#This Row],[Title]])="",1,0)</f>
        <v>0</v>
      </c>
      <c r="K13" s="80">
        <f>IF(LEN(FC_import[[#This Row],[Title]])&lt;100,0,1)</f>
        <v>0</v>
      </c>
      <c r="L13" s="80">
        <f>IF(ISBLANK(FC_import[[#This Row],[BalanceToScenario]]),1,0)</f>
        <v>0</v>
      </c>
      <c r="M13" s="80">
        <f>IF(EXACT(FC_import[[#This Row],[FinanceCode]],UPPER(FC_import[[#This Row],[FinanceCode]])),0,1)</f>
        <v>0</v>
      </c>
      <c r="N13" s="80">
        <f>IF(SUBSTITUTE(TEXT(FC_import[[#This Row],[FinanceCode]],10)," ","")=TEXT(FC_import[[#This Row],[FinanceCode]],10),0,1)</f>
        <v>0</v>
      </c>
      <c r="O13" s="80">
        <f>SUM(FC_import[[#This Row],[LedgerIssue]:[CustGrIssue]],FC_import[[#This Row],[DupCode]:[Space in Code]])</f>
        <v>1</v>
      </c>
      <c r="P13" t="s">
        <v>1558</v>
      </c>
      <c r="Q13" t="s">
        <v>1559</v>
      </c>
      <c r="R13" t="s">
        <v>900</v>
      </c>
      <c r="S13" t="s">
        <v>52</v>
      </c>
      <c r="T13" t="s">
        <v>52</v>
      </c>
      <c r="U13" t="s">
        <v>51</v>
      </c>
      <c r="V13" t="b">
        <v>1</v>
      </c>
      <c r="X13" t="b">
        <v>1</v>
      </c>
      <c r="Y13" t="b">
        <v>0</v>
      </c>
      <c r="Z13" t="b">
        <v>0</v>
      </c>
    </row>
    <row r="14" spans="1:26" x14ac:dyDescent="0.3">
      <c r="A14" s="120">
        <f>IF(COUNTIF(LEDGER[LedgerCode],FC_import[[#This Row],[LedgerCode]])&gt;0,0,1)</f>
        <v>0</v>
      </c>
      <c r="B14" s="95">
        <f>IF(COUNTIF(Table_System_Grouping_Codes[groupingCodeCode],FC_import[[#This Row],[GroupingCode]])&gt;0,0,1)</f>
        <v>0</v>
      </c>
      <c r="C14" s="85">
        <f>IF(COUNTIF(CUSTGROUP[CustomGroupingCode],FC_import[[#This Row],[CustomGrouping]])&gt;0,0,1)</f>
        <v>1</v>
      </c>
      <c r="D14" s="85" cm="1">
        <f t="array" ref="D14">IF(FC_import[[#This Row],[AvailableToAllSchools]]=TRUE,0,COUNTA(_xlfn.TEXTSPLIT(FC_import[[#This Row],[SchoolCodes]],",",,TRUE))-SUM(COUNTIF(SCHOOLS[SchoolCode],_xlfn.TEXTSPLIT(FC_import[[#This Row],[SchoolCodes]],",",,TRUE))))</f>
        <v>0</v>
      </c>
      <c r="E14" s="85">
        <f>IF(FC_import[[#This Row],[FinanceCodeTypeCode]]="BUDGET",0,COUNTIF(P:P,P14)-1)</f>
        <v>0</v>
      </c>
      <c r="F14" s="85">
        <f>IF(FC_import[[#This Row],[FinanceCodeTypeCode]]="BUDGET",0,COUNTIF(Q:Q,Q14)-1)</f>
        <v>0</v>
      </c>
      <c r="G14" s="85">
        <f>COUNTIF(Lookup!$A$2:$A$7,R14)-1</f>
        <v>0</v>
      </c>
      <c r="H14" s="80">
        <f>IF(LEN(FC_import[[#This Row],[FinanceCode]])&lt;100,0,1)</f>
        <v>0</v>
      </c>
      <c r="I14" s="80">
        <f>IF(TRIM(FC_import[[#This Row],[FinanceCode]])="",1,0)</f>
        <v>0</v>
      </c>
      <c r="J14" s="80">
        <f>IF(TRIM(FC_import[[#This Row],[Title]])="",1,0)</f>
        <v>0</v>
      </c>
      <c r="K14" s="80">
        <f>IF(LEN(FC_import[[#This Row],[Title]])&lt;100,0,1)</f>
        <v>0</v>
      </c>
      <c r="L14" s="80">
        <f>IF(ISBLANK(FC_import[[#This Row],[BalanceToScenario]]),1,0)</f>
        <v>0</v>
      </c>
      <c r="M14" s="80">
        <f>IF(EXACT(FC_import[[#This Row],[FinanceCode]],UPPER(FC_import[[#This Row],[FinanceCode]])),0,1)</f>
        <v>0</v>
      </c>
      <c r="N14" s="80">
        <f>IF(SUBSTITUTE(TEXT(FC_import[[#This Row],[FinanceCode]],10)," ","")=TEXT(FC_import[[#This Row],[FinanceCode]],10),0,1)</f>
        <v>0</v>
      </c>
      <c r="O14" s="80">
        <f>SUM(FC_import[[#This Row],[LedgerIssue]:[CustGrIssue]],FC_import[[#This Row],[DupCode]:[Space in Code]])</f>
        <v>1</v>
      </c>
      <c r="P14" t="s">
        <v>1560</v>
      </c>
      <c r="Q14" t="s">
        <v>1561</v>
      </c>
      <c r="R14" t="s">
        <v>900</v>
      </c>
      <c r="S14" t="s">
        <v>52</v>
      </c>
      <c r="T14" t="s">
        <v>52</v>
      </c>
      <c r="U14" t="s">
        <v>51</v>
      </c>
      <c r="V14" t="b">
        <v>1</v>
      </c>
      <c r="X14" t="b">
        <v>1</v>
      </c>
      <c r="Y14" t="b">
        <v>0</v>
      </c>
      <c r="Z14" t="b">
        <v>0</v>
      </c>
    </row>
    <row r="15" spans="1:26" x14ac:dyDescent="0.3">
      <c r="A15" s="120">
        <f>IF(COUNTIF(LEDGER[LedgerCode],FC_import[[#This Row],[LedgerCode]])&gt;0,0,1)</f>
        <v>0</v>
      </c>
      <c r="B15" s="95">
        <f>IF(COUNTIF(Table_System_Grouping_Codes[groupingCodeCode],FC_import[[#This Row],[GroupingCode]])&gt;0,0,1)</f>
        <v>0</v>
      </c>
      <c r="C15" s="85">
        <f>IF(COUNTIF(CUSTGROUP[CustomGroupingCode],FC_import[[#This Row],[CustomGrouping]])&gt;0,0,1)</f>
        <v>1</v>
      </c>
      <c r="D15" s="85" cm="1">
        <f t="array" ref="D15">IF(FC_import[[#This Row],[AvailableToAllSchools]]=TRUE,0,COUNTA(_xlfn.TEXTSPLIT(FC_import[[#This Row],[SchoolCodes]],",",,TRUE))-SUM(COUNTIF(SCHOOLS[SchoolCode],_xlfn.TEXTSPLIT(FC_import[[#This Row],[SchoolCodes]],",",,TRUE))))</f>
        <v>0</v>
      </c>
      <c r="E15" s="85">
        <f>IF(FC_import[[#This Row],[FinanceCodeTypeCode]]="BUDGET",0,COUNTIF(P:P,P15)-1)</f>
        <v>0</v>
      </c>
      <c r="F15" s="85">
        <f>IF(FC_import[[#This Row],[FinanceCodeTypeCode]]="BUDGET",0,COUNTIF(Q:Q,Q15)-1)</f>
        <v>0</v>
      </c>
      <c r="G15" s="85">
        <f>COUNTIF(Lookup!$A$2:$A$7,R15)-1</f>
        <v>0</v>
      </c>
      <c r="H15" s="80">
        <f>IF(LEN(FC_import[[#This Row],[FinanceCode]])&lt;100,0,1)</f>
        <v>0</v>
      </c>
      <c r="I15" s="80">
        <f>IF(TRIM(FC_import[[#This Row],[FinanceCode]])="",1,0)</f>
        <v>0</v>
      </c>
      <c r="J15" s="80">
        <f>IF(TRIM(FC_import[[#This Row],[Title]])="",1,0)</f>
        <v>0</v>
      </c>
      <c r="K15" s="80">
        <f>IF(LEN(FC_import[[#This Row],[Title]])&lt;100,0,1)</f>
        <v>0</v>
      </c>
      <c r="L15" s="80">
        <f>IF(ISBLANK(FC_import[[#This Row],[BalanceToScenario]]),1,0)</f>
        <v>0</v>
      </c>
      <c r="M15" s="80">
        <f>IF(EXACT(FC_import[[#This Row],[FinanceCode]],UPPER(FC_import[[#This Row],[FinanceCode]])),0,1)</f>
        <v>0</v>
      </c>
      <c r="N15" s="80">
        <f>IF(SUBSTITUTE(TEXT(FC_import[[#This Row],[FinanceCode]],10)," ","")=TEXT(FC_import[[#This Row],[FinanceCode]],10),0,1)</f>
        <v>0</v>
      </c>
      <c r="O15" s="80">
        <f>SUM(FC_import[[#This Row],[LedgerIssue]:[CustGrIssue]],FC_import[[#This Row],[DupCode]:[Space in Code]])</f>
        <v>1</v>
      </c>
      <c r="P15" t="s">
        <v>1578</v>
      </c>
      <c r="Q15" t="s">
        <v>1579</v>
      </c>
      <c r="R15" t="s">
        <v>900</v>
      </c>
      <c r="S15" t="s">
        <v>52</v>
      </c>
      <c r="T15" t="s">
        <v>52</v>
      </c>
      <c r="U15" t="s">
        <v>51</v>
      </c>
      <c r="V15" t="b">
        <v>1</v>
      </c>
      <c r="X15" t="b">
        <v>1</v>
      </c>
      <c r="Y15" t="b">
        <v>0</v>
      </c>
      <c r="Z15" t="b">
        <v>0</v>
      </c>
    </row>
    <row r="16" spans="1:26" hidden="1" x14ac:dyDescent="0.3">
      <c r="A16" s="120">
        <f>IF(COUNTIF(LEDGER[LedgerCode],FC_import[[#This Row],[LedgerCode]])&gt;0,0,1)</f>
        <v>0</v>
      </c>
      <c r="B16" s="95">
        <f>IF(COUNTIF(Table_System_Grouping_Codes[groupingCodeCode],FC_import[[#This Row],[GroupingCode]])&gt;0,0,1)</f>
        <v>0</v>
      </c>
      <c r="C16" s="85">
        <f>IF(COUNTIF(CUSTGROUP[CustomGroupingCode],FC_import[[#This Row],[CustomGrouping]])&gt;0,0,1)</f>
        <v>1</v>
      </c>
      <c r="D16" s="85" cm="1">
        <f t="array" ref="D16">IF(FC_import[[#This Row],[AvailableToAllSchools]]=TRUE,0,COUNTA(_xlfn.TEXTSPLIT(FC_import[[#This Row],[SchoolCodes]],",",,TRUE))-SUM(COUNTIF(SCHOOLS[SchoolCode],_xlfn.TEXTSPLIT(FC_import[[#This Row],[SchoolCodes]],",",,TRUE))))</f>
        <v>0</v>
      </c>
      <c r="E16" s="85">
        <f>IF(FC_import[[#This Row],[FinanceCodeTypeCode]]="BUDGET",0,COUNTIF(P:P,P16)-1)</f>
        <v>0</v>
      </c>
      <c r="F16" s="85">
        <f>IF(FC_import[[#This Row],[FinanceCodeTypeCode]]="BUDGET",0,COUNTIF(Q:Q,Q16)-1)</f>
        <v>0</v>
      </c>
      <c r="G16" s="85">
        <f>COUNTIF(Lookup!$A$2:$A$7,R16)-1</f>
        <v>0</v>
      </c>
      <c r="H16" s="80">
        <f>IF(LEN(FC_import[[#This Row],[FinanceCode]])&lt;100,0,1)</f>
        <v>0</v>
      </c>
      <c r="I16" s="80">
        <f>IF(TRIM(FC_import[[#This Row],[FinanceCode]])="",1,0)</f>
        <v>0</v>
      </c>
      <c r="J16" s="80">
        <f>IF(TRIM(FC_import[[#This Row],[Title]])="",1,0)</f>
        <v>0</v>
      </c>
      <c r="K16" s="80">
        <f>IF(LEN(FC_import[[#This Row],[Title]])&lt;100,0,1)</f>
        <v>0</v>
      </c>
      <c r="L16" s="80">
        <f>IF(ISBLANK(FC_import[[#This Row],[BalanceToScenario]]),1,0)</f>
        <v>0</v>
      </c>
      <c r="M16" s="80">
        <f>IF(EXACT(FC_import[[#This Row],[FinanceCode]],UPPER(FC_import[[#This Row],[FinanceCode]])),0,1)</f>
        <v>0</v>
      </c>
      <c r="N16" s="80">
        <f>IF(SUBSTITUTE(TEXT(FC_import[[#This Row],[FinanceCode]],10)," ","")=TEXT(FC_import[[#This Row],[FinanceCode]],10),0,1)</f>
        <v>0</v>
      </c>
      <c r="O16" s="80">
        <f>SUM(FC_import[[#This Row],[LedgerIssue]:[CustGrIssue]],FC_import[[#This Row],[DupCode]:[Space in Code]])</f>
        <v>1</v>
      </c>
      <c r="P16" t="s">
        <v>2084</v>
      </c>
      <c r="Q16" t="s">
        <v>2085</v>
      </c>
      <c r="R16" t="s">
        <v>922</v>
      </c>
      <c r="S16" t="s">
        <v>52</v>
      </c>
      <c r="T16" t="s">
        <v>52</v>
      </c>
      <c r="U16" t="s">
        <v>51</v>
      </c>
      <c r="V16" t="b">
        <v>1</v>
      </c>
      <c r="X16" t="b">
        <v>1</v>
      </c>
      <c r="Y16" t="b">
        <v>0</v>
      </c>
      <c r="Z16" t="b">
        <v>0</v>
      </c>
    </row>
    <row r="17" spans="1:26" hidden="1" x14ac:dyDescent="0.3">
      <c r="A17" s="120">
        <f>IF(COUNTIF(LEDGER[LedgerCode],FC_import[[#This Row],[LedgerCode]])&gt;0,0,1)</f>
        <v>0</v>
      </c>
      <c r="B17" s="95">
        <f>IF(COUNTIF(Table_System_Grouping_Codes[groupingCodeCode],FC_import[[#This Row],[GroupingCode]])&gt;0,0,1)</f>
        <v>0</v>
      </c>
      <c r="C17" s="85">
        <f>IF(COUNTIF(CUSTGROUP[CustomGroupingCode],FC_import[[#This Row],[CustomGrouping]])&gt;0,0,1)</f>
        <v>1</v>
      </c>
      <c r="D17" s="85" cm="1">
        <f t="array" ref="D17">IF(FC_import[[#This Row],[AvailableToAllSchools]]=TRUE,0,COUNTA(_xlfn.TEXTSPLIT(FC_import[[#This Row],[SchoolCodes]],",",,TRUE))-SUM(COUNTIF(SCHOOLS[SchoolCode],_xlfn.TEXTSPLIT(FC_import[[#This Row],[SchoolCodes]],",",,TRUE))))</f>
        <v>0</v>
      </c>
      <c r="E17" s="85">
        <f>IF(FC_import[[#This Row],[FinanceCodeTypeCode]]="BUDGET",0,COUNTIF(P:P,P17)-1)</f>
        <v>0</v>
      </c>
      <c r="F17" s="85">
        <f>IF(FC_import[[#This Row],[FinanceCodeTypeCode]]="BUDGET",0,COUNTIF(Q:Q,Q17)-1)</f>
        <v>0</v>
      </c>
      <c r="G17" s="85">
        <f>COUNTIF(Lookup!$A$2:$A$7,R17)-1</f>
        <v>0</v>
      </c>
      <c r="H17" s="80">
        <f>IF(LEN(FC_import[[#This Row],[FinanceCode]])&lt;100,0,1)</f>
        <v>0</v>
      </c>
      <c r="I17" s="80">
        <f>IF(TRIM(FC_import[[#This Row],[FinanceCode]])="",1,0)</f>
        <v>0</v>
      </c>
      <c r="J17" s="80">
        <f>IF(TRIM(FC_import[[#This Row],[Title]])="",1,0)</f>
        <v>0</v>
      </c>
      <c r="K17" s="80">
        <f>IF(LEN(FC_import[[#This Row],[Title]])&lt;100,0,1)</f>
        <v>0</v>
      </c>
      <c r="L17" s="80">
        <f>IF(ISBLANK(FC_import[[#This Row],[BalanceToScenario]]),1,0)</f>
        <v>0</v>
      </c>
      <c r="M17" s="80">
        <f>IF(EXACT(FC_import[[#This Row],[FinanceCode]],UPPER(FC_import[[#This Row],[FinanceCode]])),0,1)</f>
        <v>0</v>
      </c>
      <c r="N17" s="80">
        <f>IF(SUBSTITUTE(TEXT(FC_import[[#This Row],[FinanceCode]],10)," ","")=TEXT(FC_import[[#This Row],[FinanceCode]],10),0,1)</f>
        <v>0</v>
      </c>
      <c r="O17" s="80">
        <f>SUM(FC_import[[#This Row],[LedgerIssue]:[CustGrIssue]],FC_import[[#This Row],[DupCode]:[Space in Code]])</f>
        <v>1</v>
      </c>
      <c r="P17" t="s">
        <v>920</v>
      </c>
      <c r="Q17" t="s">
        <v>921</v>
      </c>
      <c r="R17" t="s">
        <v>922</v>
      </c>
      <c r="S17" t="s">
        <v>52</v>
      </c>
      <c r="T17" t="s">
        <v>52</v>
      </c>
      <c r="U17" t="s">
        <v>51</v>
      </c>
      <c r="V17" t="b">
        <v>1</v>
      </c>
      <c r="X17" t="b">
        <v>1</v>
      </c>
      <c r="Y17" t="b">
        <v>0</v>
      </c>
      <c r="Z17" t="b">
        <v>0</v>
      </c>
    </row>
    <row r="18" spans="1:26" hidden="1" x14ac:dyDescent="0.3">
      <c r="A18" s="120">
        <f>IF(COUNTIF(LEDGER[LedgerCode],FC_import[[#This Row],[LedgerCode]])&gt;0,0,1)</f>
        <v>0</v>
      </c>
      <c r="B18" s="95">
        <f>IF(COUNTIF(Table_System_Grouping_Codes[groupingCodeCode],FC_import[[#This Row],[GroupingCode]])&gt;0,0,1)</f>
        <v>0</v>
      </c>
      <c r="C18" s="85">
        <f>IF(COUNTIF(CUSTGROUP[CustomGroupingCode],FC_import[[#This Row],[CustomGrouping]])&gt;0,0,1)</f>
        <v>1</v>
      </c>
      <c r="D18" s="85" cm="1">
        <f t="array" ref="D18">IF(FC_import[[#This Row],[AvailableToAllSchools]]=TRUE,0,COUNTA(_xlfn.TEXTSPLIT(FC_import[[#This Row],[SchoolCodes]],",",,TRUE))-SUM(COUNTIF(SCHOOLS[SchoolCode],_xlfn.TEXTSPLIT(FC_import[[#This Row],[SchoolCodes]],",",,TRUE))))</f>
        <v>0</v>
      </c>
      <c r="E18" s="85">
        <f>IF(FC_import[[#This Row],[FinanceCodeTypeCode]]="BUDGET",0,COUNTIF(P:P,P18)-1)</f>
        <v>0</v>
      </c>
      <c r="F18" s="85">
        <f>IF(FC_import[[#This Row],[FinanceCodeTypeCode]]="BUDGET",0,COUNTIF(Q:Q,Q18)-1)</f>
        <v>0</v>
      </c>
      <c r="G18" s="85">
        <f>COUNTIF(Lookup!$A$2:$A$7,R18)-1</f>
        <v>0</v>
      </c>
      <c r="H18" s="80">
        <f>IF(LEN(FC_import[[#This Row],[FinanceCode]])&lt;100,0,1)</f>
        <v>0</v>
      </c>
      <c r="I18" s="80">
        <f>IF(TRIM(FC_import[[#This Row],[FinanceCode]])="",1,0)</f>
        <v>0</v>
      </c>
      <c r="J18" s="80">
        <f>IF(TRIM(FC_import[[#This Row],[Title]])="",1,0)</f>
        <v>0</v>
      </c>
      <c r="K18" s="80">
        <f>IF(LEN(FC_import[[#This Row],[Title]])&lt;100,0,1)</f>
        <v>0</v>
      </c>
      <c r="L18" s="80">
        <f>IF(ISBLANK(FC_import[[#This Row],[BalanceToScenario]]),1,0)</f>
        <v>0</v>
      </c>
      <c r="M18" s="80">
        <f>IF(EXACT(FC_import[[#This Row],[FinanceCode]],UPPER(FC_import[[#This Row],[FinanceCode]])),0,1)</f>
        <v>0</v>
      </c>
      <c r="N18" s="80">
        <f>IF(SUBSTITUTE(TEXT(FC_import[[#This Row],[FinanceCode]],10)," ","")=TEXT(FC_import[[#This Row],[FinanceCode]],10),0,1)</f>
        <v>0</v>
      </c>
      <c r="O18" s="80">
        <f>SUM(FC_import[[#This Row],[LedgerIssue]:[CustGrIssue]],FC_import[[#This Row],[DupCode]:[Space in Code]])</f>
        <v>1</v>
      </c>
      <c r="P18" t="s">
        <v>923</v>
      </c>
      <c r="Q18" t="s">
        <v>924</v>
      </c>
      <c r="R18" t="s">
        <v>922</v>
      </c>
      <c r="S18" t="s">
        <v>52</v>
      </c>
      <c r="T18" t="s">
        <v>52</v>
      </c>
      <c r="U18" t="s">
        <v>51</v>
      </c>
      <c r="V18" t="b">
        <v>1</v>
      </c>
      <c r="X18" t="b">
        <v>1</v>
      </c>
      <c r="Y18" t="b">
        <v>0</v>
      </c>
      <c r="Z18" t="b">
        <v>0</v>
      </c>
    </row>
    <row r="19" spans="1:26" hidden="1" x14ac:dyDescent="0.3">
      <c r="A19" s="120">
        <f>IF(COUNTIF(LEDGER[LedgerCode],FC_import[[#This Row],[LedgerCode]])&gt;0,0,1)</f>
        <v>0</v>
      </c>
      <c r="B19" s="95">
        <f>IF(COUNTIF(Table_System_Grouping_Codes[groupingCodeCode],FC_import[[#This Row],[GroupingCode]])&gt;0,0,1)</f>
        <v>0</v>
      </c>
      <c r="C19" s="85">
        <f>IF(COUNTIF(CUSTGROUP[CustomGroupingCode],FC_import[[#This Row],[CustomGrouping]])&gt;0,0,1)</f>
        <v>1</v>
      </c>
      <c r="D19" s="85" cm="1">
        <f t="array" ref="D19">IF(FC_import[[#This Row],[AvailableToAllSchools]]=TRUE,0,COUNTA(_xlfn.TEXTSPLIT(FC_import[[#This Row],[SchoolCodes]],",",,TRUE))-SUM(COUNTIF(SCHOOLS[SchoolCode],_xlfn.TEXTSPLIT(FC_import[[#This Row],[SchoolCodes]],",",,TRUE))))</f>
        <v>0</v>
      </c>
      <c r="E19" s="85">
        <f>IF(FC_import[[#This Row],[FinanceCodeTypeCode]]="BUDGET",0,COUNTIF(P:P,P19)-1)</f>
        <v>0</v>
      </c>
      <c r="F19" s="85">
        <f>IF(FC_import[[#This Row],[FinanceCodeTypeCode]]="BUDGET",0,COUNTIF(Q:Q,Q19)-1)</f>
        <v>0</v>
      </c>
      <c r="G19" s="85">
        <f>COUNTIF(Lookup!$A$2:$A$7,R19)-1</f>
        <v>0</v>
      </c>
      <c r="H19" s="80">
        <f>IF(LEN(FC_import[[#This Row],[FinanceCode]])&lt;100,0,1)</f>
        <v>0</v>
      </c>
      <c r="I19" s="80">
        <f>IF(TRIM(FC_import[[#This Row],[FinanceCode]])="",1,0)</f>
        <v>0</v>
      </c>
      <c r="J19" s="80">
        <f>IF(TRIM(FC_import[[#This Row],[Title]])="",1,0)</f>
        <v>0</v>
      </c>
      <c r="K19" s="80">
        <f>IF(LEN(FC_import[[#This Row],[Title]])&lt;100,0,1)</f>
        <v>0</v>
      </c>
      <c r="L19" s="80">
        <f>IF(ISBLANK(FC_import[[#This Row],[BalanceToScenario]]),1,0)</f>
        <v>0</v>
      </c>
      <c r="M19" s="80">
        <f>IF(EXACT(FC_import[[#This Row],[FinanceCode]],UPPER(FC_import[[#This Row],[FinanceCode]])),0,1)</f>
        <v>0</v>
      </c>
      <c r="N19" s="80">
        <f>IF(SUBSTITUTE(TEXT(FC_import[[#This Row],[FinanceCode]],10)," ","")=TEXT(FC_import[[#This Row],[FinanceCode]],10),0,1)</f>
        <v>0</v>
      </c>
      <c r="O19" s="80">
        <f>SUM(FC_import[[#This Row],[LedgerIssue]:[CustGrIssue]],FC_import[[#This Row],[DupCode]:[Space in Code]])</f>
        <v>1</v>
      </c>
      <c r="P19" t="s">
        <v>925</v>
      </c>
      <c r="Q19" t="s">
        <v>926</v>
      </c>
      <c r="R19" t="s">
        <v>922</v>
      </c>
      <c r="S19" t="s">
        <v>52</v>
      </c>
      <c r="T19" t="s">
        <v>52</v>
      </c>
      <c r="U19" t="s">
        <v>51</v>
      </c>
      <c r="V19" t="b">
        <v>1</v>
      </c>
      <c r="X19" t="b">
        <v>1</v>
      </c>
      <c r="Y19" t="b">
        <v>0</v>
      </c>
      <c r="Z19" t="b">
        <v>0</v>
      </c>
    </row>
    <row r="20" spans="1:26" hidden="1" x14ac:dyDescent="0.3">
      <c r="A20" s="120">
        <f>IF(COUNTIF(LEDGER[LedgerCode],FC_import[[#This Row],[LedgerCode]])&gt;0,0,1)</f>
        <v>0</v>
      </c>
      <c r="B20" s="95">
        <f>IF(COUNTIF(Table_System_Grouping_Codes[groupingCodeCode],FC_import[[#This Row],[GroupingCode]])&gt;0,0,1)</f>
        <v>0</v>
      </c>
      <c r="C20" s="85">
        <f>IF(COUNTIF(CUSTGROUP[CustomGroupingCode],FC_import[[#This Row],[CustomGrouping]])&gt;0,0,1)</f>
        <v>1</v>
      </c>
      <c r="D20" s="85" cm="1">
        <f t="array" ref="D20">IF(FC_import[[#This Row],[AvailableToAllSchools]]=TRUE,0,COUNTA(_xlfn.TEXTSPLIT(FC_import[[#This Row],[SchoolCodes]],",",,TRUE))-SUM(COUNTIF(SCHOOLS[SchoolCode],_xlfn.TEXTSPLIT(FC_import[[#This Row],[SchoolCodes]],",",,TRUE))))</f>
        <v>0</v>
      </c>
      <c r="E20" s="85">
        <f>IF(FC_import[[#This Row],[FinanceCodeTypeCode]]="BUDGET",0,COUNTIF(P:P,P20)-1)</f>
        <v>0</v>
      </c>
      <c r="F20" s="85">
        <f>IF(FC_import[[#This Row],[FinanceCodeTypeCode]]="BUDGET",0,COUNTIF(Q:Q,Q20)-1)</f>
        <v>0</v>
      </c>
      <c r="G20" s="85">
        <f>COUNTIF(Lookup!$A$2:$A$7,R20)-1</f>
        <v>0</v>
      </c>
      <c r="H20" s="80">
        <f>IF(LEN(FC_import[[#This Row],[FinanceCode]])&lt;100,0,1)</f>
        <v>0</v>
      </c>
      <c r="I20" s="80">
        <f>IF(TRIM(FC_import[[#This Row],[FinanceCode]])="",1,0)</f>
        <v>0</v>
      </c>
      <c r="J20" s="80">
        <f>IF(TRIM(FC_import[[#This Row],[Title]])="",1,0)</f>
        <v>0</v>
      </c>
      <c r="K20" s="80">
        <f>IF(LEN(FC_import[[#This Row],[Title]])&lt;100,0,1)</f>
        <v>0</v>
      </c>
      <c r="L20" s="80">
        <f>IF(ISBLANK(FC_import[[#This Row],[BalanceToScenario]]),1,0)</f>
        <v>0</v>
      </c>
      <c r="M20" s="80">
        <f>IF(EXACT(FC_import[[#This Row],[FinanceCode]],UPPER(FC_import[[#This Row],[FinanceCode]])),0,1)</f>
        <v>0</v>
      </c>
      <c r="N20" s="80">
        <f>IF(SUBSTITUTE(TEXT(FC_import[[#This Row],[FinanceCode]],10)," ","")=TEXT(FC_import[[#This Row],[FinanceCode]],10),0,1)</f>
        <v>0</v>
      </c>
      <c r="O20" s="80">
        <f>SUM(FC_import[[#This Row],[LedgerIssue]:[CustGrIssue]],FC_import[[#This Row],[DupCode]:[Space in Code]])</f>
        <v>1</v>
      </c>
      <c r="P20" t="s">
        <v>939</v>
      </c>
      <c r="Q20" t="s">
        <v>940</v>
      </c>
      <c r="R20" t="s">
        <v>922</v>
      </c>
      <c r="S20" t="s">
        <v>52</v>
      </c>
      <c r="T20" t="s">
        <v>52</v>
      </c>
      <c r="U20" t="s">
        <v>51</v>
      </c>
      <c r="V20" t="b">
        <v>1</v>
      </c>
      <c r="X20" t="b">
        <v>1</v>
      </c>
      <c r="Y20" t="b">
        <v>0</v>
      </c>
      <c r="Z20" t="b">
        <v>0</v>
      </c>
    </row>
    <row r="21" spans="1:26" hidden="1" x14ac:dyDescent="0.3">
      <c r="A21" s="120">
        <f>IF(COUNTIF(LEDGER[LedgerCode],FC_import[[#This Row],[LedgerCode]])&gt;0,0,1)</f>
        <v>0</v>
      </c>
      <c r="B21" s="95">
        <f>IF(COUNTIF(Table_System_Grouping_Codes[groupingCodeCode],FC_import[[#This Row],[GroupingCode]])&gt;0,0,1)</f>
        <v>0</v>
      </c>
      <c r="C21" s="85">
        <f>IF(COUNTIF(CUSTGROUP[CustomGroupingCode],FC_import[[#This Row],[CustomGrouping]])&gt;0,0,1)</f>
        <v>1</v>
      </c>
      <c r="D21" s="85" cm="1">
        <f t="array" ref="D21">IF(FC_import[[#This Row],[AvailableToAllSchools]]=TRUE,0,COUNTA(_xlfn.TEXTSPLIT(FC_import[[#This Row],[SchoolCodes]],",",,TRUE))-SUM(COUNTIF(SCHOOLS[SchoolCode],_xlfn.TEXTSPLIT(FC_import[[#This Row],[SchoolCodes]],",",,TRUE))))</f>
        <v>0</v>
      </c>
      <c r="E21" s="85">
        <f>IF(FC_import[[#This Row],[FinanceCodeTypeCode]]="BUDGET",0,COUNTIF(P:P,P21)-1)</f>
        <v>0</v>
      </c>
      <c r="F21" s="85">
        <f>IF(FC_import[[#This Row],[FinanceCodeTypeCode]]="BUDGET",0,COUNTIF(Q:Q,Q21)-1)</f>
        <v>0</v>
      </c>
      <c r="G21" s="85">
        <f>COUNTIF(Lookup!$A$2:$A$7,R21)-1</f>
        <v>0</v>
      </c>
      <c r="H21" s="80">
        <f>IF(LEN(FC_import[[#This Row],[FinanceCode]])&lt;100,0,1)</f>
        <v>0</v>
      </c>
      <c r="I21" s="80">
        <f>IF(TRIM(FC_import[[#This Row],[FinanceCode]])="",1,0)</f>
        <v>0</v>
      </c>
      <c r="J21" s="80">
        <f>IF(TRIM(FC_import[[#This Row],[Title]])="",1,0)</f>
        <v>0</v>
      </c>
      <c r="K21" s="80">
        <f>IF(LEN(FC_import[[#This Row],[Title]])&lt;100,0,1)</f>
        <v>0</v>
      </c>
      <c r="L21" s="80">
        <f>IF(ISBLANK(FC_import[[#This Row],[BalanceToScenario]]),1,0)</f>
        <v>0</v>
      </c>
      <c r="M21" s="80">
        <f>IF(EXACT(FC_import[[#This Row],[FinanceCode]],UPPER(FC_import[[#This Row],[FinanceCode]])),0,1)</f>
        <v>0</v>
      </c>
      <c r="N21" s="80">
        <f>IF(SUBSTITUTE(TEXT(FC_import[[#This Row],[FinanceCode]],10)," ","")=TEXT(FC_import[[#This Row],[FinanceCode]],10),0,1)</f>
        <v>0</v>
      </c>
      <c r="O21" s="80">
        <f>SUM(FC_import[[#This Row],[LedgerIssue]:[CustGrIssue]],FC_import[[#This Row],[DupCode]:[Space in Code]])</f>
        <v>1</v>
      </c>
      <c r="P21" t="s">
        <v>935</v>
      </c>
      <c r="Q21" t="s">
        <v>936</v>
      </c>
      <c r="R21" t="s">
        <v>922</v>
      </c>
      <c r="S21" t="s">
        <v>52</v>
      </c>
      <c r="T21" t="s">
        <v>52</v>
      </c>
      <c r="U21" t="s">
        <v>51</v>
      </c>
      <c r="V21" t="b">
        <v>1</v>
      </c>
      <c r="X21" t="b">
        <v>1</v>
      </c>
      <c r="Y21" t="b">
        <v>0</v>
      </c>
      <c r="Z21" t="b">
        <v>0</v>
      </c>
    </row>
    <row r="22" spans="1:26" hidden="1" x14ac:dyDescent="0.3">
      <c r="A22" s="120">
        <f>IF(COUNTIF(LEDGER[LedgerCode],FC_import[[#This Row],[LedgerCode]])&gt;0,0,1)</f>
        <v>0</v>
      </c>
      <c r="B22" s="95">
        <f>IF(COUNTIF(Table_System_Grouping_Codes[groupingCodeCode],FC_import[[#This Row],[GroupingCode]])&gt;0,0,1)</f>
        <v>0</v>
      </c>
      <c r="C22" s="85">
        <f>IF(COUNTIF(CUSTGROUP[CustomGroupingCode],FC_import[[#This Row],[CustomGrouping]])&gt;0,0,1)</f>
        <v>1</v>
      </c>
      <c r="D22" s="85" cm="1">
        <f t="array" ref="D22">IF(FC_import[[#This Row],[AvailableToAllSchools]]=TRUE,0,COUNTA(_xlfn.TEXTSPLIT(FC_import[[#This Row],[SchoolCodes]],",",,TRUE))-SUM(COUNTIF(SCHOOLS[SchoolCode],_xlfn.TEXTSPLIT(FC_import[[#This Row],[SchoolCodes]],",",,TRUE))))</f>
        <v>0</v>
      </c>
      <c r="E22" s="85">
        <f>IF(FC_import[[#This Row],[FinanceCodeTypeCode]]="BUDGET",0,COUNTIF(P:P,P22)-1)</f>
        <v>0</v>
      </c>
      <c r="F22" s="85">
        <f>IF(FC_import[[#This Row],[FinanceCodeTypeCode]]="BUDGET",0,COUNTIF(Q:Q,Q22)-1)</f>
        <v>0</v>
      </c>
      <c r="G22" s="85">
        <f>COUNTIF(Lookup!$A$2:$A$7,R22)-1</f>
        <v>0</v>
      </c>
      <c r="H22" s="80">
        <f>IF(LEN(FC_import[[#This Row],[FinanceCode]])&lt;100,0,1)</f>
        <v>0</v>
      </c>
      <c r="I22" s="80">
        <f>IF(TRIM(FC_import[[#This Row],[FinanceCode]])="",1,0)</f>
        <v>0</v>
      </c>
      <c r="J22" s="80">
        <f>IF(TRIM(FC_import[[#This Row],[Title]])="",1,0)</f>
        <v>0</v>
      </c>
      <c r="K22" s="80">
        <f>IF(LEN(FC_import[[#This Row],[Title]])&lt;100,0,1)</f>
        <v>0</v>
      </c>
      <c r="L22" s="80">
        <f>IF(ISBLANK(FC_import[[#This Row],[BalanceToScenario]]),1,0)</f>
        <v>0</v>
      </c>
      <c r="M22" s="80">
        <f>IF(EXACT(FC_import[[#This Row],[FinanceCode]],UPPER(FC_import[[#This Row],[FinanceCode]])),0,1)</f>
        <v>0</v>
      </c>
      <c r="N22" s="80">
        <f>IF(SUBSTITUTE(TEXT(FC_import[[#This Row],[FinanceCode]],10)," ","")=TEXT(FC_import[[#This Row],[FinanceCode]],10),0,1)</f>
        <v>0</v>
      </c>
      <c r="O22" s="80">
        <f>SUM(FC_import[[#This Row],[LedgerIssue]:[CustGrIssue]],FC_import[[#This Row],[DupCode]:[Space in Code]])</f>
        <v>1</v>
      </c>
      <c r="P22" t="s">
        <v>1563</v>
      </c>
      <c r="Q22" t="s">
        <v>1564</v>
      </c>
      <c r="R22" t="s">
        <v>922</v>
      </c>
      <c r="S22" t="s">
        <v>52</v>
      </c>
      <c r="T22" t="s">
        <v>52</v>
      </c>
      <c r="U22" t="s">
        <v>51</v>
      </c>
      <c r="V22" t="b">
        <v>1</v>
      </c>
      <c r="X22" t="b">
        <v>1</v>
      </c>
      <c r="Y22" t="b">
        <v>0</v>
      </c>
      <c r="Z22" t="b">
        <v>0</v>
      </c>
    </row>
    <row r="23" spans="1:26" hidden="1" x14ac:dyDescent="0.3">
      <c r="A23" s="120">
        <f>IF(COUNTIF(LEDGER[LedgerCode],FC_import[[#This Row],[LedgerCode]])&gt;0,0,1)</f>
        <v>0</v>
      </c>
      <c r="B23" s="95">
        <f>IF(COUNTIF(Table_System_Grouping_Codes[groupingCodeCode],FC_import[[#This Row],[GroupingCode]])&gt;0,0,1)</f>
        <v>0</v>
      </c>
      <c r="C23" s="85">
        <f>IF(COUNTIF(CUSTGROUP[CustomGroupingCode],FC_import[[#This Row],[CustomGrouping]])&gt;0,0,1)</f>
        <v>1</v>
      </c>
      <c r="D23" s="85" cm="1">
        <f t="array" ref="D23">IF(FC_import[[#This Row],[AvailableToAllSchools]]=TRUE,0,COUNTA(_xlfn.TEXTSPLIT(FC_import[[#This Row],[SchoolCodes]],",",,TRUE))-SUM(COUNTIF(SCHOOLS[SchoolCode],_xlfn.TEXTSPLIT(FC_import[[#This Row],[SchoolCodes]],",",,TRUE))))</f>
        <v>0</v>
      </c>
      <c r="E23" s="85">
        <f>IF(FC_import[[#This Row],[FinanceCodeTypeCode]]="BUDGET",0,COUNTIF(P:P,P23)-1)</f>
        <v>0</v>
      </c>
      <c r="F23" s="85">
        <f>IF(FC_import[[#This Row],[FinanceCodeTypeCode]]="BUDGET",0,COUNTIF(Q:Q,Q23)-1)</f>
        <v>0</v>
      </c>
      <c r="G23" s="85">
        <f>COUNTIF(Lookup!$A$2:$A$7,R23)-1</f>
        <v>0</v>
      </c>
      <c r="H23" s="80">
        <f>IF(LEN(FC_import[[#This Row],[FinanceCode]])&lt;100,0,1)</f>
        <v>0</v>
      </c>
      <c r="I23" s="80">
        <f>IF(TRIM(FC_import[[#This Row],[FinanceCode]])="",1,0)</f>
        <v>0</v>
      </c>
      <c r="J23" s="80">
        <f>IF(TRIM(FC_import[[#This Row],[Title]])="",1,0)</f>
        <v>0</v>
      </c>
      <c r="K23" s="80">
        <f>IF(LEN(FC_import[[#This Row],[Title]])&lt;100,0,1)</f>
        <v>0</v>
      </c>
      <c r="L23" s="80">
        <f>IF(ISBLANK(FC_import[[#This Row],[BalanceToScenario]]),1,0)</f>
        <v>0</v>
      </c>
      <c r="M23" s="80">
        <f>IF(EXACT(FC_import[[#This Row],[FinanceCode]],UPPER(FC_import[[#This Row],[FinanceCode]])),0,1)</f>
        <v>0</v>
      </c>
      <c r="N23" s="80">
        <f>IF(SUBSTITUTE(TEXT(FC_import[[#This Row],[FinanceCode]],10)," ","")=TEXT(FC_import[[#This Row],[FinanceCode]],10),0,1)</f>
        <v>0</v>
      </c>
      <c r="O23" s="80">
        <f>SUM(FC_import[[#This Row],[LedgerIssue]:[CustGrIssue]],FC_import[[#This Row],[DupCode]:[Space in Code]])</f>
        <v>1</v>
      </c>
      <c r="P23" t="s">
        <v>1503</v>
      </c>
      <c r="Q23" t="s">
        <v>1507</v>
      </c>
      <c r="R23" t="s">
        <v>922</v>
      </c>
      <c r="S23" t="s">
        <v>52</v>
      </c>
      <c r="T23" t="s">
        <v>52</v>
      </c>
      <c r="U23" t="s">
        <v>51</v>
      </c>
      <c r="V23" t="b">
        <v>1</v>
      </c>
      <c r="X23" t="b">
        <v>1</v>
      </c>
      <c r="Y23" t="b">
        <v>0</v>
      </c>
      <c r="Z23" t="b">
        <v>0</v>
      </c>
    </row>
    <row r="24" spans="1:26" hidden="1" x14ac:dyDescent="0.3">
      <c r="A24" s="120">
        <f>IF(COUNTIF(LEDGER[LedgerCode],FC_import[[#This Row],[LedgerCode]])&gt;0,0,1)</f>
        <v>0</v>
      </c>
      <c r="B24" s="95">
        <f>IF(COUNTIF(Table_System_Grouping_Codes[groupingCodeCode],FC_import[[#This Row],[GroupingCode]])&gt;0,0,1)</f>
        <v>0</v>
      </c>
      <c r="C24" s="85">
        <f>IF(COUNTIF(CUSTGROUP[CustomGroupingCode],FC_import[[#This Row],[CustomGrouping]])&gt;0,0,1)</f>
        <v>1</v>
      </c>
      <c r="D24" s="85" cm="1">
        <f t="array" ref="D24">IF(FC_import[[#This Row],[AvailableToAllSchools]]=TRUE,0,COUNTA(_xlfn.TEXTSPLIT(FC_import[[#This Row],[SchoolCodes]],",",,TRUE))-SUM(COUNTIF(SCHOOLS[SchoolCode],_xlfn.TEXTSPLIT(FC_import[[#This Row],[SchoolCodes]],",",,TRUE))))</f>
        <v>0</v>
      </c>
      <c r="E24" s="85">
        <f>IF(FC_import[[#This Row],[FinanceCodeTypeCode]]="BUDGET",0,COUNTIF(P:P,P24)-1)</f>
        <v>0</v>
      </c>
      <c r="F24" s="85">
        <f>IF(FC_import[[#This Row],[FinanceCodeTypeCode]]="BUDGET",0,COUNTIF(Q:Q,Q24)-1)</f>
        <v>0</v>
      </c>
      <c r="G24" s="85">
        <f>COUNTIF(Lookup!$A$2:$A$7,R24)-1</f>
        <v>0</v>
      </c>
      <c r="H24" s="80">
        <f>IF(LEN(FC_import[[#This Row],[FinanceCode]])&lt;100,0,1)</f>
        <v>0</v>
      </c>
      <c r="I24" s="80">
        <f>IF(TRIM(FC_import[[#This Row],[FinanceCode]])="",1,0)</f>
        <v>0</v>
      </c>
      <c r="J24" s="80">
        <f>IF(TRIM(FC_import[[#This Row],[Title]])="",1,0)</f>
        <v>0</v>
      </c>
      <c r="K24" s="80">
        <f>IF(LEN(FC_import[[#This Row],[Title]])&lt;100,0,1)</f>
        <v>0</v>
      </c>
      <c r="L24" s="80">
        <f>IF(ISBLANK(FC_import[[#This Row],[BalanceToScenario]]),1,0)</f>
        <v>0</v>
      </c>
      <c r="M24" s="80">
        <f>IF(EXACT(FC_import[[#This Row],[FinanceCode]],UPPER(FC_import[[#This Row],[FinanceCode]])),0,1)</f>
        <v>0</v>
      </c>
      <c r="N24" s="80">
        <f>IF(SUBSTITUTE(TEXT(FC_import[[#This Row],[FinanceCode]],10)," ","")=TEXT(FC_import[[#This Row],[FinanceCode]],10),0,1)</f>
        <v>0</v>
      </c>
      <c r="O24" s="80">
        <f>SUM(FC_import[[#This Row],[LedgerIssue]:[CustGrIssue]],FC_import[[#This Row],[DupCode]:[Space in Code]])</f>
        <v>1</v>
      </c>
      <c r="P24" t="s">
        <v>1941</v>
      </c>
      <c r="Q24" t="s">
        <v>1943</v>
      </c>
      <c r="R24" t="s">
        <v>922</v>
      </c>
      <c r="S24" t="s">
        <v>854</v>
      </c>
      <c r="T24" t="s">
        <v>52</v>
      </c>
      <c r="U24" t="s">
        <v>51</v>
      </c>
      <c r="V24" t="b">
        <v>1</v>
      </c>
      <c r="X24" t="b">
        <v>1</v>
      </c>
      <c r="Y24" t="b">
        <v>0</v>
      </c>
      <c r="Z24" t="b">
        <v>0</v>
      </c>
    </row>
    <row r="25" spans="1:26" hidden="1" x14ac:dyDescent="0.3">
      <c r="A25" s="120">
        <f>IF(COUNTIF(LEDGER[LedgerCode],FC_import[[#This Row],[LedgerCode]])&gt;0,0,1)</f>
        <v>0</v>
      </c>
      <c r="B25" s="95">
        <f>IF(COUNTIF(Table_System_Grouping_Codes[groupingCodeCode],FC_import[[#This Row],[GroupingCode]])&gt;0,0,1)</f>
        <v>0</v>
      </c>
      <c r="C25" s="85">
        <f>IF(COUNTIF(CUSTGROUP[CustomGroupingCode],FC_import[[#This Row],[CustomGrouping]])&gt;0,0,1)</f>
        <v>1</v>
      </c>
      <c r="D25" s="85" cm="1">
        <f t="array" ref="D25">IF(FC_import[[#This Row],[AvailableToAllSchools]]=TRUE,0,COUNTA(_xlfn.TEXTSPLIT(FC_import[[#This Row],[SchoolCodes]],",",,TRUE))-SUM(COUNTIF(SCHOOLS[SchoolCode],_xlfn.TEXTSPLIT(FC_import[[#This Row],[SchoolCodes]],",",,TRUE))))</f>
        <v>0</v>
      </c>
      <c r="E25" s="85">
        <f>IF(FC_import[[#This Row],[FinanceCodeTypeCode]]="BUDGET",0,COUNTIF(P:P,P25)-1)</f>
        <v>0</v>
      </c>
      <c r="F25" s="85">
        <f>IF(FC_import[[#This Row],[FinanceCodeTypeCode]]="BUDGET",0,COUNTIF(Q:Q,Q25)-1)</f>
        <v>0</v>
      </c>
      <c r="G25" s="85">
        <f>COUNTIF(Lookup!$A$2:$A$7,R25)-1</f>
        <v>0</v>
      </c>
      <c r="H25" s="80">
        <f>IF(LEN(FC_import[[#This Row],[FinanceCode]])&lt;100,0,1)</f>
        <v>0</v>
      </c>
      <c r="I25" s="80">
        <f>IF(TRIM(FC_import[[#This Row],[FinanceCode]])="",1,0)</f>
        <v>0</v>
      </c>
      <c r="J25" s="80">
        <f>IF(TRIM(FC_import[[#This Row],[Title]])="",1,0)</f>
        <v>0</v>
      </c>
      <c r="K25" s="80">
        <f>IF(LEN(FC_import[[#This Row],[Title]])&lt;100,0,1)</f>
        <v>0</v>
      </c>
      <c r="L25" s="80">
        <f>IF(ISBLANK(FC_import[[#This Row],[BalanceToScenario]]),1,0)</f>
        <v>0</v>
      </c>
      <c r="M25" s="80">
        <f>IF(EXACT(FC_import[[#This Row],[FinanceCode]],UPPER(FC_import[[#This Row],[FinanceCode]])),0,1)</f>
        <v>0</v>
      </c>
      <c r="N25" s="80">
        <f>IF(SUBSTITUTE(TEXT(FC_import[[#This Row],[FinanceCode]],10)," ","")=TEXT(FC_import[[#This Row],[FinanceCode]],10),0,1)</f>
        <v>0</v>
      </c>
      <c r="O25" s="80">
        <f>SUM(FC_import[[#This Row],[LedgerIssue]:[CustGrIssue]],FC_import[[#This Row],[DupCode]:[Space in Code]])</f>
        <v>1</v>
      </c>
      <c r="P25" t="s">
        <v>975</v>
      </c>
      <c r="Q25" t="s">
        <v>976</v>
      </c>
      <c r="R25" t="s">
        <v>922</v>
      </c>
      <c r="S25" t="s">
        <v>854</v>
      </c>
      <c r="T25" t="s">
        <v>52</v>
      </c>
      <c r="U25" t="s">
        <v>51</v>
      </c>
      <c r="V25" t="b">
        <v>1</v>
      </c>
      <c r="X25" t="b">
        <v>1</v>
      </c>
      <c r="Y25" t="b">
        <v>0</v>
      </c>
      <c r="Z25" t="b">
        <v>0</v>
      </c>
    </row>
    <row r="26" spans="1:26" hidden="1" x14ac:dyDescent="0.3">
      <c r="A26" s="120">
        <f>IF(COUNTIF(LEDGER[LedgerCode],FC_import[[#This Row],[LedgerCode]])&gt;0,0,1)</f>
        <v>0</v>
      </c>
      <c r="B26" s="95">
        <f>IF(COUNTIF(Table_System_Grouping_Codes[groupingCodeCode],FC_import[[#This Row],[GroupingCode]])&gt;0,0,1)</f>
        <v>0</v>
      </c>
      <c r="C26" s="85">
        <f>IF(COUNTIF(CUSTGROUP[CustomGroupingCode],FC_import[[#This Row],[CustomGrouping]])&gt;0,0,1)</f>
        <v>1</v>
      </c>
      <c r="D26" s="85" cm="1">
        <f t="array" ref="D26">IF(FC_import[[#This Row],[AvailableToAllSchools]]=TRUE,0,COUNTA(_xlfn.TEXTSPLIT(FC_import[[#This Row],[SchoolCodes]],",",,TRUE))-SUM(COUNTIF(SCHOOLS[SchoolCode],_xlfn.TEXTSPLIT(FC_import[[#This Row],[SchoolCodes]],",",,TRUE))))</f>
        <v>0</v>
      </c>
      <c r="E26" s="85">
        <f>IF(FC_import[[#This Row],[FinanceCodeTypeCode]]="BUDGET",0,COUNTIF(P:P,P26)-1)</f>
        <v>0</v>
      </c>
      <c r="F26" s="85">
        <f>IF(FC_import[[#This Row],[FinanceCodeTypeCode]]="BUDGET",0,COUNTIF(Q:Q,Q26)-1)</f>
        <v>0</v>
      </c>
      <c r="G26" s="85">
        <f>COUNTIF(Lookup!$A$2:$A$7,R26)-1</f>
        <v>0</v>
      </c>
      <c r="H26" s="80">
        <f>IF(LEN(FC_import[[#This Row],[FinanceCode]])&lt;100,0,1)</f>
        <v>0</v>
      </c>
      <c r="I26" s="80">
        <f>IF(TRIM(FC_import[[#This Row],[FinanceCode]])="",1,0)</f>
        <v>0</v>
      </c>
      <c r="J26" s="80">
        <f>IF(TRIM(FC_import[[#This Row],[Title]])="",1,0)</f>
        <v>0</v>
      </c>
      <c r="K26" s="80">
        <f>IF(LEN(FC_import[[#This Row],[Title]])&lt;100,0,1)</f>
        <v>0</v>
      </c>
      <c r="L26" s="80">
        <f>IF(ISBLANK(FC_import[[#This Row],[BalanceToScenario]]),1,0)</f>
        <v>0</v>
      </c>
      <c r="M26" s="80">
        <f>IF(EXACT(FC_import[[#This Row],[FinanceCode]],UPPER(FC_import[[#This Row],[FinanceCode]])),0,1)</f>
        <v>0</v>
      </c>
      <c r="N26" s="80">
        <f>IF(SUBSTITUTE(TEXT(FC_import[[#This Row],[FinanceCode]],10)," ","")=TEXT(FC_import[[#This Row],[FinanceCode]],10),0,1)</f>
        <v>0</v>
      </c>
      <c r="O26" s="80">
        <f>SUM(FC_import[[#This Row],[LedgerIssue]:[CustGrIssue]],FC_import[[#This Row],[DupCode]:[Space in Code]])</f>
        <v>1</v>
      </c>
      <c r="P26" t="s">
        <v>971</v>
      </c>
      <c r="Q26" t="s">
        <v>972</v>
      </c>
      <c r="R26" t="s">
        <v>922</v>
      </c>
      <c r="S26" t="s">
        <v>854</v>
      </c>
      <c r="T26" t="s">
        <v>52</v>
      </c>
      <c r="U26" t="s">
        <v>51</v>
      </c>
      <c r="V26" t="b">
        <v>1</v>
      </c>
      <c r="X26" t="b">
        <v>1</v>
      </c>
      <c r="Y26" t="b">
        <v>0</v>
      </c>
      <c r="Z26" t="b">
        <v>0</v>
      </c>
    </row>
    <row r="27" spans="1:26" hidden="1" x14ac:dyDescent="0.3">
      <c r="A27" s="120">
        <f>IF(COUNTIF(LEDGER[LedgerCode],FC_import[[#This Row],[LedgerCode]])&gt;0,0,1)</f>
        <v>0</v>
      </c>
      <c r="B27" s="95">
        <f>IF(COUNTIF(Table_System_Grouping_Codes[groupingCodeCode],FC_import[[#This Row],[GroupingCode]])&gt;0,0,1)</f>
        <v>0</v>
      </c>
      <c r="C27" s="85">
        <f>IF(COUNTIF(CUSTGROUP[CustomGroupingCode],FC_import[[#This Row],[CustomGrouping]])&gt;0,0,1)</f>
        <v>1</v>
      </c>
      <c r="D27" s="85" cm="1">
        <f t="array" ref="D27">IF(FC_import[[#This Row],[AvailableToAllSchools]]=TRUE,0,COUNTA(_xlfn.TEXTSPLIT(FC_import[[#This Row],[SchoolCodes]],",",,TRUE))-SUM(COUNTIF(SCHOOLS[SchoolCode],_xlfn.TEXTSPLIT(FC_import[[#This Row],[SchoolCodes]],",",,TRUE))))</f>
        <v>0</v>
      </c>
      <c r="E27" s="85">
        <f>IF(FC_import[[#This Row],[FinanceCodeTypeCode]]="BUDGET",0,COUNTIF(P:P,P27)-1)</f>
        <v>0</v>
      </c>
      <c r="F27" s="85">
        <f>IF(FC_import[[#This Row],[FinanceCodeTypeCode]]="BUDGET",0,COUNTIF(Q:Q,Q27)-1)</f>
        <v>0</v>
      </c>
      <c r="G27" s="85">
        <f>COUNTIF(Lookup!$A$2:$A$7,R27)-1</f>
        <v>0</v>
      </c>
      <c r="H27" s="80">
        <f>IF(LEN(FC_import[[#This Row],[FinanceCode]])&lt;100,0,1)</f>
        <v>0</v>
      </c>
      <c r="I27" s="80">
        <f>IF(TRIM(FC_import[[#This Row],[FinanceCode]])="",1,0)</f>
        <v>0</v>
      </c>
      <c r="J27" s="80">
        <f>IF(TRIM(FC_import[[#This Row],[Title]])="",1,0)</f>
        <v>0</v>
      </c>
      <c r="K27" s="80">
        <f>IF(LEN(FC_import[[#This Row],[Title]])&lt;100,0,1)</f>
        <v>0</v>
      </c>
      <c r="L27" s="80">
        <f>IF(ISBLANK(FC_import[[#This Row],[BalanceToScenario]]),1,0)</f>
        <v>0</v>
      </c>
      <c r="M27" s="80">
        <f>IF(EXACT(FC_import[[#This Row],[FinanceCode]],UPPER(FC_import[[#This Row],[FinanceCode]])),0,1)</f>
        <v>0</v>
      </c>
      <c r="N27" s="80">
        <f>IF(SUBSTITUTE(TEXT(FC_import[[#This Row],[FinanceCode]],10)," ","")=TEXT(FC_import[[#This Row],[FinanceCode]],10),0,1)</f>
        <v>0</v>
      </c>
      <c r="O27" s="80">
        <f>SUM(FC_import[[#This Row],[LedgerIssue]:[CustGrIssue]],FC_import[[#This Row],[DupCode]:[Space in Code]])</f>
        <v>1</v>
      </c>
      <c r="P27" t="s">
        <v>941</v>
      </c>
      <c r="Q27" t="s">
        <v>942</v>
      </c>
      <c r="R27" t="s">
        <v>922</v>
      </c>
      <c r="S27" t="s">
        <v>851</v>
      </c>
      <c r="T27" t="s">
        <v>52</v>
      </c>
      <c r="U27" t="s">
        <v>51</v>
      </c>
      <c r="V27" t="b">
        <v>1</v>
      </c>
      <c r="X27" t="b">
        <v>1</v>
      </c>
      <c r="Y27" t="b">
        <v>0</v>
      </c>
      <c r="Z27" t="b">
        <v>0</v>
      </c>
    </row>
    <row r="28" spans="1:26" hidden="1" x14ac:dyDescent="0.3">
      <c r="A28" s="120">
        <f>IF(COUNTIF(LEDGER[LedgerCode],FC_import[[#This Row],[LedgerCode]])&gt;0,0,1)</f>
        <v>0</v>
      </c>
      <c r="B28" s="95">
        <f>IF(COUNTIF(Table_System_Grouping_Codes[groupingCodeCode],FC_import[[#This Row],[GroupingCode]])&gt;0,0,1)</f>
        <v>0</v>
      </c>
      <c r="C28" s="85">
        <f>IF(COUNTIF(CUSTGROUP[CustomGroupingCode],FC_import[[#This Row],[CustomGrouping]])&gt;0,0,1)</f>
        <v>1</v>
      </c>
      <c r="D28" s="85" cm="1">
        <f t="array" ref="D28">IF(FC_import[[#This Row],[AvailableToAllSchools]]=TRUE,0,COUNTA(_xlfn.TEXTSPLIT(FC_import[[#This Row],[SchoolCodes]],",",,TRUE))-SUM(COUNTIF(SCHOOLS[SchoolCode],_xlfn.TEXTSPLIT(FC_import[[#This Row],[SchoolCodes]],",",,TRUE))))</f>
        <v>0</v>
      </c>
      <c r="E28" s="85">
        <f>IF(FC_import[[#This Row],[FinanceCodeTypeCode]]="BUDGET",0,COUNTIF(P:P,P28)-1)</f>
        <v>0</v>
      </c>
      <c r="F28" s="85">
        <f>IF(FC_import[[#This Row],[FinanceCodeTypeCode]]="BUDGET",0,COUNTIF(Q:Q,Q28)-1)</f>
        <v>0</v>
      </c>
      <c r="G28" s="85">
        <f>COUNTIF(Lookup!$A$2:$A$7,R28)-1</f>
        <v>0</v>
      </c>
      <c r="H28" s="80">
        <f>IF(LEN(FC_import[[#This Row],[FinanceCode]])&lt;100,0,1)</f>
        <v>0</v>
      </c>
      <c r="I28" s="80">
        <f>IF(TRIM(FC_import[[#This Row],[FinanceCode]])="",1,0)</f>
        <v>0</v>
      </c>
      <c r="J28" s="80">
        <f>IF(TRIM(FC_import[[#This Row],[Title]])="",1,0)</f>
        <v>0</v>
      </c>
      <c r="K28" s="80">
        <f>IF(LEN(FC_import[[#This Row],[Title]])&lt;100,0,1)</f>
        <v>0</v>
      </c>
      <c r="L28" s="80">
        <f>IF(ISBLANK(FC_import[[#This Row],[BalanceToScenario]]),1,0)</f>
        <v>0</v>
      </c>
      <c r="M28" s="80">
        <f>IF(EXACT(FC_import[[#This Row],[FinanceCode]],UPPER(FC_import[[#This Row],[FinanceCode]])),0,1)</f>
        <v>0</v>
      </c>
      <c r="N28" s="80">
        <f>IF(SUBSTITUTE(TEXT(FC_import[[#This Row],[FinanceCode]],10)," ","")=TEXT(FC_import[[#This Row],[FinanceCode]],10),0,1)</f>
        <v>0</v>
      </c>
      <c r="O28" s="80">
        <f>SUM(FC_import[[#This Row],[LedgerIssue]:[CustGrIssue]],FC_import[[#This Row],[DupCode]:[Space in Code]])</f>
        <v>1</v>
      </c>
      <c r="P28" t="s">
        <v>943</v>
      </c>
      <c r="Q28" t="s">
        <v>944</v>
      </c>
      <c r="R28" t="s">
        <v>922</v>
      </c>
      <c r="S28" t="s">
        <v>851</v>
      </c>
      <c r="T28" t="s">
        <v>52</v>
      </c>
      <c r="U28" t="s">
        <v>51</v>
      </c>
      <c r="V28" t="b">
        <v>1</v>
      </c>
      <c r="X28" t="b">
        <v>1</v>
      </c>
      <c r="Y28" t="b">
        <v>0</v>
      </c>
      <c r="Z28" t="b">
        <v>0</v>
      </c>
    </row>
    <row r="29" spans="1:26" hidden="1" x14ac:dyDescent="0.3">
      <c r="A29" s="120">
        <f>IF(COUNTIF(LEDGER[LedgerCode],FC_import[[#This Row],[LedgerCode]])&gt;0,0,1)</f>
        <v>0</v>
      </c>
      <c r="B29" s="95">
        <f>IF(COUNTIF(Table_System_Grouping_Codes[groupingCodeCode],FC_import[[#This Row],[GroupingCode]])&gt;0,0,1)</f>
        <v>0</v>
      </c>
      <c r="C29" s="85">
        <f>IF(COUNTIF(CUSTGROUP[CustomGroupingCode],FC_import[[#This Row],[CustomGrouping]])&gt;0,0,1)</f>
        <v>1</v>
      </c>
      <c r="D29" s="85" cm="1">
        <f t="array" ref="D29">IF(FC_import[[#This Row],[AvailableToAllSchools]]=TRUE,0,COUNTA(_xlfn.TEXTSPLIT(FC_import[[#This Row],[SchoolCodes]],",",,TRUE))-SUM(COUNTIF(SCHOOLS[SchoolCode],_xlfn.TEXTSPLIT(FC_import[[#This Row],[SchoolCodes]],",",,TRUE))))</f>
        <v>0</v>
      </c>
      <c r="E29" s="85">
        <f>IF(FC_import[[#This Row],[FinanceCodeTypeCode]]="BUDGET",0,COUNTIF(P:P,P29)-1)</f>
        <v>0</v>
      </c>
      <c r="F29" s="85">
        <f>IF(FC_import[[#This Row],[FinanceCodeTypeCode]]="BUDGET",0,COUNTIF(Q:Q,Q29)-1)</f>
        <v>0</v>
      </c>
      <c r="G29" s="85">
        <f>COUNTIF(Lookup!$A$2:$A$7,R29)-1</f>
        <v>0</v>
      </c>
      <c r="H29" s="80">
        <f>IF(LEN(FC_import[[#This Row],[FinanceCode]])&lt;100,0,1)</f>
        <v>0</v>
      </c>
      <c r="I29" s="80">
        <f>IF(TRIM(FC_import[[#This Row],[FinanceCode]])="",1,0)</f>
        <v>0</v>
      </c>
      <c r="J29" s="80">
        <f>IF(TRIM(FC_import[[#This Row],[Title]])="",1,0)</f>
        <v>0</v>
      </c>
      <c r="K29" s="80">
        <f>IF(LEN(FC_import[[#This Row],[Title]])&lt;100,0,1)</f>
        <v>0</v>
      </c>
      <c r="L29" s="80">
        <f>IF(ISBLANK(FC_import[[#This Row],[BalanceToScenario]]),1,0)</f>
        <v>0</v>
      </c>
      <c r="M29" s="80">
        <f>IF(EXACT(FC_import[[#This Row],[FinanceCode]],UPPER(FC_import[[#This Row],[FinanceCode]])),0,1)</f>
        <v>0</v>
      </c>
      <c r="N29" s="80">
        <f>IF(SUBSTITUTE(TEXT(FC_import[[#This Row],[FinanceCode]],10)," ","")=TEXT(FC_import[[#This Row],[FinanceCode]],10),0,1)</f>
        <v>0</v>
      </c>
      <c r="O29" s="80">
        <f>SUM(FC_import[[#This Row],[LedgerIssue]:[CustGrIssue]],FC_import[[#This Row],[DupCode]:[Space in Code]])</f>
        <v>1</v>
      </c>
      <c r="P29" t="s">
        <v>945</v>
      </c>
      <c r="Q29" t="s">
        <v>946</v>
      </c>
      <c r="R29" t="s">
        <v>922</v>
      </c>
      <c r="S29" t="s">
        <v>851</v>
      </c>
      <c r="T29" t="s">
        <v>52</v>
      </c>
      <c r="U29" t="s">
        <v>51</v>
      </c>
      <c r="V29" t="b">
        <v>1</v>
      </c>
      <c r="X29" t="b">
        <v>1</v>
      </c>
      <c r="Y29" t="b">
        <v>0</v>
      </c>
      <c r="Z29" t="b">
        <v>0</v>
      </c>
    </row>
    <row r="30" spans="1:26" hidden="1" x14ac:dyDescent="0.3">
      <c r="A30" s="120">
        <f>IF(COUNTIF(LEDGER[LedgerCode],FC_import[[#This Row],[LedgerCode]])&gt;0,0,1)</f>
        <v>0</v>
      </c>
      <c r="B30" s="95">
        <f>IF(COUNTIF(Table_System_Grouping_Codes[groupingCodeCode],FC_import[[#This Row],[GroupingCode]])&gt;0,0,1)</f>
        <v>0</v>
      </c>
      <c r="C30" s="85">
        <f>IF(COUNTIF(CUSTGROUP[CustomGroupingCode],FC_import[[#This Row],[CustomGrouping]])&gt;0,0,1)</f>
        <v>1</v>
      </c>
      <c r="D30" s="85" cm="1">
        <f t="array" ref="D30">IF(FC_import[[#This Row],[AvailableToAllSchools]]=TRUE,0,COUNTA(_xlfn.TEXTSPLIT(FC_import[[#This Row],[SchoolCodes]],",",,TRUE))-SUM(COUNTIF(SCHOOLS[SchoolCode],_xlfn.TEXTSPLIT(FC_import[[#This Row],[SchoolCodes]],",",,TRUE))))</f>
        <v>0</v>
      </c>
      <c r="E30" s="85">
        <f>IF(FC_import[[#This Row],[FinanceCodeTypeCode]]="BUDGET",0,COUNTIF(P:P,P30)-1)</f>
        <v>0</v>
      </c>
      <c r="F30" s="85">
        <f>IF(FC_import[[#This Row],[FinanceCodeTypeCode]]="BUDGET",0,COUNTIF(Q:Q,Q30)-1)</f>
        <v>0</v>
      </c>
      <c r="G30" s="85">
        <f>COUNTIF(Lookup!$A$2:$A$7,R30)-1</f>
        <v>0</v>
      </c>
      <c r="H30" s="80">
        <f>IF(LEN(FC_import[[#This Row],[FinanceCode]])&lt;100,0,1)</f>
        <v>0</v>
      </c>
      <c r="I30" s="80">
        <f>IF(TRIM(FC_import[[#This Row],[FinanceCode]])="",1,0)</f>
        <v>0</v>
      </c>
      <c r="J30" s="80">
        <f>IF(TRIM(FC_import[[#This Row],[Title]])="",1,0)</f>
        <v>0</v>
      </c>
      <c r="K30" s="80">
        <f>IF(LEN(FC_import[[#This Row],[Title]])&lt;100,0,1)</f>
        <v>0</v>
      </c>
      <c r="L30" s="80">
        <f>IF(ISBLANK(FC_import[[#This Row],[BalanceToScenario]]),1,0)</f>
        <v>0</v>
      </c>
      <c r="M30" s="80">
        <f>IF(EXACT(FC_import[[#This Row],[FinanceCode]],UPPER(FC_import[[#This Row],[FinanceCode]])),0,1)</f>
        <v>0</v>
      </c>
      <c r="N30" s="80">
        <f>IF(SUBSTITUTE(TEXT(FC_import[[#This Row],[FinanceCode]],10)," ","")=TEXT(FC_import[[#This Row],[FinanceCode]],10),0,1)</f>
        <v>0</v>
      </c>
      <c r="O30" s="80">
        <f>SUM(FC_import[[#This Row],[LedgerIssue]:[CustGrIssue]],FC_import[[#This Row],[DupCode]:[Space in Code]])</f>
        <v>1</v>
      </c>
      <c r="P30" t="s">
        <v>947</v>
      </c>
      <c r="Q30" t="s">
        <v>948</v>
      </c>
      <c r="R30" t="s">
        <v>922</v>
      </c>
      <c r="S30" t="s">
        <v>851</v>
      </c>
      <c r="T30" t="s">
        <v>52</v>
      </c>
      <c r="U30" t="s">
        <v>51</v>
      </c>
      <c r="V30" t="b">
        <v>1</v>
      </c>
      <c r="X30" t="b">
        <v>1</v>
      </c>
      <c r="Y30" t="b">
        <v>0</v>
      </c>
      <c r="Z30" t="b">
        <v>0</v>
      </c>
    </row>
    <row r="31" spans="1:26" hidden="1" x14ac:dyDescent="0.3">
      <c r="A31" s="120">
        <f>IF(COUNTIF(LEDGER[LedgerCode],FC_import[[#This Row],[LedgerCode]])&gt;0,0,1)</f>
        <v>0</v>
      </c>
      <c r="B31" s="95">
        <f>IF(COUNTIF(Table_System_Grouping_Codes[groupingCodeCode],FC_import[[#This Row],[GroupingCode]])&gt;0,0,1)</f>
        <v>0</v>
      </c>
      <c r="C31" s="85">
        <f>IF(COUNTIF(CUSTGROUP[CustomGroupingCode],FC_import[[#This Row],[CustomGrouping]])&gt;0,0,1)</f>
        <v>1</v>
      </c>
      <c r="D31" s="85" cm="1">
        <f t="array" ref="D31">IF(FC_import[[#This Row],[AvailableToAllSchools]]=TRUE,0,COUNTA(_xlfn.TEXTSPLIT(FC_import[[#This Row],[SchoolCodes]],",",,TRUE))-SUM(COUNTIF(SCHOOLS[SchoolCode],_xlfn.TEXTSPLIT(FC_import[[#This Row],[SchoolCodes]],",",,TRUE))))</f>
        <v>0</v>
      </c>
      <c r="E31" s="85">
        <f>IF(FC_import[[#This Row],[FinanceCodeTypeCode]]="BUDGET",0,COUNTIF(P:P,P31)-1)</f>
        <v>0</v>
      </c>
      <c r="F31" s="85">
        <f>IF(FC_import[[#This Row],[FinanceCodeTypeCode]]="BUDGET",0,COUNTIF(Q:Q,Q31)-1)</f>
        <v>0</v>
      </c>
      <c r="G31" s="85">
        <f>COUNTIF(Lookup!$A$2:$A$7,R31)-1</f>
        <v>0</v>
      </c>
      <c r="H31" s="80">
        <f>IF(LEN(FC_import[[#This Row],[FinanceCode]])&lt;100,0,1)</f>
        <v>0</v>
      </c>
      <c r="I31" s="80">
        <f>IF(TRIM(FC_import[[#This Row],[FinanceCode]])="",1,0)</f>
        <v>0</v>
      </c>
      <c r="J31" s="80">
        <f>IF(TRIM(FC_import[[#This Row],[Title]])="",1,0)</f>
        <v>0</v>
      </c>
      <c r="K31" s="80">
        <f>IF(LEN(FC_import[[#This Row],[Title]])&lt;100,0,1)</f>
        <v>0</v>
      </c>
      <c r="L31" s="80">
        <f>IF(ISBLANK(FC_import[[#This Row],[BalanceToScenario]]),1,0)</f>
        <v>0</v>
      </c>
      <c r="M31" s="80">
        <f>IF(EXACT(FC_import[[#This Row],[FinanceCode]],UPPER(FC_import[[#This Row],[FinanceCode]])),0,1)</f>
        <v>0</v>
      </c>
      <c r="N31" s="80">
        <f>IF(SUBSTITUTE(TEXT(FC_import[[#This Row],[FinanceCode]],10)," ","")=TEXT(FC_import[[#This Row],[FinanceCode]],10),0,1)</f>
        <v>0</v>
      </c>
      <c r="O31" s="80">
        <f>SUM(FC_import[[#This Row],[LedgerIssue]:[CustGrIssue]],FC_import[[#This Row],[DupCode]:[Space in Code]])</f>
        <v>1</v>
      </c>
      <c r="P31" t="s">
        <v>949</v>
      </c>
      <c r="Q31" t="s">
        <v>950</v>
      </c>
      <c r="R31" t="s">
        <v>922</v>
      </c>
      <c r="S31" t="s">
        <v>851</v>
      </c>
      <c r="T31" t="s">
        <v>52</v>
      </c>
      <c r="U31" t="s">
        <v>51</v>
      </c>
      <c r="V31" t="b">
        <v>1</v>
      </c>
      <c r="X31" t="b">
        <v>1</v>
      </c>
      <c r="Y31" t="b">
        <v>0</v>
      </c>
      <c r="Z31" t="b">
        <v>0</v>
      </c>
    </row>
    <row r="32" spans="1:26" hidden="1" x14ac:dyDescent="0.3">
      <c r="A32" s="120">
        <f>IF(COUNTIF(LEDGER[LedgerCode],FC_import[[#This Row],[LedgerCode]])&gt;0,0,1)</f>
        <v>0</v>
      </c>
      <c r="B32" s="95">
        <f>IF(COUNTIF(Table_System_Grouping_Codes[groupingCodeCode],FC_import[[#This Row],[GroupingCode]])&gt;0,0,1)</f>
        <v>0</v>
      </c>
      <c r="C32" s="85">
        <f>IF(COUNTIF(CUSTGROUP[CustomGroupingCode],FC_import[[#This Row],[CustomGrouping]])&gt;0,0,1)</f>
        <v>1</v>
      </c>
      <c r="D32" s="85" cm="1">
        <f t="array" ref="D32">IF(FC_import[[#This Row],[AvailableToAllSchools]]=TRUE,0,COUNTA(_xlfn.TEXTSPLIT(FC_import[[#This Row],[SchoolCodes]],",",,TRUE))-SUM(COUNTIF(SCHOOLS[SchoolCode],_xlfn.TEXTSPLIT(FC_import[[#This Row],[SchoolCodes]],",",,TRUE))))</f>
        <v>0</v>
      </c>
      <c r="E32" s="85">
        <f>IF(FC_import[[#This Row],[FinanceCodeTypeCode]]="BUDGET",0,COUNTIF(P:P,P32)-1)</f>
        <v>0</v>
      </c>
      <c r="F32" s="85">
        <f>IF(FC_import[[#This Row],[FinanceCodeTypeCode]]="BUDGET",0,COUNTIF(Q:Q,Q32)-1)</f>
        <v>0</v>
      </c>
      <c r="G32" s="85">
        <f>COUNTIF(Lookup!$A$2:$A$7,R32)-1</f>
        <v>0</v>
      </c>
      <c r="H32" s="80">
        <f>IF(LEN(FC_import[[#This Row],[FinanceCode]])&lt;100,0,1)</f>
        <v>0</v>
      </c>
      <c r="I32" s="80">
        <f>IF(TRIM(FC_import[[#This Row],[FinanceCode]])="",1,0)</f>
        <v>0</v>
      </c>
      <c r="J32" s="80">
        <f>IF(TRIM(FC_import[[#This Row],[Title]])="",1,0)</f>
        <v>0</v>
      </c>
      <c r="K32" s="80">
        <f>IF(LEN(FC_import[[#This Row],[Title]])&lt;100,0,1)</f>
        <v>0</v>
      </c>
      <c r="L32" s="80">
        <f>IF(ISBLANK(FC_import[[#This Row],[BalanceToScenario]]),1,0)</f>
        <v>0</v>
      </c>
      <c r="M32" s="80">
        <f>IF(EXACT(FC_import[[#This Row],[FinanceCode]],UPPER(FC_import[[#This Row],[FinanceCode]])),0,1)</f>
        <v>0</v>
      </c>
      <c r="N32" s="80">
        <f>IF(SUBSTITUTE(TEXT(FC_import[[#This Row],[FinanceCode]],10)," ","")=TEXT(FC_import[[#This Row],[FinanceCode]],10),0,1)</f>
        <v>0</v>
      </c>
      <c r="O32" s="80">
        <f>SUM(FC_import[[#This Row],[LedgerIssue]:[CustGrIssue]],FC_import[[#This Row],[DupCode]:[Space in Code]])</f>
        <v>1</v>
      </c>
      <c r="P32" t="s">
        <v>951</v>
      </c>
      <c r="Q32" t="s">
        <v>952</v>
      </c>
      <c r="R32" t="s">
        <v>922</v>
      </c>
      <c r="S32" t="s">
        <v>851</v>
      </c>
      <c r="T32" t="s">
        <v>52</v>
      </c>
      <c r="U32" t="s">
        <v>51</v>
      </c>
      <c r="V32" t="b">
        <v>1</v>
      </c>
      <c r="X32" t="b">
        <v>1</v>
      </c>
      <c r="Y32" t="b">
        <v>0</v>
      </c>
      <c r="Z32" t="b">
        <v>0</v>
      </c>
    </row>
    <row r="33" spans="1:26" hidden="1" x14ac:dyDescent="0.3">
      <c r="A33" s="120">
        <f>IF(COUNTIF(LEDGER[LedgerCode],FC_import[[#This Row],[LedgerCode]])&gt;0,0,1)</f>
        <v>0</v>
      </c>
      <c r="B33" s="95">
        <f>IF(COUNTIF(Table_System_Grouping_Codes[groupingCodeCode],FC_import[[#This Row],[GroupingCode]])&gt;0,0,1)</f>
        <v>0</v>
      </c>
      <c r="C33" s="85">
        <f>IF(COUNTIF(CUSTGROUP[CustomGroupingCode],FC_import[[#This Row],[CustomGrouping]])&gt;0,0,1)</f>
        <v>1</v>
      </c>
      <c r="D33" s="85" cm="1">
        <f t="array" ref="D33">IF(FC_import[[#This Row],[AvailableToAllSchools]]=TRUE,0,COUNTA(_xlfn.TEXTSPLIT(FC_import[[#This Row],[SchoolCodes]],",",,TRUE))-SUM(COUNTIF(SCHOOLS[SchoolCode],_xlfn.TEXTSPLIT(FC_import[[#This Row],[SchoolCodes]],",",,TRUE))))</f>
        <v>0</v>
      </c>
      <c r="E33" s="85">
        <f>IF(FC_import[[#This Row],[FinanceCodeTypeCode]]="BUDGET",0,COUNTIF(P:P,P33)-1)</f>
        <v>0</v>
      </c>
      <c r="F33" s="85">
        <f>IF(FC_import[[#This Row],[FinanceCodeTypeCode]]="BUDGET",0,COUNTIF(Q:Q,Q33)-1)</f>
        <v>0</v>
      </c>
      <c r="G33" s="85">
        <f>COUNTIF(Lookup!$A$2:$A$7,R33)-1</f>
        <v>0</v>
      </c>
      <c r="H33" s="80">
        <f>IF(LEN(FC_import[[#This Row],[FinanceCode]])&lt;100,0,1)</f>
        <v>0</v>
      </c>
      <c r="I33" s="80">
        <f>IF(TRIM(FC_import[[#This Row],[FinanceCode]])="",1,0)</f>
        <v>0</v>
      </c>
      <c r="J33" s="80">
        <f>IF(TRIM(FC_import[[#This Row],[Title]])="",1,0)</f>
        <v>0</v>
      </c>
      <c r="K33" s="80">
        <f>IF(LEN(FC_import[[#This Row],[Title]])&lt;100,0,1)</f>
        <v>0</v>
      </c>
      <c r="L33" s="80">
        <f>IF(ISBLANK(FC_import[[#This Row],[BalanceToScenario]]),1,0)</f>
        <v>0</v>
      </c>
      <c r="M33" s="80">
        <f>IF(EXACT(FC_import[[#This Row],[FinanceCode]],UPPER(FC_import[[#This Row],[FinanceCode]])),0,1)</f>
        <v>0</v>
      </c>
      <c r="N33" s="80">
        <f>IF(SUBSTITUTE(TEXT(FC_import[[#This Row],[FinanceCode]],10)," ","")=TEXT(FC_import[[#This Row],[FinanceCode]],10),0,1)</f>
        <v>0</v>
      </c>
      <c r="O33" s="80">
        <f>SUM(FC_import[[#This Row],[LedgerIssue]:[CustGrIssue]],FC_import[[#This Row],[DupCode]:[Space in Code]])</f>
        <v>1</v>
      </c>
      <c r="P33" t="s">
        <v>953</v>
      </c>
      <c r="Q33" t="s">
        <v>954</v>
      </c>
      <c r="R33" t="s">
        <v>922</v>
      </c>
      <c r="S33" t="s">
        <v>851</v>
      </c>
      <c r="T33" t="s">
        <v>52</v>
      </c>
      <c r="U33" t="s">
        <v>51</v>
      </c>
      <c r="V33" t="b">
        <v>1</v>
      </c>
      <c r="X33" t="b">
        <v>1</v>
      </c>
      <c r="Y33" t="b">
        <v>0</v>
      </c>
      <c r="Z33" t="b">
        <v>0</v>
      </c>
    </row>
    <row r="34" spans="1:26" hidden="1" x14ac:dyDescent="0.3">
      <c r="A34" s="120">
        <f>IF(COUNTIF(LEDGER[LedgerCode],FC_import[[#This Row],[LedgerCode]])&gt;0,0,1)</f>
        <v>0</v>
      </c>
      <c r="B34" s="95">
        <f>IF(COUNTIF(Table_System_Grouping_Codes[groupingCodeCode],FC_import[[#This Row],[GroupingCode]])&gt;0,0,1)</f>
        <v>0</v>
      </c>
      <c r="C34" s="85">
        <f>IF(COUNTIF(CUSTGROUP[CustomGroupingCode],FC_import[[#This Row],[CustomGrouping]])&gt;0,0,1)</f>
        <v>1</v>
      </c>
      <c r="D34" s="85" cm="1">
        <f t="array" ref="D34">IF(FC_import[[#This Row],[AvailableToAllSchools]]=TRUE,0,COUNTA(_xlfn.TEXTSPLIT(FC_import[[#This Row],[SchoolCodes]],",",,TRUE))-SUM(COUNTIF(SCHOOLS[SchoolCode],_xlfn.TEXTSPLIT(FC_import[[#This Row],[SchoolCodes]],",",,TRUE))))</f>
        <v>0</v>
      </c>
      <c r="E34" s="85">
        <f>IF(FC_import[[#This Row],[FinanceCodeTypeCode]]="BUDGET",0,COUNTIF(P:P,P34)-1)</f>
        <v>0</v>
      </c>
      <c r="F34" s="85">
        <f>IF(FC_import[[#This Row],[FinanceCodeTypeCode]]="BUDGET",0,COUNTIF(Q:Q,Q34)-1)</f>
        <v>0</v>
      </c>
      <c r="G34" s="85">
        <f>COUNTIF(Lookup!$A$2:$A$7,R34)-1</f>
        <v>0</v>
      </c>
      <c r="H34" s="80">
        <f>IF(LEN(FC_import[[#This Row],[FinanceCode]])&lt;100,0,1)</f>
        <v>0</v>
      </c>
      <c r="I34" s="80">
        <f>IF(TRIM(FC_import[[#This Row],[FinanceCode]])="",1,0)</f>
        <v>0</v>
      </c>
      <c r="J34" s="80">
        <f>IF(TRIM(FC_import[[#This Row],[Title]])="",1,0)</f>
        <v>0</v>
      </c>
      <c r="K34" s="80">
        <f>IF(LEN(FC_import[[#This Row],[Title]])&lt;100,0,1)</f>
        <v>0</v>
      </c>
      <c r="L34" s="80">
        <f>IF(ISBLANK(FC_import[[#This Row],[BalanceToScenario]]),1,0)</f>
        <v>0</v>
      </c>
      <c r="M34" s="80">
        <f>IF(EXACT(FC_import[[#This Row],[FinanceCode]],UPPER(FC_import[[#This Row],[FinanceCode]])),0,1)</f>
        <v>0</v>
      </c>
      <c r="N34" s="80">
        <f>IF(SUBSTITUTE(TEXT(FC_import[[#This Row],[FinanceCode]],10)," ","")=TEXT(FC_import[[#This Row],[FinanceCode]],10),0,1)</f>
        <v>0</v>
      </c>
      <c r="O34" s="80">
        <f>SUM(FC_import[[#This Row],[LedgerIssue]:[CustGrIssue]],FC_import[[#This Row],[DupCode]:[Space in Code]])</f>
        <v>1</v>
      </c>
      <c r="P34" t="s">
        <v>955</v>
      </c>
      <c r="Q34" t="s">
        <v>956</v>
      </c>
      <c r="R34" t="s">
        <v>922</v>
      </c>
      <c r="S34" t="s">
        <v>851</v>
      </c>
      <c r="T34" t="s">
        <v>52</v>
      </c>
      <c r="U34" t="s">
        <v>51</v>
      </c>
      <c r="V34" t="b">
        <v>1</v>
      </c>
      <c r="X34" t="b">
        <v>1</v>
      </c>
      <c r="Y34" t="b">
        <v>0</v>
      </c>
      <c r="Z34" t="b">
        <v>0</v>
      </c>
    </row>
    <row r="35" spans="1:26" hidden="1" x14ac:dyDescent="0.3">
      <c r="A35" s="120">
        <f>IF(COUNTIF(LEDGER[LedgerCode],FC_import[[#This Row],[LedgerCode]])&gt;0,0,1)</f>
        <v>0</v>
      </c>
      <c r="B35" s="95">
        <f>IF(COUNTIF(Table_System_Grouping_Codes[groupingCodeCode],FC_import[[#This Row],[GroupingCode]])&gt;0,0,1)</f>
        <v>0</v>
      </c>
      <c r="C35" s="85">
        <f>IF(COUNTIF(CUSTGROUP[CustomGroupingCode],FC_import[[#This Row],[CustomGrouping]])&gt;0,0,1)</f>
        <v>1</v>
      </c>
      <c r="D35" s="85" cm="1">
        <f t="array" ref="D35">IF(FC_import[[#This Row],[AvailableToAllSchools]]=TRUE,0,COUNTA(_xlfn.TEXTSPLIT(FC_import[[#This Row],[SchoolCodes]],",",,TRUE))-SUM(COUNTIF(SCHOOLS[SchoolCode],_xlfn.TEXTSPLIT(FC_import[[#This Row],[SchoolCodes]],",",,TRUE))))</f>
        <v>0</v>
      </c>
      <c r="E35" s="85">
        <f>IF(FC_import[[#This Row],[FinanceCodeTypeCode]]="BUDGET",0,COUNTIF(P:P,P35)-1)</f>
        <v>0</v>
      </c>
      <c r="F35" s="85">
        <f>IF(FC_import[[#This Row],[FinanceCodeTypeCode]]="BUDGET",0,COUNTIF(Q:Q,Q35)-1)</f>
        <v>0</v>
      </c>
      <c r="G35" s="85">
        <f>COUNTIF(Lookup!$A$2:$A$7,R35)-1</f>
        <v>0</v>
      </c>
      <c r="H35" s="80">
        <f>IF(LEN(FC_import[[#This Row],[FinanceCode]])&lt;100,0,1)</f>
        <v>0</v>
      </c>
      <c r="I35" s="80">
        <f>IF(TRIM(FC_import[[#This Row],[FinanceCode]])="",1,0)</f>
        <v>0</v>
      </c>
      <c r="J35" s="80">
        <f>IF(TRIM(FC_import[[#This Row],[Title]])="",1,0)</f>
        <v>0</v>
      </c>
      <c r="K35" s="80">
        <f>IF(LEN(FC_import[[#This Row],[Title]])&lt;100,0,1)</f>
        <v>0</v>
      </c>
      <c r="L35" s="80">
        <f>IF(ISBLANK(FC_import[[#This Row],[BalanceToScenario]]),1,0)</f>
        <v>0</v>
      </c>
      <c r="M35" s="80">
        <f>IF(EXACT(FC_import[[#This Row],[FinanceCode]],UPPER(FC_import[[#This Row],[FinanceCode]])),0,1)</f>
        <v>0</v>
      </c>
      <c r="N35" s="80">
        <f>IF(SUBSTITUTE(TEXT(FC_import[[#This Row],[FinanceCode]],10)," ","")=TEXT(FC_import[[#This Row],[FinanceCode]],10),0,1)</f>
        <v>0</v>
      </c>
      <c r="O35" s="80">
        <f>SUM(FC_import[[#This Row],[LedgerIssue]:[CustGrIssue]],FC_import[[#This Row],[DupCode]:[Space in Code]])</f>
        <v>1</v>
      </c>
      <c r="P35" t="s">
        <v>1528</v>
      </c>
      <c r="Q35" t="s">
        <v>1530</v>
      </c>
      <c r="R35" t="s">
        <v>922</v>
      </c>
      <c r="S35" t="s">
        <v>52</v>
      </c>
      <c r="T35" t="s">
        <v>52</v>
      </c>
      <c r="U35" t="s">
        <v>51</v>
      </c>
      <c r="V35" t="b">
        <v>1</v>
      </c>
      <c r="X35" t="b">
        <v>1</v>
      </c>
      <c r="Y35" t="b">
        <v>0</v>
      </c>
      <c r="Z35" t="b">
        <v>0</v>
      </c>
    </row>
    <row r="36" spans="1:26" hidden="1" x14ac:dyDescent="0.3">
      <c r="A36" s="120">
        <f>IF(COUNTIF(LEDGER[LedgerCode],FC_import[[#This Row],[LedgerCode]])&gt;0,0,1)</f>
        <v>0</v>
      </c>
      <c r="B36" s="95">
        <f>IF(COUNTIF(Table_System_Grouping_Codes[groupingCodeCode],FC_import[[#This Row],[GroupingCode]])&gt;0,0,1)</f>
        <v>0</v>
      </c>
      <c r="C36" s="85">
        <f>IF(COUNTIF(CUSTGROUP[CustomGroupingCode],FC_import[[#This Row],[CustomGrouping]])&gt;0,0,1)</f>
        <v>1</v>
      </c>
      <c r="D36" s="85" cm="1">
        <f t="array" ref="D36">IF(FC_import[[#This Row],[AvailableToAllSchools]]=TRUE,0,COUNTA(_xlfn.TEXTSPLIT(FC_import[[#This Row],[SchoolCodes]],",",,TRUE))-SUM(COUNTIF(SCHOOLS[SchoolCode],_xlfn.TEXTSPLIT(FC_import[[#This Row],[SchoolCodes]],",",,TRUE))))</f>
        <v>0</v>
      </c>
      <c r="E36" s="85">
        <f>IF(FC_import[[#This Row],[FinanceCodeTypeCode]]="BUDGET",0,COUNTIF(P:P,P36)-1)</f>
        <v>0</v>
      </c>
      <c r="F36" s="85">
        <f>IF(FC_import[[#This Row],[FinanceCodeTypeCode]]="BUDGET",0,COUNTIF(Q:Q,Q36)-1)</f>
        <v>0</v>
      </c>
      <c r="G36" s="85">
        <f>COUNTIF(Lookup!$A$2:$A$7,R36)-1</f>
        <v>0</v>
      </c>
      <c r="H36" s="80">
        <f>IF(LEN(FC_import[[#This Row],[FinanceCode]])&lt;100,0,1)</f>
        <v>0</v>
      </c>
      <c r="I36" s="80">
        <f>IF(TRIM(FC_import[[#This Row],[FinanceCode]])="",1,0)</f>
        <v>0</v>
      </c>
      <c r="J36" s="80">
        <f>IF(TRIM(FC_import[[#This Row],[Title]])="",1,0)</f>
        <v>0</v>
      </c>
      <c r="K36" s="80">
        <f>IF(LEN(FC_import[[#This Row],[Title]])&lt;100,0,1)</f>
        <v>0</v>
      </c>
      <c r="L36" s="80">
        <f>IF(ISBLANK(FC_import[[#This Row],[BalanceToScenario]]),1,0)</f>
        <v>0</v>
      </c>
      <c r="M36" s="80">
        <f>IF(EXACT(FC_import[[#This Row],[FinanceCode]],UPPER(FC_import[[#This Row],[FinanceCode]])),0,1)</f>
        <v>0</v>
      </c>
      <c r="N36" s="80">
        <f>IF(SUBSTITUTE(TEXT(FC_import[[#This Row],[FinanceCode]],10)," ","")=TEXT(FC_import[[#This Row],[FinanceCode]],10),0,1)</f>
        <v>0</v>
      </c>
      <c r="O36" s="80">
        <f>SUM(FC_import[[#This Row],[LedgerIssue]:[CustGrIssue]],FC_import[[#This Row],[DupCode]:[Space in Code]])</f>
        <v>1</v>
      </c>
      <c r="P36" t="s">
        <v>1523</v>
      </c>
      <c r="Q36" t="s">
        <v>1531</v>
      </c>
      <c r="R36" t="s">
        <v>922</v>
      </c>
      <c r="S36" t="s">
        <v>52</v>
      </c>
      <c r="T36" t="s">
        <v>52</v>
      </c>
      <c r="U36" t="s">
        <v>51</v>
      </c>
      <c r="V36" t="b">
        <v>1</v>
      </c>
      <c r="X36" t="b">
        <v>1</v>
      </c>
      <c r="Y36" t="b">
        <v>0</v>
      </c>
      <c r="Z36" t="b">
        <v>0</v>
      </c>
    </row>
    <row r="37" spans="1:26" hidden="1" x14ac:dyDescent="0.3">
      <c r="A37" s="120">
        <f>IF(COUNTIF(LEDGER[LedgerCode],FC_import[[#This Row],[LedgerCode]])&gt;0,0,1)</f>
        <v>0</v>
      </c>
      <c r="B37" s="95">
        <f>IF(COUNTIF(Table_System_Grouping_Codes[groupingCodeCode],FC_import[[#This Row],[GroupingCode]])&gt;0,0,1)</f>
        <v>0</v>
      </c>
      <c r="C37" s="85">
        <f>IF(COUNTIF(CUSTGROUP[CustomGroupingCode],FC_import[[#This Row],[CustomGrouping]])&gt;0,0,1)</f>
        <v>1</v>
      </c>
      <c r="D37" s="85" cm="1">
        <f t="array" ref="D37">IF(FC_import[[#This Row],[AvailableToAllSchools]]=TRUE,0,COUNTA(_xlfn.TEXTSPLIT(FC_import[[#This Row],[SchoolCodes]],",",,TRUE))-SUM(COUNTIF(SCHOOLS[SchoolCode],_xlfn.TEXTSPLIT(FC_import[[#This Row],[SchoolCodes]],",",,TRUE))))</f>
        <v>0</v>
      </c>
      <c r="E37" s="85">
        <f>IF(FC_import[[#This Row],[FinanceCodeTypeCode]]="BUDGET",0,COUNTIF(P:P,P37)-1)</f>
        <v>0</v>
      </c>
      <c r="F37" s="85">
        <f>IF(FC_import[[#This Row],[FinanceCodeTypeCode]]="BUDGET",0,COUNTIF(Q:Q,Q37)-1)</f>
        <v>0</v>
      </c>
      <c r="G37" s="85">
        <f>COUNTIF(Lookup!$A$2:$A$7,R37)-1</f>
        <v>0</v>
      </c>
      <c r="H37" s="80">
        <f>IF(LEN(FC_import[[#This Row],[FinanceCode]])&lt;100,0,1)</f>
        <v>0</v>
      </c>
      <c r="I37" s="80">
        <f>IF(TRIM(FC_import[[#This Row],[FinanceCode]])="",1,0)</f>
        <v>0</v>
      </c>
      <c r="J37" s="80">
        <f>IF(TRIM(FC_import[[#This Row],[Title]])="",1,0)</f>
        <v>0</v>
      </c>
      <c r="K37" s="80">
        <f>IF(LEN(FC_import[[#This Row],[Title]])&lt;100,0,1)</f>
        <v>0</v>
      </c>
      <c r="L37" s="80">
        <f>IF(ISBLANK(FC_import[[#This Row],[BalanceToScenario]]),1,0)</f>
        <v>0</v>
      </c>
      <c r="M37" s="80">
        <f>IF(EXACT(FC_import[[#This Row],[FinanceCode]],UPPER(FC_import[[#This Row],[FinanceCode]])),0,1)</f>
        <v>0</v>
      </c>
      <c r="N37" s="80">
        <f>IF(SUBSTITUTE(TEXT(FC_import[[#This Row],[FinanceCode]],10)," ","")=TEXT(FC_import[[#This Row],[FinanceCode]],10),0,1)</f>
        <v>0</v>
      </c>
      <c r="O37" s="80">
        <f>SUM(FC_import[[#This Row],[LedgerIssue]:[CustGrIssue]],FC_import[[#This Row],[DupCode]:[Space in Code]])</f>
        <v>1</v>
      </c>
      <c r="P37" t="s">
        <v>1524</v>
      </c>
      <c r="Q37" t="s">
        <v>1532</v>
      </c>
      <c r="R37" t="s">
        <v>922</v>
      </c>
      <c r="S37" t="s">
        <v>52</v>
      </c>
      <c r="T37" t="s">
        <v>52</v>
      </c>
      <c r="U37" t="s">
        <v>51</v>
      </c>
      <c r="V37" t="b">
        <v>1</v>
      </c>
      <c r="X37" t="b">
        <v>1</v>
      </c>
      <c r="Y37" t="b">
        <v>0</v>
      </c>
      <c r="Z37" t="b">
        <v>0</v>
      </c>
    </row>
    <row r="38" spans="1:26" hidden="1" x14ac:dyDescent="0.3">
      <c r="A38" s="120">
        <f>IF(COUNTIF(LEDGER[LedgerCode],FC_import[[#This Row],[LedgerCode]])&gt;0,0,1)</f>
        <v>0</v>
      </c>
      <c r="B38" s="95">
        <f>IF(COUNTIF(Table_System_Grouping_Codes[groupingCodeCode],FC_import[[#This Row],[GroupingCode]])&gt;0,0,1)</f>
        <v>0</v>
      </c>
      <c r="C38" s="85">
        <f>IF(COUNTIF(CUSTGROUP[CustomGroupingCode],FC_import[[#This Row],[CustomGrouping]])&gt;0,0,1)</f>
        <v>1</v>
      </c>
      <c r="D38" s="85" cm="1">
        <f t="array" ref="D38">IF(FC_import[[#This Row],[AvailableToAllSchools]]=TRUE,0,COUNTA(_xlfn.TEXTSPLIT(FC_import[[#This Row],[SchoolCodes]],",",,TRUE))-SUM(COUNTIF(SCHOOLS[SchoolCode],_xlfn.TEXTSPLIT(FC_import[[#This Row],[SchoolCodes]],",",,TRUE))))</f>
        <v>0</v>
      </c>
      <c r="E38" s="85">
        <f>IF(FC_import[[#This Row],[FinanceCodeTypeCode]]="BUDGET",0,COUNTIF(P:P,P38)-1)</f>
        <v>0</v>
      </c>
      <c r="F38" s="85">
        <f>IF(FC_import[[#This Row],[FinanceCodeTypeCode]]="BUDGET",0,COUNTIF(Q:Q,Q38)-1)</f>
        <v>0</v>
      </c>
      <c r="G38" s="85">
        <f>COUNTIF(Lookup!$A$2:$A$7,R38)-1</f>
        <v>0</v>
      </c>
      <c r="H38" s="80">
        <f>IF(LEN(FC_import[[#This Row],[FinanceCode]])&lt;100,0,1)</f>
        <v>0</v>
      </c>
      <c r="I38" s="80">
        <f>IF(TRIM(FC_import[[#This Row],[FinanceCode]])="",1,0)</f>
        <v>0</v>
      </c>
      <c r="J38" s="80">
        <f>IF(TRIM(FC_import[[#This Row],[Title]])="",1,0)</f>
        <v>0</v>
      </c>
      <c r="K38" s="80">
        <f>IF(LEN(FC_import[[#This Row],[Title]])&lt;100,0,1)</f>
        <v>0</v>
      </c>
      <c r="L38" s="80">
        <f>IF(ISBLANK(FC_import[[#This Row],[BalanceToScenario]]),1,0)</f>
        <v>0</v>
      </c>
      <c r="M38" s="80">
        <f>IF(EXACT(FC_import[[#This Row],[FinanceCode]],UPPER(FC_import[[#This Row],[FinanceCode]])),0,1)</f>
        <v>0</v>
      </c>
      <c r="N38" s="80">
        <f>IF(SUBSTITUTE(TEXT(FC_import[[#This Row],[FinanceCode]],10)," ","")=TEXT(FC_import[[#This Row],[FinanceCode]],10),0,1)</f>
        <v>0</v>
      </c>
      <c r="O38" s="80">
        <f>SUM(FC_import[[#This Row],[LedgerIssue]:[CustGrIssue]],FC_import[[#This Row],[DupCode]:[Space in Code]])</f>
        <v>1</v>
      </c>
      <c r="P38" t="s">
        <v>1522</v>
      </c>
      <c r="Q38" t="s">
        <v>1529</v>
      </c>
      <c r="R38" t="s">
        <v>922</v>
      </c>
      <c r="S38" t="s">
        <v>52</v>
      </c>
      <c r="T38" t="s">
        <v>52</v>
      </c>
      <c r="U38" t="s">
        <v>51</v>
      </c>
      <c r="V38" t="b">
        <v>1</v>
      </c>
      <c r="X38" t="b">
        <v>1</v>
      </c>
      <c r="Y38" t="b">
        <v>0</v>
      </c>
      <c r="Z38" t="b">
        <v>0</v>
      </c>
    </row>
    <row r="39" spans="1:26" hidden="1" x14ac:dyDescent="0.3">
      <c r="A39" s="120">
        <f>IF(COUNTIF(LEDGER[LedgerCode],FC_import[[#This Row],[LedgerCode]])&gt;0,0,1)</f>
        <v>0</v>
      </c>
      <c r="B39" s="95">
        <f>IF(COUNTIF(Table_System_Grouping_Codes[groupingCodeCode],FC_import[[#This Row],[GroupingCode]])&gt;0,0,1)</f>
        <v>0</v>
      </c>
      <c r="C39" s="85">
        <f>IF(COUNTIF(CUSTGROUP[CustomGroupingCode],FC_import[[#This Row],[CustomGrouping]])&gt;0,0,1)</f>
        <v>1</v>
      </c>
      <c r="D39" s="85" cm="1">
        <f t="array" ref="D39">IF(FC_import[[#This Row],[AvailableToAllSchools]]=TRUE,0,COUNTA(_xlfn.TEXTSPLIT(FC_import[[#This Row],[SchoolCodes]],",",,TRUE))-SUM(COUNTIF(SCHOOLS[SchoolCode],_xlfn.TEXTSPLIT(FC_import[[#This Row],[SchoolCodes]],",",,TRUE))))</f>
        <v>0</v>
      </c>
      <c r="E39" s="85">
        <f>IF(FC_import[[#This Row],[FinanceCodeTypeCode]]="BUDGET",0,COUNTIF(P:P,P39)-1)</f>
        <v>0</v>
      </c>
      <c r="F39" s="85">
        <f>IF(FC_import[[#This Row],[FinanceCodeTypeCode]]="BUDGET",0,COUNTIF(Q:Q,Q39)-1)</f>
        <v>0</v>
      </c>
      <c r="G39" s="85">
        <f>COUNTIF(Lookup!$A$2:$A$7,R39)-1</f>
        <v>0</v>
      </c>
      <c r="H39" s="80">
        <f>IF(LEN(FC_import[[#This Row],[FinanceCode]])&lt;100,0,1)</f>
        <v>0</v>
      </c>
      <c r="I39" s="80">
        <f>IF(TRIM(FC_import[[#This Row],[FinanceCode]])="",1,0)</f>
        <v>0</v>
      </c>
      <c r="J39" s="80">
        <f>IF(TRIM(FC_import[[#This Row],[Title]])="",1,0)</f>
        <v>0</v>
      </c>
      <c r="K39" s="80">
        <f>IF(LEN(FC_import[[#This Row],[Title]])&lt;100,0,1)</f>
        <v>0</v>
      </c>
      <c r="L39" s="80">
        <f>IF(ISBLANK(FC_import[[#This Row],[BalanceToScenario]]),1,0)</f>
        <v>0</v>
      </c>
      <c r="M39" s="80">
        <f>IF(EXACT(FC_import[[#This Row],[FinanceCode]],UPPER(FC_import[[#This Row],[FinanceCode]])),0,1)</f>
        <v>0</v>
      </c>
      <c r="N39" s="80">
        <f>IF(SUBSTITUTE(TEXT(FC_import[[#This Row],[FinanceCode]],10)," ","")=TEXT(FC_import[[#This Row],[FinanceCode]],10),0,1)</f>
        <v>0</v>
      </c>
      <c r="O39" s="80">
        <f>SUM(FC_import[[#This Row],[LedgerIssue]:[CustGrIssue]],FC_import[[#This Row],[DupCode]:[Space in Code]])</f>
        <v>1</v>
      </c>
      <c r="P39" t="s">
        <v>1621</v>
      </c>
      <c r="Q39" t="s">
        <v>1622</v>
      </c>
      <c r="R39" t="s">
        <v>922</v>
      </c>
      <c r="S39" t="s">
        <v>852</v>
      </c>
      <c r="T39" t="s">
        <v>52</v>
      </c>
      <c r="U39" t="s">
        <v>51</v>
      </c>
      <c r="V39" t="b">
        <v>1</v>
      </c>
      <c r="X39" t="b">
        <v>1</v>
      </c>
      <c r="Y39" t="b">
        <v>0</v>
      </c>
      <c r="Z39" t="b">
        <v>0</v>
      </c>
    </row>
    <row r="40" spans="1:26" hidden="1" x14ac:dyDescent="0.3">
      <c r="A40" s="120">
        <f>IF(COUNTIF(LEDGER[LedgerCode],FC_import[[#This Row],[LedgerCode]])&gt;0,0,1)</f>
        <v>0</v>
      </c>
      <c r="B40" s="95">
        <f>IF(COUNTIF(Table_System_Grouping_Codes[groupingCodeCode],FC_import[[#This Row],[GroupingCode]])&gt;0,0,1)</f>
        <v>0</v>
      </c>
      <c r="C40" s="85">
        <f>IF(COUNTIF(CUSTGROUP[CustomGroupingCode],FC_import[[#This Row],[CustomGrouping]])&gt;0,0,1)</f>
        <v>1</v>
      </c>
      <c r="D40" s="85" cm="1">
        <f t="array" ref="D40">IF(FC_import[[#This Row],[AvailableToAllSchools]]=TRUE,0,COUNTA(_xlfn.TEXTSPLIT(FC_import[[#This Row],[SchoolCodes]],",",,TRUE))-SUM(COUNTIF(SCHOOLS[SchoolCode],_xlfn.TEXTSPLIT(FC_import[[#This Row],[SchoolCodes]],",",,TRUE))))</f>
        <v>0</v>
      </c>
      <c r="E40" s="85">
        <f>IF(FC_import[[#This Row],[FinanceCodeTypeCode]]="BUDGET",0,COUNTIF(P:P,P40)-1)</f>
        <v>0</v>
      </c>
      <c r="F40" s="85">
        <f>IF(FC_import[[#This Row],[FinanceCodeTypeCode]]="BUDGET",0,COUNTIF(Q:Q,Q40)-1)</f>
        <v>0</v>
      </c>
      <c r="G40" s="85">
        <f>COUNTIF(Lookup!$A$2:$A$7,R40)-1</f>
        <v>0</v>
      </c>
      <c r="H40" s="80">
        <f>IF(LEN(FC_import[[#This Row],[FinanceCode]])&lt;100,0,1)</f>
        <v>0</v>
      </c>
      <c r="I40" s="80">
        <f>IF(TRIM(FC_import[[#This Row],[FinanceCode]])="",1,0)</f>
        <v>0</v>
      </c>
      <c r="J40" s="80">
        <f>IF(TRIM(FC_import[[#This Row],[Title]])="",1,0)</f>
        <v>0</v>
      </c>
      <c r="K40" s="80">
        <f>IF(LEN(FC_import[[#This Row],[Title]])&lt;100,0,1)</f>
        <v>0</v>
      </c>
      <c r="L40" s="80">
        <f>IF(ISBLANK(FC_import[[#This Row],[BalanceToScenario]]),1,0)</f>
        <v>0</v>
      </c>
      <c r="M40" s="80">
        <f>IF(EXACT(FC_import[[#This Row],[FinanceCode]],UPPER(FC_import[[#This Row],[FinanceCode]])),0,1)</f>
        <v>0</v>
      </c>
      <c r="N40" s="80">
        <f>IF(SUBSTITUTE(TEXT(FC_import[[#This Row],[FinanceCode]],10)," ","")=TEXT(FC_import[[#This Row],[FinanceCode]],10),0,1)</f>
        <v>0</v>
      </c>
      <c r="O40" s="80">
        <f>SUM(FC_import[[#This Row],[LedgerIssue]:[CustGrIssue]],FC_import[[#This Row],[DupCode]:[Space in Code]])</f>
        <v>1</v>
      </c>
      <c r="P40" t="s">
        <v>1554</v>
      </c>
      <c r="Q40" t="s">
        <v>1555</v>
      </c>
      <c r="R40" t="s">
        <v>922</v>
      </c>
      <c r="S40" t="s">
        <v>852</v>
      </c>
      <c r="T40" t="s">
        <v>52</v>
      </c>
      <c r="U40" t="s">
        <v>51</v>
      </c>
      <c r="V40" t="b">
        <v>1</v>
      </c>
      <c r="X40" t="b">
        <v>1</v>
      </c>
      <c r="Y40" t="b">
        <v>0</v>
      </c>
      <c r="Z40" t="b">
        <v>0</v>
      </c>
    </row>
    <row r="41" spans="1:26" hidden="1" x14ac:dyDescent="0.3">
      <c r="A41" s="120">
        <f>IF(COUNTIF(LEDGER[LedgerCode],FC_import[[#This Row],[LedgerCode]])&gt;0,0,1)</f>
        <v>0</v>
      </c>
      <c r="B41" s="95">
        <f>IF(COUNTIF(Table_System_Grouping_Codes[groupingCodeCode],FC_import[[#This Row],[GroupingCode]])&gt;0,0,1)</f>
        <v>0</v>
      </c>
      <c r="C41" s="85">
        <f>IF(COUNTIF(CUSTGROUP[CustomGroupingCode],FC_import[[#This Row],[CustomGrouping]])&gt;0,0,1)</f>
        <v>1</v>
      </c>
      <c r="D41" s="85" cm="1">
        <f t="array" ref="D41">IF(FC_import[[#This Row],[AvailableToAllSchools]]=TRUE,0,COUNTA(_xlfn.TEXTSPLIT(FC_import[[#This Row],[SchoolCodes]],",",,TRUE))-SUM(COUNTIF(SCHOOLS[SchoolCode],_xlfn.TEXTSPLIT(FC_import[[#This Row],[SchoolCodes]],",",,TRUE))))</f>
        <v>0</v>
      </c>
      <c r="E41" s="85">
        <f>IF(FC_import[[#This Row],[FinanceCodeTypeCode]]="BUDGET",0,COUNTIF(P:P,P41)-1)</f>
        <v>0</v>
      </c>
      <c r="F41" s="85">
        <f>IF(FC_import[[#This Row],[FinanceCodeTypeCode]]="BUDGET",0,COUNTIF(Q:Q,Q41)-1)</f>
        <v>0</v>
      </c>
      <c r="G41" s="85">
        <f>COUNTIF(Lookup!$A$2:$A$7,R41)-1</f>
        <v>0</v>
      </c>
      <c r="H41" s="80">
        <f>IF(LEN(FC_import[[#This Row],[FinanceCode]])&lt;100,0,1)</f>
        <v>0</v>
      </c>
      <c r="I41" s="80">
        <f>IF(TRIM(FC_import[[#This Row],[FinanceCode]])="",1,0)</f>
        <v>0</v>
      </c>
      <c r="J41" s="80">
        <f>IF(TRIM(FC_import[[#This Row],[Title]])="",1,0)</f>
        <v>0</v>
      </c>
      <c r="K41" s="80">
        <f>IF(LEN(FC_import[[#This Row],[Title]])&lt;100,0,1)</f>
        <v>0</v>
      </c>
      <c r="L41" s="80">
        <f>IF(ISBLANK(FC_import[[#This Row],[BalanceToScenario]]),1,0)</f>
        <v>0</v>
      </c>
      <c r="M41" s="80">
        <f>IF(EXACT(FC_import[[#This Row],[FinanceCode]],UPPER(FC_import[[#This Row],[FinanceCode]])),0,1)</f>
        <v>0</v>
      </c>
      <c r="N41" s="80">
        <f>IF(SUBSTITUTE(TEXT(FC_import[[#This Row],[FinanceCode]],10)," ","")=TEXT(FC_import[[#This Row],[FinanceCode]],10),0,1)</f>
        <v>0</v>
      </c>
      <c r="O41" s="80">
        <f>SUM(FC_import[[#This Row],[LedgerIssue]:[CustGrIssue]],FC_import[[#This Row],[DupCode]:[Space in Code]])</f>
        <v>1</v>
      </c>
      <c r="P41" t="s">
        <v>1556</v>
      </c>
      <c r="Q41" t="s">
        <v>1557</v>
      </c>
      <c r="R41" t="s">
        <v>922</v>
      </c>
      <c r="S41" t="s">
        <v>852</v>
      </c>
      <c r="T41" t="s">
        <v>52</v>
      </c>
      <c r="U41" t="s">
        <v>51</v>
      </c>
      <c r="V41" t="b">
        <v>1</v>
      </c>
      <c r="X41" t="b">
        <v>1</v>
      </c>
      <c r="Y41" t="b">
        <v>0</v>
      </c>
      <c r="Z41" t="b">
        <v>0</v>
      </c>
    </row>
    <row r="42" spans="1:26" hidden="1" x14ac:dyDescent="0.3">
      <c r="A42" s="120">
        <f>IF(COUNTIF(LEDGER[LedgerCode],FC_import[[#This Row],[LedgerCode]])&gt;0,0,1)</f>
        <v>0</v>
      </c>
      <c r="B42" s="95">
        <f>IF(COUNTIF(Table_System_Grouping_Codes[groupingCodeCode],FC_import[[#This Row],[GroupingCode]])&gt;0,0,1)</f>
        <v>0</v>
      </c>
      <c r="C42" s="85">
        <f>IF(COUNTIF(CUSTGROUP[CustomGroupingCode],FC_import[[#This Row],[CustomGrouping]])&gt;0,0,1)</f>
        <v>1</v>
      </c>
      <c r="D42" s="85" cm="1">
        <f t="array" ref="D42">IF(FC_import[[#This Row],[AvailableToAllSchools]]=TRUE,0,COUNTA(_xlfn.TEXTSPLIT(FC_import[[#This Row],[SchoolCodes]],",",,TRUE))-SUM(COUNTIF(SCHOOLS[SchoolCode],_xlfn.TEXTSPLIT(FC_import[[#This Row],[SchoolCodes]],",",,TRUE))))</f>
        <v>0</v>
      </c>
      <c r="E42" s="85">
        <f>IF(FC_import[[#This Row],[FinanceCodeTypeCode]]="BUDGET",0,COUNTIF(P:P,P42)-1)</f>
        <v>0</v>
      </c>
      <c r="F42" s="85">
        <f>IF(FC_import[[#This Row],[FinanceCodeTypeCode]]="BUDGET",0,COUNTIF(Q:Q,Q42)-1)</f>
        <v>0</v>
      </c>
      <c r="G42" s="85">
        <f>COUNTIF(Lookup!$A$2:$A$7,R42)-1</f>
        <v>0</v>
      </c>
      <c r="H42" s="80">
        <f>IF(LEN(FC_import[[#This Row],[FinanceCode]])&lt;100,0,1)</f>
        <v>0</v>
      </c>
      <c r="I42" s="80">
        <f>IF(TRIM(FC_import[[#This Row],[FinanceCode]])="",1,0)</f>
        <v>0</v>
      </c>
      <c r="J42" s="80">
        <f>IF(TRIM(FC_import[[#This Row],[Title]])="",1,0)</f>
        <v>0</v>
      </c>
      <c r="K42" s="80">
        <f>IF(LEN(FC_import[[#This Row],[Title]])&lt;100,0,1)</f>
        <v>0</v>
      </c>
      <c r="L42" s="80">
        <f>IF(ISBLANK(FC_import[[#This Row],[BalanceToScenario]]),1,0)</f>
        <v>0</v>
      </c>
      <c r="M42" s="80">
        <f>IF(EXACT(FC_import[[#This Row],[FinanceCode]],UPPER(FC_import[[#This Row],[FinanceCode]])),0,1)</f>
        <v>0</v>
      </c>
      <c r="N42" s="80">
        <f>IF(SUBSTITUTE(TEXT(FC_import[[#This Row],[FinanceCode]],10)," ","")=TEXT(FC_import[[#This Row],[FinanceCode]],10),0,1)</f>
        <v>0</v>
      </c>
      <c r="O42" s="80">
        <f>SUM(FC_import[[#This Row],[LedgerIssue]:[CustGrIssue]],FC_import[[#This Row],[DupCode]:[Space in Code]])</f>
        <v>1</v>
      </c>
      <c r="P42" t="s">
        <v>1076</v>
      </c>
      <c r="Q42" t="s">
        <v>1077</v>
      </c>
      <c r="R42" t="s">
        <v>1078</v>
      </c>
      <c r="S42" t="s">
        <v>849</v>
      </c>
      <c r="T42" t="s">
        <v>52</v>
      </c>
      <c r="U42" t="s">
        <v>51</v>
      </c>
      <c r="V42" t="b">
        <v>1</v>
      </c>
      <c r="X42" t="b">
        <v>1</v>
      </c>
      <c r="Y42" t="b">
        <v>0</v>
      </c>
      <c r="Z42" t="b">
        <v>0</v>
      </c>
    </row>
    <row r="43" spans="1:26" hidden="1" x14ac:dyDescent="0.3">
      <c r="A43" s="120">
        <f>IF(COUNTIF(LEDGER[LedgerCode],FC_import[[#This Row],[LedgerCode]])&gt;0,0,1)</f>
        <v>0</v>
      </c>
      <c r="B43" s="95">
        <f>IF(COUNTIF(Table_System_Grouping_Codes[groupingCodeCode],FC_import[[#This Row],[GroupingCode]])&gt;0,0,1)</f>
        <v>0</v>
      </c>
      <c r="C43" s="85">
        <f>IF(COUNTIF(CUSTGROUP[CustomGroupingCode],FC_import[[#This Row],[CustomGrouping]])&gt;0,0,1)</f>
        <v>1</v>
      </c>
      <c r="D43" s="85" cm="1">
        <f t="array" ref="D43">IF(FC_import[[#This Row],[AvailableToAllSchools]]=TRUE,0,COUNTA(_xlfn.TEXTSPLIT(FC_import[[#This Row],[SchoolCodes]],",",,TRUE))-SUM(COUNTIF(SCHOOLS[SchoolCode],_xlfn.TEXTSPLIT(FC_import[[#This Row],[SchoolCodes]],",",,TRUE))))</f>
        <v>0</v>
      </c>
      <c r="E43" s="85">
        <f>IF(FC_import[[#This Row],[FinanceCodeTypeCode]]="BUDGET",0,COUNTIF(P:P,P43)-1)</f>
        <v>0</v>
      </c>
      <c r="F43" s="85">
        <f>IF(FC_import[[#This Row],[FinanceCodeTypeCode]]="BUDGET",0,COUNTIF(Q:Q,Q43)-1)</f>
        <v>0</v>
      </c>
      <c r="G43" s="85">
        <f>COUNTIF(Lookup!$A$2:$A$7,R43)-1</f>
        <v>0</v>
      </c>
      <c r="H43" s="80">
        <f>IF(LEN(FC_import[[#This Row],[FinanceCode]])&lt;100,0,1)</f>
        <v>0</v>
      </c>
      <c r="I43" s="80">
        <f>IF(TRIM(FC_import[[#This Row],[FinanceCode]])="",1,0)</f>
        <v>0</v>
      </c>
      <c r="J43" s="80">
        <f>IF(TRIM(FC_import[[#This Row],[Title]])="",1,0)</f>
        <v>0</v>
      </c>
      <c r="K43" s="80">
        <f>IF(LEN(FC_import[[#This Row],[Title]])&lt;100,0,1)</f>
        <v>0</v>
      </c>
      <c r="L43" s="80">
        <f>IF(ISBLANK(FC_import[[#This Row],[BalanceToScenario]]),1,0)</f>
        <v>0</v>
      </c>
      <c r="M43" s="80">
        <f>IF(EXACT(FC_import[[#This Row],[FinanceCode]],UPPER(FC_import[[#This Row],[FinanceCode]])),0,1)</f>
        <v>0</v>
      </c>
      <c r="N43" s="80">
        <f>IF(SUBSTITUTE(TEXT(FC_import[[#This Row],[FinanceCode]],10)," ","")=TEXT(FC_import[[#This Row],[FinanceCode]],10),0,1)</f>
        <v>0</v>
      </c>
      <c r="O43" s="80">
        <f>SUM(FC_import[[#This Row],[LedgerIssue]:[CustGrIssue]],FC_import[[#This Row],[DupCode]:[Space in Code]])</f>
        <v>1</v>
      </c>
      <c r="P43" t="s">
        <v>2573</v>
      </c>
      <c r="Q43" t="s">
        <v>2584</v>
      </c>
      <c r="R43" t="s">
        <v>978</v>
      </c>
      <c r="S43" t="s">
        <v>52</v>
      </c>
      <c r="T43" t="s">
        <v>52</v>
      </c>
      <c r="U43" t="s">
        <v>51</v>
      </c>
      <c r="V43" t="b">
        <v>1</v>
      </c>
      <c r="X43" t="b">
        <v>1</v>
      </c>
      <c r="Y43" t="b">
        <v>0</v>
      </c>
      <c r="Z43" t="b">
        <v>0</v>
      </c>
    </row>
    <row r="44" spans="1:26" hidden="1" x14ac:dyDescent="0.3">
      <c r="A44" s="120">
        <f>IF(COUNTIF(LEDGER[LedgerCode],FC_import[[#This Row],[LedgerCode]])&gt;0,0,1)</f>
        <v>0</v>
      </c>
      <c r="B44" s="95">
        <f>IF(COUNTIF(Table_System_Grouping_Codes[groupingCodeCode],FC_import[[#This Row],[GroupingCode]])&gt;0,0,1)</f>
        <v>0</v>
      </c>
      <c r="C44" s="85">
        <f>IF(COUNTIF(CUSTGROUP[CustomGroupingCode],FC_import[[#This Row],[CustomGrouping]])&gt;0,0,1)</f>
        <v>1</v>
      </c>
      <c r="D44" s="85" cm="1">
        <f t="array" ref="D44">IF(FC_import[[#This Row],[AvailableToAllSchools]]=TRUE,0,COUNTA(_xlfn.TEXTSPLIT(FC_import[[#This Row],[SchoolCodes]],",",,TRUE))-SUM(COUNTIF(SCHOOLS[SchoolCode],_xlfn.TEXTSPLIT(FC_import[[#This Row],[SchoolCodes]],",",,TRUE))))</f>
        <v>0</v>
      </c>
      <c r="E44" s="85">
        <f>IF(FC_import[[#This Row],[FinanceCodeTypeCode]]="BUDGET",0,COUNTIF(P:P,P44)-1)</f>
        <v>0</v>
      </c>
      <c r="F44" s="85">
        <f>IF(FC_import[[#This Row],[FinanceCodeTypeCode]]="BUDGET",0,COUNTIF(Q:Q,Q44)-1)</f>
        <v>0</v>
      </c>
      <c r="G44" s="85">
        <f>COUNTIF(Lookup!$A$2:$A$7,R44)-1</f>
        <v>0</v>
      </c>
      <c r="H44" s="80">
        <f>IF(LEN(FC_import[[#This Row],[FinanceCode]])&lt;100,0,1)</f>
        <v>0</v>
      </c>
      <c r="I44" s="80">
        <f>IF(TRIM(FC_import[[#This Row],[FinanceCode]])="",1,0)</f>
        <v>0</v>
      </c>
      <c r="J44" s="80">
        <f>IF(TRIM(FC_import[[#This Row],[Title]])="",1,0)</f>
        <v>0</v>
      </c>
      <c r="K44" s="80">
        <f>IF(LEN(FC_import[[#This Row],[Title]])&lt;100,0,1)</f>
        <v>0</v>
      </c>
      <c r="L44" s="80">
        <f>IF(ISBLANK(FC_import[[#This Row],[BalanceToScenario]]),1,0)</f>
        <v>0</v>
      </c>
      <c r="M44" s="80">
        <f>IF(EXACT(FC_import[[#This Row],[FinanceCode]],UPPER(FC_import[[#This Row],[FinanceCode]])),0,1)</f>
        <v>0</v>
      </c>
      <c r="N44" s="80">
        <f>IF(SUBSTITUTE(TEXT(FC_import[[#This Row],[FinanceCode]],10)," ","")=TEXT(FC_import[[#This Row],[FinanceCode]],10),0,1)</f>
        <v>0</v>
      </c>
      <c r="O44" s="80">
        <f>SUM(FC_import[[#This Row],[LedgerIssue]:[CustGrIssue]],FC_import[[#This Row],[DupCode]:[Space in Code]])</f>
        <v>1</v>
      </c>
      <c r="P44" t="s">
        <v>995</v>
      </c>
      <c r="Q44" t="s">
        <v>996</v>
      </c>
      <c r="R44" t="s">
        <v>978</v>
      </c>
      <c r="S44" t="s">
        <v>839</v>
      </c>
      <c r="T44" t="s">
        <v>52</v>
      </c>
      <c r="U44" t="s">
        <v>51</v>
      </c>
      <c r="V44" t="b">
        <v>1</v>
      </c>
      <c r="X44" t="b">
        <v>1</v>
      </c>
      <c r="Y44" t="b">
        <v>0</v>
      </c>
      <c r="Z44" t="b">
        <v>0</v>
      </c>
    </row>
    <row r="45" spans="1:26" hidden="1" x14ac:dyDescent="0.3">
      <c r="A45" s="120">
        <f>IF(COUNTIF(LEDGER[LedgerCode],FC_import[[#This Row],[LedgerCode]])&gt;0,0,1)</f>
        <v>0</v>
      </c>
      <c r="B45" s="95">
        <f>IF(COUNTIF(Table_System_Grouping_Codes[groupingCodeCode],FC_import[[#This Row],[GroupingCode]])&gt;0,0,1)</f>
        <v>0</v>
      </c>
      <c r="C45" s="85">
        <f>IF(COUNTIF(CUSTGROUP[CustomGroupingCode],FC_import[[#This Row],[CustomGrouping]])&gt;0,0,1)</f>
        <v>1</v>
      </c>
      <c r="D45" s="85" cm="1">
        <f t="array" ref="D45">IF(FC_import[[#This Row],[AvailableToAllSchools]]=TRUE,0,COUNTA(_xlfn.TEXTSPLIT(FC_import[[#This Row],[SchoolCodes]],",",,TRUE))-SUM(COUNTIF(SCHOOLS[SchoolCode],_xlfn.TEXTSPLIT(FC_import[[#This Row],[SchoolCodes]],",",,TRUE))))</f>
        <v>0</v>
      </c>
      <c r="E45" s="85">
        <f>IF(FC_import[[#This Row],[FinanceCodeTypeCode]]="BUDGET",0,COUNTIF(P:P,P45)-1)</f>
        <v>0</v>
      </c>
      <c r="F45" s="85">
        <f>IF(FC_import[[#This Row],[FinanceCodeTypeCode]]="BUDGET",0,COUNTIF(Q:Q,Q45)-1)</f>
        <v>0</v>
      </c>
      <c r="G45" s="85">
        <f>COUNTIF(Lookup!$A$2:$A$7,R45)-1</f>
        <v>0</v>
      </c>
      <c r="H45" s="80">
        <f>IF(LEN(FC_import[[#This Row],[FinanceCode]])&lt;100,0,1)</f>
        <v>0</v>
      </c>
      <c r="I45" s="80">
        <f>IF(TRIM(FC_import[[#This Row],[FinanceCode]])="",1,0)</f>
        <v>0</v>
      </c>
      <c r="J45" s="80">
        <f>IF(TRIM(FC_import[[#This Row],[Title]])="",1,0)</f>
        <v>0</v>
      </c>
      <c r="K45" s="80">
        <f>IF(LEN(FC_import[[#This Row],[Title]])&lt;100,0,1)</f>
        <v>0</v>
      </c>
      <c r="L45" s="80">
        <f>IF(ISBLANK(FC_import[[#This Row],[BalanceToScenario]]),1,0)</f>
        <v>0</v>
      </c>
      <c r="M45" s="80">
        <f>IF(EXACT(FC_import[[#This Row],[FinanceCode]],UPPER(FC_import[[#This Row],[FinanceCode]])),0,1)</f>
        <v>0</v>
      </c>
      <c r="N45" s="80">
        <f>IF(SUBSTITUTE(TEXT(FC_import[[#This Row],[FinanceCode]],10)," ","")=TEXT(FC_import[[#This Row],[FinanceCode]],10),0,1)</f>
        <v>0</v>
      </c>
      <c r="O45" s="80">
        <f>SUM(FC_import[[#This Row],[LedgerIssue]:[CustGrIssue]],FC_import[[#This Row],[DupCode]:[Space in Code]])</f>
        <v>1</v>
      </c>
      <c r="P45" t="s">
        <v>997</v>
      </c>
      <c r="Q45" t="s">
        <v>998</v>
      </c>
      <c r="R45" t="s">
        <v>978</v>
      </c>
      <c r="S45" t="s">
        <v>52</v>
      </c>
      <c r="T45" t="s">
        <v>52</v>
      </c>
      <c r="U45" t="s">
        <v>51</v>
      </c>
      <c r="V45" t="b">
        <v>1</v>
      </c>
      <c r="X45" t="b">
        <v>1</v>
      </c>
      <c r="Y45" t="b">
        <v>0</v>
      </c>
      <c r="Z45" t="b">
        <v>0</v>
      </c>
    </row>
    <row r="46" spans="1:26" hidden="1" x14ac:dyDescent="0.3">
      <c r="A46" s="120">
        <f>IF(COUNTIF(LEDGER[LedgerCode],FC_import[[#This Row],[LedgerCode]])&gt;0,0,1)</f>
        <v>0</v>
      </c>
      <c r="B46" s="95">
        <f>IF(COUNTIF(Table_System_Grouping_Codes[groupingCodeCode],FC_import[[#This Row],[GroupingCode]])&gt;0,0,1)</f>
        <v>0</v>
      </c>
      <c r="C46" s="85">
        <f>IF(COUNTIF(CUSTGROUP[CustomGroupingCode],FC_import[[#This Row],[CustomGrouping]])&gt;0,0,1)</f>
        <v>1</v>
      </c>
      <c r="D46" s="85" cm="1">
        <f t="array" ref="D46">IF(FC_import[[#This Row],[AvailableToAllSchools]]=TRUE,0,COUNTA(_xlfn.TEXTSPLIT(FC_import[[#This Row],[SchoolCodes]],",",,TRUE))-SUM(COUNTIF(SCHOOLS[SchoolCode],_xlfn.TEXTSPLIT(FC_import[[#This Row],[SchoolCodes]],",",,TRUE))))</f>
        <v>0</v>
      </c>
      <c r="E46" s="85">
        <f>IF(FC_import[[#This Row],[FinanceCodeTypeCode]]="BUDGET",0,COUNTIF(P:P,P46)-1)</f>
        <v>0</v>
      </c>
      <c r="F46" s="85">
        <f>IF(FC_import[[#This Row],[FinanceCodeTypeCode]]="BUDGET",0,COUNTIF(Q:Q,Q46)-1)</f>
        <v>0</v>
      </c>
      <c r="G46" s="85">
        <f>COUNTIF(Lookup!$A$2:$A$7,R46)-1</f>
        <v>0</v>
      </c>
      <c r="H46" s="80">
        <f>IF(LEN(FC_import[[#This Row],[FinanceCode]])&lt;100,0,1)</f>
        <v>0</v>
      </c>
      <c r="I46" s="80">
        <f>IF(TRIM(FC_import[[#This Row],[FinanceCode]])="",1,0)</f>
        <v>0</v>
      </c>
      <c r="J46" s="80">
        <f>IF(TRIM(FC_import[[#This Row],[Title]])="",1,0)</f>
        <v>0</v>
      </c>
      <c r="K46" s="80">
        <f>IF(LEN(FC_import[[#This Row],[Title]])&lt;100,0,1)</f>
        <v>0</v>
      </c>
      <c r="L46" s="80">
        <f>IF(ISBLANK(FC_import[[#This Row],[BalanceToScenario]]),1,0)</f>
        <v>0</v>
      </c>
      <c r="M46" s="80">
        <f>IF(EXACT(FC_import[[#This Row],[FinanceCode]],UPPER(FC_import[[#This Row],[FinanceCode]])),0,1)</f>
        <v>0</v>
      </c>
      <c r="N46" s="80">
        <f>IF(SUBSTITUTE(TEXT(FC_import[[#This Row],[FinanceCode]],10)," ","")=TEXT(FC_import[[#This Row],[FinanceCode]],10),0,1)</f>
        <v>0</v>
      </c>
      <c r="O46" s="80">
        <f>SUM(FC_import[[#This Row],[LedgerIssue]:[CustGrIssue]],FC_import[[#This Row],[DupCode]:[Space in Code]])</f>
        <v>1</v>
      </c>
      <c r="P46" t="s">
        <v>999</v>
      </c>
      <c r="Q46" t="s">
        <v>1000</v>
      </c>
      <c r="R46" t="s">
        <v>978</v>
      </c>
      <c r="S46" t="s">
        <v>52</v>
      </c>
      <c r="T46" t="s">
        <v>52</v>
      </c>
      <c r="U46" t="s">
        <v>51</v>
      </c>
      <c r="V46" t="b">
        <v>1</v>
      </c>
      <c r="X46" t="b">
        <v>1</v>
      </c>
      <c r="Y46" t="b">
        <v>0</v>
      </c>
      <c r="Z46" t="b">
        <v>0</v>
      </c>
    </row>
    <row r="47" spans="1:26" hidden="1" x14ac:dyDescent="0.3">
      <c r="A47" s="120">
        <f>IF(COUNTIF(LEDGER[LedgerCode],FC_import[[#This Row],[LedgerCode]])&gt;0,0,1)</f>
        <v>0</v>
      </c>
      <c r="B47" s="95">
        <f>IF(COUNTIF(Table_System_Grouping_Codes[groupingCodeCode],FC_import[[#This Row],[GroupingCode]])&gt;0,0,1)</f>
        <v>0</v>
      </c>
      <c r="C47" s="85">
        <f>IF(COUNTIF(CUSTGROUP[CustomGroupingCode],FC_import[[#This Row],[CustomGrouping]])&gt;0,0,1)</f>
        <v>1</v>
      </c>
      <c r="D47" s="85" cm="1">
        <f t="array" ref="D47">IF(FC_import[[#This Row],[AvailableToAllSchools]]=TRUE,0,COUNTA(_xlfn.TEXTSPLIT(FC_import[[#This Row],[SchoolCodes]],",",,TRUE))-SUM(COUNTIF(SCHOOLS[SchoolCode],_xlfn.TEXTSPLIT(FC_import[[#This Row],[SchoolCodes]],",",,TRUE))))</f>
        <v>0</v>
      </c>
      <c r="E47" s="85">
        <f>IF(FC_import[[#This Row],[FinanceCodeTypeCode]]="BUDGET",0,COUNTIF(P:P,P47)-1)</f>
        <v>0</v>
      </c>
      <c r="F47" s="85">
        <f>IF(FC_import[[#This Row],[FinanceCodeTypeCode]]="BUDGET",0,COUNTIF(Q:Q,Q47)-1)</f>
        <v>0</v>
      </c>
      <c r="G47" s="85">
        <f>COUNTIF(Lookup!$A$2:$A$7,R47)-1</f>
        <v>0</v>
      </c>
      <c r="H47" s="80">
        <f>IF(LEN(FC_import[[#This Row],[FinanceCode]])&lt;100,0,1)</f>
        <v>0</v>
      </c>
      <c r="I47" s="80">
        <f>IF(TRIM(FC_import[[#This Row],[FinanceCode]])="",1,0)</f>
        <v>0</v>
      </c>
      <c r="J47" s="80">
        <f>IF(TRIM(FC_import[[#This Row],[Title]])="",1,0)</f>
        <v>0</v>
      </c>
      <c r="K47" s="80">
        <f>IF(LEN(FC_import[[#This Row],[Title]])&lt;100,0,1)</f>
        <v>0</v>
      </c>
      <c r="L47" s="80">
        <f>IF(ISBLANK(FC_import[[#This Row],[BalanceToScenario]]),1,0)</f>
        <v>0</v>
      </c>
      <c r="M47" s="80">
        <f>IF(EXACT(FC_import[[#This Row],[FinanceCode]],UPPER(FC_import[[#This Row],[FinanceCode]])),0,1)</f>
        <v>0</v>
      </c>
      <c r="N47" s="80">
        <f>IF(SUBSTITUTE(TEXT(FC_import[[#This Row],[FinanceCode]],10)," ","")=TEXT(FC_import[[#This Row],[FinanceCode]],10),0,1)</f>
        <v>0</v>
      </c>
      <c r="O47" s="80">
        <f>SUM(FC_import[[#This Row],[LedgerIssue]:[CustGrIssue]],FC_import[[#This Row],[DupCode]:[Space in Code]])</f>
        <v>1</v>
      </c>
      <c r="P47" t="s">
        <v>1517</v>
      </c>
      <c r="Q47" t="s">
        <v>1518</v>
      </c>
      <c r="R47" t="s">
        <v>978</v>
      </c>
      <c r="S47" t="s">
        <v>52</v>
      </c>
      <c r="T47" t="s">
        <v>52</v>
      </c>
      <c r="U47" t="s">
        <v>51</v>
      </c>
      <c r="V47" t="b">
        <v>1</v>
      </c>
      <c r="X47" t="b">
        <v>1</v>
      </c>
      <c r="Y47" t="b">
        <v>0</v>
      </c>
      <c r="Z47" t="b">
        <v>0</v>
      </c>
    </row>
    <row r="48" spans="1:26" hidden="1" x14ac:dyDescent="0.3">
      <c r="A48" s="120">
        <f>IF(COUNTIF(LEDGER[LedgerCode],FC_import[[#This Row],[LedgerCode]])&gt;0,0,1)</f>
        <v>0</v>
      </c>
      <c r="B48" s="95">
        <f>IF(COUNTIF(Table_System_Grouping_Codes[groupingCodeCode],FC_import[[#This Row],[GroupingCode]])&gt;0,0,1)</f>
        <v>0</v>
      </c>
      <c r="C48" s="85">
        <f>IF(COUNTIF(CUSTGROUP[CustomGroupingCode],FC_import[[#This Row],[CustomGrouping]])&gt;0,0,1)</f>
        <v>1</v>
      </c>
      <c r="D48" s="85" cm="1">
        <f t="array" ref="D48">IF(FC_import[[#This Row],[AvailableToAllSchools]]=TRUE,0,COUNTA(_xlfn.TEXTSPLIT(FC_import[[#This Row],[SchoolCodes]],",",,TRUE))-SUM(COUNTIF(SCHOOLS[SchoolCode],_xlfn.TEXTSPLIT(FC_import[[#This Row],[SchoolCodes]],",",,TRUE))))</f>
        <v>0</v>
      </c>
      <c r="E48" s="85">
        <f>IF(FC_import[[#This Row],[FinanceCodeTypeCode]]="BUDGET",0,COUNTIF(P:P,P48)-1)</f>
        <v>0</v>
      </c>
      <c r="F48" s="85">
        <f>IF(FC_import[[#This Row],[FinanceCodeTypeCode]]="BUDGET",0,COUNTIF(Q:Q,Q48)-1)</f>
        <v>0</v>
      </c>
      <c r="G48" s="85">
        <f>COUNTIF(Lookup!$A$2:$A$7,R48)-1</f>
        <v>0</v>
      </c>
      <c r="H48" s="80">
        <f>IF(LEN(FC_import[[#This Row],[FinanceCode]])&lt;100,0,1)</f>
        <v>0</v>
      </c>
      <c r="I48" s="80">
        <f>IF(TRIM(FC_import[[#This Row],[FinanceCode]])="",1,0)</f>
        <v>0</v>
      </c>
      <c r="J48" s="80">
        <f>IF(TRIM(FC_import[[#This Row],[Title]])="",1,0)</f>
        <v>0</v>
      </c>
      <c r="K48" s="80">
        <f>IF(LEN(FC_import[[#This Row],[Title]])&lt;100,0,1)</f>
        <v>0</v>
      </c>
      <c r="L48" s="80">
        <f>IF(ISBLANK(FC_import[[#This Row],[BalanceToScenario]]),1,0)</f>
        <v>0</v>
      </c>
      <c r="M48" s="80">
        <f>IF(EXACT(FC_import[[#This Row],[FinanceCode]],UPPER(FC_import[[#This Row],[FinanceCode]])),0,1)</f>
        <v>0</v>
      </c>
      <c r="N48" s="80">
        <f>IF(SUBSTITUTE(TEXT(FC_import[[#This Row],[FinanceCode]],10)," ","")=TEXT(FC_import[[#This Row],[FinanceCode]],10),0,1)</f>
        <v>0</v>
      </c>
      <c r="O48" s="80">
        <f>SUM(FC_import[[#This Row],[LedgerIssue]:[CustGrIssue]],FC_import[[#This Row],[DupCode]:[Space in Code]])</f>
        <v>1</v>
      </c>
      <c r="P48" t="s">
        <v>1003</v>
      </c>
      <c r="Q48" t="s">
        <v>1004</v>
      </c>
      <c r="R48" t="s">
        <v>978</v>
      </c>
      <c r="S48" t="s">
        <v>52</v>
      </c>
      <c r="T48" t="s">
        <v>52</v>
      </c>
      <c r="U48" t="s">
        <v>51</v>
      </c>
      <c r="V48" t="b">
        <v>1</v>
      </c>
      <c r="X48" t="b">
        <v>1</v>
      </c>
      <c r="Y48" t="b">
        <v>0</v>
      </c>
      <c r="Z48" t="b">
        <v>0</v>
      </c>
    </row>
    <row r="49" spans="1:26" hidden="1" x14ac:dyDescent="0.3">
      <c r="A49" s="120">
        <f>IF(COUNTIF(LEDGER[LedgerCode],FC_import[[#This Row],[LedgerCode]])&gt;0,0,1)</f>
        <v>0</v>
      </c>
      <c r="B49" s="95">
        <f>IF(COUNTIF(Table_System_Grouping_Codes[groupingCodeCode],FC_import[[#This Row],[GroupingCode]])&gt;0,0,1)</f>
        <v>0</v>
      </c>
      <c r="C49" s="85">
        <f>IF(COUNTIF(CUSTGROUP[CustomGroupingCode],FC_import[[#This Row],[CustomGrouping]])&gt;0,0,1)</f>
        <v>1</v>
      </c>
      <c r="D49" s="85" cm="1">
        <f t="array" ref="D49">IF(FC_import[[#This Row],[AvailableToAllSchools]]=TRUE,0,COUNTA(_xlfn.TEXTSPLIT(FC_import[[#This Row],[SchoolCodes]],",",,TRUE))-SUM(COUNTIF(SCHOOLS[SchoolCode],_xlfn.TEXTSPLIT(FC_import[[#This Row],[SchoolCodes]],",",,TRUE))))</f>
        <v>0</v>
      </c>
      <c r="E49" s="85">
        <f>IF(FC_import[[#This Row],[FinanceCodeTypeCode]]="BUDGET",0,COUNTIF(P:P,P49)-1)</f>
        <v>0</v>
      </c>
      <c r="F49" s="85">
        <f>IF(FC_import[[#This Row],[FinanceCodeTypeCode]]="BUDGET",0,COUNTIF(Q:Q,Q49)-1)</f>
        <v>0</v>
      </c>
      <c r="G49" s="85">
        <f>COUNTIF(Lookup!$A$2:$A$7,R49)-1</f>
        <v>0</v>
      </c>
      <c r="H49" s="80">
        <f>IF(LEN(FC_import[[#This Row],[FinanceCode]])&lt;100,0,1)</f>
        <v>0</v>
      </c>
      <c r="I49" s="80">
        <f>IF(TRIM(FC_import[[#This Row],[FinanceCode]])="",1,0)</f>
        <v>0</v>
      </c>
      <c r="J49" s="80">
        <f>IF(TRIM(FC_import[[#This Row],[Title]])="",1,0)</f>
        <v>0</v>
      </c>
      <c r="K49" s="80">
        <f>IF(LEN(FC_import[[#This Row],[Title]])&lt;100,0,1)</f>
        <v>0</v>
      </c>
      <c r="L49" s="80">
        <f>IF(ISBLANK(FC_import[[#This Row],[BalanceToScenario]]),1,0)</f>
        <v>0</v>
      </c>
      <c r="M49" s="80">
        <f>IF(EXACT(FC_import[[#This Row],[FinanceCode]],UPPER(FC_import[[#This Row],[FinanceCode]])),0,1)</f>
        <v>0</v>
      </c>
      <c r="N49" s="80">
        <f>IF(SUBSTITUTE(TEXT(FC_import[[#This Row],[FinanceCode]],10)," ","")=TEXT(FC_import[[#This Row],[FinanceCode]],10),0,1)</f>
        <v>0</v>
      </c>
      <c r="O49" s="80">
        <f>SUM(FC_import[[#This Row],[LedgerIssue]:[CustGrIssue]],FC_import[[#This Row],[DupCode]:[Space in Code]])</f>
        <v>1</v>
      </c>
      <c r="P49" t="s">
        <v>1009</v>
      </c>
      <c r="Q49" t="s">
        <v>1010</v>
      </c>
      <c r="R49" t="s">
        <v>978</v>
      </c>
      <c r="S49" t="s">
        <v>52</v>
      </c>
      <c r="T49" t="s">
        <v>52</v>
      </c>
      <c r="U49" t="s">
        <v>51</v>
      </c>
      <c r="V49" t="b">
        <v>1</v>
      </c>
      <c r="X49" t="b">
        <v>1</v>
      </c>
      <c r="Y49" t="b">
        <v>0</v>
      </c>
      <c r="Z49" t="b">
        <v>0</v>
      </c>
    </row>
    <row r="50" spans="1:26" hidden="1" x14ac:dyDescent="0.3">
      <c r="A50" s="120">
        <f>IF(COUNTIF(LEDGER[LedgerCode],FC_import[[#This Row],[LedgerCode]])&gt;0,0,1)</f>
        <v>0</v>
      </c>
      <c r="B50" s="95">
        <f>IF(COUNTIF(Table_System_Grouping_Codes[groupingCodeCode],FC_import[[#This Row],[GroupingCode]])&gt;0,0,1)</f>
        <v>0</v>
      </c>
      <c r="C50" s="85">
        <f>IF(COUNTIF(CUSTGROUP[CustomGroupingCode],FC_import[[#This Row],[CustomGrouping]])&gt;0,0,1)</f>
        <v>1</v>
      </c>
      <c r="D50" s="85" cm="1">
        <f t="array" ref="D50">IF(FC_import[[#This Row],[AvailableToAllSchools]]=TRUE,0,COUNTA(_xlfn.TEXTSPLIT(FC_import[[#This Row],[SchoolCodes]],",",,TRUE))-SUM(COUNTIF(SCHOOLS[SchoolCode],_xlfn.TEXTSPLIT(FC_import[[#This Row],[SchoolCodes]],",",,TRUE))))</f>
        <v>0</v>
      </c>
      <c r="E50" s="85">
        <f>IF(FC_import[[#This Row],[FinanceCodeTypeCode]]="BUDGET",0,COUNTIF(P:P,P50)-1)</f>
        <v>0</v>
      </c>
      <c r="F50" s="85">
        <f>IF(FC_import[[#This Row],[FinanceCodeTypeCode]]="BUDGET",0,COUNTIF(Q:Q,Q50)-1)</f>
        <v>0</v>
      </c>
      <c r="G50" s="85">
        <f>COUNTIF(Lookup!$A$2:$A$7,R50)-1</f>
        <v>0</v>
      </c>
      <c r="H50" s="80">
        <f>IF(LEN(FC_import[[#This Row],[FinanceCode]])&lt;100,0,1)</f>
        <v>0</v>
      </c>
      <c r="I50" s="80">
        <f>IF(TRIM(FC_import[[#This Row],[FinanceCode]])="",1,0)</f>
        <v>0</v>
      </c>
      <c r="J50" s="80">
        <f>IF(TRIM(FC_import[[#This Row],[Title]])="",1,0)</f>
        <v>0</v>
      </c>
      <c r="K50" s="80">
        <f>IF(LEN(FC_import[[#This Row],[Title]])&lt;100,0,1)</f>
        <v>0</v>
      </c>
      <c r="L50" s="80">
        <f>IF(ISBLANK(FC_import[[#This Row],[BalanceToScenario]]),1,0)</f>
        <v>0</v>
      </c>
      <c r="M50" s="80">
        <f>IF(EXACT(FC_import[[#This Row],[FinanceCode]],UPPER(FC_import[[#This Row],[FinanceCode]])),0,1)</f>
        <v>0</v>
      </c>
      <c r="N50" s="80">
        <f>IF(SUBSTITUTE(TEXT(FC_import[[#This Row],[FinanceCode]],10)," ","")=TEXT(FC_import[[#This Row],[FinanceCode]],10),0,1)</f>
        <v>0</v>
      </c>
      <c r="O50" s="80">
        <f>SUM(FC_import[[#This Row],[LedgerIssue]:[CustGrIssue]],FC_import[[#This Row],[DupCode]:[Space in Code]])</f>
        <v>1</v>
      </c>
      <c r="P50" t="s">
        <v>1011</v>
      </c>
      <c r="Q50" t="s">
        <v>1389</v>
      </c>
      <c r="R50" t="s">
        <v>978</v>
      </c>
      <c r="S50" t="s">
        <v>52</v>
      </c>
      <c r="T50" t="s">
        <v>52</v>
      </c>
      <c r="U50" t="s">
        <v>51</v>
      </c>
      <c r="V50" t="b">
        <v>1</v>
      </c>
      <c r="X50" t="b">
        <v>1</v>
      </c>
      <c r="Y50" t="b">
        <v>0</v>
      </c>
      <c r="Z50" t="b">
        <v>0</v>
      </c>
    </row>
    <row r="51" spans="1:26" hidden="1" x14ac:dyDescent="0.3">
      <c r="A51" s="120">
        <f>IF(COUNTIF(LEDGER[LedgerCode],FC_import[[#This Row],[LedgerCode]])&gt;0,0,1)</f>
        <v>0</v>
      </c>
      <c r="B51" s="95">
        <f>IF(COUNTIF(Table_System_Grouping_Codes[groupingCodeCode],FC_import[[#This Row],[GroupingCode]])&gt;0,0,1)</f>
        <v>0</v>
      </c>
      <c r="C51" s="85">
        <f>IF(COUNTIF(CUSTGROUP[CustomGroupingCode],FC_import[[#This Row],[CustomGrouping]])&gt;0,0,1)</f>
        <v>1</v>
      </c>
      <c r="D51" s="85" cm="1">
        <f t="array" ref="D51">IF(FC_import[[#This Row],[AvailableToAllSchools]]=TRUE,0,COUNTA(_xlfn.TEXTSPLIT(FC_import[[#This Row],[SchoolCodes]],",",,TRUE))-SUM(COUNTIF(SCHOOLS[SchoolCode],_xlfn.TEXTSPLIT(FC_import[[#This Row],[SchoolCodes]],",",,TRUE))))</f>
        <v>0</v>
      </c>
      <c r="E51" s="85">
        <f>IF(FC_import[[#This Row],[FinanceCodeTypeCode]]="BUDGET",0,COUNTIF(P:P,P51)-1)</f>
        <v>0</v>
      </c>
      <c r="F51" s="85">
        <f>IF(FC_import[[#This Row],[FinanceCodeTypeCode]]="BUDGET",0,COUNTIF(Q:Q,Q51)-1)</f>
        <v>0</v>
      </c>
      <c r="G51" s="85">
        <f>COUNTIF(Lookup!$A$2:$A$7,R51)-1</f>
        <v>0</v>
      </c>
      <c r="H51" s="80">
        <f>IF(LEN(FC_import[[#This Row],[FinanceCode]])&lt;100,0,1)</f>
        <v>0</v>
      </c>
      <c r="I51" s="80">
        <f>IF(TRIM(FC_import[[#This Row],[FinanceCode]])="",1,0)</f>
        <v>0</v>
      </c>
      <c r="J51" s="80">
        <f>IF(TRIM(FC_import[[#This Row],[Title]])="",1,0)</f>
        <v>0</v>
      </c>
      <c r="K51" s="80">
        <f>IF(LEN(FC_import[[#This Row],[Title]])&lt;100,0,1)</f>
        <v>0</v>
      </c>
      <c r="L51" s="80">
        <f>IF(ISBLANK(FC_import[[#This Row],[BalanceToScenario]]),1,0)</f>
        <v>0</v>
      </c>
      <c r="M51" s="80">
        <f>IF(EXACT(FC_import[[#This Row],[FinanceCode]],UPPER(FC_import[[#This Row],[FinanceCode]])),0,1)</f>
        <v>0</v>
      </c>
      <c r="N51" s="80">
        <f>IF(SUBSTITUTE(TEXT(FC_import[[#This Row],[FinanceCode]],10)," ","")=TEXT(FC_import[[#This Row],[FinanceCode]],10),0,1)</f>
        <v>0</v>
      </c>
      <c r="O51" s="80">
        <f>SUM(FC_import[[#This Row],[LedgerIssue]:[CustGrIssue]],FC_import[[#This Row],[DupCode]:[Space in Code]])</f>
        <v>1</v>
      </c>
      <c r="P51" t="s">
        <v>1502</v>
      </c>
      <c r="Q51" t="s">
        <v>1542</v>
      </c>
      <c r="R51" t="s">
        <v>978</v>
      </c>
      <c r="S51" t="s">
        <v>52</v>
      </c>
      <c r="T51" t="s">
        <v>52</v>
      </c>
      <c r="U51" t="s">
        <v>51</v>
      </c>
      <c r="V51" t="b">
        <v>1</v>
      </c>
      <c r="X51" t="b">
        <v>1</v>
      </c>
      <c r="Y51" t="b">
        <v>0</v>
      </c>
      <c r="Z51" t="b">
        <v>0</v>
      </c>
    </row>
    <row r="52" spans="1:26" hidden="1" x14ac:dyDescent="0.3">
      <c r="A52" s="120">
        <f>IF(COUNTIF(LEDGER[LedgerCode],FC_import[[#This Row],[LedgerCode]])&gt;0,0,1)</f>
        <v>0</v>
      </c>
      <c r="B52" s="95">
        <f>IF(COUNTIF(Table_System_Grouping_Codes[groupingCodeCode],FC_import[[#This Row],[GroupingCode]])&gt;0,0,1)</f>
        <v>0</v>
      </c>
      <c r="C52" s="85">
        <f>IF(COUNTIF(CUSTGROUP[CustomGroupingCode],FC_import[[#This Row],[CustomGrouping]])&gt;0,0,1)</f>
        <v>1</v>
      </c>
      <c r="D52" s="85" cm="1">
        <f t="array" ref="D52">IF(FC_import[[#This Row],[AvailableToAllSchools]]=TRUE,0,COUNTA(_xlfn.TEXTSPLIT(FC_import[[#This Row],[SchoolCodes]],",",,TRUE))-SUM(COUNTIF(SCHOOLS[SchoolCode],_xlfn.TEXTSPLIT(FC_import[[#This Row],[SchoolCodes]],",",,TRUE))))</f>
        <v>0</v>
      </c>
      <c r="E52" s="85">
        <f>IF(FC_import[[#This Row],[FinanceCodeTypeCode]]="BUDGET",0,COUNTIF(P:P,P52)-1)</f>
        <v>0</v>
      </c>
      <c r="F52" s="85">
        <f>IF(FC_import[[#This Row],[FinanceCodeTypeCode]]="BUDGET",0,COUNTIF(Q:Q,Q52)-1)</f>
        <v>0</v>
      </c>
      <c r="G52" s="85">
        <f>COUNTIF(Lookup!$A$2:$A$7,R52)-1</f>
        <v>0</v>
      </c>
      <c r="H52" s="80">
        <f>IF(LEN(FC_import[[#This Row],[FinanceCode]])&lt;100,0,1)</f>
        <v>0</v>
      </c>
      <c r="I52" s="80">
        <f>IF(TRIM(FC_import[[#This Row],[FinanceCode]])="",1,0)</f>
        <v>0</v>
      </c>
      <c r="J52" s="80">
        <f>IF(TRIM(FC_import[[#This Row],[Title]])="",1,0)</f>
        <v>0</v>
      </c>
      <c r="K52" s="80">
        <f>IF(LEN(FC_import[[#This Row],[Title]])&lt;100,0,1)</f>
        <v>0</v>
      </c>
      <c r="L52" s="80">
        <f>IF(ISBLANK(FC_import[[#This Row],[BalanceToScenario]]),1,0)</f>
        <v>0</v>
      </c>
      <c r="M52" s="80">
        <f>IF(EXACT(FC_import[[#This Row],[FinanceCode]],UPPER(FC_import[[#This Row],[FinanceCode]])),0,1)</f>
        <v>0</v>
      </c>
      <c r="N52" s="80">
        <f>IF(SUBSTITUTE(TEXT(FC_import[[#This Row],[FinanceCode]],10)," ","")=TEXT(FC_import[[#This Row],[FinanceCode]],10),0,1)</f>
        <v>0</v>
      </c>
      <c r="O52" s="80">
        <f>SUM(FC_import[[#This Row],[LedgerIssue]:[CustGrIssue]],FC_import[[#This Row],[DupCode]:[Space in Code]])</f>
        <v>1</v>
      </c>
      <c r="P52" t="s">
        <v>2343</v>
      </c>
      <c r="Q52" t="s">
        <v>2345</v>
      </c>
      <c r="R52" t="s">
        <v>978</v>
      </c>
      <c r="S52" t="s">
        <v>52</v>
      </c>
      <c r="T52" t="s">
        <v>52</v>
      </c>
      <c r="U52" t="s">
        <v>51</v>
      </c>
      <c r="V52" t="b">
        <v>1</v>
      </c>
      <c r="X52" t="b">
        <v>1</v>
      </c>
      <c r="Y52" t="b">
        <v>0</v>
      </c>
      <c r="Z52" t="b">
        <v>0</v>
      </c>
    </row>
    <row r="53" spans="1:26" hidden="1" x14ac:dyDescent="0.3">
      <c r="A53" s="120">
        <f>IF(COUNTIF(LEDGER[LedgerCode],FC_import[[#This Row],[LedgerCode]])&gt;0,0,1)</f>
        <v>0</v>
      </c>
      <c r="B53" s="95">
        <f>IF(COUNTIF(Table_System_Grouping_Codes[groupingCodeCode],FC_import[[#This Row],[GroupingCode]])&gt;0,0,1)</f>
        <v>0</v>
      </c>
      <c r="C53" s="85">
        <f>IF(COUNTIF(CUSTGROUP[CustomGroupingCode],FC_import[[#This Row],[CustomGrouping]])&gt;0,0,1)</f>
        <v>1</v>
      </c>
      <c r="D53" s="85" cm="1">
        <f t="array" ref="D53">IF(FC_import[[#This Row],[AvailableToAllSchools]]=TRUE,0,COUNTA(_xlfn.TEXTSPLIT(FC_import[[#This Row],[SchoolCodes]],",",,TRUE))-SUM(COUNTIF(SCHOOLS[SchoolCode],_xlfn.TEXTSPLIT(FC_import[[#This Row],[SchoolCodes]],",",,TRUE))))</f>
        <v>0</v>
      </c>
      <c r="E53" s="85">
        <f>IF(FC_import[[#This Row],[FinanceCodeTypeCode]]="BUDGET",0,COUNTIF(P:P,P53)-1)</f>
        <v>0</v>
      </c>
      <c r="F53" s="85">
        <f>IF(FC_import[[#This Row],[FinanceCodeTypeCode]]="BUDGET",0,COUNTIF(Q:Q,Q53)-1)</f>
        <v>0</v>
      </c>
      <c r="G53" s="85">
        <f>COUNTIF(Lookup!$A$2:$A$7,R53)-1</f>
        <v>0</v>
      </c>
      <c r="H53" s="80">
        <f>IF(LEN(FC_import[[#This Row],[FinanceCode]])&lt;100,0,1)</f>
        <v>0</v>
      </c>
      <c r="I53" s="80">
        <f>IF(TRIM(FC_import[[#This Row],[FinanceCode]])="",1,0)</f>
        <v>0</v>
      </c>
      <c r="J53" s="80">
        <f>IF(TRIM(FC_import[[#This Row],[Title]])="",1,0)</f>
        <v>0</v>
      </c>
      <c r="K53" s="80">
        <f>IF(LEN(FC_import[[#This Row],[Title]])&lt;100,0,1)</f>
        <v>0</v>
      </c>
      <c r="L53" s="80">
        <f>IF(ISBLANK(FC_import[[#This Row],[BalanceToScenario]]),1,0)</f>
        <v>0</v>
      </c>
      <c r="M53" s="80">
        <f>IF(EXACT(FC_import[[#This Row],[FinanceCode]],UPPER(FC_import[[#This Row],[FinanceCode]])),0,1)</f>
        <v>0</v>
      </c>
      <c r="N53" s="80">
        <f>IF(SUBSTITUTE(TEXT(FC_import[[#This Row],[FinanceCode]],10)," ","")=TEXT(FC_import[[#This Row],[FinanceCode]],10),0,1)</f>
        <v>0</v>
      </c>
      <c r="O53" s="80">
        <f>SUM(FC_import[[#This Row],[LedgerIssue]:[CustGrIssue]],FC_import[[#This Row],[DupCode]:[Space in Code]])</f>
        <v>1</v>
      </c>
      <c r="P53" t="s">
        <v>2342</v>
      </c>
      <c r="Q53" t="s">
        <v>2344</v>
      </c>
      <c r="R53" t="s">
        <v>978</v>
      </c>
      <c r="S53" t="s">
        <v>52</v>
      </c>
      <c r="T53" t="s">
        <v>52</v>
      </c>
      <c r="U53" t="s">
        <v>51</v>
      </c>
      <c r="V53" t="b">
        <v>1</v>
      </c>
      <c r="X53" t="b">
        <v>1</v>
      </c>
      <c r="Y53" t="b">
        <v>0</v>
      </c>
      <c r="Z53" t="b">
        <v>0</v>
      </c>
    </row>
    <row r="54" spans="1:26" hidden="1" x14ac:dyDescent="0.3">
      <c r="A54" s="120">
        <f>IF(COUNTIF(LEDGER[LedgerCode],FC_import[[#This Row],[LedgerCode]])&gt;0,0,1)</f>
        <v>0</v>
      </c>
      <c r="B54" s="95">
        <f>IF(COUNTIF(Table_System_Grouping_Codes[groupingCodeCode],FC_import[[#This Row],[GroupingCode]])&gt;0,0,1)</f>
        <v>0</v>
      </c>
      <c r="C54" s="85">
        <f>IF(COUNTIF(CUSTGROUP[CustomGroupingCode],FC_import[[#This Row],[CustomGrouping]])&gt;0,0,1)</f>
        <v>1</v>
      </c>
      <c r="D54" s="85" cm="1">
        <f t="array" ref="D54">IF(FC_import[[#This Row],[AvailableToAllSchools]]=TRUE,0,COUNTA(_xlfn.TEXTSPLIT(FC_import[[#This Row],[SchoolCodes]],",",,TRUE))-SUM(COUNTIF(SCHOOLS[SchoolCode],_xlfn.TEXTSPLIT(FC_import[[#This Row],[SchoolCodes]],",",,TRUE))))</f>
        <v>0</v>
      </c>
      <c r="E54" s="85">
        <f>IF(FC_import[[#This Row],[FinanceCodeTypeCode]]="BUDGET",0,COUNTIF(P:P,P54)-1)</f>
        <v>0</v>
      </c>
      <c r="F54" s="85">
        <f>IF(FC_import[[#This Row],[FinanceCodeTypeCode]]="BUDGET",0,COUNTIF(Q:Q,Q54)-1)</f>
        <v>0</v>
      </c>
      <c r="G54" s="85">
        <f>COUNTIF(Lookup!$A$2:$A$7,R54)-1</f>
        <v>0</v>
      </c>
      <c r="H54" s="80">
        <f>IF(LEN(FC_import[[#This Row],[FinanceCode]])&lt;100,0,1)</f>
        <v>0</v>
      </c>
      <c r="I54" s="80">
        <f>IF(TRIM(FC_import[[#This Row],[FinanceCode]])="",1,0)</f>
        <v>0</v>
      </c>
      <c r="J54" s="80">
        <f>IF(TRIM(FC_import[[#This Row],[Title]])="",1,0)</f>
        <v>0</v>
      </c>
      <c r="K54" s="80">
        <f>IF(LEN(FC_import[[#This Row],[Title]])&lt;100,0,1)</f>
        <v>0</v>
      </c>
      <c r="L54" s="80">
        <f>IF(ISBLANK(FC_import[[#This Row],[BalanceToScenario]]),1,0)</f>
        <v>0</v>
      </c>
      <c r="M54" s="80">
        <f>IF(EXACT(FC_import[[#This Row],[FinanceCode]],UPPER(FC_import[[#This Row],[FinanceCode]])),0,1)</f>
        <v>0</v>
      </c>
      <c r="N54" s="80">
        <f>IF(SUBSTITUTE(TEXT(FC_import[[#This Row],[FinanceCode]],10)," ","")=TEXT(FC_import[[#This Row],[FinanceCode]],10),0,1)</f>
        <v>0</v>
      </c>
      <c r="O54" s="80">
        <f>SUM(FC_import[[#This Row],[LedgerIssue]:[CustGrIssue]],FC_import[[#This Row],[DupCode]:[Space in Code]])</f>
        <v>1</v>
      </c>
      <c r="P54" t="s">
        <v>2579</v>
      </c>
      <c r="Q54" t="s">
        <v>2585</v>
      </c>
      <c r="R54" t="s">
        <v>978</v>
      </c>
      <c r="S54" t="s">
        <v>52</v>
      </c>
      <c r="T54" t="s">
        <v>52</v>
      </c>
      <c r="U54" t="s">
        <v>51</v>
      </c>
      <c r="V54" t="b">
        <v>1</v>
      </c>
      <c r="X54" t="b">
        <v>1</v>
      </c>
      <c r="Y54" t="b">
        <v>0</v>
      </c>
      <c r="Z54" t="b">
        <v>0</v>
      </c>
    </row>
    <row r="55" spans="1:26" hidden="1" x14ac:dyDescent="0.3">
      <c r="A55" s="120">
        <f>IF(COUNTIF(LEDGER[LedgerCode],FC_import[[#This Row],[LedgerCode]])&gt;0,0,1)</f>
        <v>0</v>
      </c>
      <c r="B55" s="95">
        <f>IF(COUNTIF(Table_System_Grouping_Codes[groupingCodeCode],FC_import[[#This Row],[GroupingCode]])&gt;0,0,1)</f>
        <v>0</v>
      </c>
      <c r="C55" s="85">
        <f>IF(COUNTIF(CUSTGROUP[CustomGroupingCode],FC_import[[#This Row],[CustomGrouping]])&gt;0,0,1)</f>
        <v>1</v>
      </c>
      <c r="D55" s="85" cm="1">
        <f t="array" ref="D55">IF(FC_import[[#This Row],[AvailableToAllSchools]]=TRUE,0,COUNTA(_xlfn.TEXTSPLIT(FC_import[[#This Row],[SchoolCodes]],",",,TRUE))-SUM(COUNTIF(SCHOOLS[SchoolCode],_xlfn.TEXTSPLIT(FC_import[[#This Row],[SchoolCodes]],",",,TRUE))))</f>
        <v>0</v>
      </c>
      <c r="E55" s="85">
        <f>IF(FC_import[[#This Row],[FinanceCodeTypeCode]]="BUDGET",0,COUNTIF(P:P,P55)-1)</f>
        <v>0</v>
      </c>
      <c r="F55" s="85">
        <f>IF(FC_import[[#This Row],[FinanceCodeTypeCode]]="BUDGET",0,COUNTIF(Q:Q,Q55)-1)</f>
        <v>0</v>
      </c>
      <c r="G55" s="85">
        <f>COUNTIF(Lookup!$A$2:$A$7,R55)-1</f>
        <v>0</v>
      </c>
      <c r="H55" s="80">
        <f>IF(LEN(FC_import[[#This Row],[FinanceCode]])&lt;100,0,1)</f>
        <v>0</v>
      </c>
      <c r="I55" s="80">
        <f>IF(TRIM(FC_import[[#This Row],[FinanceCode]])="",1,0)</f>
        <v>0</v>
      </c>
      <c r="J55" s="80">
        <f>IF(TRIM(FC_import[[#This Row],[Title]])="",1,0)</f>
        <v>0</v>
      </c>
      <c r="K55" s="80">
        <f>IF(LEN(FC_import[[#This Row],[Title]])&lt;100,0,1)</f>
        <v>0</v>
      </c>
      <c r="L55" s="80">
        <f>IF(ISBLANK(FC_import[[#This Row],[BalanceToScenario]]),1,0)</f>
        <v>0</v>
      </c>
      <c r="M55" s="80">
        <f>IF(EXACT(FC_import[[#This Row],[FinanceCode]],UPPER(FC_import[[#This Row],[FinanceCode]])),0,1)</f>
        <v>0</v>
      </c>
      <c r="N55" s="80">
        <f>IF(SUBSTITUTE(TEXT(FC_import[[#This Row],[FinanceCode]],10)," ","")=TEXT(FC_import[[#This Row],[FinanceCode]],10),0,1)</f>
        <v>0</v>
      </c>
      <c r="O55" s="80">
        <f>SUM(FC_import[[#This Row],[LedgerIssue]:[CustGrIssue]],FC_import[[#This Row],[DupCode]:[Space in Code]])</f>
        <v>1</v>
      </c>
      <c r="P55" t="s">
        <v>1017</v>
      </c>
      <c r="Q55" t="s">
        <v>1018</v>
      </c>
      <c r="R55" t="s">
        <v>978</v>
      </c>
      <c r="S55" t="s">
        <v>52</v>
      </c>
      <c r="T55" t="s">
        <v>52</v>
      </c>
      <c r="U55" t="s">
        <v>51</v>
      </c>
      <c r="V55" t="b">
        <v>1</v>
      </c>
      <c r="X55" t="b">
        <v>1</v>
      </c>
      <c r="Y55" t="b">
        <v>0</v>
      </c>
      <c r="Z55" t="b">
        <v>0</v>
      </c>
    </row>
    <row r="56" spans="1:26" hidden="1" x14ac:dyDescent="0.3">
      <c r="A56" s="120">
        <f>IF(COUNTIF(LEDGER[LedgerCode],FC_import[[#This Row],[LedgerCode]])&gt;0,0,1)</f>
        <v>0</v>
      </c>
      <c r="B56" s="95">
        <f>IF(COUNTIF(Table_System_Grouping_Codes[groupingCodeCode],FC_import[[#This Row],[GroupingCode]])&gt;0,0,1)</f>
        <v>0</v>
      </c>
      <c r="C56" s="85">
        <f>IF(COUNTIF(CUSTGROUP[CustomGroupingCode],FC_import[[#This Row],[CustomGrouping]])&gt;0,0,1)</f>
        <v>1</v>
      </c>
      <c r="D56" s="85" cm="1">
        <f t="array" ref="D56">IF(FC_import[[#This Row],[AvailableToAllSchools]]=TRUE,0,COUNTA(_xlfn.TEXTSPLIT(FC_import[[#This Row],[SchoolCodes]],",",,TRUE))-SUM(COUNTIF(SCHOOLS[SchoolCode],_xlfn.TEXTSPLIT(FC_import[[#This Row],[SchoolCodes]],",",,TRUE))))</f>
        <v>0</v>
      </c>
      <c r="E56" s="85">
        <f>IF(FC_import[[#This Row],[FinanceCodeTypeCode]]="BUDGET",0,COUNTIF(P:P,P56)-1)</f>
        <v>0</v>
      </c>
      <c r="F56" s="85">
        <f>IF(FC_import[[#This Row],[FinanceCodeTypeCode]]="BUDGET",0,COUNTIF(Q:Q,Q56)-1)</f>
        <v>0</v>
      </c>
      <c r="G56" s="85">
        <f>COUNTIF(Lookup!$A$2:$A$7,R56)-1</f>
        <v>0</v>
      </c>
      <c r="H56" s="80">
        <f>IF(LEN(FC_import[[#This Row],[FinanceCode]])&lt;100,0,1)</f>
        <v>0</v>
      </c>
      <c r="I56" s="80">
        <f>IF(TRIM(FC_import[[#This Row],[FinanceCode]])="",1,0)</f>
        <v>0</v>
      </c>
      <c r="J56" s="80">
        <f>IF(TRIM(FC_import[[#This Row],[Title]])="",1,0)</f>
        <v>0</v>
      </c>
      <c r="K56" s="80">
        <f>IF(LEN(FC_import[[#This Row],[Title]])&lt;100,0,1)</f>
        <v>0</v>
      </c>
      <c r="L56" s="80">
        <f>IF(ISBLANK(FC_import[[#This Row],[BalanceToScenario]]),1,0)</f>
        <v>0</v>
      </c>
      <c r="M56" s="80">
        <f>IF(EXACT(FC_import[[#This Row],[FinanceCode]],UPPER(FC_import[[#This Row],[FinanceCode]])),0,1)</f>
        <v>0</v>
      </c>
      <c r="N56" s="80">
        <f>IF(SUBSTITUTE(TEXT(FC_import[[#This Row],[FinanceCode]],10)," ","")=TEXT(FC_import[[#This Row],[FinanceCode]],10),0,1)</f>
        <v>0</v>
      </c>
      <c r="O56" s="80">
        <f>SUM(FC_import[[#This Row],[LedgerIssue]:[CustGrIssue]],FC_import[[#This Row],[DupCode]:[Space in Code]])</f>
        <v>1</v>
      </c>
      <c r="P56" t="s">
        <v>1019</v>
      </c>
      <c r="Q56" t="s">
        <v>1020</v>
      </c>
      <c r="R56" t="s">
        <v>978</v>
      </c>
      <c r="S56" t="s">
        <v>52</v>
      </c>
      <c r="T56" t="s">
        <v>52</v>
      </c>
      <c r="U56" t="s">
        <v>51</v>
      </c>
      <c r="V56" t="b">
        <v>1</v>
      </c>
      <c r="X56" t="b">
        <v>1</v>
      </c>
      <c r="Y56" t="b">
        <v>0</v>
      </c>
      <c r="Z56" t="b">
        <v>0</v>
      </c>
    </row>
    <row r="57" spans="1:26" hidden="1" x14ac:dyDescent="0.3">
      <c r="A57" s="120">
        <f>IF(COUNTIF(LEDGER[LedgerCode],FC_import[[#This Row],[LedgerCode]])&gt;0,0,1)</f>
        <v>0</v>
      </c>
      <c r="B57" s="95">
        <f>IF(COUNTIF(Table_System_Grouping_Codes[groupingCodeCode],FC_import[[#This Row],[GroupingCode]])&gt;0,0,1)</f>
        <v>0</v>
      </c>
      <c r="C57" s="85">
        <f>IF(COUNTIF(CUSTGROUP[CustomGroupingCode],FC_import[[#This Row],[CustomGrouping]])&gt;0,0,1)</f>
        <v>1</v>
      </c>
      <c r="D57" s="85" cm="1">
        <f t="array" ref="D57">IF(FC_import[[#This Row],[AvailableToAllSchools]]=TRUE,0,COUNTA(_xlfn.TEXTSPLIT(FC_import[[#This Row],[SchoolCodes]],",",,TRUE))-SUM(COUNTIF(SCHOOLS[SchoolCode],_xlfn.TEXTSPLIT(FC_import[[#This Row],[SchoolCodes]],",",,TRUE))))</f>
        <v>0</v>
      </c>
      <c r="E57" s="85">
        <f>IF(FC_import[[#This Row],[FinanceCodeTypeCode]]="BUDGET",0,COUNTIF(P:P,P57)-1)</f>
        <v>0</v>
      </c>
      <c r="F57" s="85">
        <f>IF(FC_import[[#This Row],[FinanceCodeTypeCode]]="BUDGET",0,COUNTIF(Q:Q,Q57)-1)</f>
        <v>0</v>
      </c>
      <c r="G57" s="85">
        <f>COUNTIF(Lookup!$A$2:$A$7,R57)-1</f>
        <v>0</v>
      </c>
      <c r="H57" s="80">
        <f>IF(LEN(FC_import[[#This Row],[FinanceCode]])&lt;100,0,1)</f>
        <v>0</v>
      </c>
      <c r="I57" s="80">
        <f>IF(TRIM(FC_import[[#This Row],[FinanceCode]])="",1,0)</f>
        <v>0</v>
      </c>
      <c r="J57" s="80">
        <f>IF(TRIM(FC_import[[#This Row],[Title]])="",1,0)</f>
        <v>0</v>
      </c>
      <c r="K57" s="80">
        <f>IF(LEN(FC_import[[#This Row],[Title]])&lt;100,0,1)</f>
        <v>0</v>
      </c>
      <c r="L57" s="80">
        <f>IF(ISBLANK(FC_import[[#This Row],[BalanceToScenario]]),1,0)</f>
        <v>0</v>
      </c>
      <c r="M57" s="80">
        <f>IF(EXACT(FC_import[[#This Row],[FinanceCode]],UPPER(FC_import[[#This Row],[FinanceCode]])),0,1)</f>
        <v>0</v>
      </c>
      <c r="N57" s="80">
        <f>IF(SUBSTITUTE(TEXT(FC_import[[#This Row],[FinanceCode]],10)," ","")=TEXT(FC_import[[#This Row],[FinanceCode]],10),0,1)</f>
        <v>0</v>
      </c>
      <c r="O57" s="80">
        <f>SUM(FC_import[[#This Row],[LedgerIssue]:[CustGrIssue]],FC_import[[#This Row],[DupCode]:[Space in Code]])</f>
        <v>1</v>
      </c>
      <c r="P57" t="s">
        <v>1022</v>
      </c>
      <c r="Q57" t="s">
        <v>1944</v>
      </c>
      <c r="R57" t="s">
        <v>978</v>
      </c>
      <c r="S57" t="s">
        <v>52</v>
      </c>
      <c r="T57" t="s">
        <v>52</v>
      </c>
      <c r="U57" t="s">
        <v>51</v>
      </c>
      <c r="V57" t="b">
        <v>1</v>
      </c>
      <c r="X57" t="b">
        <v>1</v>
      </c>
      <c r="Y57" t="b">
        <v>0</v>
      </c>
      <c r="Z57" t="b">
        <v>0</v>
      </c>
    </row>
    <row r="58" spans="1:26" hidden="1" x14ac:dyDescent="0.3">
      <c r="A58" s="120">
        <f>IF(COUNTIF(LEDGER[LedgerCode],FC_import[[#This Row],[LedgerCode]])&gt;0,0,1)</f>
        <v>0</v>
      </c>
      <c r="B58" s="95">
        <f>IF(COUNTIF(Table_System_Grouping_Codes[groupingCodeCode],FC_import[[#This Row],[GroupingCode]])&gt;0,0,1)</f>
        <v>0</v>
      </c>
      <c r="C58" s="85">
        <f>IF(COUNTIF(CUSTGROUP[CustomGroupingCode],FC_import[[#This Row],[CustomGrouping]])&gt;0,0,1)</f>
        <v>1</v>
      </c>
      <c r="D58" s="85" cm="1">
        <f t="array" ref="D58">IF(FC_import[[#This Row],[AvailableToAllSchools]]=TRUE,0,COUNTA(_xlfn.TEXTSPLIT(FC_import[[#This Row],[SchoolCodes]],",",,TRUE))-SUM(COUNTIF(SCHOOLS[SchoolCode],_xlfn.TEXTSPLIT(FC_import[[#This Row],[SchoolCodes]],",",,TRUE))))</f>
        <v>0</v>
      </c>
      <c r="E58" s="85">
        <f>IF(FC_import[[#This Row],[FinanceCodeTypeCode]]="BUDGET",0,COUNTIF(P:P,P58)-1)</f>
        <v>0</v>
      </c>
      <c r="F58" s="85">
        <f>IF(FC_import[[#This Row],[FinanceCodeTypeCode]]="BUDGET",0,COUNTIF(Q:Q,Q58)-1)</f>
        <v>0</v>
      </c>
      <c r="G58" s="85">
        <f>COUNTIF(Lookup!$A$2:$A$7,R58)-1</f>
        <v>0</v>
      </c>
      <c r="H58" s="80">
        <f>IF(LEN(FC_import[[#This Row],[FinanceCode]])&lt;100,0,1)</f>
        <v>0</v>
      </c>
      <c r="I58" s="80">
        <f>IF(TRIM(FC_import[[#This Row],[FinanceCode]])="",1,0)</f>
        <v>0</v>
      </c>
      <c r="J58" s="80">
        <f>IF(TRIM(FC_import[[#This Row],[Title]])="",1,0)</f>
        <v>0</v>
      </c>
      <c r="K58" s="80">
        <f>IF(LEN(FC_import[[#This Row],[Title]])&lt;100,0,1)</f>
        <v>0</v>
      </c>
      <c r="L58" s="80">
        <f>IF(ISBLANK(FC_import[[#This Row],[BalanceToScenario]]),1,0)</f>
        <v>0</v>
      </c>
      <c r="M58" s="80">
        <f>IF(EXACT(FC_import[[#This Row],[FinanceCode]],UPPER(FC_import[[#This Row],[FinanceCode]])),0,1)</f>
        <v>0</v>
      </c>
      <c r="N58" s="80">
        <f>IF(SUBSTITUTE(TEXT(FC_import[[#This Row],[FinanceCode]],10)," ","")=TEXT(FC_import[[#This Row],[FinanceCode]],10),0,1)</f>
        <v>0</v>
      </c>
      <c r="O58" s="80">
        <f>SUM(FC_import[[#This Row],[LedgerIssue]:[CustGrIssue]],FC_import[[#This Row],[DupCode]:[Space in Code]])</f>
        <v>1</v>
      </c>
      <c r="P58" t="s">
        <v>1023</v>
      </c>
      <c r="Q58" t="s">
        <v>1024</v>
      </c>
      <c r="R58" t="s">
        <v>978</v>
      </c>
      <c r="S58" t="s">
        <v>52</v>
      </c>
      <c r="T58" t="s">
        <v>52</v>
      </c>
      <c r="U58" t="s">
        <v>51</v>
      </c>
      <c r="V58" t="b">
        <v>1</v>
      </c>
      <c r="X58" t="b">
        <v>1</v>
      </c>
      <c r="Y58" t="b">
        <v>0</v>
      </c>
      <c r="Z58" t="b">
        <v>0</v>
      </c>
    </row>
    <row r="59" spans="1:26" hidden="1" x14ac:dyDescent="0.3">
      <c r="A59" s="120">
        <f>IF(COUNTIF(LEDGER[LedgerCode],FC_import[[#This Row],[LedgerCode]])&gt;0,0,1)</f>
        <v>0</v>
      </c>
      <c r="B59" s="95">
        <f>IF(COUNTIF(Table_System_Grouping_Codes[groupingCodeCode],FC_import[[#This Row],[GroupingCode]])&gt;0,0,1)</f>
        <v>0</v>
      </c>
      <c r="C59" s="85">
        <f>IF(COUNTIF(CUSTGROUP[CustomGroupingCode],FC_import[[#This Row],[CustomGrouping]])&gt;0,0,1)</f>
        <v>1</v>
      </c>
      <c r="D59" s="85" cm="1">
        <f t="array" ref="D59">IF(FC_import[[#This Row],[AvailableToAllSchools]]=TRUE,0,COUNTA(_xlfn.TEXTSPLIT(FC_import[[#This Row],[SchoolCodes]],",",,TRUE))-SUM(COUNTIF(SCHOOLS[SchoolCode],_xlfn.TEXTSPLIT(FC_import[[#This Row],[SchoolCodes]],",",,TRUE))))</f>
        <v>0</v>
      </c>
      <c r="E59" s="85">
        <f>IF(FC_import[[#This Row],[FinanceCodeTypeCode]]="BUDGET",0,COUNTIF(P:P,P59)-1)</f>
        <v>0</v>
      </c>
      <c r="F59" s="85">
        <f>IF(FC_import[[#This Row],[FinanceCodeTypeCode]]="BUDGET",0,COUNTIF(Q:Q,Q59)-1)</f>
        <v>0</v>
      </c>
      <c r="G59" s="85">
        <f>COUNTIF(Lookup!$A$2:$A$7,R59)-1</f>
        <v>0</v>
      </c>
      <c r="H59" s="80">
        <f>IF(LEN(FC_import[[#This Row],[FinanceCode]])&lt;100,0,1)</f>
        <v>0</v>
      </c>
      <c r="I59" s="80">
        <f>IF(TRIM(FC_import[[#This Row],[FinanceCode]])="",1,0)</f>
        <v>0</v>
      </c>
      <c r="J59" s="80">
        <f>IF(TRIM(FC_import[[#This Row],[Title]])="",1,0)</f>
        <v>0</v>
      </c>
      <c r="K59" s="80">
        <f>IF(LEN(FC_import[[#This Row],[Title]])&lt;100,0,1)</f>
        <v>0</v>
      </c>
      <c r="L59" s="80">
        <f>IF(ISBLANK(FC_import[[#This Row],[BalanceToScenario]]),1,0)</f>
        <v>0</v>
      </c>
      <c r="M59" s="80">
        <f>IF(EXACT(FC_import[[#This Row],[FinanceCode]],UPPER(FC_import[[#This Row],[FinanceCode]])),0,1)</f>
        <v>0</v>
      </c>
      <c r="N59" s="80">
        <f>IF(SUBSTITUTE(TEXT(FC_import[[#This Row],[FinanceCode]],10)," ","")=TEXT(FC_import[[#This Row],[FinanceCode]],10),0,1)</f>
        <v>0</v>
      </c>
      <c r="O59" s="80">
        <f>SUM(FC_import[[#This Row],[LedgerIssue]:[CustGrIssue]],FC_import[[#This Row],[DupCode]:[Space in Code]])</f>
        <v>1</v>
      </c>
      <c r="P59" t="s">
        <v>1027</v>
      </c>
      <c r="Q59" t="s">
        <v>1745</v>
      </c>
      <c r="R59" t="s">
        <v>978</v>
      </c>
      <c r="S59" t="s">
        <v>52</v>
      </c>
      <c r="T59" t="s">
        <v>52</v>
      </c>
      <c r="U59" t="s">
        <v>51</v>
      </c>
      <c r="V59" t="b">
        <v>1</v>
      </c>
      <c r="X59" t="b">
        <v>1</v>
      </c>
      <c r="Y59" t="b">
        <v>0</v>
      </c>
      <c r="Z59" t="b">
        <v>0</v>
      </c>
    </row>
    <row r="60" spans="1:26" hidden="1" x14ac:dyDescent="0.3">
      <c r="A60" s="120">
        <f>IF(COUNTIF(LEDGER[LedgerCode],FC_import[[#This Row],[LedgerCode]])&gt;0,0,1)</f>
        <v>0</v>
      </c>
      <c r="B60" s="95">
        <f>IF(COUNTIF(Table_System_Grouping_Codes[groupingCodeCode],FC_import[[#This Row],[GroupingCode]])&gt;0,0,1)</f>
        <v>0</v>
      </c>
      <c r="C60" s="85">
        <f>IF(COUNTIF(CUSTGROUP[CustomGroupingCode],FC_import[[#This Row],[CustomGrouping]])&gt;0,0,1)</f>
        <v>1</v>
      </c>
      <c r="D60" s="85" cm="1">
        <f t="array" ref="D60">IF(FC_import[[#This Row],[AvailableToAllSchools]]=TRUE,0,COUNTA(_xlfn.TEXTSPLIT(FC_import[[#This Row],[SchoolCodes]],",",,TRUE))-SUM(COUNTIF(SCHOOLS[SchoolCode],_xlfn.TEXTSPLIT(FC_import[[#This Row],[SchoolCodes]],",",,TRUE))))</f>
        <v>0</v>
      </c>
      <c r="E60" s="85">
        <f>IF(FC_import[[#This Row],[FinanceCodeTypeCode]]="BUDGET",0,COUNTIF(P:P,P60)-1)</f>
        <v>0</v>
      </c>
      <c r="F60" s="85">
        <f>IF(FC_import[[#This Row],[FinanceCodeTypeCode]]="BUDGET",0,COUNTIF(Q:Q,Q60)-1)</f>
        <v>0</v>
      </c>
      <c r="G60" s="85">
        <f>COUNTIF(Lookup!$A$2:$A$7,R60)-1</f>
        <v>0</v>
      </c>
      <c r="H60" s="80">
        <f>IF(LEN(FC_import[[#This Row],[FinanceCode]])&lt;100,0,1)</f>
        <v>0</v>
      </c>
      <c r="I60" s="80">
        <f>IF(TRIM(FC_import[[#This Row],[FinanceCode]])="",1,0)</f>
        <v>0</v>
      </c>
      <c r="J60" s="80">
        <f>IF(TRIM(FC_import[[#This Row],[Title]])="",1,0)</f>
        <v>0</v>
      </c>
      <c r="K60" s="80">
        <f>IF(LEN(FC_import[[#This Row],[Title]])&lt;100,0,1)</f>
        <v>0</v>
      </c>
      <c r="L60" s="80">
        <f>IF(ISBLANK(FC_import[[#This Row],[BalanceToScenario]]),1,0)</f>
        <v>0</v>
      </c>
      <c r="M60" s="80">
        <f>IF(EXACT(FC_import[[#This Row],[FinanceCode]],UPPER(FC_import[[#This Row],[FinanceCode]])),0,1)</f>
        <v>0</v>
      </c>
      <c r="N60" s="80">
        <f>IF(SUBSTITUTE(TEXT(FC_import[[#This Row],[FinanceCode]],10)," ","")=TEXT(FC_import[[#This Row],[FinanceCode]],10),0,1)</f>
        <v>0</v>
      </c>
      <c r="O60" s="80">
        <f>SUM(FC_import[[#This Row],[LedgerIssue]:[CustGrIssue]],FC_import[[#This Row],[DupCode]:[Space in Code]])</f>
        <v>1</v>
      </c>
      <c r="P60" t="s">
        <v>1028</v>
      </c>
      <c r="Q60" t="s">
        <v>1029</v>
      </c>
      <c r="R60" t="s">
        <v>978</v>
      </c>
      <c r="S60" t="s">
        <v>52</v>
      </c>
      <c r="T60" t="s">
        <v>52</v>
      </c>
      <c r="U60" t="s">
        <v>51</v>
      </c>
      <c r="V60" t="b">
        <v>1</v>
      </c>
      <c r="X60" t="b">
        <v>1</v>
      </c>
      <c r="Y60" t="b">
        <v>0</v>
      </c>
      <c r="Z60" t="b">
        <v>0</v>
      </c>
    </row>
    <row r="61" spans="1:26" hidden="1" x14ac:dyDescent="0.3">
      <c r="A61" s="120">
        <f>IF(COUNTIF(LEDGER[LedgerCode],FC_import[[#This Row],[LedgerCode]])&gt;0,0,1)</f>
        <v>0</v>
      </c>
      <c r="B61" s="95">
        <f>IF(COUNTIF(Table_System_Grouping_Codes[groupingCodeCode],FC_import[[#This Row],[GroupingCode]])&gt;0,0,1)</f>
        <v>0</v>
      </c>
      <c r="C61" s="85">
        <f>IF(COUNTIF(CUSTGROUP[CustomGroupingCode],FC_import[[#This Row],[CustomGrouping]])&gt;0,0,1)</f>
        <v>1</v>
      </c>
      <c r="D61" s="85" cm="1">
        <f t="array" ref="D61">IF(FC_import[[#This Row],[AvailableToAllSchools]]=TRUE,0,COUNTA(_xlfn.TEXTSPLIT(FC_import[[#This Row],[SchoolCodes]],",",,TRUE))-SUM(COUNTIF(SCHOOLS[SchoolCode],_xlfn.TEXTSPLIT(FC_import[[#This Row],[SchoolCodes]],",",,TRUE))))</f>
        <v>0</v>
      </c>
      <c r="E61" s="85">
        <f>IF(FC_import[[#This Row],[FinanceCodeTypeCode]]="BUDGET",0,COUNTIF(P:P,P61)-1)</f>
        <v>0</v>
      </c>
      <c r="F61" s="85">
        <f>IF(FC_import[[#This Row],[FinanceCodeTypeCode]]="BUDGET",0,COUNTIF(Q:Q,Q61)-1)</f>
        <v>0</v>
      </c>
      <c r="G61" s="85">
        <f>COUNTIF(Lookup!$A$2:$A$7,R61)-1</f>
        <v>0</v>
      </c>
      <c r="H61" s="80">
        <f>IF(LEN(FC_import[[#This Row],[FinanceCode]])&lt;100,0,1)</f>
        <v>0</v>
      </c>
      <c r="I61" s="80">
        <f>IF(TRIM(FC_import[[#This Row],[FinanceCode]])="",1,0)</f>
        <v>0</v>
      </c>
      <c r="J61" s="80">
        <f>IF(TRIM(FC_import[[#This Row],[Title]])="",1,0)</f>
        <v>0</v>
      </c>
      <c r="K61" s="80">
        <f>IF(LEN(FC_import[[#This Row],[Title]])&lt;100,0,1)</f>
        <v>0</v>
      </c>
      <c r="L61" s="80">
        <f>IF(ISBLANK(FC_import[[#This Row],[BalanceToScenario]]),1,0)</f>
        <v>0</v>
      </c>
      <c r="M61" s="80">
        <f>IF(EXACT(FC_import[[#This Row],[FinanceCode]],UPPER(FC_import[[#This Row],[FinanceCode]])),0,1)</f>
        <v>0</v>
      </c>
      <c r="N61" s="80">
        <f>IF(SUBSTITUTE(TEXT(FC_import[[#This Row],[FinanceCode]],10)," ","")=TEXT(FC_import[[#This Row],[FinanceCode]],10),0,1)</f>
        <v>0</v>
      </c>
      <c r="O61" s="80">
        <f>SUM(FC_import[[#This Row],[LedgerIssue]:[CustGrIssue]],FC_import[[#This Row],[DupCode]:[Space in Code]])</f>
        <v>1</v>
      </c>
      <c r="P61" t="s">
        <v>1575</v>
      </c>
      <c r="Q61" t="s">
        <v>1576</v>
      </c>
      <c r="R61" t="s">
        <v>978</v>
      </c>
      <c r="S61" t="s">
        <v>52</v>
      </c>
      <c r="T61" t="s">
        <v>52</v>
      </c>
      <c r="U61" t="s">
        <v>51</v>
      </c>
      <c r="V61" t="b">
        <v>1</v>
      </c>
      <c r="X61" t="b">
        <v>1</v>
      </c>
      <c r="Y61" t="b">
        <v>0</v>
      </c>
      <c r="Z61" t="b">
        <v>0</v>
      </c>
    </row>
    <row r="62" spans="1:26" hidden="1" x14ac:dyDescent="0.3">
      <c r="A62" s="120">
        <f>IF(COUNTIF(LEDGER[LedgerCode],FC_import[[#This Row],[LedgerCode]])&gt;0,0,1)</f>
        <v>0</v>
      </c>
      <c r="B62" s="95">
        <f>IF(COUNTIF(Table_System_Grouping_Codes[groupingCodeCode],FC_import[[#This Row],[GroupingCode]])&gt;0,0,1)</f>
        <v>0</v>
      </c>
      <c r="C62" s="85">
        <f>IF(COUNTIF(CUSTGROUP[CustomGroupingCode],FC_import[[#This Row],[CustomGrouping]])&gt;0,0,1)</f>
        <v>1</v>
      </c>
      <c r="D62" s="85" cm="1">
        <f t="array" ref="D62">IF(FC_import[[#This Row],[AvailableToAllSchools]]=TRUE,0,COUNTA(_xlfn.TEXTSPLIT(FC_import[[#This Row],[SchoolCodes]],",",,TRUE))-SUM(COUNTIF(SCHOOLS[SchoolCode],_xlfn.TEXTSPLIT(FC_import[[#This Row],[SchoolCodes]],",",,TRUE))))</f>
        <v>0</v>
      </c>
      <c r="E62" s="85">
        <f>IF(FC_import[[#This Row],[FinanceCodeTypeCode]]="BUDGET",0,COUNTIF(P:P,P62)-1)</f>
        <v>0</v>
      </c>
      <c r="F62" s="85">
        <f>IF(FC_import[[#This Row],[FinanceCodeTypeCode]]="BUDGET",0,COUNTIF(Q:Q,Q62)-1)</f>
        <v>0</v>
      </c>
      <c r="G62" s="85">
        <f>COUNTIF(Lookup!$A$2:$A$7,R62)-1</f>
        <v>0</v>
      </c>
      <c r="H62" s="80">
        <f>IF(LEN(FC_import[[#This Row],[FinanceCode]])&lt;100,0,1)</f>
        <v>0</v>
      </c>
      <c r="I62" s="80">
        <f>IF(TRIM(FC_import[[#This Row],[FinanceCode]])="",1,0)</f>
        <v>0</v>
      </c>
      <c r="J62" s="80">
        <f>IF(TRIM(FC_import[[#This Row],[Title]])="",1,0)</f>
        <v>0</v>
      </c>
      <c r="K62" s="80">
        <f>IF(LEN(FC_import[[#This Row],[Title]])&lt;100,0,1)</f>
        <v>0</v>
      </c>
      <c r="L62" s="80">
        <f>IF(ISBLANK(FC_import[[#This Row],[BalanceToScenario]]),1,0)</f>
        <v>0</v>
      </c>
      <c r="M62" s="80">
        <f>IF(EXACT(FC_import[[#This Row],[FinanceCode]],UPPER(FC_import[[#This Row],[FinanceCode]])),0,1)</f>
        <v>0</v>
      </c>
      <c r="N62" s="80">
        <f>IF(SUBSTITUTE(TEXT(FC_import[[#This Row],[FinanceCode]],10)," ","")=TEXT(FC_import[[#This Row],[FinanceCode]],10),0,1)</f>
        <v>0</v>
      </c>
      <c r="O62" s="80">
        <f>SUM(FC_import[[#This Row],[LedgerIssue]:[CustGrIssue]],FC_import[[#This Row],[DupCode]:[Space in Code]])</f>
        <v>1</v>
      </c>
      <c r="P62" t="s">
        <v>1573</v>
      </c>
      <c r="Q62" t="s">
        <v>1574</v>
      </c>
      <c r="R62" t="s">
        <v>978</v>
      </c>
      <c r="S62" t="s">
        <v>52</v>
      </c>
      <c r="T62" t="s">
        <v>52</v>
      </c>
      <c r="U62" t="s">
        <v>51</v>
      </c>
      <c r="V62" t="b">
        <v>1</v>
      </c>
      <c r="X62" t="b">
        <v>1</v>
      </c>
      <c r="Y62" t="b">
        <v>0</v>
      </c>
      <c r="Z62" t="b">
        <v>0</v>
      </c>
    </row>
    <row r="63" spans="1:26" hidden="1" x14ac:dyDescent="0.3">
      <c r="A63" s="120">
        <f>IF(COUNTIF(LEDGER[LedgerCode],FC_import[[#This Row],[LedgerCode]])&gt;0,0,1)</f>
        <v>0</v>
      </c>
      <c r="B63" s="95">
        <f>IF(COUNTIF(Table_System_Grouping_Codes[groupingCodeCode],FC_import[[#This Row],[GroupingCode]])&gt;0,0,1)</f>
        <v>0</v>
      </c>
      <c r="C63" s="85">
        <f>IF(COUNTIF(CUSTGROUP[CustomGroupingCode],FC_import[[#This Row],[CustomGrouping]])&gt;0,0,1)</f>
        <v>1</v>
      </c>
      <c r="D63" s="85" cm="1">
        <f t="array" ref="D63">IF(FC_import[[#This Row],[AvailableToAllSchools]]=TRUE,0,COUNTA(_xlfn.TEXTSPLIT(FC_import[[#This Row],[SchoolCodes]],",",,TRUE))-SUM(COUNTIF(SCHOOLS[SchoolCode],_xlfn.TEXTSPLIT(FC_import[[#This Row],[SchoolCodes]],",",,TRUE))))</f>
        <v>0</v>
      </c>
      <c r="E63" s="85">
        <f>IF(FC_import[[#This Row],[FinanceCodeTypeCode]]="BUDGET",0,COUNTIF(P:P,P63)-1)</f>
        <v>0</v>
      </c>
      <c r="F63" s="85">
        <f>IF(FC_import[[#This Row],[FinanceCodeTypeCode]]="BUDGET",0,COUNTIF(Q:Q,Q63)-1)</f>
        <v>0</v>
      </c>
      <c r="G63" s="85">
        <f>COUNTIF(Lookup!$A$2:$A$7,R63)-1</f>
        <v>0</v>
      </c>
      <c r="H63" s="80">
        <f>IF(LEN(FC_import[[#This Row],[FinanceCode]])&lt;100,0,1)</f>
        <v>0</v>
      </c>
      <c r="I63" s="80">
        <f>IF(TRIM(FC_import[[#This Row],[FinanceCode]])="",1,0)</f>
        <v>0</v>
      </c>
      <c r="J63" s="80">
        <f>IF(TRIM(FC_import[[#This Row],[Title]])="",1,0)</f>
        <v>0</v>
      </c>
      <c r="K63" s="80">
        <f>IF(LEN(FC_import[[#This Row],[Title]])&lt;100,0,1)</f>
        <v>0</v>
      </c>
      <c r="L63" s="80">
        <f>IF(ISBLANK(FC_import[[#This Row],[BalanceToScenario]]),1,0)</f>
        <v>0</v>
      </c>
      <c r="M63" s="80">
        <f>IF(EXACT(FC_import[[#This Row],[FinanceCode]],UPPER(FC_import[[#This Row],[FinanceCode]])),0,1)</f>
        <v>0</v>
      </c>
      <c r="N63" s="80">
        <f>IF(SUBSTITUTE(TEXT(FC_import[[#This Row],[FinanceCode]],10)," ","")=TEXT(FC_import[[#This Row],[FinanceCode]],10),0,1)</f>
        <v>0</v>
      </c>
      <c r="O63" s="80">
        <f>SUM(FC_import[[#This Row],[LedgerIssue]:[CustGrIssue]],FC_import[[#This Row],[DupCode]:[Space in Code]])</f>
        <v>1</v>
      </c>
      <c r="P63" t="s">
        <v>1030</v>
      </c>
      <c r="Q63" t="s">
        <v>1031</v>
      </c>
      <c r="R63" t="s">
        <v>978</v>
      </c>
      <c r="S63" t="s">
        <v>52</v>
      </c>
      <c r="T63" t="s">
        <v>52</v>
      </c>
      <c r="U63" t="s">
        <v>51</v>
      </c>
      <c r="V63" t="b">
        <v>1</v>
      </c>
      <c r="X63" t="b">
        <v>1</v>
      </c>
      <c r="Y63" t="b">
        <v>0</v>
      </c>
      <c r="Z63" t="b">
        <v>0</v>
      </c>
    </row>
    <row r="64" spans="1:26" hidden="1" x14ac:dyDescent="0.3">
      <c r="A64" s="120">
        <f>IF(COUNTIF(LEDGER[LedgerCode],FC_import[[#This Row],[LedgerCode]])&gt;0,0,1)</f>
        <v>0</v>
      </c>
      <c r="B64" s="95">
        <f>IF(COUNTIF(Table_System_Grouping_Codes[groupingCodeCode],FC_import[[#This Row],[GroupingCode]])&gt;0,0,1)</f>
        <v>0</v>
      </c>
      <c r="C64" s="85">
        <f>IF(COUNTIF(CUSTGROUP[CustomGroupingCode],FC_import[[#This Row],[CustomGrouping]])&gt;0,0,1)</f>
        <v>1</v>
      </c>
      <c r="D64" s="85" cm="1">
        <f t="array" ref="D64">IF(FC_import[[#This Row],[AvailableToAllSchools]]=TRUE,0,COUNTA(_xlfn.TEXTSPLIT(FC_import[[#This Row],[SchoolCodes]],",",,TRUE))-SUM(COUNTIF(SCHOOLS[SchoolCode],_xlfn.TEXTSPLIT(FC_import[[#This Row],[SchoolCodes]],",",,TRUE))))</f>
        <v>0</v>
      </c>
      <c r="E64" s="85">
        <f>IF(FC_import[[#This Row],[FinanceCodeTypeCode]]="BUDGET",0,COUNTIF(P:P,P64)-1)</f>
        <v>0</v>
      </c>
      <c r="F64" s="85">
        <f>IF(FC_import[[#This Row],[FinanceCodeTypeCode]]="BUDGET",0,COUNTIF(Q:Q,Q64)-1)</f>
        <v>0</v>
      </c>
      <c r="G64" s="85">
        <f>COUNTIF(Lookup!$A$2:$A$7,R64)-1</f>
        <v>0</v>
      </c>
      <c r="H64" s="80">
        <f>IF(LEN(FC_import[[#This Row],[FinanceCode]])&lt;100,0,1)</f>
        <v>0</v>
      </c>
      <c r="I64" s="80">
        <f>IF(TRIM(FC_import[[#This Row],[FinanceCode]])="",1,0)</f>
        <v>0</v>
      </c>
      <c r="J64" s="80">
        <f>IF(TRIM(FC_import[[#This Row],[Title]])="",1,0)</f>
        <v>0</v>
      </c>
      <c r="K64" s="80">
        <f>IF(LEN(FC_import[[#This Row],[Title]])&lt;100,0,1)</f>
        <v>0</v>
      </c>
      <c r="L64" s="80">
        <f>IF(ISBLANK(FC_import[[#This Row],[BalanceToScenario]]),1,0)</f>
        <v>0</v>
      </c>
      <c r="M64" s="80">
        <f>IF(EXACT(FC_import[[#This Row],[FinanceCode]],UPPER(FC_import[[#This Row],[FinanceCode]])),0,1)</f>
        <v>0</v>
      </c>
      <c r="N64" s="80">
        <f>IF(SUBSTITUTE(TEXT(FC_import[[#This Row],[FinanceCode]],10)," ","")=TEXT(FC_import[[#This Row],[FinanceCode]],10),0,1)</f>
        <v>0</v>
      </c>
      <c r="O64" s="80">
        <f>SUM(FC_import[[#This Row],[LedgerIssue]:[CustGrIssue]],FC_import[[#This Row],[DupCode]:[Space in Code]])</f>
        <v>1</v>
      </c>
      <c r="P64" t="s">
        <v>1052</v>
      </c>
      <c r="Q64" t="s">
        <v>1053</v>
      </c>
      <c r="R64" t="s">
        <v>978</v>
      </c>
      <c r="S64" t="s">
        <v>52</v>
      </c>
      <c r="T64" t="s">
        <v>52</v>
      </c>
      <c r="U64" t="s">
        <v>51</v>
      </c>
      <c r="V64" t="b">
        <v>1</v>
      </c>
      <c r="X64" t="b">
        <v>1</v>
      </c>
      <c r="Y64" t="b">
        <v>0</v>
      </c>
      <c r="Z64" t="b">
        <v>0</v>
      </c>
    </row>
    <row r="65" spans="1:26" hidden="1" x14ac:dyDescent="0.3">
      <c r="A65" s="120">
        <f>IF(COUNTIF(LEDGER[LedgerCode],FC_import[[#This Row],[LedgerCode]])&gt;0,0,1)</f>
        <v>0</v>
      </c>
      <c r="B65" s="95">
        <f>IF(COUNTIF(Table_System_Grouping_Codes[groupingCodeCode],FC_import[[#This Row],[GroupingCode]])&gt;0,0,1)</f>
        <v>0</v>
      </c>
      <c r="C65" s="85">
        <f>IF(COUNTIF(CUSTGROUP[CustomGroupingCode],FC_import[[#This Row],[CustomGrouping]])&gt;0,0,1)</f>
        <v>1</v>
      </c>
      <c r="D65" s="85" cm="1">
        <f t="array" ref="D65">IF(FC_import[[#This Row],[AvailableToAllSchools]]=TRUE,0,COUNTA(_xlfn.TEXTSPLIT(FC_import[[#This Row],[SchoolCodes]],",",,TRUE))-SUM(COUNTIF(SCHOOLS[SchoolCode],_xlfn.TEXTSPLIT(FC_import[[#This Row],[SchoolCodes]],",",,TRUE))))</f>
        <v>0</v>
      </c>
      <c r="E65" s="85">
        <f>IF(FC_import[[#This Row],[FinanceCodeTypeCode]]="BUDGET",0,COUNTIF(P:P,P65)-1)</f>
        <v>0</v>
      </c>
      <c r="F65" s="85">
        <f>IF(FC_import[[#This Row],[FinanceCodeTypeCode]]="BUDGET",0,COUNTIF(Q:Q,Q65)-1)</f>
        <v>0</v>
      </c>
      <c r="G65" s="85">
        <f>COUNTIF(Lookup!$A$2:$A$7,R65)-1</f>
        <v>0</v>
      </c>
      <c r="H65" s="80">
        <f>IF(LEN(FC_import[[#This Row],[FinanceCode]])&lt;100,0,1)</f>
        <v>0</v>
      </c>
      <c r="I65" s="80">
        <f>IF(TRIM(FC_import[[#This Row],[FinanceCode]])="",1,0)</f>
        <v>0</v>
      </c>
      <c r="J65" s="80">
        <f>IF(TRIM(FC_import[[#This Row],[Title]])="",1,0)</f>
        <v>0</v>
      </c>
      <c r="K65" s="80">
        <f>IF(LEN(FC_import[[#This Row],[Title]])&lt;100,0,1)</f>
        <v>0</v>
      </c>
      <c r="L65" s="80">
        <f>IF(ISBLANK(FC_import[[#This Row],[BalanceToScenario]]),1,0)</f>
        <v>0</v>
      </c>
      <c r="M65" s="80">
        <f>IF(EXACT(FC_import[[#This Row],[FinanceCode]],UPPER(FC_import[[#This Row],[FinanceCode]])),0,1)</f>
        <v>0</v>
      </c>
      <c r="N65" s="80">
        <f>IF(SUBSTITUTE(TEXT(FC_import[[#This Row],[FinanceCode]],10)," ","")=TEXT(FC_import[[#This Row],[FinanceCode]],10),0,1)</f>
        <v>0</v>
      </c>
      <c r="O65" s="80">
        <f>SUM(FC_import[[#This Row],[LedgerIssue]:[CustGrIssue]],FC_import[[#This Row],[DupCode]:[Space in Code]])</f>
        <v>1</v>
      </c>
      <c r="P65" t="s">
        <v>1032</v>
      </c>
      <c r="Q65" t="s">
        <v>1033</v>
      </c>
      <c r="R65" t="s">
        <v>978</v>
      </c>
      <c r="S65" t="s">
        <v>52</v>
      </c>
      <c r="T65" t="s">
        <v>52</v>
      </c>
      <c r="U65" t="s">
        <v>51</v>
      </c>
      <c r="V65" t="b">
        <v>1</v>
      </c>
      <c r="X65" t="b">
        <v>1</v>
      </c>
      <c r="Y65" t="b">
        <v>0</v>
      </c>
      <c r="Z65" t="b">
        <v>0</v>
      </c>
    </row>
    <row r="66" spans="1:26" hidden="1" x14ac:dyDescent="0.3">
      <c r="A66" s="120">
        <f>IF(COUNTIF(LEDGER[LedgerCode],FC_import[[#This Row],[LedgerCode]])&gt;0,0,1)</f>
        <v>0</v>
      </c>
      <c r="B66" s="95">
        <f>IF(COUNTIF(Table_System_Grouping_Codes[groupingCodeCode],FC_import[[#This Row],[GroupingCode]])&gt;0,0,1)</f>
        <v>0</v>
      </c>
      <c r="C66" s="85">
        <f>IF(COUNTIF(CUSTGROUP[CustomGroupingCode],FC_import[[#This Row],[CustomGrouping]])&gt;0,0,1)</f>
        <v>1</v>
      </c>
      <c r="D66" s="85" cm="1">
        <f t="array" ref="D66">IF(FC_import[[#This Row],[AvailableToAllSchools]]=TRUE,0,COUNTA(_xlfn.TEXTSPLIT(FC_import[[#This Row],[SchoolCodes]],",",,TRUE))-SUM(COUNTIF(SCHOOLS[SchoolCode],_xlfn.TEXTSPLIT(FC_import[[#This Row],[SchoolCodes]],",",,TRUE))))</f>
        <v>0</v>
      </c>
      <c r="E66" s="85">
        <f>IF(FC_import[[#This Row],[FinanceCodeTypeCode]]="BUDGET",0,COUNTIF(P:P,P66)-1)</f>
        <v>0</v>
      </c>
      <c r="F66" s="85">
        <f>IF(FC_import[[#This Row],[FinanceCodeTypeCode]]="BUDGET",0,COUNTIF(Q:Q,Q66)-1)</f>
        <v>0</v>
      </c>
      <c r="G66" s="85">
        <f>COUNTIF(Lookup!$A$2:$A$7,R66)-1</f>
        <v>0</v>
      </c>
      <c r="H66" s="80">
        <f>IF(LEN(FC_import[[#This Row],[FinanceCode]])&lt;100,0,1)</f>
        <v>0</v>
      </c>
      <c r="I66" s="80">
        <f>IF(TRIM(FC_import[[#This Row],[FinanceCode]])="",1,0)</f>
        <v>0</v>
      </c>
      <c r="J66" s="80">
        <f>IF(TRIM(FC_import[[#This Row],[Title]])="",1,0)</f>
        <v>0</v>
      </c>
      <c r="K66" s="80">
        <f>IF(LEN(FC_import[[#This Row],[Title]])&lt;100,0,1)</f>
        <v>0</v>
      </c>
      <c r="L66" s="80">
        <f>IF(ISBLANK(FC_import[[#This Row],[BalanceToScenario]]),1,0)</f>
        <v>0</v>
      </c>
      <c r="M66" s="80">
        <f>IF(EXACT(FC_import[[#This Row],[FinanceCode]],UPPER(FC_import[[#This Row],[FinanceCode]])),0,1)</f>
        <v>0</v>
      </c>
      <c r="N66" s="80">
        <f>IF(SUBSTITUTE(TEXT(FC_import[[#This Row],[FinanceCode]],10)," ","")=TEXT(FC_import[[#This Row],[FinanceCode]],10),0,1)</f>
        <v>0</v>
      </c>
      <c r="O66" s="80">
        <f>SUM(FC_import[[#This Row],[LedgerIssue]:[CustGrIssue]],FC_import[[#This Row],[DupCode]:[Space in Code]])</f>
        <v>1</v>
      </c>
      <c r="P66" t="s">
        <v>1036</v>
      </c>
      <c r="Q66" t="s">
        <v>1037</v>
      </c>
      <c r="R66" t="s">
        <v>978</v>
      </c>
      <c r="S66" t="s">
        <v>52</v>
      </c>
      <c r="T66" t="s">
        <v>52</v>
      </c>
      <c r="U66" t="s">
        <v>51</v>
      </c>
      <c r="V66" t="b">
        <v>1</v>
      </c>
      <c r="X66" t="b">
        <v>1</v>
      </c>
      <c r="Y66" t="b">
        <v>0</v>
      </c>
      <c r="Z66" t="b">
        <v>0</v>
      </c>
    </row>
    <row r="67" spans="1:26" hidden="1" x14ac:dyDescent="0.3">
      <c r="A67" s="120">
        <f>IF(COUNTIF(LEDGER[LedgerCode],FC_import[[#This Row],[LedgerCode]])&gt;0,0,1)</f>
        <v>0</v>
      </c>
      <c r="B67" s="95">
        <f>IF(COUNTIF(Table_System_Grouping_Codes[groupingCodeCode],FC_import[[#This Row],[GroupingCode]])&gt;0,0,1)</f>
        <v>0</v>
      </c>
      <c r="C67" s="85">
        <f>IF(COUNTIF(CUSTGROUP[CustomGroupingCode],FC_import[[#This Row],[CustomGrouping]])&gt;0,0,1)</f>
        <v>1</v>
      </c>
      <c r="D67" s="85" cm="1">
        <f t="array" ref="D67">IF(FC_import[[#This Row],[AvailableToAllSchools]]=TRUE,0,COUNTA(_xlfn.TEXTSPLIT(FC_import[[#This Row],[SchoolCodes]],",",,TRUE))-SUM(COUNTIF(SCHOOLS[SchoolCode],_xlfn.TEXTSPLIT(FC_import[[#This Row],[SchoolCodes]],",",,TRUE))))</f>
        <v>0</v>
      </c>
      <c r="E67" s="85">
        <f>IF(FC_import[[#This Row],[FinanceCodeTypeCode]]="BUDGET",0,COUNTIF(P:P,P67)-1)</f>
        <v>0</v>
      </c>
      <c r="F67" s="85">
        <f>IF(FC_import[[#This Row],[FinanceCodeTypeCode]]="BUDGET",0,COUNTIF(Q:Q,Q67)-1)</f>
        <v>0</v>
      </c>
      <c r="G67" s="85">
        <f>COUNTIF(Lookup!$A$2:$A$7,R67)-1</f>
        <v>0</v>
      </c>
      <c r="H67" s="80">
        <f>IF(LEN(FC_import[[#This Row],[FinanceCode]])&lt;100,0,1)</f>
        <v>0</v>
      </c>
      <c r="I67" s="80">
        <f>IF(TRIM(FC_import[[#This Row],[FinanceCode]])="",1,0)</f>
        <v>0</v>
      </c>
      <c r="J67" s="80">
        <f>IF(TRIM(FC_import[[#This Row],[Title]])="",1,0)</f>
        <v>0</v>
      </c>
      <c r="K67" s="80">
        <f>IF(LEN(FC_import[[#This Row],[Title]])&lt;100,0,1)</f>
        <v>0</v>
      </c>
      <c r="L67" s="80">
        <f>IF(ISBLANK(FC_import[[#This Row],[BalanceToScenario]]),1,0)</f>
        <v>0</v>
      </c>
      <c r="M67" s="80">
        <f>IF(EXACT(FC_import[[#This Row],[FinanceCode]],UPPER(FC_import[[#This Row],[FinanceCode]])),0,1)</f>
        <v>0</v>
      </c>
      <c r="N67" s="80">
        <f>IF(SUBSTITUTE(TEXT(FC_import[[#This Row],[FinanceCode]],10)," ","")=TEXT(FC_import[[#This Row],[FinanceCode]],10),0,1)</f>
        <v>0</v>
      </c>
      <c r="O67" s="80">
        <f>SUM(FC_import[[#This Row],[LedgerIssue]:[CustGrIssue]],FC_import[[#This Row],[DupCode]:[Space in Code]])</f>
        <v>1</v>
      </c>
      <c r="P67" t="s">
        <v>1038</v>
      </c>
      <c r="Q67" t="s">
        <v>1039</v>
      </c>
      <c r="R67" t="s">
        <v>978</v>
      </c>
      <c r="S67" t="s">
        <v>52</v>
      </c>
      <c r="T67" t="s">
        <v>52</v>
      </c>
      <c r="U67" t="s">
        <v>51</v>
      </c>
      <c r="V67" t="b">
        <v>1</v>
      </c>
      <c r="X67" t="b">
        <v>1</v>
      </c>
      <c r="Y67" t="b">
        <v>0</v>
      </c>
      <c r="Z67" t="b">
        <v>0</v>
      </c>
    </row>
    <row r="68" spans="1:26" hidden="1" x14ac:dyDescent="0.3">
      <c r="A68" s="120">
        <f>IF(COUNTIF(LEDGER[LedgerCode],FC_import[[#This Row],[LedgerCode]])&gt;0,0,1)</f>
        <v>0</v>
      </c>
      <c r="B68" s="95">
        <f>IF(COUNTIF(Table_System_Grouping_Codes[groupingCodeCode],FC_import[[#This Row],[GroupingCode]])&gt;0,0,1)</f>
        <v>0</v>
      </c>
      <c r="C68" s="85">
        <f>IF(COUNTIF(CUSTGROUP[CustomGroupingCode],FC_import[[#This Row],[CustomGrouping]])&gt;0,0,1)</f>
        <v>1</v>
      </c>
      <c r="D68" s="85" cm="1">
        <f t="array" ref="D68">IF(FC_import[[#This Row],[AvailableToAllSchools]]=TRUE,0,COUNTA(_xlfn.TEXTSPLIT(FC_import[[#This Row],[SchoolCodes]],",",,TRUE))-SUM(COUNTIF(SCHOOLS[SchoolCode],_xlfn.TEXTSPLIT(FC_import[[#This Row],[SchoolCodes]],",",,TRUE))))</f>
        <v>0</v>
      </c>
      <c r="E68" s="85">
        <f>IF(FC_import[[#This Row],[FinanceCodeTypeCode]]="BUDGET",0,COUNTIF(P:P,P68)-1)</f>
        <v>0</v>
      </c>
      <c r="F68" s="85">
        <f>IF(FC_import[[#This Row],[FinanceCodeTypeCode]]="BUDGET",0,COUNTIF(Q:Q,Q68)-1)</f>
        <v>0</v>
      </c>
      <c r="G68" s="85">
        <f>COUNTIF(Lookup!$A$2:$A$7,R68)-1</f>
        <v>0</v>
      </c>
      <c r="H68" s="80">
        <f>IF(LEN(FC_import[[#This Row],[FinanceCode]])&lt;100,0,1)</f>
        <v>0</v>
      </c>
      <c r="I68" s="80">
        <f>IF(TRIM(FC_import[[#This Row],[FinanceCode]])="",1,0)</f>
        <v>0</v>
      </c>
      <c r="J68" s="80">
        <f>IF(TRIM(FC_import[[#This Row],[Title]])="",1,0)</f>
        <v>0</v>
      </c>
      <c r="K68" s="80">
        <f>IF(LEN(FC_import[[#This Row],[Title]])&lt;100,0,1)</f>
        <v>0</v>
      </c>
      <c r="L68" s="80">
        <f>IF(ISBLANK(FC_import[[#This Row],[BalanceToScenario]]),1,0)</f>
        <v>0</v>
      </c>
      <c r="M68" s="80">
        <f>IF(EXACT(FC_import[[#This Row],[FinanceCode]],UPPER(FC_import[[#This Row],[FinanceCode]])),0,1)</f>
        <v>0</v>
      </c>
      <c r="N68" s="80">
        <f>IF(SUBSTITUTE(TEXT(FC_import[[#This Row],[FinanceCode]],10)," ","")=TEXT(FC_import[[#This Row],[FinanceCode]],10),0,1)</f>
        <v>0</v>
      </c>
      <c r="O68" s="80">
        <f>SUM(FC_import[[#This Row],[LedgerIssue]:[CustGrIssue]],FC_import[[#This Row],[DupCode]:[Space in Code]])</f>
        <v>1</v>
      </c>
      <c r="P68" t="s">
        <v>1050</v>
      </c>
      <c r="Q68" t="s">
        <v>1051</v>
      </c>
      <c r="R68" t="s">
        <v>978</v>
      </c>
      <c r="S68" t="s">
        <v>52</v>
      </c>
      <c r="T68" t="s">
        <v>52</v>
      </c>
      <c r="U68" t="s">
        <v>51</v>
      </c>
      <c r="V68" t="b">
        <v>1</v>
      </c>
      <c r="X68" t="b">
        <v>1</v>
      </c>
      <c r="Y68" t="b">
        <v>0</v>
      </c>
      <c r="Z68" t="b">
        <v>0</v>
      </c>
    </row>
    <row r="69" spans="1:26" hidden="1" x14ac:dyDescent="0.3">
      <c r="A69" s="120">
        <f>IF(COUNTIF(LEDGER[LedgerCode],FC_import[[#This Row],[LedgerCode]])&gt;0,0,1)</f>
        <v>0</v>
      </c>
      <c r="B69" s="95">
        <f>IF(COUNTIF(Table_System_Grouping_Codes[groupingCodeCode],FC_import[[#This Row],[GroupingCode]])&gt;0,0,1)</f>
        <v>0</v>
      </c>
      <c r="C69" s="85">
        <f>IF(COUNTIF(CUSTGROUP[CustomGroupingCode],FC_import[[#This Row],[CustomGrouping]])&gt;0,0,1)</f>
        <v>1</v>
      </c>
      <c r="D69" s="85" cm="1">
        <f t="array" ref="D69">IF(FC_import[[#This Row],[AvailableToAllSchools]]=TRUE,0,COUNTA(_xlfn.TEXTSPLIT(FC_import[[#This Row],[SchoolCodes]],",",,TRUE))-SUM(COUNTIF(SCHOOLS[SchoolCode],_xlfn.TEXTSPLIT(FC_import[[#This Row],[SchoolCodes]],",",,TRUE))))</f>
        <v>0</v>
      </c>
      <c r="E69" s="85">
        <f>IF(FC_import[[#This Row],[FinanceCodeTypeCode]]="BUDGET",0,COUNTIF(P:P,P69)-1)</f>
        <v>0</v>
      </c>
      <c r="F69" s="85">
        <f>IF(FC_import[[#This Row],[FinanceCodeTypeCode]]="BUDGET",0,COUNTIF(Q:Q,Q69)-1)</f>
        <v>0</v>
      </c>
      <c r="G69" s="85">
        <f>COUNTIF(Lookup!$A$2:$A$7,R69)-1</f>
        <v>0</v>
      </c>
      <c r="H69" s="80">
        <f>IF(LEN(FC_import[[#This Row],[FinanceCode]])&lt;100,0,1)</f>
        <v>0</v>
      </c>
      <c r="I69" s="80">
        <f>IF(TRIM(FC_import[[#This Row],[FinanceCode]])="",1,0)</f>
        <v>0</v>
      </c>
      <c r="J69" s="80">
        <f>IF(TRIM(FC_import[[#This Row],[Title]])="",1,0)</f>
        <v>0</v>
      </c>
      <c r="K69" s="80">
        <f>IF(LEN(FC_import[[#This Row],[Title]])&lt;100,0,1)</f>
        <v>0</v>
      </c>
      <c r="L69" s="80">
        <f>IF(ISBLANK(FC_import[[#This Row],[BalanceToScenario]]),1,0)</f>
        <v>0</v>
      </c>
      <c r="M69" s="80">
        <f>IF(EXACT(FC_import[[#This Row],[FinanceCode]],UPPER(FC_import[[#This Row],[FinanceCode]])),0,1)</f>
        <v>0</v>
      </c>
      <c r="N69" s="80">
        <f>IF(SUBSTITUTE(TEXT(FC_import[[#This Row],[FinanceCode]],10)," ","")=TEXT(FC_import[[#This Row],[FinanceCode]],10),0,1)</f>
        <v>0</v>
      </c>
      <c r="O69" s="80">
        <f>SUM(FC_import[[#This Row],[LedgerIssue]:[CustGrIssue]],FC_import[[#This Row],[DupCode]:[Space in Code]])</f>
        <v>1</v>
      </c>
      <c r="P69" t="s">
        <v>1048</v>
      </c>
      <c r="Q69" t="s">
        <v>1049</v>
      </c>
      <c r="R69" t="s">
        <v>978</v>
      </c>
      <c r="S69" t="s">
        <v>52</v>
      </c>
      <c r="T69" t="s">
        <v>52</v>
      </c>
      <c r="U69" t="s">
        <v>51</v>
      </c>
      <c r="V69" t="b">
        <v>1</v>
      </c>
      <c r="X69" t="b">
        <v>1</v>
      </c>
      <c r="Y69" t="b">
        <v>0</v>
      </c>
      <c r="Z69" t="b">
        <v>0</v>
      </c>
    </row>
    <row r="70" spans="1:26" hidden="1" x14ac:dyDescent="0.3">
      <c r="A70" s="120">
        <f>IF(COUNTIF(LEDGER[LedgerCode],FC_import[[#This Row],[LedgerCode]])&gt;0,0,1)</f>
        <v>0</v>
      </c>
      <c r="B70" s="95">
        <f>IF(COUNTIF(Table_System_Grouping_Codes[groupingCodeCode],FC_import[[#This Row],[GroupingCode]])&gt;0,0,1)</f>
        <v>0</v>
      </c>
      <c r="C70" s="85">
        <f>IF(COUNTIF(CUSTGROUP[CustomGroupingCode],FC_import[[#This Row],[CustomGrouping]])&gt;0,0,1)</f>
        <v>1</v>
      </c>
      <c r="D70" s="85" cm="1">
        <f t="array" ref="D70">IF(FC_import[[#This Row],[AvailableToAllSchools]]=TRUE,0,COUNTA(_xlfn.TEXTSPLIT(FC_import[[#This Row],[SchoolCodes]],",",,TRUE))-SUM(COUNTIF(SCHOOLS[SchoolCode],_xlfn.TEXTSPLIT(FC_import[[#This Row],[SchoolCodes]],",",,TRUE))))</f>
        <v>0</v>
      </c>
      <c r="E70" s="85">
        <f>IF(FC_import[[#This Row],[FinanceCodeTypeCode]]="BUDGET",0,COUNTIF(P:P,P70)-1)</f>
        <v>0</v>
      </c>
      <c r="F70" s="85">
        <f>IF(FC_import[[#This Row],[FinanceCodeTypeCode]]="BUDGET",0,COUNTIF(Q:Q,Q70)-1)</f>
        <v>0</v>
      </c>
      <c r="G70" s="85">
        <f>COUNTIF(Lookup!$A$2:$A$7,R70)-1</f>
        <v>0</v>
      </c>
      <c r="H70" s="80">
        <f>IF(LEN(FC_import[[#This Row],[FinanceCode]])&lt;100,0,1)</f>
        <v>0</v>
      </c>
      <c r="I70" s="80">
        <f>IF(TRIM(FC_import[[#This Row],[FinanceCode]])="",1,0)</f>
        <v>0</v>
      </c>
      <c r="J70" s="80">
        <f>IF(TRIM(FC_import[[#This Row],[Title]])="",1,0)</f>
        <v>0</v>
      </c>
      <c r="K70" s="80">
        <f>IF(LEN(FC_import[[#This Row],[Title]])&lt;100,0,1)</f>
        <v>0</v>
      </c>
      <c r="L70" s="80">
        <f>IF(ISBLANK(FC_import[[#This Row],[BalanceToScenario]]),1,0)</f>
        <v>0</v>
      </c>
      <c r="M70" s="80">
        <f>IF(EXACT(FC_import[[#This Row],[FinanceCode]],UPPER(FC_import[[#This Row],[FinanceCode]])),0,1)</f>
        <v>0</v>
      </c>
      <c r="N70" s="80">
        <f>IF(SUBSTITUTE(TEXT(FC_import[[#This Row],[FinanceCode]],10)," ","")=TEXT(FC_import[[#This Row],[FinanceCode]],10),0,1)</f>
        <v>0</v>
      </c>
      <c r="O70" s="80">
        <f>SUM(FC_import[[#This Row],[LedgerIssue]:[CustGrIssue]],FC_import[[#This Row],[DupCode]:[Space in Code]])</f>
        <v>1</v>
      </c>
      <c r="P70" t="s">
        <v>1042</v>
      </c>
      <c r="Q70" t="s">
        <v>1043</v>
      </c>
      <c r="R70" t="s">
        <v>978</v>
      </c>
      <c r="S70" t="s">
        <v>52</v>
      </c>
      <c r="T70" t="s">
        <v>52</v>
      </c>
      <c r="U70" t="s">
        <v>51</v>
      </c>
      <c r="V70" t="b">
        <v>1</v>
      </c>
      <c r="X70" t="b">
        <v>1</v>
      </c>
      <c r="Y70" t="b">
        <v>0</v>
      </c>
      <c r="Z70" t="b">
        <v>0</v>
      </c>
    </row>
    <row r="71" spans="1:26" hidden="1" x14ac:dyDescent="0.3">
      <c r="A71" s="120">
        <f>IF(COUNTIF(LEDGER[LedgerCode],FC_import[[#This Row],[LedgerCode]])&gt;0,0,1)</f>
        <v>0</v>
      </c>
      <c r="B71" s="95">
        <f>IF(COUNTIF(Table_System_Grouping_Codes[groupingCodeCode],FC_import[[#This Row],[GroupingCode]])&gt;0,0,1)</f>
        <v>0</v>
      </c>
      <c r="C71" s="85">
        <f>IF(COUNTIF(CUSTGROUP[CustomGroupingCode],FC_import[[#This Row],[CustomGrouping]])&gt;0,0,1)</f>
        <v>1</v>
      </c>
      <c r="D71" s="85" cm="1">
        <f t="array" ref="D71">IF(FC_import[[#This Row],[AvailableToAllSchools]]=TRUE,0,COUNTA(_xlfn.TEXTSPLIT(FC_import[[#This Row],[SchoolCodes]],",",,TRUE))-SUM(COUNTIF(SCHOOLS[SchoolCode],_xlfn.TEXTSPLIT(FC_import[[#This Row],[SchoolCodes]],",",,TRUE))))</f>
        <v>0</v>
      </c>
      <c r="E71" s="85">
        <f>IF(FC_import[[#This Row],[FinanceCodeTypeCode]]="BUDGET",0,COUNTIF(P:P,P71)-1)</f>
        <v>0</v>
      </c>
      <c r="F71" s="85">
        <f>IF(FC_import[[#This Row],[FinanceCodeTypeCode]]="BUDGET",0,COUNTIF(Q:Q,Q71)-1)</f>
        <v>0</v>
      </c>
      <c r="G71" s="85">
        <f>COUNTIF(Lookup!$A$2:$A$7,R71)-1</f>
        <v>0</v>
      </c>
      <c r="H71" s="80">
        <f>IF(LEN(FC_import[[#This Row],[FinanceCode]])&lt;100,0,1)</f>
        <v>0</v>
      </c>
      <c r="I71" s="80">
        <f>IF(TRIM(FC_import[[#This Row],[FinanceCode]])="",1,0)</f>
        <v>0</v>
      </c>
      <c r="J71" s="80">
        <f>IF(TRIM(FC_import[[#This Row],[Title]])="",1,0)</f>
        <v>0</v>
      </c>
      <c r="K71" s="80">
        <f>IF(LEN(FC_import[[#This Row],[Title]])&lt;100,0,1)</f>
        <v>0</v>
      </c>
      <c r="L71" s="80">
        <f>IF(ISBLANK(FC_import[[#This Row],[BalanceToScenario]]),1,0)</f>
        <v>0</v>
      </c>
      <c r="M71" s="80">
        <f>IF(EXACT(FC_import[[#This Row],[FinanceCode]],UPPER(FC_import[[#This Row],[FinanceCode]])),0,1)</f>
        <v>0</v>
      </c>
      <c r="N71" s="80">
        <f>IF(SUBSTITUTE(TEXT(FC_import[[#This Row],[FinanceCode]],10)," ","")=TEXT(FC_import[[#This Row],[FinanceCode]],10),0,1)</f>
        <v>0</v>
      </c>
      <c r="O71" s="80">
        <f>SUM(FC_import[[#This Row],[LedgerIssue]:[CustGrIssue]],FC_import[[#This Row],[DupCode]:[Space in Code]])</f>
        <v>1</v>
      </c>
      <c r="P71" t="s">
        <v>1044</v>
      </c>
      <c r="Q71" t="s">
        <v>1045</v>
      </c>
      <c r="R71" t="s">
        <v>978</v>
      </c>
      <c r="S71" t="s">
        <v>52</v>
      </c>
      <c r="T71" t="s">
        <v>52</v>
      </c>
      <c r="U71" t="s">
        <v>51</v>
      </c>
      <c r="V71" t="b">
        <v>1</v>
      </c>
      <c r="X71" t="b">
        <v>1</v>
      </c>
      <c r="Y71" t="b">
        <v>0</v>
      </c>
      <c r="Z71" t="b">
        <v>0</v>
      </c>
    </row>
    <row r="72" spans="1:26" hidden="1" x14ac:dyDescent="0.3">
      <c r="A72" s="120">
        <f>IF(COUNTIF(LEDGER[LedgerCode],FC_import[[#This Row],[LedgerCode]])&gt;0,0,1)</f>
        <v>0</v>
      </c>
      <c r="B72" s="95">
        <f>IF(COUNTIF(Table_System_Grouping_Codes[groupingCodeCode],FC_import[[#This Row],[GroupingCode]])&gt;0,0,1)</f>
        <v>0</v>
      </c>
      <c r="C72" s="85">
        <f>IF(COUNTIF(CUSTGROUP[CustomGroupingCode],FC_import[[#This Row],[CustomGrouping]])&gt;0,0,1)</f>
        <v>1</v>
      </c>
      <c r="D72" s="85" cm="1">
        <f t="array" ref="D72">IF(FC_import[[#This Row],[AvailableToAllSchools]]=TRUE,0,COUNTA(_xlfn.TEXTSPLIT(FC_import[[#This Row],[SchoolCodes]],",",,TRUE))-SUM(COUNTIF(SCHOOLS[SchoolCode],_xlfn.TEXTSPLIT(FC_import[[#This Row],[SchoolCodes]],",",,TRUE))))</f>
        <v>0</v>
      </c>
      <c r="E72" s="85">
        <f>IF(FC_import[[#This Row],[FinanceCodeTypeCode]]="BUDGET",0,COUNTIF(P:P,P72)-1)</f>
        <v>0</v>
      </c>
      <c r="F72" s="85">
        <f>IF(FC_import[[#This Row],[FinanceCodeTypeCode]]="BUDGET",0,COUNTIF(Q:Q,Q72)-1)</f>
        <v>0</v>
      </c>
      <c r="G72" s="85">
        <f>COUNTIF(Lookup!$A$2:$A$7,R72)-1</f>
        <v>0</v>
      </c>
      <c r="H72" s="80">
        <f>IF(LEN(FC_import[[#This Row],[FinanceCode]])&lt;100,0,1)</f>
        <v>0</v>
      </c>
      <c r="I72" s="80">
        <f>IF(TRIM(FC_import[[#This Row],[FinanceCode]])="",1,0)</f>
        <v>0</v>
      </c>
      <c r="J72" s="80">
        <f>IF(TRIM(FC_import[[#This Row],[Title]])="",1,0)</f>
        <v>0</v>
      </c>
      <c r="K72" s="80">
        <f>IF(LEN(FC_import[[#This Row],[Title]])&lt;100,0,1)</f>
        <v>0</v>
      </c>
      <c r="L72" s="80">
        <f>IF(ISBLANK(FC_import[[#This Row],[BalanceToScenario]]),1,0)</f>
        <v>0</v>
      </c>
      <c r="M72" s="80">
        <f>IF(EXACT(FC_import[[#This Row],[FinanceCode]],UPPER(FC_import[[#This Row],[FinanceCode]])),0,1)</f>
        <v>0</v>
      </c>
      <c r="N72" s="80">
        <f>IF(SUBSTITUTE(TEXT(FC_import[[#This Row],[FinanceCode]],10)," ","")=TEXT(FC_import[[#This Row],[FinanceCode]],10),0,1)</f>
        <v>0</v>
      </c>
      <c r="O72" s="80">
        <f>SUM(FC_import[[#This Row],[LedgerIssue]:[CustGrIssue]],FC_import[[#This Row],[DupCode]:[Space in Code]])</f>
        <v>1</v>
      </c>
      <c r="P72" t="s">
        <v>1040</v>
      </c>
      <c r="Q72" t="s">
        <v>1041</v>
      </c>
      <c r="R72" t="s">
        <v>978</v>
      </c>
      <c r="S72" t="s">
        <v>52</v>
      </c>
      <c r="T72" t="s">
        <v>52</v>
      </c>
      <c r="U72" t="s">
        <v>51</v>
      </c>
      <c r="V72" t="b">
        <v>1</v>
      </c>
      <c r="X72" t="b">
        <v>1</v>
      </c>
      <c r="Y72" t="b">
        <v>0</v>
      </c>
      <c r="Z72" t="b">
        <v>0</v>
      </c>
    </row>
    <row r="73" spans="1:26" hidden="1" x14ac:dyDescent="0.3">
      <c r="A73" s="120">
        <f>IF(COUNTIF(LEDGER[LedgerCode],FC_import[[#This Row],[LedgerCode]])&gt;0,0,1)</f>
        <v>0</v>
      </c>
      <c r="B73" s="95">
        <f>IF(COUNTIF(Table_System_Grouping_Codes[groupingCodeCode],FC_import[[#This Row],[GroupingCode]])&gt;0,0,1)</f>
        <v>0</v>
      </c>
      <c r="C73" s="85">
        <f>IF(COUNTIF(CUSTGROUP[CustomGroupingCode],FC_import[[#This Row],[CustomGrouping]])&gt;0,0,1)</f>
        <v>1</v>
      </c>
      <c r="D73" s="85" cm="1">
        <f t="array" ref="D73">IF(FC_import[[#This Row],[AvailableToAllSchools]]=TRUE,0,COUNTA(_xlfn.TEXTSPLIT(FC_import[[#This Row],[SchoolCodes]],",",,TRUE))-SUM(COUNTIF(SCHOOLS[SchoolCode],_xlfn.TEXTSPLIT(FC_import[[#This Row],[SchoolCodes]],",",,TRUE))))</f>
        <v>0</v>
      </c>
      <c r="E73" s="85">
        <f>IF(FC_import[[#This Row],[FinanceCodeTypeCode]]="BUDGET",0,COUNTIF(P:P,P73)-1)</f>
        <v>0</v>
      </c>
      <c r="F73" s="85">
        <f>IF(FC_import[[#This Row],[FinanceCodeTypeCode]]="BUDGET",0,COUNTIF(Q:Q,Q73)-1)</f>
        <v>0</v>
      </c>
      <c r="G73" s="85">
        <f>COUNTIF(Lookup!$A$2:$A$7,R73)-1</f>
        <v>0</v>
      </c>
      <c r="H73" s="80">
        <f>IF(LEN(FC_import[[#This Row],[FinanceCode]])&lt;100,0,1)</f>
        <v>0</v>
      </c>
      <c r="I73" s="80">
        <f>IF(TRIM(FC_import[[#This Row],[FinanceCode]])="",1,0)</f>
        <v>0</v>
      </c>
      <c r="J73" s="80">
        <f>IF(TRIM(FC_import[[#This Row],[Title]])="",1,0)</f>
        <v>0</v>
      </c>
      <c r="K73" s="80">
        <f>IF(LEN(FC_import[[#This Row],[Title]])&lt;100,0,1)</f>
        <v>0</v>
      </c>
      <c r="L73" s="80">
        <f>IF(ISBLANK(FC_import[[#This Row],[BalanceToScenario]]),1,0)</f>
        <v>0</v>
      </c>
      <c r="M73" s="80">
        <f>IF(EXACT(FC_import[[#This Row],[FinanceCode]],UPPER(FC_import[[#This Row],[FinanceCode]])),0,1)</f>
        <v>0</v>
      </c>
      <c r="N73" s="80">
        <f>IF(SUBSTITUTE(TEXT(FC_import[[#This Row],[FinanceCode]],10)," ","")=TEXT(FC_import[[#This Row],[FinanceCode]],10),0,1)</f>
        <v>0</v>
      </c>
      <c r="O73" s="80">
        <f>SUM(FC_import[[#This Row],[LedgerIssue]:[CustGrIssue]],FC_import[[#This Row],[DupCode]:[Space in Code]])</f>
        <v>1</v>
      </c>
      <c r="P73" t="s">
        <v>1046</v>
      </c>
      <c r="Q73" t="s">
        <v>1047</v>
      </c>
      <c r="R73" t="s">
        <v>978</v>
      </c>
      <c r="S73" t="s">
        <v>52</v>
      </c>
      <c r="T73" t="s">
        <v>52</v>
      </c>
      <c r="U73" t="s">
        <v>51</v>
      </c>
      <c r="V73" t="b">
        <v>1</v>
      </c>
      <c r="X73" t="b">
        <v>1</v>
      </c>
      <c r="Y73" t="b">
        <v>0</v>
      </c>
      <c r="Z73" t="b">
        <v>0</v>
      </c>
    </row>
    <row r="74" spans="1:26" hidden="1" x14ac:dyDescent="0.3">
      <c r="A74" s="120">
        <f>IF(COUNTIF(LEDGER[LedgerCode],FC_import[[#This Row],[LedgerCode]])&gt;0,0,1)</f>
        <v>0</v>
      </c>
      <c r="B74" s="95">
        <f>IF(COUNTIF(Table_System_Grouping_Codes[groupingCodeCode],FC_import[[#This Row],[GroupingCode]])&gt;0,0,1)</f>
        <v>0</v>
      </c>
      <c r="C74" s="85">
        <f>IF(COUNTIF(CUSTGROUP[CustomGroupingCode],FC_import[[#This Row],[CustomGrouping]])&gt;0,0,1)</f>
        <v>1</v>
      </c>
      <c r="D74" s="85" cm="1">
        <f t="array" ref="D74">IF(FC_import[[#This Row],[AvailableToAllSchools]]=TRUE,0,COUNTA(_xlfn.TEXTSPLIT(FC_import[[#This Row],[SchoolCodes]],",",,TRUE))-SUM(COUNTIF(SCHOOLS[SchoolCode],_xlfn.TEXTSPLIT(FC_import[[#This Row],[SchoolCodes]],",",,TRUE))))</f>
        <v>0</v>
      </c>
      <c r="E74" s="85">
        <f>IF(FC_import[[#This Row],[FinanceCodeTypeCode]]="BUDGET",0,COUNTIF(P:P,P74)-1)</f>
        <v>0</v>
      </c>
      <c r="F74" s="85">
        <f>IF(FC_import[[#This Row],[FinanceCodeTypeCode]]="BUDGET",0,COUNTIF(Q:Q,Q74)-1)</f>
        <v>0</v>
      </c>
      <c r="G74" s="85">
        <f>COUNTIF(Lookup!$A$2:$A$7,R74)-1</f>
        <v>0</v>
      </c>
      <c r="H74" s="80">
        <f>IF(LEN(FC_import[[#This Row],[FinanceCode]])&lt;100,0,1)</f>
        <v>0</v>
      </c>
      <c r="I74" s="80">
        <f>IF(TRIM(FC_import[[#This Row],[FinanceCode]])="",1,0)</f>
        <v>0</v>
      </c>
      <c r="J74" s="80">
        <f>IF(TRIM(FC_import[[#This Row],[Title]])="",1,0)</f>
        <v>0</v>
      </c>
      <c r="K74" s="80">
        <f>IF(LEN(FC_import[[#This Row],[Title]])&lt;100,0,1)</f>
        <v>0</v>
      </c>
      <c r="L74" s="80">
        <f>IF(ISBLANK(FC_import[[#This Row],[BalanceToScenario]]),1,0)</f>
        <v>0</v>
      </c>
      <c r="M74" s="80">
        <f>IF(EXACT(FC_import[[#This Row],[FinanceCode]],UPPER(FC_import[[#This Row],[FinanceCode]])),0,1)</f>
        <v>0</v>
      </c>
      <c r="N74" s="80">
        <f>IF(SUBSTITUTE(TEXT(FC_import[[#This Row],[FinanceCode]],10)," ","")=TEXT(FC_import[[#This Row],[FinanceCode]],10),0,1)</f>
        <v>0</v>
      </c>
      <c r="O74" s="80">
        <f>SUM(FC_import[[#This Row],[LedgerIssue]:[CustGrIssue]],FC_import[[#This Row],[DupCode]:[Space in Code]])</f>
        <v>1</v>
      </c>
      <c r="P74" t="s">
        <v>1054</v>
      </c>
      <c r="Q74" t="s">
        <v>1055</v>
      </c>
      <c r="R74" t="s">
        <v>978</v>
      </c>
      <c r="S74" t="s">
        <v>52</v>
      </c>
      <c r="T74" t="s">
        <v>52</v>
      </c>
      <c r="U74" t="s">
        <v>51</v>
      </c>
      <c r="V74" t="b">
        <v>1</v>
      </c>
      <c r="X74" t="b">
        <v>1</v>
      </c>
      <c r="Y74" t="b">
        <v>0</v>
      </c>
      <c r="Z74" t="b">
        <v>0</v>
      </c>
    </row>
    <row r="75" spans="1:26" hidden="1" x14ac:dyDescent="0.3">
      <c r="A75" s="120">
        <f>IF(COUNTIF(LEDGER[LedgerCode],FC_import[[#This Row],[LedgerCode]])&gt;0,0,1)</f>
        <v>0</v>
      </c>
      <c r="B75" s="95">
        <f>IF(COUNTIF(Table_System_Grouping_Codes[groupingCodeCode],FC_import[[#This Row],[GroupingCode]])&gt;0,0,1)</f>
        <v>0</v>
      </c>
      <c r="C75" s="85">
        <f>IF(COUNTIF(CUSTGROUP[CustomGroupingCode],FC_import[[#This Row],[CustomGrouping]])&gt;0,0,1)</f>
        <v>1</v>
      </c>
      <c r="D75" s="85" cm="1">
        <f t="array" ref="D75">IF(FC_import[[#This Row],[AvailableToAllSchools]]=TRUE,0,COUNTA(_xlfn.TEXTSPLIT(FC_import[[#This Row],[SchoolCodes]],",",,TRUE))-SUM(COUNTIF(SCHOOLS[SchoolCode],_xlfn.TEXTSPLIT(FC_import[[#This Row],[SchoolCodes]],",",,TRUE))))</f>
        <v>0</v>
      </c>
      <c r="E75" s="85">
        <f>IF(FC_import[[#This Row],[FinanceCodeTypeCode]]="BUDGET",0,COUNTIF(P:P,P75)-1)</f>
        <v>0</v>
      </c>
      <c r="F75" s="85">
        <f>IF(FC_import[[#This Row],[FinanceCodeTypeCode]]="BUDGET",0,COUNTIF(Q:Q,Q75)-1)</f>
        <v>0</v>
      </c>
      <c r="G75" s="85">
        <f>COUNTIF(Lookup!$A$2:$A$7,R75)-1</f>
        <v>0</v>
      </c>
      <c r="H75" s="80">
        <f>IF(LEN(FC_import[[#This Row],[FinanceCode]])&lt;100,0,1)</f>
        <v>0</v>
      </c>
      <c r="I75" s="80">
        <f>IF(TRIM(FC_import[[#This Row],[FinanceCode]])="",1,0)</f>
        <v>0</v>
      </c>
      <c r="J75" s="80">
        <f>IF(TRIM(FC_import[[#This Row],[Title]])="",1,0)</f>
        <v>0</v>
      </c>
      <c r="K75" s="80">
        <f>IF(LEN(FC_import[[#This Row],[Title]])&lt;100,0,1)</f>
        <v>0</v>
      </c>
      <c r="L75" s="80">
        <f>IF(ISBLANK(FC_import[[#This Row],[BalanceToScenario]]),1,0)</f>
        <v>0</v>
      </c>
      <c r="M75" s="80">
        <f>IF(EXACT(FC_import[[#This Row],[FinanceCode]],UPPER(FC_import[[#This Row],[FinanceCode]])),0,1)</f>
        <v>0</v>
      </c>
      <c r="N75" s="80">
        <f>IF(SUBSTITUTE(TEXT(FC_import[[#This Row],[FinanceCode]],10)," ","")=TEXT(FC_import[[#This Row],[FinanceCode]],10),0,1)</f>
        <v>0</v>
      </c>
      <c r="O75" s="80">
        <f>SUM(FC_import[[#This Row],[LedgerIssue]:[CustGrIssue]],FC_import[[#This Row],[DupCode]:[Space in Code]])</f>
        <v>1</v>
      </c>
      <c r="P75" t="s">
        <v>2059</v>
      </c>
      <c r="Q75" t="s">
        <v>2061</v>
      </c>
      <c r="R75" t="s">
        <v>978</v>
      </c>
      <c r="S75" t="s">
        <v>52</v>
      </c>
      <c r="T75" t="s">
        <v>52</v>
      </c>
      <c r="U75" t="s">
        <v>51</v>
      </c>
      <c r="V75" t="b">
        <v>1</v>
      </c>
      <c r="X75" t="b">
        <v>1</v>
      </c>
      <c r="Y75" t="b">
        <v>0</v>
      </c>
      <c r="Z75" t="b">
        <v>0</v>
      </c>
    </row>
    <row r="76" spans="1:26" hidden="1" x14ac:dyDescent="0.3">
      <c r="A76" s="145">
        <f>IF(COUNTIF(LEDGER[LedgerCode],FC_import[[#This Row],[LedgerCode]])&gt;0,0,1)</f>
        <v>0</v>
      </c>
      <c r="B76" s="80">
        <f>IF(COUNTIF(Table_System_Grouping_Codes[groupingCodeCode],FC_import[[#This Row],[GroupingCode]])&gt;0,0,1)</f>
        <v>0</v>
      </c>
      <c r="C76" s="96">
        <f>IF(COUNTIF(CUSTGROUP[CustomGroupingCode],FC_import[[#This Row],[CustomGrouping]])&gt;0,0,1)</f>
        <v>1</v>
      </c>
      <c r="D76" s="96" cm="1">
        <f t="array" ref="D76">IF(FC_import[[#This Row],[AvailableToAllSchools]]=TRUE,0,COUNTA(_xlfn.TEXTSPLIT(FC_import[[#This Row],[SchoolCodes]],",",,TRUE))-SUM(COUNTIF(SCHOOLS[SchoolCode],_xlfn.TEXTSPLIT(FC_import[[#This Row],[SchoolCodes]],",",,TRUE))))</f>
        <v>0</v>
      </c>
      <c r="E76" s="96">
        <f>IF(FC_import[[#This Row],[FinanceCodeTypeCode]]="BUDGET",0,COUNTIF(P:P,P76)-1)</f>
        <v>0</v>
      </c>
      <c r="F76" s="96">
        <f>IF(FC_import[[#This Row],[FinanceCodeTypeCode]]="BUDGET",0,COUNTIF(Q:Q,Q76)-1)</f>
        <v>0</v>
      </c>
      <c r="G76" s="96">
        <f>COUNTIF(Lookup!$A$2:$A$7,R76)-1</f>
        <v>0</v>
      </c>
      <c r="H76" s="80">
        <f>IF(LEN(FC_import[[#This Row],[FinanceCode]])&lt;100,0,1)</f>
        <v>0</v>
      </c>
      <c r="I76" s="80">
        <f>IF(TRIM(FC_import[[#This Row],[FinanceCode]])="",1,0)</f>
        <v>0</v>
      </c>
      <c r="J76" s="80">
        <f>IF(TRIM(FC_import[[#This Row],[Title]])="",1,0)</f>
        <v>0</v>
      </c>
      <c r="K76" s="80">
        <f>IF(LEN(FC_import[[#This Row],[Title]])&lt;100,0,1)</f>
        <v>0</v>
      </c>
      <c r="L76" s="80">
        <f>IF(ISBLANK(FC_import[[#This Row],[BalanceToScenario]]),1,0)</f>
        <v>0</v>
      </c>
      <c r="M76" s="80">
        <f>IF(EXACT(FC_import[[#This Row],[FinanceCode]],UPPER(FC_import[[#This Row],[FinanceCode]])),0,1)</f>
        <v>0</v>
      </c>
      <c r="N76" s="80">
        <f>IF(SUBSTITUTE(TEXT(FC_import[[#This Row],[FinanceCode]],10)," ","")=TEXT(FC_import[[#This Row],[FinanceCode]],10),0,1)</f>
        <v>0</v>
      </c>
      <c r="O76" s="80">
        <f>SUM(FC_import[[#This Row],[LedgerIssue]:[CustGrIssue]],FC_import[[#This Row],[DupCode]:[Space in Code]])</f>
        <v>1</v>
      </c>
      <c r="P76" t="s">
        <v>2058</v>
      </c>
      <c r="Q76" t="s">
        <v>2060</v>
      </c>
      <c r="R76" t="s">
        <v>978</v>
      </c>
      <c r="S76" t="s">
        <v>52</v>
      </c>
      <c r="T76" t="s">
        <v>52</v>
      </c>
      <c r="U76" t="s">
        <v>51</v>
      </c>
      <c r="V76" t="b">
        <v>1</v>
      </c>
      <c r="X76" t="b">
        <v>1</v>
      </c>
      <c r="Y76" t="b">
        <v>0</v>
      </c>
      <c r="Z76" t="b">
        <v>0</v>
      </c>
    </row>
  </sheetData>
  <phoneticPr fontId="2" type="noConversion"/>
  <pageMargins left="0.7" right="0.7" top="0.75" bottom="0.75" header="0.3" footer="0.3"/>
  <pageSetup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4335F-6823-475D-AE03-B368B32C2812}">
  <sheetPr codeName="Sheet41">
    <tabColor theme="0" tint="-0.249977111117893"/>
  </sheetPr>
  <dimension ref="A1:O667"/>
  <sheetViews>
    <sheetView topLeftCell="J1" zoomScale="80" zoomScaleNormal="80" workbookViewId="0">
      <pane ySplit="1" topLeftCell="A604" activePane="bottomLeft" state="frozen"/>
      <selection pane="bottomLeft" activeCell="M604" sqref="M604"/>
    </sheetView>
  </sheetViews>
  <sheetFormatPr defaultRowHeight="14.4" x14ac:dyDescent="0.3"/>
  <cols>
    <col min="1" max="1" width="19" bestFit="1" customWidth="1"/>
    <col min="2" max="2" width="19" customWidth="1"/>
    <col min="3" max="4" width="17.88671875" customWidth="1"/>
    <col min="5" max="5" width="36.109375" bestFit="1" customWidth="1"/>
    <col min="6" max="6" width="60.109375" bestFit="1" customWidth="1"/>
    <col min="7" max="7" width="21.33203125" customWidth="1"/>
    <col min="8" max="8" width="14.5546875" customWidth="1"/>
    <col min="9" max="9" width="16.5546875" customWidth="1"/>
    <col min="10" max="10" width="12.5546875" customWidth="1"/>
    <col min="11" max="11" width="21" customWidth="1"/>
    <col min="12" max="12" width="13.33203125" customWidth="1"/>
    <col min="13" max="13" width="19.88671875" customWidth="1"/>
    <col min="14" max="14" width="20.109375" bestFit="1" customWidth="1"/>
    <col min="15" max="15" width="16.88671875" bestFit="1" customWidth="1"/>
  </cols>
  <sheetData>
    <row r="1" spans="1:15" x14ac:dyDescent="0.3">
      <c r="A1" s="26" t="s">
        <v>869</v>
      </c>
      <c r="B1" s="26" t="s">
        <v>861</v>
      </c>
      <c r="C1" s="26" t="s">
        <v>892</v>
      </c>
      <c r="D1" s="26" t="s">
        <v>1757</v>
      </c>
      <c r="E1" s="5" t="s">
        <v>893</v>
      </c>
      <c r="F1" s="5" t="s">
        <v>50</v>
      </c>
      <c r="G1" s="5" t="s">
        <v>894</v>
      </c>
      <c r="H1" s="5" t="s">
        <v>895</v>
      </c>
      <c r="I1" s="5" t="s">
        <v>896</v>
      </c>
      <c r="J1" s="5" t="s">
        <v>857</v>
      </c>
      <c r="K1" s="5" t="s">
        <v>885</v>
      </c>
      <c r="L1" s="5" t="s">
        <v>886</v>
      </c>
      <c r="M1" s="10" t="s">
        <v>897</v>
      </c>
      <c r="N1" s="10" t="s">
        <v>1849</v>
      </c>
      <c r="O1" s="10" t="s">
        <v>2416</v>
      </c>
    </row>
    <row r="2" spans="1:15" x14ac:dyDescent="0.3">
      <c r="A2" s="27" t="s">
        <v>879</v>
      </c>
      <c r="B2" s="27"/>
      <c r="C2" s="27"/>
      <c r="D2" s="27"/>
      <c r="E2" s="12" t="s">
        <v>1073</v>
      </c>
      <c r="F2" s="3" t="s">
        <v>1074</v>
      </c>
      <c r="G2" s="12" t="s">
        <v>1075</v>
      </c>
      <c r="H2" s="3" t="s">
        <v>849</v>
      </c>
      <c r="I2" s="3" t="s">
        <v>52</v>
      </c>
      <c r="J2" s="3" t="s">
        <v>51</v>
      </c>
      <c r="K2" s="3" t="b">
        <v>1</v>
      </c>
      <c r="L2" s="3"/>
      <c r="M2" s="3" t="b">
        <v>1</v>
      </c>
      <c r="N2" s="3" t="b">
        <v>0</v>
      </c>
      <c r="O2" s="3" t="b">
        <v>0</v>
      </c>
    </row>
    <row r="3" spans="1:15" x14ac:dyDescent="0.3">
      <c r="A3" s="27" t="s">
        <v>879</v>
      </c>
      <c r="B3" s="27"/>
      <c r="C3" s="27"/>
      <c r="D3" s="27"/>
      <c r="E3" s="12" t="s">
        <v>898</v>
      </c>
      <c r="F3" s="3" t="s">
        <v>899</v>
      </c>
      <c r="G3" s="3" t="s">
        <v>900</v>
      </c>
      <c r="H3" s="3" t="s">
        <v>52</v>
      </c>
      <c r="I3" s="3" t="s">
        <v>52</v>
      </c>
      <c r="J3" s="3" t="s">
        <v>51</v>
      </c>
      <c r="K3" s="3" t="b">
        <v>1</v>
      </c>
      <c r="L3" s="3"/>
      <c r="M3" s="3" t="b">
        <v>1</v>
      </c>
      <c r="N3" s="3" t="b">
        <v>0</v>
      </c>
      <c r="O3" s="3" t="b">
        <v>0</v>
      </c>
    </row>
    <row r="4" spans="1:15" x14ac:dyDescent="0.3">
      <c r="A4" s="27" t="s">
        <v>879</v>
      </c>
      <c r="B4" s="27"/>
      <c r="C4" s="27"/>
      <c r="D4" s="27"/>
      <c r="E4" s="3" t="s">
        <v>2094</v>
      </c>
      <c r="F4" s="3" t="s">
        <v>2096</v>
      </c>
      <c r="G4" s="3" t="s">
        <v>900</v>
      </c>
      <c r="H4" s="3" t="s">
        <v>52</v>
      </c>
      <c r="I4" s="3" t="s">
        <v>52</v>
      </c>
      <c r="J4" s="3" t="s">
        <v>51</v>
      </c>
      <c r="K4" s="3" t="b">
        <v>1</v>
      </c>
      <c r="L4" s="3"/>
      <c r="M4" s="3" t="b">
        <v>1</v>
      </c>
      <c r="N4" s="3" t="b">
        <v>0</v>
      </c>
      <c r="O4" s="3" t="b">
        <v>0</v>
      </c>
    </row>
    <row r="5" spans="1:15" x14ac:dyDescent="0.3">
      <c r="A5" s="27" t="s">
        <v>879</v>
      </c>
      <c r="B5" s="27"/>
      <c r="C5" s="27"/>
      <c r="D5" s="27"/>
      <c r="E5" s="3" t="s">
        <v>1585</v>
      </c>
      <c r="F5" s="3" t="s">
        <v>2049</v>
      </c>
      <c r="G5" s="3" t="s">
        <v>900</v>
      </c>
      <c r="H5" s="3" t="s">
        <v>52</v>
      </c>
      <c r="I5" s="3" t="s">
        <v>52</v>
      </c>
      <c r="J5" s="3" t="s">
        <v>51</v>
      </c>
      <c r="K5" s="3" t="b">
        <v>1</v>
      </c>
      <c r="L5" s="3"/>
      <c r="M5" s="3" t="b">
        <v>1</v>
      </c>
      <c r="N5" s="3" t="b">
        <v>0</v>
      </c>
      <c r="O5" s="3" t="b">
        <v>0</v>
      </c>
    </row>
    <row r="6" spans="1:15" x14ac:dyDescent="0.3">
      <c r="A6" s="27" t="s">
        <v>879</v>
      </c>
      <c r="B6" s="27"/>
      <c r="C6" s="27"/>
      <c r="D6" s="27"/>
      <c r="E6" s="21" t="s">
        <v>906</v>
      </c>
      <c r="F6" s="3" t="s">
        <v>907</v>
      </c>
      <c r="G6" s="3" t="s">
        <v>900</v>
      </c>
      <c r="H6" s="3" t="s">
        <v>52</v>
      </c>
      <c r="I6" s="3" t="s">
        <v>52</v>
      </c>
      <c r="J6" s="3" t="s">
        <v>51</v>
      </c>
      <c r="K6" s="3" t="b">
        <v>1</v>
      </c>
      <c r="L6" s="3"/>
      <c r="M6" s="3" t="b">
        <v>1</v>
      </c>
      <c r="N6" s="3" t="b">
        <v>0</v>
      </c>
      <c r="O6" s="3" t="b">
        <v>0</v>
      </c>
    </row>
    <row r="7" spans="1:15" x14ac:dyDescent="0.3">
      <c r="A7" s="27" t="s">
        <v>879</v>
      </c>
      <c r="B7" s="27"/>
      <c r="C7" s="27"/>
      <c r="D7" s="27"/>
      <c r="E7" s="21" t="s">
        <v>910</v>
      </c>
      <c r="F7" s="3" t="s">
        <v>911</v>
      </c>
      <c r="G7" s="3" t="s">
        <v>900</v>
      </c>
      <c r="H7" s="3" t="s">
        <v>52</v>
      </c>
      <c r="I7" s="3" t="s">
        <v>52</v>
      </c>
      <c r="J7" s="3" t="s">
        <v>51</v>
      </c>
      <c r="K7" s="3" t="b">
        <v>1</v>
      </c>
      <c r="L7" s="3"/>
      <c r="M7" s="3" t="b">
        <v>1</v>
      </c>
      <c r="N7" s="3" t="b">
        <v>0</v>
      </c>
      <c r="O7" s="3" t="b">
        <v>0</v>
      </c>
    </row>
    <row r="8" spans="1:15" x14ac:dyDescent="0.3">
      <c r="A8" s="27" t="s">
        <v>879</v>
      </c>
      <c r="B8" s="27"/>
      <c r="C8" s="27"/>
      <c r="D8" s="27"/>
      <c r="E8" s="21" t="s">
        <v>1940</v>
      </c>
      <c r="F8" s="3" t="s">
        <v>1942</v>
      </c>
      <c r="G8" s="3" t="s">
        <v>900</v>
      </c>
      <c r="H8" s="3" t="s">
        <v>52</v>
      </c>
      <c r="I8" s="3" t="s">
        <v>52</v>
      </c>
      <c r="J8" s="3" t="s">
        <v>51</v>
      </c>
      <c r="K8" s="3" t="b">
        <v>1</v>
      </c>
      <c r="L8" s="3"/>
      <c r="M8" s="3" t="b">
        <v>1</v>
      </c>
      <c r="N8" s="3" t="b">
        <v>0</v>
      </c>
      <c r="O8" s="3" t="b">
        <v>0</v>
      </c>
    </row>
    <row r="9" spans="1:15" x14ac:dyDescent="0.3">
      <c r="A9" s="27" t="s">
        <v>879</v>
      </c>
      <c r="B9" s="27"/>
      <c r="C9" s="27"/>
      <c r="D9" s="27"/>
      <c r="E9" s="21" t="s">
        <v>918</v>
      </c>
      <c r="F9" s="3" t="s">
        <v>919</v>
      </c>
      <c r="G9" s="3" t="s">
        <v>900</v>
      </c>
      <c r="H9" s="3" t="s">
        <v>52</v>
      </c>
      <c r="I9" s="3" t="s">
        <v>52</v>
      </c>
      <c r="J9" s="3" t="s">
        <v>51</v>
      </c>
      <c r="K9" s="3" t="b">
        <v>1</v>
      </c>
      <c r="L9" s="3"/>
      <c r="M9" s="3" t="b">
        <v>1</v>
      </c>
      <c r="N9" s="3" t="b">
        <v>0</v>
      </c>
      <c r="O9" s="3" t="b">
        <v>0</v>
      </c>
    </row>
    <row r="10" spans="1:15" x14ac:dyDescent="0.3">
      <c r="A10" s="27" t="s">
        <v>879</v>
      </c>
      <c r="B10" s="27"/>
      <c r="C10" s="27"/>
      <c r="D10" s="27"/>
      <c r="E10" s="1" t="s">
        <v>1941</v>
      </c>
      <c r="F10" s="3" t="s">
        <v>1943</v>
      </c>
      <c r="G10" s="3" t="s">
        <v>922</v>
      </c>
      <c r="H10" s="3" t="s">
        <v>854</v>
      </c>
      <c r="I10" s="3" t="s">
        <v>52</v>
      </c>
      <c r="J10" s="3" t="s">
        <v>51</v>
      </c>
      <c r="K10" s="3" t="b">
        <v>1</v>
      </c>
      <c r="L10" s="3"/>
      <c r="M10" s="3" t="b">
        <v>1</v>
      </c>
      <c r="N10" s="3" t="b">
        <v>0</v>
      </c>
      <c r="O10" s="3" t="b">
        <v>0</v>
      </c>
    </row>
    <row r="11" spans="1:15" x14ac:dyDescent="0.3">
      <c r="A11" s="27" t="s">
        <v>879</v>
      </c>
      <c r="B11" s="27"/>
      <c r="C11" s="27"/>
      <c r="D11" s="27"/>
      <c r="E11" s="1" t="s">
        <v>975</v>
      </c>
      <c r="F11" s="3" t="s">
        <v>976</v>
      </c>
      <c r="G11" s="3" t="s">
        <v>922</v>
      </c>
      <c r="H11" s="3" t="s">
        <v>854</v>
      </c>
      <c r="I11" s="3" t="s">
        <v>52</v>
      </c>
      <c r="J11" s="3" t="s">
        <v>51</v>
      </c>
      <c r="K11" s="3" t="b">
        <v>1</v>
      </c>
      <c r="L11" s="3"/>
      <c r="M11" s="3" t="b">
        <v>1</v>
      </c>
      <c r="N11" s="3" t="b">
        <v>0</v>
      </c>
      <c r="O11" s="3" t="b">
        <v>0</v>
      </c>
    </row>
    <row r="12" spans="1:15" x14ac:dyDescent="0.3">
      <c r="A12" s="27" t="s">
        <v>879</v>
      </c>
      <c r="B12" s="27"/>
      <c r="C12" s="27"/>
      <c r="D12" s="27"/>
      <c r="E12" s="12" t="s">
        <v>1076</v>
      </c>
      <c r="F12" s="3" t="s">
        <v>1077</v>
      </c>
      <c r="G12" s="12" t="s">
        <v>1078</v>
      </c>
      <c r="H12" s="3" t="s">
        <v>849</v>
      </c>
      <c r="I12" s="3" t="s">
        <v>52</v>
      </c>
      <c r="J12" s="3" t="s">
        <v>51</v>
      </c>
      <c r="K12" s="3" t="b">
        <v>1</v>
      </c>
      <c r="L12" s="3"/>
      <c r="M12" s="3" t="b">
        <v>1</v>
      </c>
      <c r="N12" s="3" t="b">
        <v>0</v>
      </c>
      <c r="O12" s="3" t="b">
        <v>0</v>
      </c>
    </row>
    <row r="13" spans="1:15" x14ac:dyDescent="0.3">
      <c r="A13" s="27" t="s">
        <v>879</v>
      </c>
      <c r="B13" s="27"/>
      <c r="C13" s="27"/>
      <c r="D13" s="27"/>
      <c r="E13" s="1" t="s">
        <v>995</v>
      </c>
      <c r="F13" s="3" t="s">
        <v>996</v>
      </c>
      <c r="G13" s="3" t="s">
        <v>978</v>
      </c>
      <c r="H13" s="3" t="s">
        <v>839</v>
      </c>
      <c r="I13" s="3" t="s">
        <v>52</v>
      </c>
      <c r="J13" s="3" t="s">
        <v>51</v>
      </c>
      <c r="K13" s="3" t="b">
        <v>1</v>
      </c>
      <c r="L13" s="3"/>
      <c r="M13" s="3" t="b">
        <v>1</v>
      </c>
      <c r="N13" s="3" t="b">
        <v>0</v>
      </c>
      <c r="O13" s="3" t="b">
        <v>0</v>
      </c>
    </row>
    <row r="14" spans="1:15" x14ac:dyDescent="0.3">
      <c r="A14" s="27" t="s">
        <v>879</v>
      </c>
      <c r="B14" s="27"/>
      <c r="C14" s="27"/>
      <c r="D14" s="27"/>
      <c r="E14" s="1" t="s">
        <v>997</v>
      </c>
      <c r="F14" s="3" t="s">
        <v>998</v>
      </c>
      <c r="G14" s="3" t="s">
        <v>978</v>
      </c>
      <c r="H14" s="3" t="s">
        <v>52</v>
      </c>
      <c r="I14" s="3" t="s">
        <v>52</v>
      </c>
      <c r="J14" s="3" t="s">
        <v>51</v>
      </c>
      <c r="K14" s="3" t="b">
        <v>1</v>
      </c>
      <c r="L14" s="3"/>
      <c r="M14" s="3" t="b">
        <v>1</v>
      </c>
      <c r="N14" s="3" t="b">
        <v>0</v>
      </c>
      <c r="O14" s="3" t="b">
        <v>0</v>
      </c>
    </row>
    <row r="15" spans="1:15" x14ac:dyDescent="0.3">
      <c r="A15" s="27" t="s">
        <v>879</v>
      </c>
      <c r="B15" s="27"/>
      <c r="C15" s="27"/>
      <c r="D15" s="27"/>
      <c r="E15" s="12" t="s">
        <v>999</v>
      </c>
      <c r="F15" s="3" t="s">
        <v>1000</v>
      </c>
      <c r="G15" s="3" t="s">
        <v>978</v>
      </c>
      <c r="H15" s="3" t="s">
        <v>52</v>
      </c>
      <c r="I15" s="3" t="s">
        <v>52</v>
      </c>
      <c r="J15" s="3" t="s">
        <v>51</v>
      </c>
      <c r="K15" s="3" t="b">
        <v>1</v>
      </c>
      <c r="L15" s="3"/>
      <c r="M15" s="3" t="b">
        <v>1</v>
      </c>
      <c r="N15" s="3" t="b">
        <v>0</v>
      </c>
      <c r="O15" s="3" t="b">
        <v>0</v>
      </c>
    </row>
    <row r="16" spans="1:15" x14ac:dyDescent="0.3">
      <c r="A16" s="27" t="s">
        <v>879</v>
      </c>
      <c r="B16" s="27"/>
      <c r="C16" s="27"/>
      <c r="D16" s="27"/>
      <c r="E16" s="1" t="s">
        <v>1011</v>
      </c>
      <c r="F16" s="3" t="s">
        <v>1389</v>
      </c>
      <c r="G16" s="3" t="s">
        <v>978</v>
      </c>
      <c r="H16" s="3" t="s">
        <v>52</v>
      </c>
      <c r="I16" s="3" t="s">
        <v>52</v>
      </c>
      <c r="J16" s="3" t="s">
        <v>51</v>
      </c>
      <c r="K16" s="3" t="b">
        <v>1</v>
      </c>
      <c r="L16" s="3"/>
      <c r="M16" s="3" t="b">
        <v>1</v>
      </c>
      <c r="N16" s="3" t="b">
        <v>0</v>
      </c>
      <c r="O16" s="3" t="b">
        <v>0</v>
      </c>
    </row>
    <row r="17" spans="1:15" x14ac:dyDescent="0.3">
      <c r="A17" s="27" t="s">
        <v>879</v>
      </c>
      <c r="B17" s="27"/>
      <c r="C17" s="27"/>
      <c r="D17" s="27"/>
      <c r="E17" s="1" t="s">
        <v>1009</v>
      </c>
      <c r="F17" s="3" t="s">
        <v>1010</v>
      </c>
      <c r="G17" s="3" t="s">
        <v>978</v>
      </c>
      <c r="H17" s="3" t="s">
        <v>52</v>
      </c>
      <c r="I17" s="3" t="s">
        <v>52</v>
      </c>
      <c r="J17" s="3" t="s">
        <v>51</v>
      </c>
      <c r="K17" s="3" t="b">
        <v>1</v>
      </c>
      <c r="L17" s="3"/>
      <c r="M17" s="3" t="b">
        <v>1</v>
      </c>
      <c r="N17" s="3" t="b">
        <v>0</v>
      </c>
      <c r="O17" s="3" t="b">
        <v>0</v>
      </c>
    </row>
    <row r="18" spans="1:15" x14ac:dyDescent="0.3">
      <c r="A18" s="27" t="s">
        <v>879</v>
      </c>
      <c r="B18" s="27"/>
      <c r="C18" s="27"/>
      <c r="D18" s="27"/>
      <c r="E18" s="1" t="s">
        <v>2342</v>
      </c>
      <c r="F18" s="3" t="s">
        <v>2344</v>
      </c>
      <c r="G18" s="3" t="s">
        <v>978</v>
      </c>
      <c r="H18" s="3" t="s">
        <v>52</v>
      </c>
      <c r="I18" s="3" t="s">
        <v>52</v>
      </c>
      <c r="J18" s="3" t="s">
        <v>51</v>
      </c>
      <c r="K18" s="3" t="b">
        <v>1</v>
      </c>
      <c r="L18" s="3"/>
      <c r="M18" s="3" t="b">
        <v>1</v>
      </c>
      <c r="N18" s="3" t="b">
        <v>0</v>
      </c>
      <c r="O18" s="3" t="b">
        <v>0</v>
      </c>
    </row>
    <row r="19" spans="1:15" x14ac:dyDescent="0.3">
      <c r="A19" s="27" t="s">
        <v>879</v>
      </c>
      <c r="B19" s="27"/>
      <c r="C19" s="27"/>
      <c r="D19" s="27"/>
      <c r="E19" s="1" t="s">
        <v>1502</v>
      </c>
      <c r="F19" s="3" t="s">
        <v>1542</v>
      </c>
      <c r="G19" s="3" t="s">
        <v>978</v>
      </c>
      <c r="H19" s="3" t="s">
        <v>52</v>
      </c>
      <c r="I19" s="3" t="s">
        <v>52</v>
      </c>
      <c r="J19" s="3" t="s">
        <v>51</v>
      </c>
      <c r="K19" s="3" t="b">
        <v>1</v>
      </c>
      <c r="L19" s="3"/>
      <c r="M19" s="3" t="b">
        <v>1</v>
      </c>
      <c r="N19" s="3" t="b">
        <v>0</v>
      </c>
      <c r="O19" s="3" t="b">
        <v>0</v>
      </c>
    </row>
    <row r="20" spans="1:15" x14ac:dyDescent="0.3">
      <c r="A20" s="27" t="s">
        <v>879</v>
      </c>
      <c r="B20" s="27"/>
      <c r="C20" s="27"/>
      <c r="D20" s="27"/>
      <c r="E20" s="1" t="s">
        <v>1022</v>
      </c>
      <c r="F20" s="3" t="s">
        <v>1944</v>
      </c>
      <c r="G20" s="3" t="s">
        <v>978</v>
      </c>
      <c r="H20" s="3" t="s">
        <v>52</v>
      </c>
      <c r="I20" s="3" t="s">
        <v>52</v>
      </c>
      <c r="J20" s="3" t="s">
        <v>51</v>
      </c>
      <c r="K20" s="3" t="b">
        <v>1</v>
      </c>
      <c r="L20" s="3"/>
      <c r="M20" s="3" t="b">
        <v>1</v>
      </c>
      <c r="N20" s="3" t="b">
        <v>0</v>
      </c>
      <c r="O20" s="3" t="b">
        <v>0</v>
      </c>
    </row>
    <row r="21" spans="1:15" x14ac:dyDescent="0.3">
      <c r="A21" s="27" t="s">
        <v>879</v>
      </c>
      <c r="B21" s="27"/>
      <c r="C21" s="27"/>
      <c r="D21" s="27"/>
      <c r="E21" s="1" t="s">
        <v>1027</v>
      </c>
      <c r="F21" s="3" t="s">
        <v>1745</v>
      </c>
      <c r="G21" s="3" t="s">
        <v>978</v>
      </c>
      <c r="H21" s="3" t="s">
        <v>52</v>
      </c>
      <c r="I21" s="3" t="s">
        <v>52</v>
      </c>
      <c r="J21" s="3" t="s">
        <v>51</v>
      </c>
      <c r="K21" s="3" t="b">
        <v>1</v>
      </c>
      <c r="L21" s="3"/>
      <c r="M21" s="3" t="b">
        <v>1</v>
      </c>
      <c r="N21" s="3" t="b">
        <v>0</v>
      </c>
      <c r="O21" s="3" t="b">
        <v>0</v>
      </c>
    </row>
    <row r="22" spans="1:15" x14ac:dyDescent="0.3">
      <c r="A22" s="27" t="s">
        <v>879</v>
      </c>
      <c r="B22" s="27"/>
      <c r="C22" s="27"/>
      <c r="D22" s="27"/>
      <c r="E22" s="1" t="s">
        <v>1028</v>
      </c>
      <c r="F22" s="3" t="s">
        <v>1029</v>
      </c>
      <c r="G22" s="3" t="s">
        <v>978</v>
      </c>
      <c r="H22" s="3" t="s">
        <v>52</v>
      </c>
      <c r="I22" s="3" t="s">
        <v>52</v>
      </c>
      <c r="J22" s="3" t="s">
        <v>51</v>
      </c>
      <c r="K22" s="3" t="b">
        <v>1</v>
      </c>
      <c r="L22" s="3"/>
      <c r="M22" s="3" t="b">
        <v>1</v>
      </c>
      <c r="N22" s="3" t="b">
        <v>0</v>
      </c>
      <c r="O22" s="3" t="b">
        <v>0</v>
      </c>
    </row>
    <row r="23" spans="1:15" x14ac:dyDescent="0.3">
      <c r="A23" s="27" t="s">
        <v>879</v>
      </c>
      <c r="B23" s="27"/>
      <c r="C23" s="27"/>
      <c r="D23" s="27"/>
      <c r="E23" s="1" t="s">
        <v>1030</v>
      </c>
      <c r="F23" s="3" t="s">
        <v>1031</v>
      </c>
      <c r="G23" s="3" t="s">
        <v>978</v>
      </c>
      <c r="H23" s="3" t="s">
        <v>52</v>
      </c>
      <c r="I23" s="3" t="s">
        <v>52</v>
      </c>
      <c r="J23" s="3" t="s">
        <v>51</v>
      </c>
      <c r="K23" s="3" t="b">
        <v>1</v>
      </c>
      <c r="L23" s="3"/>
      <c r="M23" s="3" t="b">
        <v>1</v>
      </c>
      <c r="N23" s="3" t="b">
        <v>0</v>
      </c>
      <c r="O23" s="3" t="b">
        <v>0</v>
      </c>
    </row>
    <row r="24" spans="1:15" x14ac:dyDescent="0.3">
      <c r="A24" s="27" t="s">
        <v>879</v>
      </c>
      <c r="B24" s="27"/>
      <c r="C24" s="27"/>
      <c r="D24" s="27"/>
      <c r="E24" s="1" t="s">
        <v>1052</v>
      </c>
      <c r="F24" s="3" t="s">
        <v>1053</v>
      </c>
      <c r="G24" s="3" t="s">
        <v>978</v>
      </c>
      <c r="H24" s="3" t="s">
        <v>52</v>
      </c>
      <c r="I24" s="3" t="s">
        <v>52</v>
      </c>
      <c r="J24" s="3" t="s">
        <v>51</v>
      </c>
      <c r="K24" s="3" t="b">
        <v>1</v>
      </c>
      <c r="L24" s="3"/>
      <c r="M24" s="3" t="b">
        <v>1</v>
      </c>
      <c r="N24" s="3" t="b">
        <v>0</v>
      </c>
      <c r="O24" s="3" t="b">
        <v>0</v>
      </c>
    </row>
    <row r="25" spans="1:15" x14ac:dyDescent="0.3">
      <c r="A25" s="27" t="s">
        <v>879</v>
      </c>
      <c r="B25" s="27"/>
      <c r="C25" s="27"/>
      <c r="D25" s="27"/>
      <c r="E25" s="1" t="s">
        <v>1032</v>
      </c>
      <c r="F25" s="3" t="s">
        <v>1033</v>
      </c>
      <c r="G25" s="3" t="s">
        <v>978</v>
      </c>
      <c r="H25" s="3" t="s">
        <v>52</v>
      </c>
      <c r="I25" s="3" t="s">
        <v>52</v>
      </c>
      <c r="J25" s="3" t="s">
        <v>51</v>
      </c>
      <c r="K25" s="3" t="b">
        <v>1</v>
      </c>
      <c r="L25" s="3"/>
      <c r="M25" s="3" t="b">
        <v>1</v>
      </c>
      <c r="N25" s="3" t="b">
        <v>0</v>
      </c>
      <c r="O25" s="3" t="b">
        <v>0</v>
      </c>
    </row>
    <row r="26" spans="1:15" x14ac:dyDescent="0.3">
      <c r="A26" s="27" t="s">
        <v>879</v>
      </c>
      <c r="B26" s="27"/>
      <c r="C26" s="27"/>
      <c r="D26" s="27"/>
      <c r="E26" s="1" t="s">
        <v>1036</v>
      </c>
      <c r="F26" s="3" t="s">
        <v>1037</v>
      </c>
      <c r="G26" s="3" t="s">
        <v>978</v>
      </c>
      <c r="H26" s="3" t="s">
        <v>52</v>
      </c>
      <c r="I26" s="3" t="s">
        <v>52</v>
      </c>
      <c r="J26" s="3" t="s">
        <v>51</v>
      </c>
      <c r="K26" s="3" t="b">
        <v>1</v>
      </c>
      <c r="L26" s="3"/>
      <c r="M26" s="3" t="b">
        <v>1</v>
      </c>
      <c r="N26" s="3" t="b">
        <v>0</v>
      </c>
      <c r="O26" s="3" t="b">
        <v>0</v>
      </c>
    </row>
    <row r="27" spans="1:15" x14ac:dyDescent="0.3">
      <c r="A27" s="27" t="s">
        <v>879</v>
      </c>
      <c r="B27" s="27"/>
      <c r="C27" s="27"/>
      <c r="D27" s="27"/>
      <c r="E27" s="1" t="s">
        <v>1038</v>
      </c>
      <c r="F27" s="3" t="s">
        <v>1039</v>
      </c>
      <c r="G27" s="3" t="s">
        <v>978</v>
      </c>
      <c r="H27" s="3" t="s">
        <v>52</v>
      </c>
      <c r="I27" s="3" t="s">
        <v>52</v>
      </c>
      <c r="J27" s="3" t="s">
        <v>51</v>
      </c>
      <c r="K27" s="3" t="b">
        <v>1</v>
      </c>
      <c r="L27" s="3"/>
      <c r="M27" s="3" t="b">
        <v>1</v>
      </c>
      <c r="N27" s="3" t="b">
        <v>0</v>
      </c>
      <c r="O27" s="3" t="b">
        <v>0</v>
      </c>
    </row>
    <row r="28" spans="1:15" x14ac:dyDescent="0.3">
      <c r="A28" s="27" t="s">
        <v>879</v>
      </c>
      <c r="B28" s="27"/>
      <c r="C28" s="27"/>
      <c r="D28" s="27"/>
      <c r="E28" s="21" t="s">
        <v>1050</v>
      </c>
      <c r="F28" s="3" t="s">
        <v>1051</v>
      </c>
      <c r="G28" s="3" t="s">
        <v>978</v>
      </c>
      <c r="H28" s="3" t="s">
        <v>52</v>
      </c>
      <c r="I28" s="3" t="s">
        <v>52</v>
      </c>
      <c r="J28" s="3" t="s">
        <v>51</v>
      </c>
      <c r="K28" s="3" t="b">
        <v>1</v>
      </c>
      <c r="L28" s="3"/>
      <c r="M28" s="3" t="b">
        <v>1</v>
      </c>
      <c r="N28" s="3" t="b">
        <v>0</v>
      </c>
      <c r="O28" s="3" t="b">
        <v>0</v>
      </c>
    </row>
    <row r="29" spans="1:15" x14ac:dyDescent="0.3">
      <c r="A29" s="27" t="s">
        <v>879</v>
      </c>
      <c r="B29" s="27"/>
      <c r="C29" s="27"/>
      <c r="D29" s="27"/>
      <c r="E29" s="21" t="s">
        <v>1048</v>
      </c>
      <c r="F29" s="3" t="s">
        <v>1049</v>
      </c>
      <c r="G29" s="3" t="s">
        <v>978</v>
      </c>
      <c r="H29" s="3" t="s">
        <v>52</v>
      </c>
      <c r="I29" s="3" t="s">
        <v>52</v>
      </c>
      <c r="J29" s="3" t="s">
        <v>51</v>
      </c>
      <c r="K29" s="3" t="b">
        <v>1</v>
      </c>
      <c r="L29" s="3"/>
      <c r="M29" s="3" t="b">
        <v>1</v>
      </c>
      <c r="N29" s="3" t="b">
        <v>0</v>
      </c>
      <c r="O29" s="3" t="b">
        <v>0</v>
      </c>
    </row>
    <row r="30" spans="1:15" x14ac:dyDescent="0.3">
      <c r="A30" s="27" t="s">
        <v>879</v>
      </c>
      <c r="B30" s="27"/>
      <c r="C30" s="27"/>
      <c r="D30" s="27"/>
      <c r="E30" s="21" t="s">
        <v>1042</v>
      </c>
      <c r="F30" s="3" t="s">
        <v>1043</v>
      </c>
      <c r="G30" s="3" t="s">
        <v>978</v>
      </c>
      <c r="H30" s="3" t="s">
        <v>52</v>
      </c>
      <c r="I30" s="3" t="s">
        <v>52</v>
      </c>
      <c r="J30" s="3" t="s">
        <v>51</v>
      </c>
      <c r="K30" s="3" t="b">
        <v>1</v>
      </c>
      <c r="L30" s="3"/>
      <c r="M30" s="3" t="b">
        <v>1</v>
      </c>
      <c r="N30" s="3" t="b">
        <v>0</v>
      </c>
      <c r="O30" s="3" t="b">
        <v>0</v>
      </c>
    </row>
    <row r="31" spans="1:15" x14ac:dyDescent="0.3">
      <c r="A31" s="27" t="s">
        <v>879</v>
      </c>
      <c r="B31" s="27"/>
      <c r="C31" s="27"/>
      <c r="D31" s="27"/>
      <c r="E31" s="21" t="s">
        <v>1044</v>
      </c>
      <c r="F31" s="3" t="s">
        <v>1045</v>
      </c>
      <c r="G31" s="3" t="s">
        <v>978</v>
      </c>
      <c r="H31" s="3" t="s">
        <v>52</v>
      </c>
      <c r="I31" s="3" t="s">
        <v>52</v>
      </c>
      <c r="J31" s="3" t="s">
        <v>51</v>
      </c>
      <c r="K31" s="3" t="b">
        <v>1</v>
      </c>
      <c r="L31" s="3"/>
      <c r="M31" s="3" t="b">
        <v>1</v>
      </c>
      <c r="N31" s="3" t="b">
        <v>0</v>
      </c>
      <c r="O31" s="3" t="b">
        <v>0</v>
      </c>
    </row>
    <row r="32" spans="1:15" x14ac:dyDescent="0.3">
      <c r="A32" s="27" t="s">
        <v>879</v>
      </c>
      <c r="B32" s="27"/>
      <c r="C32" s="27"/>
      <c r="D32" s="27"/>
      <c r="E32" s="21" t="s">
        <v>1040</v>
      </c>
      <c r="F32" s="3" t="s">
        <v>1041</v>
      </c>
      <c r="G32" s="3" t="s">
        <v>978</v>
      </c>
      <c r="H32" s="3" t="s">
        <v>52</v>
      </c>
      <c r="I32" s="3" t="s">
        <v>52</v>
      </c>
      <c r="J32" s="3" t="s">
        <v>51</v>
      </c>
      <c r="K32" s="3" t="b">
        <v>1</v>
      </c>
      <c r="L32" s="3"/>
      <c r="M32" s="3" t="b">
        <v>1</v>
      </c>
      <c r="N32" s="3" t="b">
        <v>0</v>
      </c>
      <c r="O32" s="3" t="b">
        <v>0</v>
      </c>
    </row>
    <row r="33" spans="1:15" x14ac:dyDescent="0.3">
      <c r="A33" s="27" t="s">
        <v>879</v>
      </c>
      <c r="B33" s="27"/>
      <c r="C33" s="27"/>
      <c r="D33" s="27"/>
      <c r="E33" s="21" t="s">
        <v>1046</v>
      </c>
      <c r="F33" s="3" t="s">
        <v>1047</v>
      </c>
      <c r="G33" s="3" t="s">
        <v>978</v>
      </c>
      <c r="H33" s="3" t="s">
        <v>52</v>
      </c>
      <c r="I33" s="3" t="s">
        <v>52</v>
      </c>
      <c r="J33" s="3" t="s">
        <v>51</v>
      </c>
      <c r="K33" s="3" t="b">
        <v>1</v>
      </c>
      <c r="L33" s="3"/>
      <c r="M33" s="3" t="b">
        <v>1</v>
      </c>
      <c r="N33" s="3" t="b">
        <v>0</v>
      </c>
      <c r="O33" s="3" t="b">
        <v>0</v>
      </c>
    </row>
    <row r="34" spans="1:15" x14ac:dyDescent="0.3">
      <c r="A34" s="27" t="s">
        <v>879</v>
      </c>
      <c r="B34" s="27"/>
      <c r="C34" s="27"/>
      <c r="D34" s="27"/>
      <c r="E34" s="1" t="s">
        <v>1054</v>
      </c>
      <c r="F34" s="3" t="s">
        <v>1055</v>
      </c>
      <c r="G34" s="3" t="s">
        <v>978</v>
      </c>
      <c r="H34" s="3" t="s">
        <v>52</v>
      </c>
      <c r="I34" s="3" t="s">
        <v>52</v>
      </c>
      <c r="J34" s="3" t="s">
        <v>51</v>
      </c>
      <c r="K34" s="3" t="b">
        <v>1</v>
      </c>
      <c r="L34" s="3"/>
      <c r="M34" s="3" t="b">
        <v>1</v>
      </c>
      <c r="N34" s="3" t="b">
        <v>0</v>
      </c>
      <c r="O34" s="3" t="b">
        <v>0</v>
      </c>
    </row>
    <row r="35" spans="1:15" x14ac:dyDescent="0.3">
      <c r="A35" s="27" t="s">
        <v>879</v>
      </c>
      <c r="B35" s="27"/>
      <c r="C35" s="27"/>
      <c r="D35" s="27"/>
      <c r="E35" s="21" t="s">
        <v>2059</v>
      </c>
      <c r="F35" s="3" t="s">
        <v>2061</v>
      </c>
      <c r="G35" s="3" t="s">
        <v>978</v>
      </c>
      <c r="H35" s="3" t="s">
        <v>52</v>
      </c>
      <c r="I35" s="3" t="s">
        <v>52</v>
      </c>
      <c r="J35" s="3" t="s">
        <v>51</v>
      </c>
      <c r="K35" s="3" t="b">
        <v>1</v>
      </c>
      <c r="L35" s="3"/>
      <c r="M35" s="3" t="b">
        <v>1</v>
      </c>
      <c r="N35" s="3" t="b">
        <v>0</v>
      </c>
      <c r="O35" s="3" t="b">
        <v>0</v>
      </c>
    </row>
    <row r="36" spans="1:15" x14ac:dyDescent="0.3">
      <c r="A36" s="27" t="s">
        <v>879</v>
      </c>
      <c r="B36" s="27"/>
      <c r="C36" s="27"/>
      <c r="D36" s="27"/>
      <c r="E36" s="21" t="s">
        <v>2058</v>
      </c>
      <c r="F36" s="3" t="s">
        <v>2060</v>
      </c>
      <c r="G36" s="3" t="s">
        <v>978</v>
      </c>
      <c r="H36" s="3" t="s">
        <v>52</v>
      </c>
      <c r="I36" s="3" t="s">
        <v>52</v>
      </c>
      <c r="J36" s="3" t="s">
        <v>51</v>
      </c>
      <c r="K36" s="3" t="b">
        <v>1</v>
      </c>
      <c r="L36" s="3"/>
      <c r="M36" s="3" t="b">
        <v>1</v>
      </c>
      <c r="N36" s="3" t="b">
        <v>0</v>
      </c>
      <c r="O36" s="3" t="b">
        <v>0</v>
      </c>
    </row>
    <row r="37" spans="1:15" x14ac:dyDescent="0.3">
      <c r="A37" s="27" t="s">
        <v>879</v>
      </c>
      <c r="B37" s="27"/>
      <c r="C37" s="27"/>
      <c r="D37" s="27"/>
      <c r="E37" s="21" t="s">
        <v>2343</v>
      </c>
      <c r="F37" s="3" t="s">
        <v>2345</v>
      </c>
      <c r="G37" s="3" t="s">
        <v>978</v>
      </c>
      <c r="H37" s="3" t="s">
        <v>52</v>
      </c>
      <c r="I37" s="3" t="s">
        <v>52</v>
      </c>
      <c r="J37" s="3" t="s">
        <v>51</v>
      </c>
      <c r="K37" s="3" t="b">
        <v>1</v>
      </c>
      <c r="L37" s="3"/>
      <c r="M37" s="3" t="b">
        <v>1</v>
      </c>
      <c r="N37" s="3" t="b">
        <v>0</v>
      </c>
      <c r="O37" s="3" t="b">
        <v>0</v>
      </c>
    </row>
    <row r="38" spans="1:15" x14ac:dyDescent="0.3">
      <c r="A38" s="27" t="s">
        <v>1548</v>
      </c>
      <c r="B38" s="27"/>
      <c r="C38" s="27"/>
      <c r="D38" s="27"/>
      <c r="E38" s="1" t="s">
        <v>1586</v>
      </c>
      <c r="F38" s="3" t="s">
        <v>2046</v>
      </c>
      <c r="G38" s="3" t="s">
        <v>900</v>
      </c>
      <c r="H38" s="3" t="s">
        <v>52</v>
      </c>
      <c r="I38" s="3" t="s">
        <v>52</v>
      </c>
      <c r="J38" s="3" t="s">
        <v>51</v>
      </c>
      <c r="K38" s="3" t="b">
        <v>1</v>
      </c>
      <c r="L38" s="3"/>
      <c r="M38" s="3" t="b">
        <v>1</v>
      </c>
      <c r="N38" s="3" t="b">
        <v>0</v>
      </c>
      <c r="O38" s="3" t="b">
        <v>0</v>
      </c>
    </row>
    <row r="39" spans="1:15" x14ac:dyDescent="0.3">
      <c r="A39" s="27" t="s">
        <v>1548</v>
      </c>
      <c r="B39" s="27"/>
      <c r="C39" s="27"/>
      <c r="D39" s="27"/>
      <c r="E39" s="21" t="s">
        <v>914</v>
      </c>
      <c r="F39" s="3" t="s">
        <v>915</v>
      </c>
      <c r="G39" s="3" t="s">
        <v>900</v>
      </c>
      <c r="H39" s="3" t="s">
        <v>52</v>
      </c>
      <c r="I39" s="3" t="s">
        <v>52</v>
      </c>
      <c r="J39" s="3" t="s">
        <v>51</v>
      </c>
      <c r="K39" s="3" t="b">
        <v>1</v>
      </c>
      <c r="L39" s="3"/>
      <c r="M39" s="3" t="b">
        <v>1</v>
      </c>
      <c r="N39" s="3" t="b">
        <v>0</v>
      </c>
      <c r="O39" s="3" t="b">
        <v>0</v>
      </c>
    </row>
    <row r="40" spans="1:15" x14ac:dyDescent="0.3">
      <c r="A40" s="27" t="s">
        <v>1548</v>
      </c>
      <c r="B40" s="27"/>
      <c r="C40" s="27"/>
      <c r="D40" s="27"/>
      <c r="E40" s="21" t="s">
        <v>916</v>
      </c>
      <c r="F40" s="3" t="s">
        <v>917</v>
      </c>
      <c r="G40" s="3" t="s">
        <v>900</v>
      </c>
      <c r="H40" s="3" t="s">
        <v>52</v>
      </c>
      <c r="I40" s="3" t="s">
        <v>52</v>
      </c>
      <c r="J40" s="3" t="s">
        <v>51</v>
      </c>
      <c r="K40" s="3" t="b">
        <v>1</v>
      </c>
      <c r="L40" s="3"/>
      <c r="M40" s="3" t="b">
        <v>1</v>
      </c>
      <c r="N40" s="3" t="b">
        <v>0</v>
      </c>
      <c r="O40" s="3" t="b">
        <v>0</v>
      </c>
    </row>
    <row r="41" spans="1:15" x14ac:dyDescent="0.3">
      <c r="A41" s="27" t="s">
        <v>1548</v>
      </c>
      <c r="B41" s="27"/>
      <c r="C41" s="27"/>
      <c r="D41" s="27"/>
      <c r="E41" s="1" t="s">
        <v>2047</v>
      </c>
      <c r="F41" s="3" t="s">
        <v>2048</v>
      </c>
      <c r="G41" s="3" t="s">
        <v>900</v>
      </c>
      <c r="H41" s="3" t="s">
        <v>52</v>
      </c>
      <c r="I41" s="3" t="s">
        <v>52</v>
      </c>
      <c r="J41" s="3" t="s">
        <v>51</v>
      </c>
      <c r="K41" s="3" t="b">
        <v>1</v>
      </c>
      <c r="L41" s="3"/>
      <c r="M41" s="3" t="b">
        <v>1</v>
      </c>
      <c r="N41" s="3" t="b">
        <v>0</v>
      </c>
      <c r="O41" s="3" t="b">
        <v>0</v>
      </c>
    </row>
    <row r="42" spans="1:15" x14ac:dyDescent="0.3">
      <c r="A42" s="27" t="s">
        <v>1548</v>
      </c>
      <c r="B42" s="27"/>
      <c r="C42" s="27"/>
      <c r="D42" s="27"/>
      <c r="E42" s="1" t="s">
        <v>912</v>
      </c>
      <c r="F42" s="3" t="s">
        <v>913</v>
      </c>
      <c r="G42" s="3" t="s">
        <v>900</v>
      </c>
      <c r="H42" s="3" t="s">
        <v>52</v>
      </c>
      <c r="I42" s="3" t="s">
        <v>52</v>
      </c>
      <c r="J42" s="3" t="s">
        <v>51</v>
      </c>
      <c r="K42" s="3" t="b">
        <v>1</v>
      </c>
      <c r="L42" s="3"/>
      <c r="M42" s="3" t="b">
        <v>1</v>
      </c>
      <c r="N42" s="3" t="b">
        <v>0</v>
      </c>
      <c r="O42" s="3" t="b">
        <v>0</v>
      </c>
    </row>
    <row r="43" spans="1:15" x14ac:dyDescent="0.3">
      <c r="A43" s="27" t="s">
        <v>1548</v>
      </c>
      <c r="B43" s="27"/>
      <c r="C43" s="27"/>
      <c r="D43" s="27"/>
      <c r="E43" s="12" t="s">
        <v>1623</v>
      </c>
      <c r="F43" s="3" t="s">
        <v>1624</v>
      </c>
      <c r="G43" s="3" t="s">
        <v>900</v>
      </c>
      <c r="H43" s="3" t="s">
        <v>52</v>
      </c>
      <c r="I43" s="3" t="s">
        <v>52</v>
      </c>
      <c r="J43" s="3" t="s">
        <v>51</v>
      </c>
      <c r="K43" s="3" t="b">
        <v>1</v>
      </c>
      <c r="L43" s="3"/>
      <c r="M43" s="3" t="b">
        <v>1</v>
      </c>
      <c r="N43" s="3" t="b">
        <v>0</v>
      </c>
      <c r="O43" s="3" t="b">
        <v>0</v>
      </c>
    </row>
    <row r="44" spans="1:15" x14ac:dyDescent="0.3">
      <c r="A44" s="27" t="s">
        <v>1548</v>
      </c>
      <c r="B44" s="27"/>
      <c r="C44" s="27"/>
      <c r="D44" s="27"/>
      <c r="E44" s="12" t="s">
        <v>1558</v>
      </c>
      <c r="F44" s="3" t="s">
        <v>1559</v>
      </c>
      <c r="G44" s="3" t="s">
        <v>900</v>
      </c>
      <c r="H44" s="3" t="s">
        <v>52</v>
      </c>
      <c r="I44" s="3" t="s">
        <v>52</v>
      </c>
      <c r="J44" s="3" t="s">
        <v>51</v>
      </c>
      <c r="K44" s="3" t="b">
        <v>1</v>
      </c>
      <c r="L44" s="3"/>
      <c r="M44" s="3" t="b">
        <v>1</v>
      </c>
      <c r="N44" s="3" t="b">
        <v>0</v>
      </c>
      <c r="O44" s="3" t="b">
        <v>0</v>
      </c>
    </row>
    <row r="45" spans="1:15" x14ac:dyDescent="0.3">
      <c r="A45" s="27" t="s">
        <v>1548</v>
      </c>
      <c r="B45" s="27"/>
      <c r="C45" s="27"/>
      <c r="D45" s="27"/>
      <c r="E45" s="12" t="s">
        <v>1560</v>
      </c>
      <c r="F45" s="3" t="s">
        <v>1561</v>
      </c>
      <c r="G45" s="3" t="s">
        <v>900</v>
      </c>
      <c r="H45" s="3" t="s">
        <v>52</v>
      </c>
      <c r="I45" s="3" t="s">
        <v>52</v>
      </c>
      <c r="J45" s="3" t="s">
        <v>51</v>
      </c>
      <c r="K45" s="3" t="b">
        <v>1</v>
      </c>
      <c r="L45" s="3"/>
      <c r="M45" s="3" t="b">
        <v>1</v>
      </c>
      <c r="N45" s="3" t="b">
        <v>0</v>
      </c>
      <c r="O45" s="3" t="b">
        <v>0</v>
      </c>
    </row>
    <row r="46" spans="1:15" x14ac:dyDescent="0.3">
      <c r="A46" s="27" t="s">
        <v>1548</v>
      </c>
      <c r="B46" s="27"/>
      <c r="C46" s="27"/>
      <c r="D46" s="27"/>
      <c r="E46" s="12" t="s">
        <v>1578</v>
      </c>
      <c r="F46" s="3" t="s">
        <v>1579</v>
      </c>
      <c r="G46" s="3" t="s">
        <v>900</v>
      </c>
      <c r="H46" s="3" t="s">
        <v>52</v>
      </c>
      <c r="I46" s="3" t="s">
        <v>52</v>
      </c>
      <c r="J46" s="3" t="s">
        <v>51</v>
      </c>
      <c r="K46" s="3" t="b">
        <v>1</v>
      </c>
      <c r="L46" s="3"/>
      <c r="M46" s="3" t="b">
        <v>1</v>
      </c>
      <c r="N46" s="3" t="b">
        <v>0</v>
      </c>
      <c r="O46" s="3" t="b">
        <v>0</v>
      </c>
    </row>
    <row r="47" spans="1:15" x14ac:dyDescent="0.3">
      <c r="A47" s="27" t="s">
        <v>1548</v>
      </c>
      <c r="B47" s="27"/>
      <c r="C47" s="27"/>
      <c r="D47" s="27"/>
      <c r="E47" s="12" t="s">
        <v>2001</v>
      </c>
      <c r="F47" s="3" t="s">
        <v>2002</v>
      </c>
      <c r="G47" s="3" t="s">
        <v>922</v>
      </c>
      <c r="H47" s="3" t="s">
        <v>52</v>
      </c>
      <c r="I47" s="3" t="s">
        <v>52</v>
      </c>
      <c r="J47" s="3" t="s">
        <v>51</v>
      </c>
      <c r="K47" s="3" t="b">
        <v>1</v>
      </c>
      <c r="L47" s="3"/>
      <c r="M47" s="3" t="b">
        <v>1</v>
      </c>
      <c r="N47" s="3" t="b">
        <v>0</v>
      </c>
      <c r="O47" s="3" t="b">
        <v>0</v>
      </c>
    </row>
    <row r="48" spans="1:15" x14ac:dyDescent="0.3">
      <c r="A48" s="27" t="s">
        <v>1548</v>
      </c>
      <c r="B48" s="27"/>
      <c r="C48" s="27"/>
      <c r="D48" s="27"/>
      <c r="E48" s="21" t="s">
        <v>2084</v>
      </c>
      <c r="F48" s="3" t="s">
        <v>2085</v>
      </c>
      <c r="G48" s="3" t="s">
        <v>922</v>
      </c>
      <c r="H48" s="3" t="s">
        <v>52</v>
      </c>
      <c r="I48" s="3" t="s">
        <v>52</v>
      </c>
      <c r="J48" s="3" t="s">
        <v>51</v>
      </c>
      <c r="K48" s="3" t="b">
        <v>1</v>
      </c>
      <c r="L48" s="3"/>
      <c r="M48" s="3" t="b">
        <v>1</v>
      </c>
      <c r="N48" s="3" t="b">
        <v>0</v>
      </c>
      <c r="O48" s="3" t="b">
        <v>0</v>
      </c>
    </row>
    <row r="49" spans="1:15" x14ac:dyDescent="0.3">
      <c r="A49" s="27" t="s">
        <v>1548</v>
      </c>
      <c r="B49" s="27"/>
      <c r="C49" s="27"/>
      <c r="D49" s="27"/>
      <c r="E49" s="1" t="s">
        <v>920</v>
      </c>
      <c r="F49" s="3" t="s">
        <v>921</v>
      </c>
      <c r="G49" s="3" t="s">
        <v>922</v>
      </c>
      <c r="H49" s="3" t="s">
        <v>52</v>
      </c>
      <c r="I49" s="3" t="s">
        <v>52</v>
      </c>
      <c r="J49" s="3" t="s">
        <v>51</v>
      </c>
      <c r="K49" s="3" t="b">
        <v>1</v>
      </c>
      <c r="L49" s="3"/>
      <c r="M49" s="3" t="b">
        <v>1</v>
      </c>
      <c r="N49" s="3" t="b">
        <v>0</v>
      </c>
      <c r="O49" s="3" t="b">
        <v>0</v>
      </c>
    </row>
    <row r="50" spans="1:15" x14ac:dyDescent="0.3">
      <c r="A50" s="27" t="s">
        <v>1548</v>
      </c>
      <c r="B50" s="27"/>
      <c r="C50" s="27"/>
      <c r="D50" s="27"/>
      <c r="E50" s="1" t="s">
        <v>923</v>
      </c>
      <c r="F50" s="3" t="s">
        <v>924</v>
      </c>
      <c r="G50" s="3" t="s">
        <v>922</v>
      </c>
      <c r="H50" s="3" t="s">
        <v>52</v>
      </c>
      <c r="I50" s="3" t="s">
        <v>52</v>
      </c>
      <c r="J50" s="3" t="s">
        <v>51</v>
      </c>
      <c r="K50" s="3" t="b">
        <v>1</v>
      </c>
      <c r="L50" s="3"/>
      <c r="M50" s="3" t="b">
        <v>1</v>
      </c>
      <c r="N50" s="3" t="b">
        <v>0</v>
      </c>
      <c r="O50" s="3" t="b">
        <v>0</v>
      </c>
    </row>
    <row r="51" spans="1:15" x14ac:dyDescent="0.3">
      <c r="A51" s="27" t="s">
        <v>1548</v>
      </c>
      <c r="B51" s="27"/>
      <c r="C51" s="27"/>
      <c r="D51" s="27"/>
      <c r="E51" s="1" t="s">
        <v>925</v>
      </c>
      <c r="F51" s="3" t="s">
        <v>926</v>
      </c>
      <c r="G51" s="3" t="s">
        <v>922</v>
      </c>
      <c r="H51" s="3" t="s">
        <v>52</v>
      </c>
      <c r="I51" s="3" t="s">
        <v>52</v>
      </c>
      <c r="J51" s="3" t="s">
        <v>51</v>
      </c>
      <c r="K51" s="3" t="b">
        <v>1</v>
      </c>
      <c r="L51" s="3"/>
      <c r="M51" s="3" t="b">
        <v>1</v>
      </c>
      <c r="N51" s="3" t="b">
        <v>0</v>
      </c>
      <c r="O51" s="3" t="b">
        <v>0</v>
      </c>
    </row>
    <row r="52" spans="1:15" x14ac:dyDescent="0.3">
      <c r="A52" s="27" t="s">
        <v>1548</v>
      </c>
      <c r="B52" s="27"/>
      <c r="C52" s="27"/>
      <c r="D52" s="27"/>
      <c r="E52" s="1" t="s">
        <v>927</v>
      </c>
      <c r="F52" s="3" t="s">
        <v>928</v>
      </c>
      <c r="G52" s="3" t="s">
        <v>922</v>
      </c>
      <c r="H52" s="3" t="s">
        <v>52</v>
      </c>
      <c r="I52" s="3" t="s">
        <v>52</v>
      </c>
      <c r="J52" s="3" t="s">
        <v>51</v>
      </c>
      <c r="K52" s="3" t="b">
        <v>1</v>
      </c>
      <c r="L52" s="3"/>
      <c r="M52" s="3" t="b">
        <v>1</v>
      </c>
      <c r="N52" s="3" t="b">
        <v>0</v>
      </c>
      <c r="O52" s="3" t="b">
        <v>0</v>
      </c>
    </row>
    <row r="53" spans="1:15" x14ac:dyDescent="0.3">
      <c r="A53" s="27" t="s">
        <v>1548</v>
      </c>
      <c r="B53" s="27"/>
      <c r="C53" s="27"/>
      <c r="D53" s="27"/>
      <c r="E53" s="21" t="s">
        <v>1504</v>
      </c>
      <c r="F53" s="3" t="s">
        <v>1508</v>
      </c>
      <c r="G53" s="3" t="s">
        <v>922</v>
      </c>
      <c r="H53" s="3" t="s">
        <v>52</v>
      </c>
      <c r="I53" s="3" t="s">
        <v>52</v>
      </c>
      <c r="J53" s="3" t="s">
        <v>51</v>
      </c>
      <c r="K53" s="3" t="b">
        <v>1</v>
      </c>
      <c r="L53" s="3"/>
      <c r="M53" s="3" t="b">
        <v>1</v>
      </c>
      <c r="N53" s="3" t="b">
        <v>0</v>
      </c>
      <c r="O53" s="3" t="b">
        <v>0</v>
      </c>
    </row>
    <row r="54" spans="1:15" x14ac:dyDescent="0.3">
      <c r="A54" s="27" t="s">
        <v>1548</v>
      </c>
      <c r="B54" s="27"/>
      <c r="C54" s="27"/>
      <c r="D54" s="27"/>
      <c r="E54" s="1" t="s">
        <v>929</v>
      </c>
      <c r="F54" s="3" t="s">
        <v>930</v>
      </c>
      <c r="G54" s="3" t="s">
        <v>922</v>
      </c>
      <c r="H54" s="3" t="s">
        <v>52</v>
      </c>
      <c r="I54" s="3" t="s">
        <v>52</v>
      </c>
      <c r="J54" s="3" t="s">
        <v>51</v>
      </c>
      <c r="K54" s="3" t="b">
        <v>1</v>
      </c>
      <c r="L54" s="3"/>
      <c r="M54" s="3" t="b">
        <v>1</v>
      </c>
      <c r="N54" s="3" t="b">
        <v>0</v>
      </c>
      <c r="O54" s="3" t="b">
        <v>0</v>
      </c>
    </row>
    <row r="55" spans="1:15" x14ac:dyDescent="0.3">
      <c r="A55" s="27" t="s">
        <v>1548</v>
      </c>
      <c r="B55" s="27"/>
      <c r="C55" s="27"/>
      <c r="D55" s="27"/>
      <c r="E55" s="21" t="s">
        <v>1505</v>
      </c>
      <c r="F55" s="3" t="s">
        <v>1510</v>
      </c>
      <c r="G55" s="3" t="s">
        <v>922</v>
      </c>
      <c r="H55" s="3" t="s">
        <v>52</v>
      </c>
      <c r="I55" s="3" t="s">
        <v>52</v>
      </c>
      <c r="J55" s="3" t="s">
        <v>51</v>
      </c>
      <c r="K55" s="3" t="b">
        <v>1</v>
      </c>
      <c r="L55" s="3"/>
      <c r="M55" s="3" t="b">
        <v>1</v>
      </c>
      <c r="N55" s="3" t="b">
        <v>0</v>
      </c>
      <c r="O55" s="3" t="b">
        <v>0</v>
      </c>
    </row>
    <row r="56" spans="1:15" x14ac:dyDescent="0.3">
      <c r="A56" s="27" t="s">
        <v>1548</v>
      </c>
      <c r="B56" s="27"/>
      <c r="C56" s="27"/>
      <c r="D56" s="27"/>
      <c r="E56" s="1" t="s">
        <v>931</v>
      </c>
      <c r="F56" s="3" t="s">
        <v>932</v>
      </c>
      <c r="G56" s="3" t="s">
        <v>922</v>
      </c>
      <c r="H56" s="3" t="s">
        <v>52</v>
      </c>
      <c r="I56" s="3" t="s">
        <v>52</v>
      </c>
      <c r="J56" s="3" t="s">
        <v>51</v>
      </c>
      <c r="K56" s="3" t="b">
        <v>1</v>
      </c>
      <c r="L56" s="3"/>
      <c r="M56" s="3" t="b">
        <v>1</v>
      </c>
      <c r="N56" s="3" t="b">
        <v>0</v>
      </c>
      <c r="O56" s="3" t="b">
        <v>0</v>
      </c>
    </row>
    <row r="57" spans="1:15" x14ac:dyDescent="0.3">
      <c r="A57" s="27" t="s">
        <v>1548</v>
      </c>
      <c r="B57" s="27"/>
      <c r="C57" s="27"/>
      <c r="D57" s="27"/>
      <c r="E57" s="21" t="s">
        <v>1506</v>
      </c>
      <c r="F57" s="3" t="s">
        <v>1509</v>
      </c>
      <c r="G57" s="3" t="s">
        <v>922</v>
      </c>
      <c r="H57" s="3" t="s">
        <v>52</v>
      </c>
      <c r="I57" s="3" t="s">
        <v>52</v>
      </c>
      <c r="J57" s="3" t="s">
        <v>51</v>
      </c>
      <c r="K57" s="3" t="b">
        <v>1</v>
      </c>
      <c r="L57" s="3"/>
      <c r="M57" s="3" t="b">
        <v>1</v>
      </c>
      <c r="N57" s="3" t="b">
        <v>0</v>
      </c>
      <c r="O57" s="3" t="b">
        <v>0</v>
      </c>
    </row>
    <row r="58" spans="1:15" x14ac:dyDescent="0.3">
      <c r="A58" s="27" t="s">
        <v>1548</v>
      </c>
      <c r="B58" s="27"/>
      <c r="C58" s="27"/>
      <c r="D58" s="27"/>
      <c r="E58" s="1" t="s">
        <v>937</v>
      </c>
      <c r="F58" s="3" t="s">
        <v>938</v>
      </c>
      <c r="G58" s="3" t="s">
        <v>922</v>
      </c>
      <c r="H58" s="3" t="s">
        <v>52</v>
      </c>
      <c r="I58" s="3" t="s">
        <v>52</v>
      </c>
      <c r="J58" s="3" t="s">
        <v>51</v>
      </c>
      <c r="K58" s="3" t="b">
        <v>1</v>
      </c>
      <c r="L58" s="3"/>
      <c r="M58" s="3" t="b">
        <v>1</v>
      </c>
      <c r="N58" s="3" t="b">
        <v>0</v>
      </c>
      <c r="O58" s="3" t="b">
        <v>0</v>
      </c>
    </row>
    <row r="59" spans="1:15" x14ac:dyDescent="0.3">
      <c r="A59" s="27" t="s">
        <v>1548</v>
      </c>
      <c r="B59" s="27"/>
      <c r="C59" s="27"/>
      <c r="D59" s="27"/>
      <c r="E59" s="1" t="s">
        <v>933</v>
      </c>
      <c r="F59" s="3" t="s">
        <v>934</v>
      </c>
      <c r="G59" s="3" t="s">
        <v>922</v>
      </c>
      <c r="H59" s="3" t="s">
        <v>52</v>
      </c>
      <c r="I59" s="3" t="s">
        <v>52</v>
      </c>
      <c r="J59" s="3" t="s">
        <v>51</v>
      </c>
      <c r="K59" s="3" t="b">
        <v>1</v>
      </c>
      <c r="L59" s="3"/>
      <c r="M59" s="3" t="b">
        <v>1</v>
      </c>
      <c r="N59" s="3" t="b">
        <v>0</v>
      </c>
      <c r="O59" s="3" t="b">
        <v>0</v>
      </c>
    </row>
    <row r="60" spans="1:15" x14ac:dyDescent="0.3">
      <c r="A60" s="27" t="s">
        <v>1548</v>
      </c>
      <c r="B60" s="27"/>
      <c r="C60" s="27"/>
      <c r="D60" s="27"/>
      <c r="E60" s="1" t="s">
        <v>939</v>
      </c>
      <c r="F60" s="3" t="s">
        <v>940</v>
      </c>
      <c r="G60" s="3" t="s">
        <v>922</v>
      </c>
      <c r="H60" s="3" t="s">
        <v>52</v>
      </c>
      <c r="I60" s="3" t="s">
        <v>52</v>
      </c>
      <c r="J60" s="3" t="s">
        <v>51</v>
      </c>
      <c r="K60" s="3" t="b">
        <v>1</v>
      </c>
      <c r="L60" s="3"/>
      <c r="M60" s="3" t="b">
        <v>1</v>
      </c>
      <c r="N60" s="3" t="b">
        <v>0</v>
      </c>
      <c r="O60" s="3" t="b">
        <v>0</v>
      </c>
    </row>
    <row r="61" spans="1:15" x14ac:dyDescent="0.3">
      <c r="A61" s="27" t="s">
        <v>1548</v>
      </c>
      <c r="B61" s="27"/>
      <c r="C61" s="27"/>
      <c r="D61" s="27"/>
      <c r="E61" s="1" t="s">
        <v>935</v>
      </c>
      <c r="F61" s="3" t="s">
        <v>936</v>
      </c>
      <c r="G61" s="3" t="s">
        <v>922</v>
      </c>
      <c r="H61" s="3" t="s">
        <v>52</v>
      </c>
      <c r="I61" s="3" t="s">
        <v>52</v>
      </c>
      <c r="J61" s="3" t="s">
        <v>51</v>
      </c>
      <c r="K61" s="3" t="b">
        <v>1</v>
      </c>
      <c r="L61" s="3"/>
      <c r="M61" s="3" t="b">
        <v>1</v>
      </c>
      <c r="N61" s="3" t="b">
        <v>0</v>
      </c>
      <c r="O61" s="3" t="b">
        <v>0</v>
      </c>
    </row>
    <row r="62" spans="1:15" x14ac:dyDescent="0.3">
      <c r="A62" s="27" t="s">
        <v>1548</v>
      </c>
      <c r="B62" s="27"/>
      <c r="C62" s="27"/>
      <c r="D62" s="27"/>
      <c r="E62" s="1" t="s">
        <v>1563</v>
      </c>
      <c r="F62" s="3" t="s">
        <v>1564</v>
      </c>
      <c r="G62" s="3" t="s">
        <v>922</v>
      </c>
      <c r="H62" s="3" t="s">
        <v>52</v>
      </c>
      <c r="I62" s="3" t="s">
        <v>52</v>
      </c>
      <c r="J62" s="3" t="s">
        <v>51</v>
      </c>
      <c r="K62" s="3" t="b">
        <v>1</v>
      </c>
      <c r="L62" s="3"/>
      <c r="M62" s="3" t="b">
        <v>1</v>
      </c>
      <c r="N62" s="3" t="b">
        <v>0</v>
      </c>
      <c r="O62" s="3" t="b">
        <v>0</v>
      </c>
    </row>
    <row r="63" spans="1:15" x14ac:dyDescent="0.3">
      <c r="A63" s="27" t="s">
        <v>1548</v>
      </c>
      <c r="B63" s="27"/>
      <c r="C63" s="27"/>
      <c r="D63" s="27"/>
      <c r="E63" s="21" t="s">
        <v>1503</v>
      </c>
      <c r="F63" s="3" t="s">
        <v>1507</v>
      </c>
      <c r="G63" s="3" t="s">
        <v>922</v>
      </c>
      <c r="H63" s="3" t="s">
        <v>52</v>
      </c>
      <c r="I63" s="3" t="s">
        <v>52</v>
      </c>
      <c r="J63" s="3" t="s">
        <v>51</v>
      </c>
      <c r="K63" s="3" t="b">
        <v>1</v>
      </c>
      <c r="L63" s="3"/>
      <c r="M63" s="3" t="b">
        <v>1</v>
      </c>
      <c r="N63" s="3" t="b">
        <v>0</v>
      </c>
      <c r="O63" s="3" t="b">
        <v>0</v>
      </c>
    </row>
    <row r="64" spans="1:15" x14ac:dyDescent="0.3">
      <c r="A64" s="27" t="s">
        <v>1548</v>
      </c>
      <c r="B64" s="27"/>
      <c r="C64" s="27"/>
      <c r="D64" s="27"/>
      <c r="E64" s="1" t="s">
        <v>941</v>
      </c>
      <c r="F64" s="3" t="s">
        <v>942</v>
      </c>
      <c r="G64" s="3" t="s">
        <v>922</v>
      </c>
      <c r="H64" s="3" t="s">
        <v>851</v>
      </c>
      <c r="I64" s="3" t="s">
        <v>52</v>
      </c>
      <c r="J64" s="3" t="s">
        <v>51</v>
      </c>
      <c r="K64" s="3" t="b">
        <v>1</v>
      </c>
      <c r="L64" s="3"/>
      <c r="M64" s="3" t="b">
        <v>1</v>
      </c>
      <c r="N64" s="3" t="b">
        <v>0</v>
      </c>
      <c r="O64" s="3" t="b">
        <v>0</v>
      </c>
    </row>
    <row r="65" spans="1:15" x14ac:dyDescent="0.3">
      <c r="A65" s="27" t="s">
        <v>1548</v>
      </c>
      <c r="B65" s="27"/>
      <c r="C65" s="27"/>
      <c r="D65" s="27"/>
      <c r="E65" s="1" t="s">
        <v>943</v>
      </c>
      <c r="F65" s="3" t="s">
        <v>944</v>
      </c>
      <c r="G65" s="3" t="s">
        <v>922</v>
      </c>
      <c r="H65" s="3" t="s">
        <v>851</v>
      </c>
      <c r="I65" s="3" t="s">
        <v>52</v>
      </c>
      <c r="J65" s="3" t="s">
        <v>51</v>
      </c>
      <c r="K65" s="3" t="b">
        <v>1</v>
      </c>
      <c r="L65" s="3"/>
      <c r="M65" s="3" t="b">
        <v>1</v>
      </c>
      <c r="N65" s="3" t="b">
        <v>0</v>
      </c>
      <c r="O65" s="3" t="b">
        <v>0</v>
      </c>
    </row>
    <row r="66" spans="1:15" x14ac:dyDescent="0.3">
      <c r="A66" s="27" t="s">
        <v>1548</v>
      </c>
      <c r="B66" s="27"/>
      <c r="C66" s="27"/>
      <c r="D66" s="27"/>
      <c r="E66" s="1" t="s">
        <v>945</v>
      </c>
      <c r="F66" s="3" t="s">
        <v>946</v>
      </c>
      <c r="G66" s="3" t="s">
        <v>922</v>
      </c>
      <c r="H66" s="3" t="s">
        <v>851</v>
      </c>
      <c r="I66" s="3" t="s">
        <v>52</v>
      </c>
      <c r="J66" s="3" t="s">
        <v>51</v>
      </c>
      <c r="K66" s="3" t="b">
        <v>1</v>
      </c>
      <c r="L66" s="3"/>
      <c r="M66" s="3" t="b">
        <v>1</v>
      </c>
      <c r="N66" s="3" t="b">
        <v>0</v>
      </c>
      <c r="O66" s="3" t="b">
        <v>0</v>
      </c>
    </row>
    <row r="67" spans="1:15" x14ac:dyDescent="0.3">
      <c r="A67" s="27" t="s">
        <v>1548</v>
      </c>
      <c r="B67" s="27"/>
      <c r="C67" s="27"/>
      <c r="D67" s="27"/>
      <c r="E67" s="1" t="s">
        <v>947</v>
      </c>
      <c r="F67" s="3" t="s">
        <v>948</v>
      </c>
      <c r="G67" s="3" t="s">
        <v>922</v>
      </c>
      <c r="H67" s="3" t="s">
        <v>851</v>
      </c>
      <c r="I67" s="3" t="s">
        <v>52</v>
      </c>
      <c r="J67" s="3" t="s">
        <v>51</v>
      </c>
      <c r="K67" s="3" t="b">
        <v>1</v>
      </c>
      <c r="L67" s="3"/>
      <c r="M67" s="3" t="b">
        <v>1</v>
      </c>
      <c r="N67" s="3" t="b">
        <v>0</v>
      </c>
      <c r="O67" s="3" t="b">
        <v>0</v>
      </c>
    </row>
    <row r="68" spans="1:15" x14ac:dyDescent="0.3">
      <c r="A68" s="27" t="s">
        <v>1548</v>
      </c>
      <c r="B68" s="27"/>
      <c r="C68" s="27"/>
      <c r="D68" s="27"/>
      <c r="E68" s="1" t="s">
        <v>949</v>
      </c>
      <c r="F68" s="3" t="s">
        <v>950</v>
      </c>
      <c r="G68" s="3" t="s">
        <v>922</v>
      </c>
      <c r="H68" s="3" t="s">
        <v>851</v>
      </c>
      <c r="I68" s="3" t="s">
        <v>52</v>
      </c>
      <c r="J68" s="3" t="s">
        <v>51</v>
      </c>
      <c r="K68" s="3" t="b">
        <v>1</v>
      </c>
      <c r="L68" s="3"/>
      <c r="M68" s="3" t="b">
        <v>1</v>
      </c>
      <c r="N68" s="3" t="b">
        <v>0</v>
      </c>
      <c r="O68" s="3" t="b">
        <v>0</v>
      </c>
    </row>
    <row r="69" spans="1:15" x14ac:dyDescent="0.3">
      <c r="A69" s="27" t="s">
        <v>1548</v>
      </c>
      <c r="B69" s="27"/>
      <c r="C69" s="27"/>
      <c r="D69" s="27"/>
      <c r="E69" s="1" t="s">
        <v>951</v>
      </c>
      <c r="F69" s="3" t="s">
        <v>952</v>
      </c>
      <c r="G69" s="3" t="s">
        <v>922</v>
      </c>
      <c r="H69" s="3" t="s">
        <v>851</v>
      </c>
      <c r="I69" s="3" t="s">
        <v>52</v>
      </c>
      <c r="J69" s="3" t="s">
        <v>51</v>
      </c>
      <c r="K69" s="3" t="b">
        <v>1</v>
      </c>
      <c r="L69" s="3"/>
      <c r="M69" s="3" t="b">
        <v>1</v>
      </c>
      <c r="N69" s="3" t="b">
        <v>0</v>
      </c>
      <c r="O69" s="3" t="b">
        <v>0</v>
      </c>
    </row>
    <row r="70" spans="1:15" x14ac:dyDescent="0.3">
      <c r="A70" s="27" t="s">
        <v>1548</v>
      </c>
      <c r="B70" s="27"/>
      <c r="C70" s="27"/>
      <c r="D70" s="27"/>
      <c r="E70" s="1" t="s">
        <v>953</v>
      </c>
      <c r="F70" s="3" t="s">
        <v>954</v>
      </c>
      <c r="G70" s="3" t="s">
        <v>922</v>
      </c>
      <c r="H70" s="3" t="s">
        <v>851</v>
      </c>
      <c r="I70" s="3" t="s">
        <v>52</v>
      </c>
      <c r="J70" s="3" t="s">
        <v>51</v>
      </c>
      <c r="K70" s="3" t="b">
        <v>1</v>
      </c>
      <c r="L70" s="3"/>
      <c r="M70" s="3" t="b">
        <v>1</v>
      </c>
      <c r="N70" s="3" t="b">
        <v>0</v>
      </c>
      <c r="O70" s="3" t="b">
        <v>0</v>
      </c>
    </row>
    <row r="71" spans="1:15" x14ac:dyDescent="0.3">
      <c r="A71" s="27" t="s">
        <v>1548</v>
      </c>
      <c r="B71" s="27"/>
      <c r="C71" s="27"/>
      <c r="D71" s="27"/>
      <c r="E71" s="1" t="s">
        <v>955</v>
      </c>
      <c r="F71" s="3" t="s">
        <v>956</v>
      </c>
      <c r="G71" s="3" t="s">
        <v>922</v>
      </c>
      <c r="H71" s="3" t="s">
        <v>851</v>
      </c>
      <c r="I71" s="3" t="s">
        <v>52</v>
      </c>
      <c r="J71" s="3" t="s">
        <v>51</v>
      </c>
      <c r="K71" s="3" t="b">
        <v>1</v>
      </c>
      <c r="L71" s="3"/>
      <c r="M71" s="3" t="b">
        <v>1</v>
      </c>
      <c r="N71" s="3" t="b">
        <v>0</v>
      </c>
      <c r="O71" s="3" t="b">
        <v>0</v>
      </c>
    </row>
    <row r="72" spans="1:15" x14ac:dyDescent="0.3">
      <c r="A72" s="27" t="s">
        <v>1548</v>
      </c>
      <c r="B72" s="27"/>
      <c r="C72" s="27"/>
      <c r="D72" s="27"/>
      <c r="E72" s="1" t="s">
        <v>957</v>
      </c>
      <c r="F72" s="3" t="s">
        <v>958</v>
      </c>
      <c r="G72" s="3" t="s">
        <v>922</v>
      </c>
      <c r="H72" s="3" t="s">
        <v>851</v>
      </c>
      <c r="I72" s="3" t="s">
        <v>52</v>
      </c>
      <c r="J72" s="3" t="s">
        <v>51</v>
      </c>
      <c r="K72" s="3" t="b">
        <v>1</v>
      </c>
      <c r="L72" s="3"/>
      <c r="M72" s="3" t="b">
        <v>1</v>
      </c>
      <c r="N72" s="3" t="b">
        <v>0</v>
      </c>
      <c r="O72" s="3" t="b">
        <v>0</v>
      </c>
    </row>
    <row r="73" spans="1:15" x14ac:dyDescent="0.3">
      <c r="A73" s="27" t="s">
        <v>1548</v>
      </c>
      <c r="B73" s="27"/>
      <c r="C73" s="27"/>
      <c r="D73" s="27"/>
      <c r="E73" s="1" t="s">
        <v>959</v>
      </c>
      <c r="F73" s="3" t="s">
        <v>960</v>
      </c>
      <c r="G73" s="3" t="s">
        <v>922</v>
      </c>
      <c r="H73" s="3" t="s">
        <v>851</v>
      </c>
      <c r="I73" s="3" t="s">
        <v>52</v>
      </c>
      <c r="J73" s="3" t="s">
        <v>51</v>
      </c>
      <c r="K73" s="3" t="b">
        <v>1</v>
      </c>
      <c r="L73" s="3"/>
      <c r="M73" s="3" t="b">
        <v>1</v>
      </c>
      <c r="N73" s="3" t="b">
        <v>0</v>
      </c>
      <c r="O73" s="3" t="b">
        <v>0</v>
      </c>
    </row>
    <row r="74" spans="1:15" x14ac:dyDescent="0.3">
      <c r="A74" s="27" t="s">
        <v>1548</v>
      </c>
      <c r="B74" s="27"/>
      <c r="C74" s="27"/>
      <c r="D74" s="27"/>
      <c r="E74" s="1" t="s">
        <v>961</v>
      </c>
      <c r="F74" s="3" t="s">
        <v>962</v>
      </c>
      <c r="G74" s="3" t="s">
        <v>922</v>
      </c>
      <c r="H74" s="3" t="s">
        <v>851</v>
      </c>
      <c r="I74" s="3" t="s">
        <v>52</v>
      </c>
      <c r="J74" s="3" t="s">
        <v>51</v>
      </c>
      <c r="K74" s="3" t="b">
        <v>1</v>
      </c>
      <c r="L74" s="3"/>
      <c r="M74" s="3" t="b">
        <v>1</v>
      </c>
      <c r="N74" s="3" t="b">
        <v>0</v>
      </c>
      <c r="O74" s="3" t="b">
        <v>0</v>
      </c>
    </row>
    <row r="75" spans="1:15" x14ac:dyDescent="0.3">
      <c r="A75" s="27" t="s">
        <v>1548</v>
      </c>
      <c r="B75" s="27"/>
      <c r="C75" s="27"/>
      <c r="D75" s="27"/>
      <c r="E75" s="1" t="s">
        <v>963</v>
      </c>
      <c r="F75" s="3" t="s">
        <v>964</v>
      </c>
      <c r="G75" s="3" t="s">
        <v>922</v>
      </c>
      <c r="H75" s="3" t="s">
        <v>851</v>
      </c>
      <c r="I75" s="3" t="s">
        <v>52</v>
      </c>
      <c r="J75" s="3" t="s">
        <v>51</v>
      </c>
      <c r="K75" s="3" t="b">
        <v>1</v>
      </c>
      <c r="L75" s="3"/>
      <c r="M75" s="3" t="b">
        <v>1</v>
      </c>
      <c r="N75" s="3" t="b">
        <v>0</v>
      </c>
      <c r="O75" s="3" t="b">
        <v>0</v>
      </c>
    </row>
    <row r="76" spans="1:15" x14ac:dyDescent="0.3">
      <c r="A76" s="27" t="s">
        <v>1548</v>
      </c>
      <c r="B76" s="27"/>
      <c r="C76" s="27"/>
      <c r="D76" s="27"/>
      <c r="E76" s="1" t="s">
        <v>965</v>
      </c>
      <c r="F76" s="3" t="s">
        <v>966</v>
      </c>
      <c r="G76" s="3" t="s">
        <v>922</v>
      </c>
      <c r="H76" s="3" t="s">
        <v>851</v>
      </c>
      <c r="I76" s="3" t="s">
        <v>52</v>
      </c>
      <c r="J76" s="3" t="s">
        <v>51</v>
      </c>
      <c r="K76" s="3" t="b">
        <v>1</v>
      </c>
      <c r="L76" s="3"/>
      <c r="M76" s="3" t="b">
        <v>1</v>
      </c>
      <c r="N76" s="3" t="b">
        <v>0</v>
      </c>
      <c r="O76" s="3" t="b">
        <v>0</v>
      </c>
    </row>
    <row r="77" spans="1:15" x14ac:dyDescent="0.3">
      <c r="A77" s="27" t="s">
        <v>1548</v>
      </c>
      <c r="B77" s="27"/>
      <c r="C77" s="27"/>
      <c r="D77" s="27"/>
      <c r="E77" s="1" t="s">
        <v>967</v>
      </c>
      <c r="F77" s="3" t="s">
        <v>968</v>
      </c>
      <c r="G77" s="3" t="s">
        <v>922</v>
      </c>
      <c r="H77" s="3" t="s">
        <v>851</v>
      </c>
      <c r="I77" s="3" t="s">
        <v>52</v>
      </c>
      <c r="J77" s="3" t="s">
        <v>51</v>
      </c>
      <c r="K77" s="3" t="b">
        <v>1</v>
      </c>
      <c r="L77" s="3"/>
      <c r="M77" s="3" t="b">
        <v>1</v>
      </c>
      <c r="N77" s="3" t="b">
        <v>0</v>
      </c>
      <c r="O77" s="3" t="b">
        <v>0</v>
      </c>
    </row>
    <row r="78" spans="1:15" x14ac:dyDescent="0.3">
      <c r="A78" s="27" t="s">
        <v>1548</v>
      </c>
      <c r="B78" s="27"/>
      <c r="C78" s="27"/>
      <c r="D78" s="27"/>
      <c r="E78" s="1" t="s">
        <v>969</v>
      </c>
      <c r="F78" s="3" t="s">
        <v>970</v>
      </c>
      <c r="G78" s="3" t="s">
        <v>922</v>
      </c>
      <c r="H78" s="3" t="s">
        <v>851</v>
      </c>
      <c r="I78" s="3" t="s">
        <v>52</v>
      </c>
      <c r="J78" s="3" t="s">
        <v>51</v>
      </c>
      <c r="K78" s="3" t="b">
        <v>1</v>
      </c>
      <c r="L78" s="3"/>
      <c r="M78" s="3" t="b">
        <v>1</v>
      </c>
      <c r="N78" s="3" t="b">
        <v>0</v>
      </c>
      <c r="O78" s="3" t="b">
        <v>0</v>
      </c>
    </row>
    <row r="79" spans="1:15" x14ac:dyDescent="0.3">
      <c r="A79" s="27" t="s">
        <v>1548</v>
      </c>
      <c r="B79" s="27"/>
      <c r="C79" s="27"/>
      <c r="D79" s="27"/>
      <c r="E79" s="1" t="s">
        <v>1501</v>
      </c>
      <c r="F79" s="3" t="s">
        <v>1589</v>
      </c>
      <c r="G79" s="3" t="s">
        <v>922</v>
      </c>
      <c r="H79" s="3" t="s">
        <v>851</v>
      </c>
      <c r="I79" s="3" t="s">
        <v>52</v>
      </c>
      <c r="J79" s="3" t="s">
        <v>51</v>
      </c>
      <c r="K79" s="3" t="b">
        <v>1</v>
      </c>
      <c r="L79" s="3"/>
      <c r="M79" s="3" t="b">
        <v>1</v>
      </c>
      <c r="N79" s="3" t="b">
        <v>0</v>
      </c>
      <c r="O79" s="3" t="b">
        <v>0</v>
      </c>
    </row>
    <row r="80" spans="1:15" x14ac:dyDescent="0.3">
      <c r="A80" s="27" t="s">
        <v>1548</v>
      </c>
      <c r="B80" s="27"/>
      <c r="C80" s="27"/>
      <c r="D80" s="27"/>
      <c r="E80" s="1" t="s">
        <v>1528</v>
      </c>
      <c r="F80" s="3" t="s">
        <v>1530</v>
      </c>
      <c r="G80" s="3" t="s">
        <v>922</v>
      </c>
      <c r="H80" s="3" t="s">
        <v>52</v>
      </c>
      <c r="I80" s="3" t="s">
        <v>52</v>
      </c>
      <c r="J80" s="3" t="s">
        <v>51</v>
      </c>
      <c r="K80" s="3" t="b">
        <v>1</v>
      </c>
      <c r="L80" s="3"/>
      <c r="M80" s="3" t="b">
        <v>1</v>
      </c>
      <c r="N80" s="3" t="b">
        <v>0</v>
      </c>
      <c r="O80" s="3" t="b">
        <v>0</v>
      </c>
    </row>
    <row r="81" spans="1:15" x14ac:dyDescent="0.3">
      <c r="A81" s="27" t="s">
        <v>1548</v>
      </c>
      <c r="B81" s="27"/>
      <c r="C81" s="27"/>
      <c r="D81" s="27"/>
      <c r="E81" s="1" t="s">
        <v>1523</v>
      </c>
      <c r="F81" s="3" t="s">
        <v>1531</v>
      </c>
      <c r="G81" s="3" t="s">
        <v>922</v>
      </c>
      <c r="H81" s="3" t="s">
        <v>52</v>
      </c>
      <c r="I81" s="3" t="s">
        <v>52</v>
      </c>
      <c r="J81" s="3" t="s">
        <v>51</v>
      </c>
      <c r="K81" s="3" t="b">
        <v>1</v>
      </c>
      <c r="L81" s="3"/>
      <c r="M81" s="3" t="b">
        <v>1</v>
      </c>
      <c r="N81" s="3" t="b">
        <v>0</v>
      </c>
      <c r="O81" s="3" t="b">
        <v>0</v>
      </c>
    </row>
    <row r="82" spans="1:15" x14ac:dyDescent="0.3">
      <c r="A82" s="27" t="s">
        <v>1548</v>
      </c>
      <c r="B82" s="27"/>
      <c r="C82" s="27"/>
      <c r="D82" s="27"/>
      <c r="E82" s="1" t="s">
        <v>1524</v>
      </c>
      <c r="F82" s="3" t="s">
        <v>1532</v>
      </c>
      <c r="G82" s="3" t="s">
        <v>922</v>
      </c>
      <c r="H82" s="3" t="s">
        <v>52</v>
      </c>
      <c r="I82" s="3" t="s">
        <v>52</v>
      </c>
      <c r="J82" s="3" t="s">
        <v>51</v>
      </c>
      <c r="K82" s="3" t="b">
        <v>1</v>
      </c>
      <c r="L82" s="3"/>
      <c r="M82" s="3" t="b">
        <v>1</v>
      </c>
      <c r="N82" s="3" t="b">
        <v>0</v>
      </c>
      <c r="O82" s="3" t="b">
        <v>0</v>
      </c>
    </row>
    <row r="83" spans="1:15" x14ac:dyDescent="0.3">
      <c r="A83" s="27" t="s">
        <v>1548</v>
      </c>
      <c r="B83" s="27"/>
      <c r="C83" s="27"/>
      <c r="D83" s="27"/>
      <c r="E83" s="1" t="s">
        <v>1525</v>
      </c>
      <c r="F83" s="3" t="s">
        <v>1533</v>
      </c>
      <c r="G83" s="3" t="s">
        <v>922</v>
      </c>
      <c r="H83" s="3" t="s">
        <v>52</v>
      </c>
      <c r="I83" s="3" t="s">
        <v>52</v>
      </c>
      <c r="J83" s="3" t="s">
        <v>51</v>
      </c>
      <c r="K83" s="3" t="b">
        <v>1</v>
      </c>
      <c r="L83" s="3"/>
      <c r="M83" s="3" t="b">
        <v>1</v>
      </c>
      <c r="N83" s="3" t="b">
        <v>0</v>
      </c>
      <c r="O83" s="3" t="b">
        <v>0</v>
      </c>
    </row>
    <row r="84" spans="1:15" x14ac:dyDescent="0.3">
      <c r="A84" s="27" t="s">
        <v>1548</v>
      </c>
      <c r="B84" s="27"/>
      <c r="C84" s="27"/>
      <c r="D84" s="27"/>
      <c r="E84" s="1" t="s">
        <v>1526</v>
      </c>
      <c r="F84" s="3" t="s">
        <v>1534</v>
      </c>
      <c r="G84" s="3" t="s">
        <v>922</v>
      </c>
      <c r="H84" s="3" t="s">
        <v>52</v>
      </c>
      <c r="I84" s="3" t="s">
        <v>52</v>
      </c>
      <c r="J84" s="3" t="s">
        <v>51</v>
      </c>
      <c r="K84" s="3" t="b">
        <v>1</v>
      </c>
      <c r="L84" s="3"/>
      <c r="M84" s="3" t="b">
        <v>1</v>
      </c>
      <c r="N84" s="3" t="b">
        <v>0</v>
      </c>
      <c r="O84" s="3" t="b">
        <v>0</v>
      </c>
    </row>
    <row r="85" spans="1:15" x14ac:dyDescent="0.3">
      <c r="A85" s="27" t="s">
        <v>1548</v>
      </c>
      <c r="B85" s="27"/>
      <c r="C85" s="27"/>
      <c r="D85" s="27"/>
      <c r="E85" s="1" t="s">
        <v>1527</v>
      </c>
      <c r="F85" s="3" t="s">
        <v>1535</v>
      </c>
      <c r="G85" s="3" t="s">
        <v>922</v>
      </c>
      <c r="H85" s="3" t="s">
        <v>52</v>
      </c>
      <c r="I85" s="3" t="s">
        <v>52</v>
      </c>
      <c r="J85" s="3" t="s">
        <v>51</v>
      </c>
      <c r="K85" s="3" t="b">
        <v>1</v>
      </c>
      <c r="L85" s="3"/>
      <c r="M85" s="3" t="b">
        <v>1</v>
      </c>
      <c r="N85" s="3" t="b">
        <v>0</v>
      </c>
      <c r="O85" s="3" t="b">
        <v>0</v>
      </c>
    </row>
    <row r="86" spans="1:15" x14ac:dyDescent="0.3">
      <c r="A86" s="27" t="s">
        <v>1548</v>
      </c>
      <c r="B86" s="27"/>
      <c r="C86" s="27"/>
      <c r="D86" s="27"/>
      <c r="E86" s="1" t="s">
        <v>1522</v>
      </c>
      <c r="F86" s="3" t="s">
        <v>1529</v>
      </c>
      <c r="G86" s="3" t="s">
        <v>922</v>
      </c>
      <c r="H86" s="3" t="s">
        <v>52</v>
      </c>
      <c r="I86" s="3" t="s">
        <v>52</v>
      </c>
      <c r="J86" s="3" t="s">
        <v>51</v>
      </c>
      <c r="K86" s="3" t="b">
        <v>1</v>
      </c>
      <c r="L86" s="3"/>
      <c r="M86" s="3" t="b">
        <v>1</v>
      </c>
      <c r="N86" s="3" t="b">
        <v>0</v>
      </c>
      <c r="O86" s="3" t="b">
        <v>0</v>
      </c>
    </row>
    <row r="87" spans="1:15" x14ac:dyDescent="0.3">
      <c r="A87" s="27" t="s">
        <v>1548</v>
      </c>
      <c r="B87" s="27"/>
      <c r="C87" s="27"/>
      <c r="D87" s="27"/>
      <c r="E87" s="12" t="s">
        <v>1621</v>
      </c>
      <c r="F87" s="3" t="s">
        <v>1622</v>
      </c>
      <c r="G87" s="3" t="s">
        <v>922</v>
      </c>
      <c r="H87" s="3" t="s">
        <v>852</v>
      </c>
      <c r="I87" s="3" t="s">
        <v>52</v>
      </c>
      <c r="J87" s="3" t="s">
        <v>51</v>
      </c>
      <c r="K87" s="3" t="b">
        <v>1</v>
      </c>
      <c r="L87" s="3"/>
      <c r="M87" s="3" t="b">
        <v>1</v>
      </c>
      <c r="N87" s="3" t="b">
        <v>0</v>
      </c>
      <c r="O87" s="3" t="b">
        <v>0</v>
      </c>
    </row>
    <row r="88" spans="1:15" x14ac:dyDescent="0.3">
      <c r="A88" s="27" t="s">
        <v>1548</v>
      </c>
      <c r="B88" s="27"/>
      <c r="C88" s="27"/>
      <c r="D88" s="27"/>
      <c r="E88" s="12" t="s">
        <v>1554</v>
      </c>
      <c r="F88" s="3" t="s">
        <v>1555</v>
      </c>
      <c r="G88" s="3" t="s">
        <v>922</v>
      </c>
      <c r="H88" s="3" t="s">
        <v>852</v>
      </c>
      <c r="I88" s="3" t="s">
        <v>52</v>
      </c>
      <c r="J88" s="3" t="s">
        <v>51</v>
      </c>
      <c r="K88" s="3" t="b">
        <v>1</v>
      </c>
      <c r="L88" s="3"/>
      <c r="M88" s="3" t="b">
        <v>1</v>
      </c>
      <c r="N88" s="3" t="b">
        <v>0</v>
      </c>
      <c r="O88" s="3" t="b">
        <v>0</v>
      </c>
    </row>
    <row r="89" spans="1:15" x14ac:dyDescent="0.3">
      <c r="A89" s="27" t="s">
        <v>1548</v>
      </c>
      <c r="B89" s="27"/>
      <c r="C89" s="27"/>
      <c r="D89" s="27"/>
      <c r="E89" s="12" t="s">
        <v>1556</v>
      </c>
      <c r="F89" s="3" t="s">
        <v>1557</v>
      </c>
      <c r="G89" s="3" t="s">
        <v>922</v>
      </c>
      <c r="H89" s="3" t="s">
        <v>852</v>
      </c>
      <c r="I89" s="3" t="s">
        <v>52</v>
      </c>
      <c r="J89" s="3" t="s">
        <v>51</v>
      </c>
      <c r="K89" s="3" t="b">
        <v>1</v>
      </c>
      <c r="L89" s="3"/>
      <c r="M89" s="3" t="b">
        <v>1</v>
      </c>
      <c r="N89" s="3" t="b">
        <v>0</v>
      </c>
      <c r="O89" s="3" t="b">
        <v>0</v>
      </c>
    </row>
    <row r="90" spans="1:15" x14ac:dyDescent="0.3">
      <c r="A90" s="27" t="s">
        <v>1548</v>
      </c>
      <c r="B90" s="27"/>
      <c r="C90" s="27"/>
      <c r="D90" s="27"/>
      <c r="E90" s="1" t="s">
        <v>971</v>
      </c>
      <c r="F90" s="3" t="s">
        <v>972</v>
      </c>
      <c r="G90" s="3" t="s">
        <v>922</v>
      </c>
      <c r="H90" s="3" t="s">
        <v>854</v>
      </c>
      <c r="I90" s="3" t="s">
        <v>52</v>
      </c>
      <c r="J90" s="3" t="s">
        <v>51</v>
      </c>
      <c r="K90" s="3" t="b">
        <v>1</v>
      </c>
      <c r="L90" s="3"/>
      <c r="M90" s="3" t="b">
        <v>1</v>
      </c>
      <c r="N90" s="3" t="b">
        <v>0</v>
      </c>
      <c r="O90" s="3" t="b">
        <v>0</v>
      </c>
    </row>
    <row r="91" spans="1:15" x14ac:dyDescent="0.3">
      <c r="A91" s="27" t="s">
        <v>1548</v>
      </c>
      <c r="B91" s="27"/>
      <c r="C91" s="27"/>
      <c r="D91" s="27"/>
      <c r="E91" s="1" t="s">
        <v>973</v>
      </c>
      <c r="F91" s="3" t="s">
        <v>974</v>
      </c>
      <c r="G91" s="3" t="s">
        <v>922</v>
      </c>
      <c r="H91" s="3" t="s">
        <v>854</v>
      </c>
      <c r="I91" s="3" t="s">
        <v>52</v>
      </c>
      <c r="J91" s="3" t="s">
        <v>51</v>
      </c>
      <c r="K91" s="3" t="b">
        <v>1</v>
      </c>
      <c r="L91" s="3"/>
      <c r="M91" s="3" t="b">
        <v>1</v>
      </c>
      <c r="N91" s="3" t="b">
        <v>0</v>
      </c>
      <c r="O91" s="3" t="b">
        <v>0</v>
      </c>
    </row>
    <row r="92" spans="1:15" x14ac:dyDescent="0.3">
      <c r="A92" s="27" t="s">
        <v>1548</v>
      </c>
      <c r="B92" s="27" t="s">
        <v>1464</v>
      </c>
      <c r="C92" s="27"/>
      <c r="D92" s="27" t="s">
        <v>1630</v>
      </c>
      <c r="E92" s="1" t="s">
        <v>1758</v>
      </c>
      <c r="F92" s="3" t="s">
        <v>1553</v>
      </c>
      <c r="G92" s="3" t="s">
        <v>978</v>
      </c>
      <c r="H92" s="3" t="s">
        <v>52</v>
      </c>
      <c r="I92" s="3" t="s">
        <v>52</v>
      </c>
      <c r="J92" s="3" t="s">
        <v>51</v>
      </c>
      <c r="K92" s="3" t="b">
        <v>1</v>
      </c>
      <c r="L92" s="3"/>
      <c r="M92" s="3" t="b">
        <v>1</v>
      </c>
      <c r="N92" s="3" t="b">
        <v>0</v>
      </c>
      <c r="O92" s="3" t="b">
        <v>0</v>
      </c>
    </row>
    <row r="93" spans="1:15" x14ac:dyDescent="0.3">
      <c r="A93" s="27" t="s">
        <v>1548</v>
      </c>
      <c r="B93" s="27" t="s">
        <v>1466</v>
      </c>
      <c r="C93" s="27"/>
      <c r="D93" s="27" t="s">
        <v>1630</v>
      </c>
      <c r="E93" s="1" t="s">
        <v>1758</v>
      </c>
      <c r="F93" s="3" t="s">
        <v>1553</v>
      </c>
      <c r="G93" s="3" t="s">
        <v>978</v>
      </c>
      <c r="H93" s="3" t="s">
        <v>52</v>
      </c>
      <c r="I93" s="3" t="s">
        <v>52</v>
      </c>
      <c r="J93" s="3" t="s">
        <v>51</v>
      </c>
      <c r="K93" s="3" t="b">
        <v>1</v>
      </c>
      <c r="L93" s="3"/>
      <c r="M93" s="3" t="b">
        <v>1</v>
      </c>
      <c r="N93" s="3" t="b">
        <v>0</v>
      </c>
      <c r="O93" s="3" t="b">
        <v>0</v>
      </c>
    </row>
    <row r="94" spans="1:15" x14ac:dyDescent="0.3">
      <c r="A94" s="27" t="s">
        <v>1548</v>
      </c>
      <c r="B94" s="27" t="s">
        <v>1467</v>
      </c>
      <c r="C94" s="27"/>
      <c r="D94" s="27" t="s">
        <v>1630</v>
      </c>
      <c r="E94" s="1" t="s">
        <v>1758</v>
      </c>
      <c r="F94" s="3" t="s">
        <v>1553</v>
      </c>
      <c r="G94" s="3" t="s">
        <v>978</v>
      </c>
      <c r="H94" s="3" t="s">
        <v>52</v>
      </c>
      <c r="I94" s="3" t="s">
        <v>52</v>
      </c>
      <c r="J94" s="3" t="s">
        <v>51</v>
      </c>
      <c r="K94" s="3" t="b">
        <v>1</v>
      </c>
      <c r="L94" s="3"/>
      <c r="M94" s="3" t="b">
        <v>1</v>
      </c>
      <c r="N94" s="3" t="b">
        <v>0</v>
      </c>
      <c r="O94" s="3" t="b">
        <v>0</v>
      </c>
    </row>
    <row r="95" spans="1:15" x14ac:dyDescent="0.3">
      <c r="A95" s="27" t="s">
        <v>1548</v>
      </c>
      <c r="B95" s="27" t="s">
        <v>1468</v>
      </c>
      <c r="C95" s="27"/>
      <c r="D95" s="27" t="s">
        <v>1630</v>
      </c>
      <c r="E95" s="1" t="s">
        <v>1758</v>
      </c>
      <c r="F95" s="3" t="s">
        <v>1553</v>
      </c>
      <c r="G95" s="3" t="s">
        <v>978</v>
      </c>
      <c r="H95" s="3" t="s">
        <v>52</v>
      </c>
      <c r="I95" s="3" t="s">
        <v>52</v>
      </c>
      <c r="J95" s="3" t="s">
        <v>51</v>
      </c>
      <c r="K95" s="3" t="b">
        <v>1</v>
      </c>
      <c r="L95" s="3"/>
      <c r="M95" s="3" t="b">
        <v>1</v>
      </c>
      <c r="N95" s="3" t="b">
        <v>0</v>
      </c>
      <c r="O95" s="3" t="b">
        <v>0</v>
      </c>
    </row>
    <row r="96" spans="1:15" x14ac:dyDescent="0.3">
      <c r="A96" s="27" t="s">
        <v>1548</v>
      </c>
      <c r="B96" s="27" t="s">
        <v>1469</v>
      </c>
      <c r="C96" s="27"/>
      <c r="D96" s="27" t="s">
        <v>1630</v>
      </c>
      <c r="E96" s="1" t="s">
        <v>1758</v>
      </c>
      <c r="F96" s="3" t="s">
        <v>1553</v>
      </c>
      <c r="G96" s="3" t="s">
        <v>978</v>
      </c>
      <c r="H96" s="3" t="s">
        <v>52</v>
      </c>
      <c r="I96" s="3" t="s">
        <v>52</v>
      </c>
      <c r="J96" s="3" t="s">
        <v>51</v>
      </c>
      <c r="K96" s="3" t="b">
        <v>1</v>
      </c>
      <c r="L96" s="3"/>
      <c r="M96" s="3" t="b">
        <v>1</v>
      </c>
      <c r="N96" s="3" t="b">
        <v>0</v>
      </c>
      <c r="O96" s="3" t="b">
        <v>0</v>
      </c>
    </row>
    <row r="97" spans="1:15" x14ac:dyDescent="0.3">
      <c r="A97" s="27" t="s">
        <v>1548</v>
      </c>
      <c r="B97" s="27" t="s">
        <v>1470</v>
      </c>
      <c r="C97" s="27"/>
      <c r="D97" s="27" t="s">
        <v>1630</v>
      </c>
      <c r="E97" s="1" t="s">
        <v>1758</v>
      </c>
      <c r="F97" s="3" t="s">
        <v>1553</v>
      </c>
      <c r="G97" s="3" t="s">
        <v>978</v>
      </c>
      <c r="H97" s="3" t="s">
        <v>52</v>
      </c>
      <c r="I97" s="3" t="s">
        <v>52</v>
      </c>
      <c r="J97" s="3" t="s">
        <v>51</v>
      </c>
      <c r="K97" s="3" t="b">
        <v>1</v>
      </c>
      <c r="L97" s="3"/>
      <c r="M97" s="3" t="b">
        <v>1</v>
      </c>
      <c r="N97" s="3" t="b">
        <v>0</v>
      </c>
      <c r="O97" s="3" t="b">
        <v>0</v>
      </c>
    </row>
    <row r="98" spans="1:15" x14ac:dyDescent="0.3">
      <c r="A98" s="27" t="s">
        <v>1548</v>
      </c>
      <c r="B98" s="27" t="s">
        <v>1934</v>
      </c>
      <c r="C98" s="27"/>
      <c r="D98" s="27" t="s">
        <v>1630</v>
      </c>
      <c r="E98" s="12" t="s">
        <v>1758</v>
      </c>
      <c r="F98" s="3" t="s">
        <v>1553</v>
      </c>
      <c r="G98" s="3" t="s">
        <v>978</v>
      </c>
      <c r="H98" s="3" t="s">
        <v>52</v>
      </c>
      <c r="I98" s="3" t="s">
        <v>52</v>
      </c>
      <c r="J98" s="3" t="s">
        <v>51</v>
      </c>
      <c r="K98" s="3" t="b">
        <v>1</v>
      </c>
      <c r="L98" s="3"/>
      <c r="M98" s="3" t="b">
        <v>1</v>
      </c>
      <c r="N98" s="3" t="b">
        <v>0</v>
      </c>
      <c r="O98" s="3" t="b">
        <v>0</v>
      </c>
    </row>
    <row r="99" spans="1:15" x14ac:dyDescent="0.3">
      <c r="A99" s="27" t="s">
        <v>1548</v>
      </c>
      <c r="B99" s="27" t="s">
        <v>1935</v>
      </c>
      <c r="C99" s="27"/>
      <c r="D99" s="27" t="s">
        <v>1630</v>
      </c>
      <c r="E99" s="12" t="s">
        <v>1758</v>
      </c>
      <c r="F99" s="3" t="s">
        <v>1553</v>
      </c>
      <c r="G99" s="3" t="s">
        <v>978</v>
      </c>
      <c r="H99" s="3" t="s">
        <v>52</v>
      </c>
      <c r="I99" s="3" t="s">
        <v>52</v>
      </c>
      <c r="J99" s="3" t="s">
        <v>51</v>
      </c>
      <c r="K99" s="3" t="b">
        <v>1</v>
      </c>
      <c r="L99" s="3"/>
      <c r="M99" s="3" t="b">
        <v>1</v>
      </c>
      <c r="N99" s="3" t="b">
        <v>0</v>
      </c>
      <c r="O99" s="3" t="b">
        <v>0</v>
      </c>
    </row>
    <row r="100" spans="1:15" x14ac:dyDescent="0.3">
      <c r="A100" s="27" t="s">
        <v>1548</v>
      </c>
      <c r="B100" s="27" t="s">
        <v>1936</v>
      </c>
      <c r="C100" s="27"/>
      <c r="D100" s="27" t="s">
        <v>1630</v>
      </c>
      <c r="E100" s="12" t="s">
        <v>1758</v>
      </c>
      <c r="F100" s="3" t="s">
        <v>1553</v>
      </c>
      <c r="G100" s="3" t="s">
        <v>978</v>
      </c>
      <c r="H100" s="3" t="s">
        <v>52</v>
      </c>
      <c r="I100" s="3" t="s">
        <v>52</v>
      </c>
      <c r="J100" s="3" t="s">
        <v>51</v>
      </c>
      <c r="K100" s="3" t="b">
        <v>1</v>
      </c>
      <c r="L100" s="3"/>
      <c r="M100" s="3" t="b">
        <v>1</v>
      </c>
      <c r="N100" s="3" t="b">
        <v>0</v>
      </c>
      <c r="O100" s="3" t="b">
        <v>0</v>
      </c>
    </row>
    <row r="101" spans="1:15" x14ac:dyDescent="0.3">
      <c r="A101" s="27" t="s">
        <v>1548</v>
      </c>
      <c r="B101" s="27" t="s">
        <v>1937</v>
      </c>
      <c r="C101" s="27"/>
      <c r="D101" s="27" t="s">
        <v>1630</v>
      </c>
      <c r="E101" s="12" t="s">
        <v>1758</v>
      </c>
      <c r="F101" s="3" t="s">
        <v>1553</v>
      </c>
      <c r="G101" s="3" t="s">
        <v>978</v>
      </c>
      <c r="H101" s="3" t="s">
        <v>52</v>
      </c>
      <c r="I101" s="3" t="s">
        <v>52</v>
      </c>
      <c r="J101" s="3" t="s">
        <v>51</v>
      </c>
      <c r="K101" s="3" t="b">
        <v>1</v>
      </c>
      <c r="L101" s="3"/>
      <c r="M101" s="3" t="b">
        <v>1</v>
      </c>
      <c r="N101" s="3" t="b">
        <v>0</v>
      </c>
      <c r="O101" s="3" t="b">
        <v>0</v>
      </c>
    </row>
    <row r="102" spans="1:15" x14ac:dyDescent="0.3">
      <c r="A102" s="27" t="s">
        <v>1548</v>
      </c>
      <c r="B102" s="27" t="s">
        <v>1938</v>
      </c>
      <c r="C102" s="27"/>
      <c r="D102" s="27" t="s">
        <v>1630</v>
      </c>
      <c r="E102" s="12" t="s">
        <v>1758</v>
      </c>
      <c r="F102" s="3" t="s">
        <v>1553</v>
      </c>
      <c r="G102" s="3" t="s">
        <v>978</v>
      </c>
      <c r="H102" s="3" t="s">
        <v>52</v>
      </c>
      <c r="I102" s="3" t="s">
        <v>52</v>
      </c>
      <c r="J102" s="3" t="s">
        <v>51</v>
      </c>
      <c r="K102" s="3" t="b">
        <v>1</v>
      </c>
      <c r="L102" s="3"/>
      <c r="M102" s="3" t="b">
        <v>1</v>
      </c>
      <c r="N102" s="3" t="b">
        <v>0</v>
      </c>
      <c r="O102" s="3" t="b">
        <v>0</v>
      </c>
    </row>
    <row r="103" spans="1:15" x14ac:dyDescent="0.3">
      <c r="A103" s="27" t="s">
        <v>1548</v>
      </c>
      <c r="B103" s="27" t="s">
        <v>1939</v>
      </c>
      <c r="C103" s="27"/>
      <c r="D103" s="27" t="s">
        <v>1630</v>
      </c>
      <c r="E103" s="12" t="s">
        <v>1758</v>
      </c>
      <c r="F103" s="3" t="s">
        <v>1553</v>
      </c>
      <c r="G103" s="3" t="s">
        <v>978</v>
      </c>
      <c r="H103" s="3" t="s">
        <v>52</v>
      </c>
      <c r="I103" s="3" t="s">
        <v>52</v>
      </c>
      <c r="J103" s="3" t="s">
        <v>51</v>
      </c>
      <c r="K103" s="3" t="b">
        <v>1</v>
      </c>
      <c r="L103" s="3"/>
      <c r="M103" s="3" t="b">
        <v>1</v>
      </c>
      <c r="N103" s="3" t="b">
        <v>0</v>
      </c>
      <c r="O103" s="3" t="b">
        <v>0</v>
      </c>
    </row>
    <row r="104" spans="1:15" x14ac:dyDescent="0.3">
      <c r="A104" s="27" t="s">
        <v>1548</v>
      </c>
      <c r="B104" s="27" t="s">
        <v>1464</v>
      </c>
      <c r="C104" s="27"/>
      <c r="D104" s="27" t="s">
        <v>1481</v>
      </c>
      <c r="E104" s="1" t="s">
        <v>1759</v>
      </c>
      <c r="F104" s="3" t="s">
        <v>1551</v>
      </c>
      <c r="G104" s="3" t="s">
        <v>978</v>
      </c>
      <c r="H104" s="3" t="s">
        <v>52</v>
      </c>
      <c r="I104" s="3" t="s">
        <v>52</v>
      </c>
      <c r="J104" s="3" t="s">
        <v>51</v>
      </c>
      <c r="K104" s="3" t="b">
        <v>1</v>
      </c>
      <c r="L104" s="3"/>
      <c r="M104" s="3" t="b">
        <v>1</v>
      </c>
      <c r="N104" s="3" t="b">
        <v>0</v>
      </c>
      <c r="O104" s="3" t="b">
        <v>0</v>
      </c>
    </row>
    <row r="105" spans="1:15" x14ac:dyDescent="0.3">
      <c r="A105" s="27" t="s">
        <v>1548</v>
      </c>
      <c r="B105" s="27" t="s">
        <v>1466</v>
      </c>
      <c r="C105" s="27"/>
      <c r="D105" s="27" t="s">
        <v>1481</v>
      </c>
      <c r="E105" s="1" t="s">
        <v>1759</v>
      </c>
      <c r="F105" s="3" t="s">
        <v>1551</v>
      </c>
      <c r="G105" s="3" t="s">
        <v>978</v>
      </c>
      <c r="H105" s="3" t="s">
        <v>52</v>
      </c>
      <c r="I105" s="3" t="s">
        <v>52</v>
      </c>
      <c r="J105" s="3" t="s">
        <v>51</v>
      </c>
      <c r="K105" s="3" t="b">
        <v>1</v>
      </c>
      <c r="L105" s="3"/>
      <c r="M105" s="3" t="b">
        <v>1</v>
      </c>
      <c r="N105" s="3" t="b">
        <v>0</v>
      </c>
      <c r="O105" s="3" t="b">
        <v>0</v>
      </c>
    </row>
    <row r="106" spans="1:15" x14ac:dyDescent="0.3">
      <c r="A106" s="27" t="s">
        <v>1548</v>
      </c>
      <c r="B106" s="27" t="s">
        <v>1467</v>
      </c>
      <c r="C106" s="27"/>
      <c r="D106" s="27" t="s">
        <v>1481</v>
      </c>
      <c r="E106" s="1" t="s">
        <v>1759</v>
      </c>
      <c r="F106" s="3" t="s">
        <v>1551</v>
      </c>
      <c r="G106" s="3" t="s">
        <v>978</v>
      </c>
      <c r="H106" s="3" t="s">
        <v>52</v>
      </c>
      <c r="I106" s="3" t="s">
        <v>52</v>
      </c>
      <c r="J106" s="3" t="s">
        <v>51</v>
      </c>
      <c r="K106" s="3" t="b">
        <v>1</v>
      </c>
      <c r="L106" s="3"/>
      <c r="M106" s="3" t="b">
        <v>1</v>
      </c>
      <c r="N106" s="3" t="b">
        <v>0</v>
      </c>
      <c r="O106" s="3" t="b">
        <v>0</v>
      </c>
    </row>
    <row r="107" spans="1:15" x14ac:dyDescent="0.3">
      <c r="A107" s="27" t="s">
        <v>1548</v>
      </c>
      <c r="B107" s="27" t="s">
        <v>1468</v>
      </c>
      <c r="C107" s="27"/>
      <c r="D107" s="27" t="s">
        <v>1481</v>
      </c>
      <c r="E107" s="1" t="s">
        <v>1759</v>
      </c>
      <c r="F107" s="3" t="s">
        <v>1551</v>
      </c>
      <c r="G107" s="3" t="s">
        <v>978</v>
      </c>
      <c r="H107" s="3" t="s">
        <v>52</v>
      </c>
      <c r="I107" s="3" t="s">
        <v>52</v>
      </c>
      <c r="J107" s="3" t="s">
        <v>51</v>
      </c>
      <c r="K107" s="3" t="b">
        <v>1</v>
      </c>
      <c r="L107" s="3"/>
      <c r="M107" s="3" t="b">
        <v>1</v>
      </c>
      <c r="N107" s="3" t="b">
        <v>0</v>
      </c>
      <c r="O107" s="3" t="b">
        <v>0</v>
      </c>
    </row>
    <row r="108" spans="1:15" x14ac:dyDescent="0.3">
      <c r="A108" s="27" t="s">
        <v>1548</v>
      </c>
      <c r="B108" s="27" t="s">
        <v>1469</v>
      </c>
      <c r="C108" s="27"/>
      <c r="D108" s="27" t="s">
        <v>1481</v>
      </c>
      <c r="E108" s="1" t="s">
        <v>1759</v>
      </c>
      <c r="F108" s="3" t="s">
        <v>1551</v>
      </c>
      <c r="G108" s="3" t="s">
        <v>978</v>
      </c>
      <c r="H108" s="3" t="s">
        <v>52</v>
      </c>
      <c r="I108" s="3" t="s">
        <v>52</v>
      </c>
      <c r="J108" s="3" t="s">
        <v>51</v>
      </c>
      <c r="K108" s="3" t="b">
        <v>1</v>
      </c>
      <c r="L108" s="3"/>
      <c r="M108" s="3" t="b">
        <v>1</v>
      </c>
      <c r="N108" s="3" t="b">
        <v>0</v>
      </c>
      <c r="O108" s="3" t="b">
        <v>0</v>
      </c>
    </row>
    <row r="109" spans="1:15" x14ac:dyDescent="0.3">
      <c r="A109" s="27" t="s">
        <v>1548</v>
      </c>
      <c r="B109" s="27" t="s">
        <v>1470</v>
      </c>
      <c r="C109" s="27"/>
      <c r="D109" s="27" t="s">
        <v>1481</v>
      </c>
      <c r="E109" s="1" t="s">
        <v>1759</v>
      </c>
      <c r="F109" s="3" t="s">
        <v>1551</v>
      </c>
      <c r="G109" s="3" t="s">
        <v>978</v>
      </c>
      <c r="H109" s="3" t="s">
        <v>52</v>
      </c>
      <c r="I109" s="3" t="s">
        <v>52</v>
      </c>
      <c r="J109" s="3" t="s">
        <v>51</v>
      </c>
      <c r="K109" s="3" t="b">
        <v>1</v>
      </c>
      <c r="L109" s="3"/>
      <c r="M109" s="3" t="b">
        <v>1</v>
      </c>
      <c r="N109" s="3" t="b">
        <v>0</v>
      </c>
      <c r="O109" s="3" t="b">
        <v>0</v>
      </c>
    </row>
    <row r="110" spans="1:15" x14ac:dyDescent="0.3">
      <c r="A110" s="27" t="s">
        <v>1548</v>
      </c>
      <c r="B110" s="27" t="s">
        <v>1934</v>
      </c>
      <c r="C110" s="27"/>
      <c r="D110" s="27" t="s">
        <v>1481</v>
      </c>
      <c r="E110" s="12" t="s">
        <v>1759</v>
      </c>
      <c r="F110" s="3" t="s">
        <v>1551</v>
      </c>
      <c r="G110" s="3" t="s">
        <v>978</v>
      </c>
      <c r="H110" s="3" t="s">
        <v>52</v>
      </c>
      <c r="I110" s="3" t="s">
        <v>52</v>
      </c>
      <c r="J110" s="3" t="s">
        <v>51</v>
      </c>
      <c r="K110" s="3" t="b">
        <v>1</v>
      </c>
      <c r="L110" s="3"/>
      <c r="M110" s="3" t="b">
        <v>1</v>
      </c>
      <c r="N110" s="3" t="b">
        <v>0</v>
      </c>
      <c r="O110" s="3" t="b">
        <v>0</v>
      </c>
    </row>
    <row r="111" spans="1:15" x14ac:dyDescent="0.3">
      <c r="A111" s="27" t="s">
        <v>1548</v>
      </c>
      <c r="B111" s="27" t="s">
        <v>1935</v>
      </c>
      <c r="C111" s="27"/>
      <c r="D111" s="27" t="s">
        <v>1481</v>
      </c>
      <c r="E111" s="12" t="s">
        <v>1759</v>
      </c>
      <c r="F111" s="3" t="s">
        <v>1551</v>
      </c>
      <c r="G111" s="3" t="s">
        <v>978</v>
      </c>
      <c r="H111" s="3" t="s">
        <v>52</v>
      </c>
      <c r="I111" s="3" t="s">
        <v>52</v>
      </c>
      <c r="J111" s="3" t="s">
        <v>51</v>
      </c>
      <c r="K111" s="3" t="b">
        <v>1</v>
      </c>
      <c r="L111" s="3"/>
      <c r="M111" s="3" t="b">
        <v>1</v>
      </c>
      <c r="N111" s="3" t="b">
        <v>0</v>
      </c>
      <c r="O111" s="3" t="b">
        <v>0</v>
      </c>
    </row>
    <row r="112" spans="1:15" x14ac:dyDescent="0.3">
      <c r="A112" s="27" t="s">
        <v>1548</v>
      </c>
      <c r="B112" s="27" t="s">
        <v>1936</v>
      </c>
      <c r="C112" s="27"/>
      <c r="D112" s="27" t="s">
        <v>1481</v>
      </c>
      <c r="E112" s="12" t="s">
        <v>1759</v>
      </c>
      <c r="F112" s="3" t="s">
        <v>1551</v>
      </c>
      <c r="G112" s="3" t="s">
        <v>978</v>
      </c>
      <c r="H112" s="3" t="s">
        <v>52</v>
      </c>
      <c r="I112" s="3" t="s">
        <v>52</v>
      </c>
      <c r="J112" s="3" t="s">
        <v>51</v>
      </c>
      <c r="K112" s="3" t="b">
        <v>1</v>
      </c>
      <c r="L112" s="3"/>
      <c r="M112" s="3" t="b">
        <v>1</v>
      </c>
      <c r="N112" s="3" t="b">
        <v>0</v>
      </c>
      <c r="O112" s="3" t="b">
        <v>0</v>
      </c>
    </row>
    <row r="113" spans="1:15" x14ac:dyDescent="0.3">
      <c r="A113" s="27" t="s">
        <v>1548</v>
      </c>
      <c r="B113" s="27" t="s">
        <v>1937</v>
      </c>
      <c r="C113" s="27"/>
      <c r="D113" s="27" t="s">
        <v>1481</v>
      </c>
      <c r="E113" s="12" t="s">
        <v>1759</v>
      </c>
      <c r="F113" s="3" t="s">
        <v>1551</v>
      </c>
      <c r="G113" s="3" t="s">
        <v>978</v>
      </c>
      <c r="H113" s="3" t="s">
        <v>52</v>
      </c>
      <c r="I113" s="3" t="s">
        <v>52</v>
      </c>
      <c r="J113" s="3" t="s">
        <v>51</v>
      </c>
      <c r="K113" s="3" t="b">
        <v>1</v>
      </c>
      <c r="L113" s="3"/>
      <c r="M113" s="3" t="b">
        <v>1</v>
      </c>
      <c r="N113" s="3" t="b">
        <v>0</v>
      </c>
      <c r="O113" s="3" t="b">
        <v>0</v>
      </c>
    </row>
    <row r="114" spans="1:15" x14ac:dyDescent="0.3">
      <c r="A114" s="27" t="s">
        <v>1548</v>
      </c>
      <c r="B114" s="27" t="s">
        <v>1938</v>
      </c>
      <c r="C114" s="27"/>
      <c r="D114" s="27" t="s">
        <v>1481</v>
      </c>
      <c r="E114" s="12" t="s">
        <v>1759</v>
      </c>
      <c r="F114" s="3" t="s">
        <v>1551</v>
      </c>
      <c r="G114" s="3" t="s">
        <v>978</v>
      </c>
      <c r="H114" s="3" t="s">
        <v>52</v>
      </c>
      <c r="I114" s="3" t="s">
        <v>52</v>
      </c>
      <c r="J114" s="3" t="s">
        <v>51</v>
      </c>
      <c r="K114" s="3" t="b">
        <v>1</v>
      </c>
      <c r="L114" s="3"/>
      <c r="M114" s="3" t="b">
        <v>1</v>
      </c>
      <c r="N114" s="3" t="b">
        <v>0</v>
      </c>
      <c r="O114" s="3" t="b">
        <v>0</v>
      </c>
    </row>
    <row r="115" spans="1:15" x14ac:dyDescent="0.3">
      <c r="A115" s="27" t="s">
        <v>1548</v>
      </c>
      <c r="B115" s="27" t="s">
        <v>1939</v>
      </c>
      <c r="C115" s="27"/>
      <c r="D115" s="27" t="s">
        <v>1481</v>
      </c>
      <c r="E115" s="12" t="s">
        <v>1759</v>
      </c>
      <c r="F115" s="3" t="s">
        <v>1551</v>
      </c>
      <c r="G115" s="3" t="s">
        <v>978</v>
      </c>
      <c r="H115" s="3" t="s">
        <v>52</v>
      </c>
      <c r="I115" s="3" t="s">
        <v>52</v>
      </c>
      <c r="J115" s="3" t="s">
        <v>51</v>
      </c>
      <c r="K115" s="3" t="b">
        <v>1</v>
      </c>
      <c r="L115" s="3"/>
      <c r="M115" s="3" t="b">
        <v>1</v>
      </c>
      <c r="N115" s="3" t="b">
        <v>0</v>
      </c>
      <c r="O115" s="3" t="b">
        <v>0</v>
      </c>
    </row>
    <row r="116" spans="1:15" x14ac:dyDescent="0.3">
      <c r="A116" s="27" t="s">
        <v>1548</v>
      </c>
      <c r="B116" s="27" t="s">
        <v>1464</v>
      </c>
      <c r="C116" s="27"/>
      <c r="D116" s="27" t="s">
        <v>1594</v>
      </c>
      <c r="E116" s="21" t="s">
        <v>1760</v>
      </c>
      <c r="F116" s="3" t="s">
        <v>1552</v>
      </c>
      <c r="G116" s="3" t="s">
        <v>978</v>
      </c>
      <c r="H116" s="3" t="s">
        <v>52</v>
      </c>
      <c r="I116" s="3" t="s">
        <v>52</v>
      </c>
      <c r="J116" s="3" t="s">
        <v>51</v>
      </c>
      <c r="K116" s="3" t="b">
        <v>1</v>
      </c>
      <c r="L116" s="3"/>
      <c r="M116" s="3" t="b">
        <v>1</v>
      </c>
      <c r="N116" s="3" t="b">
        <v>0</v>
      </c>
      <c r="O116" s="3" t="b">
        <v>0</v>
      </c>
    </row>
    <row r="117" spans="1:15" x14ac:dyDescent="0.3">
      <c r="A117" s="27" t="s">
        <v>1548</v>
      </c>
      <c r="B117" s="27" t="s">
        <v>1466</v>
      </c>
      <c r="C117" s="27"/>
      <c r="D117" s="27" t="s">
        <v>1594</v>
      </c>
      <c r="E117" s="21" t="s">
        <v>1760</v>
      </c>
      <c r="F117" s="3" t="s">
        <v>1552</v>
      </c>
      <c r="G117" s="3" t="s">
        <v>978</v>
      </c>
      <c r="H117" s="3" t="s">
        <v>52</v>
      </c>
      <c r="I117" s="3" t="s">
        <v>52</v>
      </c>
      <c r="J117" s="3" t="s">
        <v>51</v>
      </c>
      <c r="K117" s="3" t="b">
        <v>1</v>
      </c>
      <c r="L117" s="3"/>
      <c r="M117" s="3" t="b">
        <v>1</v>
      </c>
      <c r="N117" s="3" t="b">
        <v>0</v>
      </c>
      <c r="O117" s="3" t="b">
        <v>0</v>
      </c>
    </row>
    <row r="118" spans="1:15" x14ac:dyDescent="0.3">
      <c r="A118" s="27" t="s">
        <v>1548</v>
      </c>
      <c r="B118" s="27" t="s">
        <v>1467</v>
      </c>
      <c r="C118" s="27"/>
      <c r="D118" s="27" t="s">
        <v>1594</v>
      </c>
      <c r="E118" s="21" t="s">
        <v>1760</v>
      </c>
      <c r="F118" s="3" t="s">
        <v>1552</v>
      </c>
      <c r="G118" s="3" t="s">
        <v>978</v>
      </c>
      <c r="H118" s="3" t="s">
        <v>52</v>
      </c>
      <c r="I118" s="3" t="s">
        <v>52</v>
      </c>
      <c r="J118" s="3" t="s">
        <v>51</v>
      </c>
      <c r="K118" s="3" t="b">
        <v>1</v>
      </c>
      <c r="L118" s="3"/>
      <c r="M118" s="3" t="b">
        <v>1</v>
      </c>
      <c r="N118" s="3" t="b">
        <v>0</v>
      </c>
      <c r="O118" s="3" t="b">
        <v>0</v>
      </c>
    </row>
    <row r="119" spans="1:15" x14ac:dyDescent="0.3">
      <c r="A119" s="27" t="s">
        <v>1548</v>
      </c>
      <c r="B119" s="27" t="s">
        <v>1468</v>
      </c>
      <c r="C119" s="27"/>
      <c r="D119" s="27" t="s">
        <v>1594</v>
      </c>
      <c r="E119" s="21" t="s">
        <v>1760</v>
      </c>
      <c r="F119" s="3" t="s">
        <v>1552</v>
      </c>
      <c r="G119" s="3" t="s">
        <v>978</v>
      </c>
      <c r="H119" s="3" t="s">
        <v>52</v>
      </c>
      <c r="I119" s="3" t="s">
        <v>52</v>
      </c>
      <c r="J119" s="3" t="s">
        <v>51</v>
      </c>
      <c r="K119" s="3" t="b">
        <v>1</v>
      </c>
      <c r="L119" s="3"/>
      <c r="M119" s="3" t="b">
        <v>1</v>
      </c>
      <c r="N119" s="3" t="b">
        <v>0</v>
      </c>
      <c r="O119" s="3" t="b">
        <v>0</v>
      </c>
    </row>
    <row r="120" spans="1:15" x14ac:dyDescent="0.3">
      <c r="A120" s="27" t="s">
        <v>1548</v>
      </c>
      <c r="B120" s="27" t="s">
        <v>1469</v>
      </c>
      <c r="C120" s="27"/>
      <c r="D120" s="27" t="s">
        <v>1594</v>
      </c>
      <c r="E120" s="21" t="s">
        <v>1760</v>
      </c>
      <c r="F120" s="3" t="s">
        <v>1552</v>
      </c>
      <c r="G120" s="3" t="s">
        <v>978</v>
      </c>
      <c r="H120" s="3" t="s">
        <v>52</v>
      </c>
      <c r="I120" s="3" t="s">
        <v>52</v>
      </c>
      <c r="J120" s="3" t="s">
        <v>51</v>
      </c>
      <c r="K120" s="3" t="b">
        <v>1</v>
      </c>
      <c r="L120" s="3"/>
      <c r="M120" s="3" t="b">
        <v>1</v>
      </c>
      <c r="N120" s="3" t="b">
        <v>0</v>
      </c>
      <c r="O120" s="3" t="b">
        <v>0</v>
      </c>
    </row>
    <row r="121" spans="1:15" x14ac:dyDescent="0.3">
      <c r="A121" s="27" t="s">
        <v>1548</v>
      </c>
      <c r="B121" s="27" t="s">
        <v>1470</v>
      </c>
      <c r="C121" s="27"/>
      <c r="D121" s="27" t="s">
        <v>1594</v>
      </c>
      <c r="E121" s="21" t="s">
        <v>1760</v>
      </c>
      <c r="F121" s="3" t="s">
        <v>1552</v>
      </c>
      <c r="G121" s="3" t="s">
        <v>978</v>
      </c>
      <c r="H121" s="3" t="s">
        <v>52</v>
      </c>
      <c r="I121" s="3" t="s">
        <v>52</v>
      </c>
      <c r="J121" s="3" t="s">
        <v>51</v>
      </c>
      <c r="K121" s="3" t="b">
        <v>1</v>
      </c>
      <c r="L121" s="3"/>
      <c r="M121" s="3" t="b">
        <v>1</v>
      </c>
      <c r="N121" s="3" t="b">
        <v>0</v>
      </c>
      <c r="O121" s="3" t="b">
        <v>0</v>
      </c>
    </row>
    <row r="122" spans="1:15" x14ac:dyDescent="0.3">
      <c r="A122" s="27" t="s">
        <v>1548</v>
      </c>
      <c r="B122" s="27" t="s">
        <v>1934</v>
      </c>
      <c r="C122" s="27"/>
      <c r="D122" s="27" t="s">
        <v>1594</v>
      </c>
      <c r="E122" s="12" t="s">
        <v>1760</v>
      </c>
      <c r="F122" s="3" t="s">
        <v>1552</v>
      </c>
      <c r="G122" s="3" t="s">
        <v>978</v>
      </c>
      <c r="H122" s="3" t="s">
        <v>52</v>
      </c>
      <c r="I122" s="3" t="s">
        <v>52</v>
      </c>
      <c r="J122" s="3" t="s">
        <v>51</v>
      </c>
      <c r="K122" s="3" t="b">
        <v>1</v>
      </c>
      <c r="L122" s="3"/>
      <c r="M122" s="3" t="b">
        <v>1</v>
      </c>
      <c r="N122" s="3" t="b">
        <v>0</v>
      </c>
      <c r="O122" s="3" t="b">
        <v>0</v>
      </c>
    </row>
    <row r="123" spans="1:15" x14ac:dyDescent="0.3">
      <c r="A123" s="27" t="s">
        <v>1548</v>
      </c>
      <c r="B123" s="27" t="s">
        <v>1935</v>
      </c>
      <c r="C123" s="27"/>
      <c r="D123" s="27" t="s">
        <v>1594</v>
      </c>
      <c r="E123" s="12" t="s">
        <v>1760</v>
      </c>
      <c r="F123" s="3" t="s">
        <v>1552</v>
      </c>
      <c r="G123" s="3" t="s">
        <v>978</v>
      </c>
      <c r="H123" s="3" t="s">
        <v>52</v>
      </c>
      <c r="I123" s="3" t="s">
        <v>52</v>
      </c>
      <c r="J123" s="3" t="s">
        <v>51</v>
      </c>
      <c r="K123" s="3" t="b">
        <v>1</v>
      </c>
      <c r="L123" s="3"/>
      <c r="M123" s="3" t="b">
        <v>1</v>
      </c>
      <c r="N123" s="3" t="b">
        <v>0</v>
      </c>
      <c r="O123" s="3" t="b">
        <v>0</v>
      </c>
    </row>
    <row r="124" spans="1:15" x14ac:dyDescent="0.3">
      <c r="A124" s="27" t="s">
        <v>1548</v>
      </c>
      <c r="B124" s="27" t="s">
        <v>1936</v>
      </c>
      <c r="C124" s="27"/>
      <c r="D124" s="27" t="s">
        <v>1594</v>
      </c>
      <c r="E124" s="12" t="s">
        <v>1760</v>
      </c>
      <c r="F124" s="3" t="s">
        <v>1552</v>
      </c>
      <c r="G124" s="3" t="s">
        <v>978</v>
      </c>
      <c r="H124" s="3" t="s">
        <v>52</v>
      </c>
      <c r="I124" s="3" t="s">
        <v>52</v>
      </c>
      <c r="J124" s="3" t="s">
        <v>51</v>
      </c>
      <c r="K124" s="3" t="b">
        <v>1</v>
      </c>
      <c r="L124" s="3"/>
      <c r="M124" s="3" t="b">
        <v>1</v>
      </c>
      <c r="N124" s="3" t="b">
        <v>0</v>
      </c>
      <c r="O124" s="3" t="b">
        <v>0</v>
      </c>
    </row>
    <row r="125" spans="1:15" x14ac:dyDescent="0.3">
      <c r="A125" s="27" t="s">
        <v>1548</v>
      </c>
      <c r="B125" s="27" t="s">
        <v>1937</v>
      </c>
      <c r="C125" s="27"/>
      <c r="D125" s="27" t="s">
        <v>1594</v>
      </c>
      <c r="E125" s="12" t="s">
        <v>1760</v>
      </c>
      <c r="F125" s="3" t="s">
        <v>1552</v>
      </c>
      <c r="G125" s="3" t="s">
        <v>978</v>
      </c>
      <c r="H125" s="3" t="s">
        <v>52</v>
      </c>
      <c r="I125" s="3" t="s">
        <v>52</v>
      </c>
      <c r="J125" s="3" t="s">
        <v>51</v>
      </c>
      <c r="K125" s="3" t="b">
        <v>1</v>
      </c>
      <c r="L125" s="3"/>
      <c r="M125" s="3" t="b">
        <v>1</v>
      </c>
      <c r="N125" s="3" t="b">
        <v>0</v>
      </c>
      <c r="O125" s="3" t="b">
        <v>0</v>
      </c>
    </row>
    <row r="126" spans="1:15" x14ac:dyDescent="0.3">
      <c r="A126" s="27" t="s">
        <v>1548</v>
      </c>
      <c r="B126" s="27" t="s">
        <v>1938</v>
      </c>
      <c r="C126" s="27"/>
      <c r="D126" s="27" t="s">
        <v>1594</v>
      </c>
      <c r="E126" s="12" t="s">
        <v>1760</v>
      </c>
      <c r="F126" s="3" t="s">
        <v>1552</v>
      </c>
      <c r="G126" s="3" t="s">
        <v>978</v>
      </c>
      <c r="H126" s="3" t="s">
        <v>52</v>
      </c>
      <c r="I126" s="3" t="s">
        <v>52</v>
      </c>
      <c r="J126" s="3" t="s">
        <v>51</v>
      </c>
      <c r="K126" s="3" t="b">
        <v>1</v>
      </c>
      <c r="L126" s="3"/>
      <c r="M126" s="3" t="b">
        <v>1</v>
      </c>
      <c r="N126" s="3" t="b">
        <v>0</v>
      </c>
      <c r="O126" s="3" t="b">
        <v>0</v>
      </c>
    </row>
    <row r="127" spans="1:15" x14ac:dyDescent="0.3">
      <c r="A127" s="27" t="s">
        <v>1548</v>
      </c>
      <c r="B127" s="27" t="s">
        <v>1939</v>
      </c>
      <c r="C127" s="27"/>
      <c r="D127" s="27" t="s">
        <v>1594</v>
      </c>
      <c r="E127" s="12" t="s">
        <v>1760</v>
      </c>
      <c r="F127" s="3" t="s">
        <v>1552</v>
      </c>
      <c r="G127" s="3" t="s">
        <v>978</v>
      </c>
      <c r="H127" s="3" t="s">
        <v>52</v>
      </c>
      <c r="I127" s="3" t="s">
        <v>52</v>
      </c>
      <c r="J127" s="3" t="s">
        <v>51</v>
      </c>
      <c r="K127" s="3" t="b">
        <v>1</v>
      </c>
      <c r="L127" s="3"/>
      <c r="M127" s="3" t="b">
        <v>1</v>
      </c>
      <c r="N127" s="3" t="b">
        <v>0</v>
      </c>
      <c r="O127" s="3" t="b">
        <v>0</v>
      </c>
    </row>
    <row r="128" spans="1:15" x14ac:dyDescent="0.3">
      <c r="A128" s="27" t="s">
        <v>1548</v>
      </c>
      <c r="B128" s="27"/>
      <c r="C128" s="27"/>
      <c r="D128" s="27"/>
      <c r="E128" s="12" t="s">
        <v>1517</v>
      </c>
      <c r="F128" s="3" t="s">
        <v>1518</v>
      </c>
      <c r="G128" s="3" t="s">
        <v>978</v>
      </c>
      <c r="H128" s="3" t="s">
        <v>52</v>
      </c>
      <c r="I128" s="3" t="s">
        <v>52</v>
      </c>
      <c r="J128" s="3" t="s">
        <v>51</v>
      </c>
      <c r="K128" s="3" t="b">
        <v>1</v>
      </c>
      <c r="L128" s="3"/>
      <c r="M128" s="3" t="b">
        <v>1</v>
      </c>
      <c r="N128" s="3" t="b">
        <v>0</v>
      </c>
      <c r="O128" s="3" t="b">
        <v>0</v>
      </c>
    </row>
    <row r="129" spans="1:15" x14ac:dyDescent="0.3">
      <c r="A129" s="27" t="s">
        <v>1548</v>
      </c>
      <c r="B129" s="27"/>
      <c r="C129" s="27"/>
      <c r="D129" s="27"/>
      <c r="E129" s="12" t="s">
        <v>1001</v>
      </c>
      <c r="F129" s="3" t="s">
        <v>1002</v>
      </c>
      <c r="G129" s="3" t="s">
        <v>978</v>
      </c>
      <c r="H129" s="3" t="s">
        <v>52</v>
      </c>
      <c r="I129" s="3" t="s">
        <v>52</v>
      </c>
      <c r="J129" s="3" t="s">
        <v>51</v>
      </c>
      <c r="K129" s="3" t="b">
        <v>1</v>
      </c>
      <c r="L129" s="3"/>
      <c r="M129" s="3" t="b">
        <v>1</v>
      </c>
      <c r="N129" s="3" t="b">
        <v>0</v>
      </c>
      <c r="O129" s="3" t="b">
        <v>0</v>
      </c>
    </row>
    <row r="130" spans="1:15" x14ac:dyDescent="0.3">
      <c r="A130" s="27" t="s">
        <v>1548</v>
      </c>
      <c r="B130" s="27"/>
      <c r="C130" s="27"/>
      <c r="D130" s="27"/>
      <c r="E130" s="12" t="s">
        <v>1003</v>
      </c>
      <c r="F130" s="3" t="s">
        <v>1004</v>
      </c>
      <c r="G130" s="3" t="s">
        <v>978</v>
      </c>
      <c r="H130" s="3" t="s">
        <v>52</v>
      </c>
      <c r="I130" s="3" t="s">
        <v>52</v>
      </c>
      <c r="J130" s="3" t="s">
        <v>51</v>
      </c>
      <c r="K130" s="3" t="b">
        <v>1</v>
      </c>
      <c r="L130" s="3"/>
      <c r="M130" s="3" t="b">
        <v>1</v>
      </c>
      <c r="N130" s="3" t="b">
        <v>0</v>
      </c>
      <c r="O130" s="3" t="b">
        <v>0</v>
      </c>
    </row>
    <row r="131" spans="1:15" x14ac:dyDescent="0.3">
      <c r="A131" s="27" t="s">
        <v>1548</v>
      </c>
      <c r="B131" s="27"/>
      <c r="C131" s="27"/>
      <c r="D131" s="27"/>
      <c r="E131" s="12" t="s">
        <v>1005</v>
      </c>
      <c r="F131" s="3" t="s">
        <v>1006</v>
      </c>
      <c r="G131" s="3" t="s">
        <v>978</v>
      </c>
      <c r="H131" s="3" t="s">
        <v>52</v>
      </c>
      <c r="I131" s="3" t="s">
        <v>52</v>
      </c>
      <c r="J131" s="3" t="s">
        <v>51</v>
      </c>
      <c r="K131" s="3" t="b">
        <v>1</v>
      </c>
      <c r="L131" s="3"/>
      <c r="M131" s="3" t="b">
        <v>1</v>
      </c>
      <c r="N131" s="3" t="b">
        <v>0</v>
      </c>
      <c r="O131" s="3" t="b">
        <v>0</v>
      </c>
    </row>
    <row r="132" spans="1:15" x14ac:dyDescent="0.3">
      <c r="A132" s="27" t="s">
        <v>1548</v>
      </c>
      <c r="B132" s="27" t="s">
        <v>1464</v>
      </c>
      <c r="C132" s="27"/>
      <c r="D132" s="27" t="s">
        <v>1630</v>
      </c>
      <c r="E132" s="1" t="s">
        <v>1761</v>
      </c>
      <c r="F132" s="3" t="s">
        <v>1549</v>
      </c>
      <c r="G132" s="3" t="s">
        <v>978</v>
      </c>
      <c r="H132" s="3" t="s">
        <v>52</v>
      </c>
      <c r="I132" s="3" t="s">
        <v>52</v>
      </c>
      <c r="J132" s="3" t="s">
        <v>51</v>
      </c>
      <c r="K132" s="3" t="b">
        <v>1</v>
      </c>
      <c r="L132" s="3"/>
      <c r="M132" s="3" t="b">
        <v>1</v>
      </c>
      <c r="N132" s="3" t="b">
        <v>0</v>
      </c>
      <c r="O132" s="3" t="b">
        <v>0</v>
      </c>
    </row>
    <row r="133" spans="1:15" x14ac:dyDescent="0.3">
      <c r="A133" s="27" t="s">
        <v>1548</v>
      </c>
      <c r="B133" s="27" t="s">
        <v>1466</v>
      </c>
      <c r="C133" s="27"/>
      <c r="D133" s="27" t="s">
        <v>1630</v>
      </c>
      <c r="E133" s="1" t="s">
        <v>1761</v>
      </c>
      <c r="F133" s="3" t="s">
        <v>1549</v>
      </c>
      <c r="G133" s="3" t="s">
        <v>978</v>
      </c>
      <c r="H133" s="3" t="s">
        <v>52</v>
      </c>
      <c r="I133" s="3" t="s">
        <v>52</v>
      </c>
      <c r="J133" s="3" t="s">
        <v>51</v>
      </c>
      <c r="K133" s="3" t="b">
        <v>1</v>
      </c>
      <c r="L133" s="3"/>
      <c r="M133" s="3" t="b">
        <v>1</v>
      </c>
      <c r="N133" s="3" t="b">
        <v>0</v>
      </c>
      <c r="O133" s="3" t="b">
        <v>0</v>
      </c>
    </row>
    <row r="134" spans="1:15" x14ac:dyDescent="0.3">
      <c r="A134" s="27" t="s">
        <v>1548</v>
      </c>
      <c r="B134" s="27" t="s">
        <v>1467</v>
      </c>
      <c r="C134" s="27"/>
      <c r="D134" s="27" t="s">
        <v>1630</v>
      </c>
      <c r="E134" s="1" t="s">
        <v>1761</v>
      </c>
      <c r="F134" s="3" t="s">
        <v>1549</v>
      </c>
      <c r="G134" s="3" t="s">
        <v>978</v>
      </c>
      <c r="H134" s="3" t="s">
        <v>52</v>
      </c>
      <c r="I134" s="3" t="s">
        <v>52</v>
      </c>
      <c r="J134" s="3" t="s">
        <v>51</v>
      </c>
      <c r="K134" s="3" t="b">
        <v>1</v>
      </c>
      <c r="L134" s="3"/>
      <c r="M134" s="3" t="b">
        <v>1</v>
      </c>
      <c r="N134" s="3" t="b">
        <v>0</v>
      </c>
      <c r="O134" s="3" t="b">
        <v>0</v>
      </c>
    </row>
    <row r="135" spans="1:15" x14ac:dyDescent="0.3">
      <c r="A135" s="27" t="s">
        <v>1548</v>
      </c>
      <c r="B135" s="27" t="s">
        <v>1468</v>
      </c>
      <c r="C135" s="27"/>
      <c r="D135" s="27" t="s">
        <v>1630</v>
      </c>
      <c r="E135" s="1" t="s">
        <v>1761</v>
      </c>
      <c r="F135" s="3" t="s">
        <v>1549</v>
      </c>
      <c r="G135" s="3" t="s">
        <v>978</v>
      </c>
      <c r="H135" s="3" t="s">
        <v>52</v>
      </c>
      <c r="I135" s="3" t="s">
        <v>52</v>
      </c>
      <c r="J135" s="3" t="s">
        <v>51</v>
      </c>
      <c r="K135" s="3" t="b">
        <v>1</v>
      </c>
      <c r="L135" s="3"/>
      <c r="M135" s="3" t="b">
        <v>1</v>
      </c>
      <c r="N135" s="3" t="b">
        <v>0</v>
      </c>
      <c r="O135" s="3" t="b">
        <v>0</v>
      </c>
    </row>
    <row r="136" spans="1:15" x14ac:dyDescent="0.3">
      <c r="A136" s="27" t="s">
        <v>1548</v>
      </c>
      <c r="B136" s="27" t="s">
        <v>1469</v>
      </c>
      <c r="C136" s="27"/>
      <c r="D136" s="27" t="s">
        <v>1630</v>
      </c>
      <c r="E136" s="1" t="s">
        <v>1761</v>
      </c>
      <c r="F136" s="3" t="s">
        <v>1549</v>
      </c>
      <c r="G136" s="3" t="s">
        <v>978</v>
      </c>
      <c r="H136" s="3" t="s">
        <v>52</v>
      </c>
      <c r="I136" s="3" t="s">
        <v>52</v>
      </c>
      <c r="J136" s="3" t="s">
        <v>51</v>
      </c>
      <c r="K136" s="3" t="b">
        <v>1</v>
      </c>
      <c r="L136" s="3"/>
      <c r="M136" s="3" t="b">
        <v>1</v>
      </c>
      <c r="N136" s="3" t="b">
        <v>0</v>
      </c>
      <c r="O136" s="3" t="b">
        <v>0</v>
      </c>
    </row>
    <row r="137" spans="1:15" x14ac:dyDescent="0.3">
      <c r="A137" s="27" t="s">
        <v>1548</v>
      </c>
      <c r="B137" s="27" t="s">
        <v>1470</v>
      </c>
      <c r="C137" s="27"/>
      <c r="D137" s="27" t="s">
        <v>1630</v>
      </c>
      <c r="E137" s="1" t="s">
        <v>1761</v>
      </c>
      <c r="F137" s="3" t="s">
        <v>1549</v>
      </c>
      <c r="G137" s="3" t="s">
        <v>978</v>
      </c>
      <c r="H137" s="3" t="s">
        <v>52</v>
      </c>
      <c r="I137" s="3" t="s">
        <v>52</v>
      </c>
      <c r="J137" s="3" t="s">
        <v>51</v>
      </c>
      <c r="K137" s="3" t="b">
        <v>1</v>
      </c>
      <c r="L137" s="3"/>
      <c r="M137" s="3" t="b">
        <v>1</v>
      </c>
      <c r="N137" s="3" t="b">
        <v>0</v>
      </c>
      <c r="O137" s="3" t="b">
        <v>0</v>
      </c>
    </row>
    <row r="138" spans="1:15" x14ac:dyDescent="0.3">
      <c r="A138" s="27" t="s">
        <v>1548</v>
      </c>
      <c r="B138" s="27" t="s">
        <v>1464</v>
      </c>
      <c r="C138" s="27"/>
      <c r="D138" s="27" t="s">
        <v>1631</v>
      </c>
      <c r="E138" s="1" t="s">
        <v>1761</v>
      </c>
      <c r="F138" s="3" t="s">
        <v>1550</v>
      </c>
      <c r="G138" s="3" t="s">
        <v>978</v>
      </c>
      <c r="H138" s="3" t="s">
        <v>52</v>
      </c>
      <c r="I138" s="3" t="s">
        <v>52</v>
      </c>
      <c r="J138" s="3" t="s">
        <v>51</v>
      </c>
      <c r="K138" s="3" t="b">
        <v>1</v>
      </c>
      <c r="L138" s="3"/>
      <c r="M138" s="3" t="b">
        <v>1</v>
      </c>
      <c r="N138" s="3" t="b">
        <v>0</v>
      </c>
      <c r="O138" s="3" t="b">
        <v>0</v>
      </c>
    </row>
    <row r="139" spans="1:15" x14ac:dyDescent="0.3">
      <c r="A139" s="27" t="s">
        <v>1548</v>
      </c>
      <c r="B139" s="27" t="s">
        <v>1466</v>
      </c>
      <c r="C139" s="27"/>
      <c r="D139" s="27" t="s">
        <v>1631</v>
      </c>
      <c r="E139" s="1" t="s">
        <v>1761</v>
      </c>
      <c r="F139" s="3" t="s">
        <v>1550</v>
      </c>
      <c r="G139" s="3" t="s">
        <v>978</v>
      </c>
      <c r="H139" s="3" t="s">
        <v>52</v>
      </c>
      <c r="I139" s="3" t="s">
        <v>52</v>
      </c>
      <c r="J139" s="3" t="s">
        <v>51</v>
      </c>
      <c r="K139" s="3" t="b">
        <v>1</v>
      </c>
      <c r="L139" s="3"/>
      <c r="M139" s="3" t="b">
        <v>1</v>
      </c>
      <c r="N139" s="3" t="b">
        <v>0</v>
      </c>
      <c r="O139" s="3" t="b">
        <v>0</v>
      </c>
    </row>
    <row r="140" spans="1:15" x14ac:dyDescent="0.3">
      <c r="A140" s="27" t="s">
        <v>1548</v>
      </c>
      <c r="B140" s="27" t="s">
        <v>1467</v>
      </c>
      <c r="C140" s="27"/>
      <c r="D140" s="27" t="s">
        <v>1631</v>
      </c>
      <c r="E140" s="1" t="s">
        <v>1761</v>
      </c>
      <c r="F140" s="3" t="s">
        <v>1550</v>
      </c>
      <c r="G140" s="3" t="s">
        <v>978</v>
      </c>
      <c r="H140" s="3" t="s">
        <v>52</v>
      </c>
      <c r="I140" s="3" t="s">
        <v>52</v>
      </c>
      <c r="J140" s="3" t="s">
        <v>51</v>
      </c>
      <c r="K140" s="3" t="b">
        <v>1</v>
      </c>
      <c r="L140" s="3"/>
      <c r="M140" s="3" t="b">
        <v>1</v>
      </c>
      <c r="N140" s="3" t="b">
        <v>0</v>
      </c>
      <c r="O140" s="3" t="b">
        <v>0</v>
      </c>
    </row>
    <row r="141" spans="1:15" x14ac:dyDescent="0.3">
      <c r="A141" s="27" t="s">
        <v>1548</v>
      </c>
      <c r="B141" s="27" t="s">
        <v>1468</v>
      </c>
      <c r="C141" s="27"/>
      <c r="D141" s="27" t="s">
        <v>1631</v>
      </c>
      <c r="E141" s="1" t="s">
        <v>1761</v>
      </c>
      <c r="F141" s="3" t="s">
        <v>1550</v>
      </c>
      <c r="G141" s="3" t="s">
        <v>978</v>
      </c>
      <c r="H141" s="3" t="s">
        <v>52</v>
      </c>
      <c r="I141" s="3" t="s">
        <v>52</v>
      </c>
      <c r="J141" s="3" t="s">
        <v>51</v>
      </c>
      <c r="K141" s="3" t="b">
        <v>1</v>
      </c>
      <c r="L141" s="3"/>
      <c r="M141" s="3" t="b">
        <v>1</v>
      </c>
      <c r="N141" s="3" t="b">
        <v>0</v>
      </c>
      <c r="O141" s="3" t="b">
        <v>0</v>
      </c>
    </row>
    <row r="142" spans="1:15" x14ac:dyDescent="0.3">
      <c r="A142" s="27" t="s">
        <v>1548</v>
      </c>
      <c r="B142" s="27" t="s">
        <v>1469</v>
      </c>
      <c r="C142" s="27"/>
      <c r="D142" s="27" t="s">
        <v>1631</v>
      </c>
      <c r="E142" s="1" t="s">
        <v>1761</v>
      </c>
      <c r="F142" s="3" t="s">
        <v>1550</v>
      </c>
      <c r="G142" s="3" t="s">
        <v>978</v>
      </c>
      <c r="H142" s="3" t="s">
        <v>52</v>
      </c>
      <c r="I142" s="3" t="s">
        <v>52</v>
      </c>
      <c r="J142" s="3" t="s">
        <v>51</v>
      </c>
      <c r="K142" s="3" t="b">
        <v>1</v>
      </c>
      <c r="L142" s="3"/>
      <c r="M142" s="3" t="b">
        <v>1</v>
      </c>
      <c r="N142" s="3" t="b">
        <v>0</v>
      </c>
      <c r="O142" s="3" t="b">
        <v>0</v>
      </c>
    </row>
    <row r="143" spans="1:15" x14ac:dyDescent="0.3">
      <c r="A143" s="27" t="s">
        <v>1548</v>
      </c>
      <c r="B143" s="27" t="s">
        <v>1470</v>
      </c>
      <c r="C143" s="27"/>
      <c r="D143" s="27" t="s">
        <v>1631</v>
      </c>
      <c r="E143" s="1" t="s">
        <v>1761</v>
      </c>
      <c r="F143" s="3" t="s">
        <v>1550</v>
      </c>
      <c r="G143" s="3" t="s">
        <v>978</v>
      </c>
      <c r="H143" s="3" t="s">
        <v>52</v>
      </c>
      <c r="I143" s="3" t="s">
        <v>52</v>
      </c>
      <c r="J143" s="3" t="s">
        <v>51</v>
      </c>
      <c r="K143" s="3" t="b">
        <v>1</v>
      </c>
      <c r="L143" s="3"/>
      <c r="M143" s="3" t="b">
        <v>1</v>
      </c>
      <c r="N143" s="3" t="b">
        <v>0</v>
      </c>
      <c r="O143" s="3" t="b">
        <v>0</v>
      </c>
    </row>
    <row r="144" spans="1:15" x14ac:dyDescent="0.3">
      <c r="A144" s="27" t="s">
        <v>1548</v>
      </c>
      <c r="B144" s="27" t="s">
        <v>1934</v>
      </c>
      <c r="C144" s="27"/>
      <c r="D144" s="27" t="s">
        <v>1630</v>
      </c>
      <c r="E144" s="12" t="s">
        <v>1761</v>
      </c>
      <c r="F144" s="3" t="s">
        <v>1549</v>
      </c>
      <c r="G144" s="3" t="s">
        <v>978</v>
      </c>
      <c r="H144" s="3" t="s">
        <v>52</v>
      </c>
      <c r="I144" s="3" t="s">
        <v>52</v>
      </c>
      <c r="J144" s="3" t="s">
        <v>51</v>
      </c>
      <c r="K144" s="3" t="b">
        <v>1</v>
      </c>
      <c r="L144" s="3"/>
      <c r="M144" s="3" t="b">
        <v>1</v>
      </c>
      <c r="N144" s="3" t="b">
        <v>0</v>
      </c>
      <c r="O144" s="3" t="b">
        <v>0</v>
      </c>
    </row>
    <row r="145" spans="1:15" x14ac:dyDescent="0.3">
      <c r="A145" s="27" t="s">
        <v>1548</v>
      </c>
      <c r="B145" s="27" t="s">
        <v>1935</v>
      </c>
      <c r="C145" s="27"/>
      <c r="D145" s="27" t="s">
        <v>1630</v>
      </c>
      <c r="E145" s="12" t="s">
        <v>1761</v>
      </c>
      <c r="F145" s="3" t="s">
        <v>1549</v>
      </c>
      <c r="G145" s="3" t="s">
        <v>978</v>
      </c>
      <c r="H145" s="3" t="s">
        <v>52</v>
      </c>
      <c r="I145" s="3" t="s">
        <v>52</v>
      </c>
      <c r="J145" s="3" t="s">
        <v>51</v>
      </c>
      <c r="K145" s="3" t="b">
        <v>1</v>
      </c>
      <c r="L145" s="3"/>
      <c r="M145" s="3" t="b">
        <v>1</v>
      </c>
      <c r="N145" s="3" t="b">
        <v>0</v>
      </c>
      <c r="O145" s="3" t="b">
        <v>0</v>
      </c>
    </row>
    <row r="146" spans="1:15" x14ac:dyDescent="0.3">
      <c r="A146" s="27" t="s">
        <v>1548</v>
      </c>
      <c r="B146" s="27" t="s">
        <v>1936</v>
      </c>
      <c r="C146" s="27"/>
      <c r="D146" s="27" t="s">
        <v>1630</v>
      </c>
      <c r="E146" s="12" t="s">
        <v>1761</v>
      </c>
      <c r="F146" s="3" t="s">
        <v>1549</v>
      </c>
      <c r="G146" s="3" t="s">
        <v>978</v>
      </c>
      <c r="H146" s="3" t="s">
        <v>52</v>
      </c>
      <c r="I146" s="3" t="s">
        <v>52</v>
      </c>
      <c r="J146" s="3" t="s">
        <v>51</v>
      </c>
      <c r="K146" s="3" t="b">
        <v>1</v>
      </c>
      <c r="L146" s="3"/>
      <c r="M146" s="3" t="b">
        <v>1</v>
      </c>
      <c r="N146" s="3" t="b">
        <v>0</v>
      </c>
      <c r="O146" s="3" t="b">
        <v>0</v>
      </c>
    </row>
    <row r="147" spans="1:15" x14ac:dyDescent="0.3">
      <c r="A147" s="27" t="s">
        <v>1548</v>
      </c>
      <c r="B147" s="27" t="s">
        <v>1937</v>
      </c>
      <c r="C147" s="27"/>
      <c r="D147" s="27" t="s">
        <v>1630</v>
      </c>
      <c r="E147" s="12" t="s">
        <v>1761</v>
      </c>
      <c r="F147" s="3" t="s">
        <v>1549</v>
      </c>
      <c r="G147" s="3" t="s">
        <v>978</v>
      </c>
      <c r="H147" s="3" t="s">
        <v>52</v>
      </c>
      <c r="I147" s="3" t="s">
        <v>52</v>
      </c>
      <c r="J147" s="3" t="s">
        <v>51</v>
      </c>
      <c r="K147" s="3" t="b">
        <v>1</v>
      </c>
      <c r="L147" s="3"/>
      <c r="M147" s="3" t="b">
        <v>1</v>
      </c>
      <c r="N147" s="3" t="b">
        <v>0</v>
      </c>
      <c r="O147" s="3" t="b">
        <v>0</v>
      </c>
    </row>
    <row r="148" spans="1:15" x14ac:dyDescent="0.3">
      <c r="A148" s="27" t="s">
        <v>1548</v>
      </c>
      <c r="B148" s="27" t="s">
        <v>1938</v>
      </c>
      <c r="C148" s="27"/>
      <c r="D148" s="27" t="s">
        <v>1630</v>
      </c>
      <c r="E148" s="12" t="s">
        <v>1761</v>
      </c>
      <c r="F148" s="3" t="s">
        <v>1549</v>
      </c>
      <c r="G148" s="3" t="s">
        <v>978</v>
      </c>
      <c r="H148" s="3" t="s">
        <v>52</v>
      </c>
      <c r="I148" s="3" t="s">
        <v>52</v>
      </c>
      <c r="J148" s="3" t="s">
        <v>51</v>
      </c>
      <c r="K148" s="3" t="b">
        <v>1</v>
      </c>
      <c r="L148" s="3"/>
      <c r="M148" s="3" t="b">
        <v>1</v>
      </c>
      <c r="N148" s="3" t="b">
        <v>0</v>
      </c>
      <c r="O148" s="3" t="b">
        <v>0</v>
      </c>
    </row>
    <row r="149" spans="1:15" x14ac:dyDescent="0.3">
      <c r="A149" s="27" t="s">
        <v>1548</v>
      </c>
      <c r="B149" s="27" t="s">
        <v>1939</v>
      </c>
      <c r="C149" s="27"/>
      <c r="D149" s="27" t="s">
        <v>1630</v>
      </c>
      <c r="E149" s="12" t="s">
        <v>1761</v>
      </c>
      <c r="F149" s="3" t="s">
        <v>1549</v>
      </c>
      <c r="G149" s="3" t="s">
        <v>978</v>
      </c>
      <c r="H149" s="3" t="s">
        <v>52</v>
      </c>
      <c r="I149" s="3" t="s">
        <v>52</v>
      </c>
      <c r="J149" s="3" t="s">
        <v>51</v>
      </c>
      <c r="K149" s="3" t="b">
        <v>1</v>
      </c>
      <c r="L149" s="3"/>
      <c r="M149" s="3" t="b">
        <v>1</v>
      </c>
      <c r="N149" s="3" t="b">
        <v>0</v>
      </c>
      <c r="O149" s="3" t="b">
        <v>0</v>
      </c>
    </row>
    <row r="150" spans="1:15" x14ac:dyDescent="0.3">
      <c r="A150" s="27" t="s">
        <v>1548</v>
      </c>
      <c r="B150" s="27" t="s">
        <v>1934</v>
      </c>
      <c r="C150" s="27"/>
      <c r="D150" s="27" t="s">
        <v>1631</v>
      </c>
      <c r="E150" s="12" t="s">
        <v>1761</v>
      </c>
      <c r="F150" s="3" t="s">
        <v>1550</v>
      </c>
      <c r="G150" s="3" t="s">
        <v>978</v>
      </c>
      <c r="H150" s="3" t="s">
        <v>52</v>
      </c>
      <c r="I150" s="3" t="s">
        <v>52</v>
      </c>
      <c r="J150" s="3" t="s">
        <v>51</v>
      </c>
      <c r="K150" s="3" t="b">
        <v>1</v>
      </c>
      <c r="L150" s="3"/>
      <c r="M150" s="3" t="b">
        <v>1</v>
      </c>
      <c r="N150" s="3" t="b">
        <v>0</v>
      </c>
      <c r="O150" s="3" t="b">
        <v>0</v>
      </c>
    </row>
    <row r="151" spans="1:15" x14ac:dyDescent="0.3">
      <c r="A151" s="27" t="s">
        <v>1548</v>
      </c>
      <c r="B151" s="27" t="s">
        <v>1935</v>
      </c>
      <c r="C151" s="27"/>
      <c r="D151" s="27" t="s">
        <v>1631</v>
      </c>
      <c r="E151" s="12" t="s">
        <v>1761</v>
      </c>
      <c r="F151" s="3" t="s">
        <v>1550</v>
      </c>
      <c r="G151" s="3" t="s">
        <v>978</v>
      </c>
      <c r="H151" s="3" t="s">
        <v>52</v>
      </c>
      <c r="I151" s="3" t="s">
        <v>52</v>
      </c>
      <c r="J151" s="3" t="s">
        <v>51</v>
      </c>
      <c r="K151" s="3" t="b">
        <v>1</v>
      </c>
      <c r="L151" s="3"/>
      <c r="M151" s="3" t="b">
        <v>1</v>
      </c>
      <c r="N151" s="3" t="b">
        <v>0</v>
      </c>
      <c r="O151" s="3" t="b">
        <v>0</v>
      </c>
    </row>
    <row r="152" spans="1:15" x14ac:dyDescent="0.3">
      <c r="A152" s="27" t="s">
        <v>1548</v>
      </c>
      <c r="B152" s="27" t="s">
        <v>1936</v>
      </c>
      <c r="C152" s="27"/>
      <c r="D152" s="27" t="s">
        <v>1631</v>
      </c>
      <c r="E152" s="12" t="s">
        <v>1761</v>
      </c>
      <c r="F152" s="3" t="s">
        <v>1550</v>
      </c>
      <c r="G152" s="3" t="s">
        <v>978</v>
      </c>
      <c r="H152" s="3" t="s">
        <v>52</v>
      </c>
      <c r="I152" s="3" t="s">
        <v>52</v>
      </c>
      <c r="J152" s="3" t="s">
        <v>51</v>
      </c>
      <c r="K152" s="3" t="b">
        <v>1</v>
      </c>
      <c r="L152" s="3"/>
      <c r="M152" s="3" t="b">
        <v>1</v>
      </c>
      <c r="N152" s="3" t="b">
        <v>0</v>
      </c>
      <c r="O152" s="3" t="b">
        <v>0</v>
      </c>
    </row>
    <row r="153" spans="1:15" x14ac:dyDescent="0.3">
      <c r="A153" s="27" t="s">
        <v>1548</v>
      </c>
      <c r="B153" s="27" t="s">
        <v>1937</v>
      </c>
      <c r="C153" s="27"/>
      <c r="D153" s="27" t="s">
        <v>1631</v>
      </c>
      <c r="E153" s="12" t="s">
        <v>1761</v>
      </c>
      <c r="F153" s="3" t="s">
        <v>1550</v>
      </c>
      <c r="G153" s="3" t="s">
        <v>978</v>
      </c>
      <c r="H153" s="3" t="s">
        <v>52</v>
      </c>
      <c r="I153" s="3" t="s">
        <v>52</v>
      </c>
      <c r="J153" s="3" t="s">
        <v>51</v>
      </c>
      <c r="K153" s="3" t="b">
        <v>1</v>
      </c>
      <c r="L153" s="3"/>
      <c r="M153" s="3" t="b">
        <v>1</v>
      </c>
      <c r="N153" s="3" t="b">
        <v>0</v>
      </c>
      <c r="O153" s="3" t="b">
        <v>0</v>
      </c>
    </row>
    <row r="154" spans="1:15" x14ac:dyDescent="0.3">
      <c r="A154" s="27" t="s">
        <v>1548</v>
      </c>
      <c r="B154" s="27" t="s">
        <v>1938</v>
      </c>
      <c r="C154" s="27"/>
      <c r="D154" s="27" t="s">
        <v>1631</v>
      </c>
      <c r="E154" s="12" t="s">
        <v>1761</v>
      </c>
      <c r="F154" s="3" t="s">
        <v>1550</v>
      </c>
      <c r="G154" s="3" t="s">
        <v>978</v>
      </c>
      <c r="H154" s="3" t="s">
        <v>52</v>
      </c>
      <c r="I154" s="3" t="s">
        <v>52</v>
      </c>
      <c r="J154" s="3" t="s">
        <v>51</v>
      </c>
      <c r="K154" s="3" t="b">
        <v>1</v>
      </c>
      <c r="L154" s="3"/>
      <c r="M154" s="3" t="b">
        <v>1</v>
      </c>
      <c r="N154" s="3" t="b">
        <v>0</v>
      </c>
      <c r="O154" s="3" t="b">
        <v>0</v>
      </c>
    </row>
    <row r="155" spans="1:15" x14ac:dyDescent="0.3">
      <c r="A155" s="27" t="s">
        <v>1548</v>
      </c>
      <c r="B155" s="27" t="s">
        <v>1939</v>
      </c>
      <c r="C155" s="27"/>
      <c r="D155" s="27" t="s">
        <v>1631</v>
      </c>
      <c r="E155" s="12" t="s">
        <v>1761</v>
      </c>
      <c r="F155" s="3" t="s">
        <v>1550</v>
      </c>
      <c r="G155" s="3" t="s">
        <v>978</v>
      </c>
      <c r="H155" s="3" t="s">
        <v>52</v>
      </c>
      <c r="I155" s="3" t="s">
        <v>52</v>
      </c>
      <c r="J155" s="3" t="s">
        <v>51</v>
      </c>
      <c r="K155" s="3" t="b">
        <v>1</v>
      </c>
      <c r="L155" s="3"/>
      <c r="M155" s="3" t="b">
        <v>1</v>
      </c>
      <c r="N155" s="3" t="b">
        <v>0</v>
      </c>
      <c r="O155" s="3" t="b">
        <v>0</v>
      </c>
    </row>
    <row r="156" spans="1:15" x14ac:dyDescent="0.3">
      <c r="A156" s="27" t="s">
        <v>1548</v>
      </c>
      <c r="B156" s="27"/>
      <c r="C156" s="27"/>
      <c r="D156" s="27"/>
      <c r="E156" s="1" t="s">
        <v>1017</v>
      </c>
      <c r="F156" s="3" t="s">
        <v>1018</v>
      </c>
      <c r="G156" s="3" t="s">
        <v>978</v>
      </c>
      <c r="H156" s="3" t="s">
        <v>52</v>
      </c>
      <c r="I156" s="3" t="s">
        <v>52</v>
      </c>
      <c r="J156" s="3" t="s">
        <v>51</v>
      </c>
      <c r="K156" s="3" t="b">
        <v>1</v>
      </c>
      <c r="L156" s="3"/>
      <c r="M156" s="3" t="b">
        <v>1</v>
      </c>
      <c r="N156" s="3" t="b">
        <v>0</v>
      </c>
      <c r="O156" s="3" t="b">
        <v>0</v>
      </c>
    </row>
    <row r="157" spans="1:15" x14ac:dyDescent="0.3">
      <c r="A157" s="27" t="s">
        <v>1548</v>
      </c>
      <c r="B157" s="27"/>
      <c r="C157" s="27"/>
      <c r="D157" s="27"/>
      <c r="E157" s="1" t="s">
        <v>1019</v>
      </c>
      <c r="F157" s="3" t="s">
        <v>1020</v>
      </c>
      <c r="G157" s="3" t="s">
        <v>978</v>
      </c>
      <c r="H157" s="3" t="s">
        <v>52</v>
      </c>
      <c r="I157" s="3" t="s">
        <v>52</v>
      </c>
      <c r="J157" s="3" t="s">
        <v>51</v>
      </c>
      <c r="K157" s="3" t="b">
        <v>1</v>
      </c>
      <c r="L157" s="3"/>
      <c r="M157" s="3" t="b">
        <v>1</v>
      </c>
      <c r="N157" s="3" t="b">
        <v>0</v>
      </c>
      <c r="O157" s="3" t="b">
        <v>0</v>
      </c>
    </row>
    <row r="158" spans="1:15" x14ac:dyDescent="0.3">
      <c r="A158" s="27" t="s">
        <v>1548</v>
      </c>
      <c r="B158" s="27"/>
      <c r="C158" s="27" t="s">
        <v>878</v>
      </c>
      <c r="D158" s="27"/>
      <c r="E158" s="12" t="s">
        <v>2017</v>
      </c>
      <c r="F158" s="3" t="s">
        <v>2003</v>
      </c>
      <c r="G158" s="3" t="s">
        <v>978</v>
      </c>
      <c r="H158" s="3" t="s">
        <v>52</v>
      </c>
      <c r="I158" s="3" t="s">
        <v>52</v>
      </c>
      <c r="J158" s="3" t="s">
        <v>51</v>
      </c>
      <c r="K158" s="3" t="b">
        <v>1</v>
      </c>
      <c r="L158" s="3"/>
      <c r="M158" s="3" t="b">
        <v>1</v>
      </c>
      <c r="N158" s="3" t="b">
        <v>0</v>
      </c>
      <c r="O158" s="3" t="b">
        <v>0</v>
      </c>
    </row>
    <row r="159" spans="1:15" x14ac:dyDescent="0.3">
      <c r="A159" s="27" t="s">
        <v>1548</v>
      </c>
      <c r="B159" s="27"/>
      <c r="C159" s="27" t="s">
        <v>1014</v>
      </c>
      <c r="D159" s="27"/>
      <c r="E159" s="12" t="s">
        <v>2004</v>
      </c>
      <c r="F159" s="3" t="s">
        <v>2005</v>
      </c>
      <c r="G159" s="3" t="s">
        <v>978</v>
      </c>
      <c r="H159" s="3" t="s">
        <v>52</v>
      </c>
      <c r="I159" s="3" t="s">
        <v>52</v>
      </c>
      <c r="J159" s="3" t="s">
        <v>51</v>
      </c>
      <c r="K159" s="3" t="b">
        <v>1</v>
      </c>
      <c r="L159" s="3"/>
      <c r="M159" s="3" t="b">
        <v>1</v>
      </c>
      <c r="N159" s="3" t="b">
        <v>0</v>
      </c>
      <c r="O159" s="3" t="b">
        <v>0</v>
      </c>
    </row>
    <row r="160" spans="1:15" x14ac:dyDescent="0.3">
      <c r="A160" s="27" t="s">
        <v>1548</v>
      </c>
      <c r="B160" s="27"/>
      <c r="C160" s="27" t="s">
        <v>1015</v>
      </c>
      <c r="D160" s="27"/>
      <c r="E160" s="12" t="s">
        <v>2006</v>
      </c>
      <c r="F160" s="3" t="s">
        <v>2007</v>
      </c>
      <c r="G160" s="3" t="s">
        <v>978</v>
      </c>
      <c r="H160" s="3" t="s">
        <v>52</v>
      </c>
      <c r="I160" s="3" t="s">
        <v>52</v>
      </c>
      <c r="J160" s="3" t="s">
        <v>51</v>
      </c>
      <c r="K160" s="3" t="b">
        <v>1</v>
      </c>
      <c r="L160" s="3"/>
      <c r="M160" s="3" t="b">
        <v>1</v>
      </c>
      <c r="N160" s="3" t="b">
        <v>0</v>
      </c>
      <c r="O160" s="3" t="b">
        <v>0</v>
      </c>
    </row>
    <row r="161" spans="1:15" x14ac:dyDescent="0.3">
      <c r="A161" s="27" t="s">
        <v>1548</v>
      </c>
      <c r="B161" s="27"/>
      <c r="C161" s="27" t="s">
        <v>1016</v>
      </c>
      <c r="D161" s="27"/>
      <c r="E161" s="12" t="s">
        <v>2008</v>
      </c>
      <c r="F161" s="3" t="s">
        <v>2009</v>
      </c>
      <c r="G161" s="3" t="s">
        <v>978</v>
      </c>
      <c r="H161" s="3" t="s">
        <v>52</v>
      </c>
      <c r="I161" s="3" t="s">
        <v>52</v>
      </c>
      <c r="J161" s="3" t="s">
        <v>51</v>
      </c>
      <c r="K161" s="3" t="b">
        <v>1</v>
      </c>
      <c r="L161" s="3"/>
      <c r="M161" s="3" t="b">
        <v>1</v>
      </c>
      <c r="N161" s="3" t="b">
        <v>0</v>
      </c>
      <c r="O161" s="3" t="b">
        <v>0</v>
      </c>
    </row>
    <row r="162" spans="1:15" x14ac:dyDescent="0.3">
      <c r="A162" s="27" t="s">
        <v>1548</v>
      </c>
      <c r="B162" s="27"/>
      <c r="C162" s="27" t="s">
        <v>878</v>
      </c>
      <c r="D162" s="27"/>
      <c r="E162" s="12" t="s">
        <v>2018</v>
      </c>
      <c r="F162" s="3" t="s">
        <v>2010</v>
      </c>
      <c r="G162" s="3" t="s">
        <v>978</v>
      </c>
      <c r="H162" s="3" t="s">
        <v>52</v>
      </c>
      <c r="I162" s="3" t="s">
        <v>52</v>
      </c>
      <c r="J162" s="3" t="s">
        <v>51</v>
      </c>
      <c r="K162" s="3" t="b">
        <v>1</v>
      </c>
      <c r="L162" s="3"/>
      <c r="M162" s="3" t="b">
        <v>1</v>
      </c>
      <c r="N162" s="3" t="b">
        <v>0</v>
      </c>
      <c r="O162" s="3" t="b">
        <v>0</v>
      </c>
    </row>
    <row r="163" spans="1:15" x14ac:dyDescent="0.3">
      <c r="A163" s="27" t="s">
        <v>1548</v>
      </c>
      <c r="B163" s="27"/>
      <c r="C163" s="27" t="s">
        <v>1014</v>
      </c>
      <c r="D163" s="27"/>
      <c r="E163" s="12" t="s">
        <v>2011</v>
      </c>
      <c r="F163" s="3" t="s">
        <v>2012</v>
      </c>
      <c r="G163" s="3" t="s">
        <v>978</v>
      </c>
      <c r="H163" s="3" t="s">
        <v>52</v>
      </c>
      <c r="I163" s="3" t="s">
        <v>52</v>
      </c>
      <c r="J163" s="3" t="s">
        <v>51</v>
      </c>
      <c r="K163" s="3" t="b">
        <v>1</v>
      </c>
      <c r="L163" s="3"/>
      <c r="M163" s="3" t="b">
        <v>1</v>
      </c>
      <c r="N163" s="3" t="b">
        <v>0</v>
      </c>
      <c r="O163" s="3" t="b">
        <v>0</v>
      </c>
    </row>
    <row r="164" spans="1:15" x14ac:dyDescent="0.3">
      <c r="A164" s="27" t="s">
        <v>1548</v>
      </c>
      <c r="B164" s="27"/>
      <c r="C164" s="27" t="s">
        <v>1015</v>
      </c>
      <c r="D164" s="27"/>
      <c r="E164" s="12" t="s">
        <v>2013</v>
      </c>
      <c r="F164" s="3" t="s">
        <v>2014</v>
      </c>
      <c r="G164" s="3" t="s">
        <v>978</v>
      </c>
      <c r="H164" s="3" t="s">
        <v>52</v>
      </c>
      <c r="I164" s="3" t="s">
        <v>52</v>
      </c>
      <c r="J164" s="3" t="s">
        <v>51</v>
      </c>
      <c r="K164" s="3" t="b">
        <v>1</v>
      </c>
      <c r="L164" s="3"/>
      <c r="M164" s="3" t="b">
        <v>1</v>
      </c>
      <c r="N164" s="3" t="b">
        <v>0</v>
      </c>
      <c r="O164" s="3" t="b">
        <v>0</v>
      </c>
    </row>
    <row r="165" spans="1:15" x14ac:dyDescent="0.3">
      <c r="A165" s="27" t="s">
        <v>1548</v>
      </c>
      <c r="B165" s="27"/>
      <c r="C165" s="27" t="s">
        <v>1016</v>
      </c>
      <c r="D165" s="27"/>
      <c r="E165" s="12" t="s">
        <v>2015</v>
      </c>
      <c r="F165" s="3" t="s">
        <v>2016</v>
      </c>
      <c r="G165" s="3" t="s">
        <v>978</v>
      </c>
      <c r="H165" s="3" t="s">
        <v>52</v>
      </c>
      <c r="I165" s="3" t="s">
        <v>52</v>
      </c>
      <c r="J165" s="3" t="s">
        <v>51</v>
      </c>
      <c r="K165" s="3" t="b">
        <v>1</v>
      </c>
      <c r="L165" s="3"/>
      <c r="M165" s="3" t="b">
        <v>1</v>
      </c>
      <c r="N165" s="3" t="b">
        <v>0</v>
      </c>
      <c r="O165" s="3" t="b">
        <v>0</v>
      </c>
    </row>
    <row r="166" spans="1:15" x14ac:dyDescent="0.3">
      <c r="A166" s="27" t="s">
        <v>1548</v>
      </c>
      <c r="B166" s="27"/>
      <c r="C166" s="27"/>
      <c r="D166" s="27"/>
      <c r="E166" s="1" t="s">
        <v>1023</v>
      </c>
      <c r="F166" s="3" t="s">
        <v>1024</v>
      </c>
      <c r="G166" s="3" t="s">
        <v>978</v>
      </c>
      <c r="H166" s="3" t="s">
        <v>52</v>
      </c>
      <c r="I166" s="3" t="s">
        <v>52</v>
      </c>
      <c r="J166" s="3" t="s">
        <v>51</v>
      </c>
      <c r="K166" s="3" t="b">
        <v>1</v>
      </c>
      <c r="L166" s="3"/>
      <c r="M166" s="3" t="b">
        <v>1</v>
      </c>
      <c r="N166" s="3" t="b">
        <v>0</v>
      </c>
      <c r="O166" s="3" t="b">
        <v>0</v>
      </c>
    </row>
    <row r="167" spans="1:15" x14ac:dyDescent="0.3">
      <c r="A167" s="27" t="s">
        <v>1548</v>
      </c>
      <c r="B167" s="27"/>
      <c r="C167" s="27"/>
      <c r="D167" s="27"/>
      <c r="E167" s="1" t="s">
        <v>1025</v>
      </c>
      <c r="F167" s="3" t="s">
        <v>1026</v>
      </c>
      <c r="G167" s="3" t="s">
        <v>978</v>
      </c>
      <c r="H167" s="3" t="s">
        <v>52</v>
      </c>
      <c r="I167" s="3" t="s">
        <v>52</v>
      </c>
      <c r="J167" s="3" t="s">
        <v>51</v>
      </c>
      <c r="K167" s="3" t="b">
        <v>1</v>
      </c>
      <c r="L167" s="3"/>
      <c r="M167" s="3" t="b">
        <v>1</v>
      </c>
      <c r="N167" s="3" t="b">
        <v>0</v>
      </c>
      <c r="O167" s="3" t="b">
        <v>0</v>
      </c>
    </row>
    <row r="168" spans="1:15" x14ac:dyDescent="0.3">
      <c r="A168" s="27" t="s">
        <v>1548</v>
      </c>
      <c r="B168" s="27"/>
      <c r="C168" s="27"/>
      <c r="D168" s="27"/>
      <c r="E168" s="12" t="s">
        <v>1575</v>
      </c>
      <c r="F168" s="3" t="s">
        <v>1576</v>
      </c>
      <c r="G168" s="3" t="s">
        <v>978</v>
      </c>
      <c r="H168" s="3" t="s">
        <v>52</v>
      </c>
      <c r="I168" s="3" t="s">
        <v>52</v>
      </c>
      <c r="J168" s="3" t="s">
        <v>51</v>
      </c>
      <c r="K168" s="3" t="b">
        <v>1</v>
      </c>
      <c r="L168" s="3"/>
      <c r="M168" s="3" t="b">
        <v>1</v>
      </c>
      <c r="N168" s="3" t="b">
        <v>0</v>
      </c>
      <c r="O168" s="3" t="b">
        <v>0</v>
      </c>
    </row>
    <row r="169" spans="1:15" x14ac:dyDescent="0.3">
      <c r="A169" s="27" t="s">
        <v>1548</v>
      </c>
      <c r="B169" s="27"/>
      <c r="C169" s="27"/>
      <c r="D169" s="27"/>
      <c r="E169" s="12" t="s">
        <v>1573</v>
      </c>
      <c r="F169" s="3" t="s">
        <v>1574</v>
      </c>
      <c r="G169" s="3" t="s">
        <v>978</v>
      </c>
      <c r="H169" s="3" t="s">
        <v>52</v>
      </c>
      <c r="I169" s="3" t="s">
        <v>52</v>
      </c>
      <c r="J169" s="3" t="s">
        <v>51</v>
      </c>
      <c r="K169" s="3" t="b">
        <v>1</v>
      </c>
      <c r="L169" s="3"/>
      <c r="M169" s="3" t="b">
        <v>1</v>
      </c>
      <c r="N169" s="3" t="b">
        <v>0</v>
      </c>
      <c r="O169" s="3" t="b">
        <v>0</v>
      </c>
    </row>
    <row r="170" spans="1:15" x14ac:dyDescent="0.3">
      <c r="A170" s="27" t="s">
        <v>1548</v>
      </c>
      <c r="B170" s="27"/>
      <c r="C170" s="27"/>
      <c r="D170" s="27"/>
      <c r="E170" s="1" t="s">
        <v>1034</v>
      </c>
      <c r="F170" s="3" t="s">
        <v>1035</v>
      </c>
      <c r="G170" s="3" t="s">
        <v>978</v>
      </c>
      <c r="H170" s="3" t="s">
        <v>52</v>
      </c>
      <c r="I170" s="3" t="s">
        <v>52</v>
      </c>
      <c r="J170" s="3" t="s">
        <v>51</v>
      </c>
      <c r="K170" s="3" t="b">
        <v>1</v>
      </c>
      <c r="L170" s="3"/>
      <c r="M170" s="3" t="b">
        <v>1</v>
      </c>
      <c r="N170" s="3" t="b">
        <v>0</v>
      </c>
      <c r="O170" s="3" t="b">
        <v>0</v>
      </c>
    </row>
    <row r="171" spans="1:15" x14ac:dyDescent="0.3">
      <c r="A171" s="27" t="s">
        <v>1548</v>
      </c>
      <c r="B171" s="27"/>
      <c r="C171" s="27"/>
      <c r="D171" s="27"/>
      <c r="E171" s="12" t="s">
        <v>2093</v>
      </c>
      <c r="F171" s="3" t="s">
        <v>2095</v>
      </c>
      <c r="G171" s="3" t="s">
        <v>900</v>
      </c>
      <c r="H171" s="3" t="s">
        <v>52</v>
      </c>
      <c r="I171" s="3" t="s">
        <v>52</v>
      </c>
      <c r="J171" s="3" t="s">
        <v>51</v>
      </c>
      <c r="K171" s="3" t="b">
        <v>1</v>
      </c>
      <c r="L171" s="3"/>
      <c r="M171" s="3" t="b">
        <v>1</v>
      </c>
      <c r="N171" s="3" t="b">
        <v>0</v>
      </c>
      <c r="O171" s="3" t="b">
        <v>0</v>
      </c>
    </row>
    <row r="172" spans="1:15" x14ac:dyDescent="0.3">
      <c r="A172" s="27" t="s">
        <v>1548</v>
      </c>
      <c r="B172" s="27"/>
      <c r="C172" s="27"/>
      <c r="D172" s="27"/>
      <c r="E172" s="12" t="s">
        <v>904</v>
      </c>
      <c r="F172" s="3" t="s">
        <v>905</v>
      </c>
      <c r="G172" s="3" t="s">
        <v>900</v>
      </c>
      <c r="H172" s="3" t="s">
        <v>52</v>
      </c>
      <c r="I172" s="3" t="s">
        <v>52</v>
      </c>
      <c r="J172" s="3" t="s">
        <v>51</v>
      </c>
      <c r="K172" s="3" t="b">
        <v>1</v>
      </c>
      <c r="L172" s="3"/>
      <c r="M172" s="3" t="b">
        <v>1</v>
      </c>
      <c r="N172" s="3" t="b">
        <v>0</v>
      </c>
      <c r="O172" s="3" t="b">
        <v>0</v>
      </c>
    </row>
    <row r="173" spans="1:15" x14ac:dyDescent="0.3">
      <c r="A173" s="27" t="s">
        <v>1548</v>
      </c>
      <c r="B173" s="27"/>
      <c r="C173" s="27"/>
      <c r="D173" s="27"/>
      <c r="E173" s="12" t="s">
        <v>908</v>
      </c>
      <c r="F173" s="3" t="s">
        <v>909</v>
      </c>
      <c r="G173" s="3" t="s">
        <v>900</v>
      </c>
      <c r="H173" s="3" t="s">
        <v>52</v>
      </c>
      <c r="I173" s="3" t="s">
        <v>52</v>
      </c>
      <c r="J173" s="3" t="s">
        <v>51</v>
      </c>
      <c r="K173" s="3" t="b">
        <v>1</v>
      </c>
      <c r="L173" s="3"/>
      <c r="M173" s="3" t="b">
        <v>1</v>
      </c>
      <c r="N173" s="3" t="b">
        <v>0</v>
      </c>
      <c r="O173" s="3" t="b">
        <v>0</v>
      </c>
    </row>
    <row r="174" spans="1:15" x14ac:dyDescent="0.3">
      <c r="A174" s="27" t="s">
        <v>2179</v>
      </c>
      <c r="B174" s="27"/>
      <c r="C174" s="27"/>
      <c r="D174" s="27"/>
      <c r="E174" s="21" t="s">
        <v>1586</v>
      </c>
      <c r="F174" s="3" t="s">
        <v>2046</v>
      </c>
      <c r="G174" s="3" t="s">
        <v>900</v>
      </c>
      <c r="H174" s="3" t="s">
        <v>52</v>
      </c>
      <c r="I174" s="3" t="s">
        <v>52</v>
      </c>
      <c r="J174" s="3" t="s">
        <v>51</v>
      </c>
      <c r="K174" s="3" t="b">
        <v>1</v>
      </c>
      <c r="L174" s="3"/>
      <c r="M174" s="3" t="b">
        <v>1</v>
      </c>
      <c r="N174" s="3" t="b">
        <v>0</v>
      </c>
      <c r="O174" s="3" t="b">
        <v>0</v>
      </c>
    </row>
    <row r="175" spans="1:15" x14ac:dyDescent="0.3">
      <c r="A175" s="27" t="s">
        <v>2179</v>
      </c>
      <c r="B175" s="27"/>
      <c r="C175" s="27"/>
      <c r="D175" s="27"/>
      <c r="E175" s="21" t="s">
        <v>2047</v>
      </c>
      <c r="F175" s="3" t="s">
        <v>2048</v>
      </c>
      <c r="G175" s="3" t="s">
        <v>900</v>
      </c>
      <c r="H175" s="3" t="s">
        <v>52</v>
      </c>
      <c r="I175" s="3" t="s">
        <v>52</v>
      </c>
      <c r="J175" s="3" t="s">
        <v>51</v>
      </c>
      <c r="K175" s="3" t="b">
        <v>1</v>
      </c>
      <c r="L175" s="3"/>
      <c r="M175" s="3" t="b">
        <v>1</v>
      </c>
      <c r="N175" s="3" t="b">
        <v>0</v>
      </c>
      <c r="O175" s="3" t="b">
        <v>0</v>
      </c>
    </row>
    <row r="176" spans="1:15" x14ac:dyDescent="0.3">
      <c r="A176" s="27" t="s">
        <v>2179</v>
      </c>
      <c r="B176" s="27"/>
      <c r="C176" s="27"/>
      <c r="D176" s="27"/>
      <c r="E176" s="12" t="s">
        <v>2001</v>
      </c>
      <c r="F176" s="3" t="s">
        <v>2002</v>
      </c>
      <c r="G176" s="3" t="s">
        <v>922</v>
      </c>
      <c r="H176" s="3" t="s">
        <v>52</v>
      </c>
      <c r="I176" s="3" t="s">
        <v>52</v>
      </c>
      <c r="J176" s="3" t="s">
        <v>51</v>
      </c>
      <c r="K176" s="3" t="b">
        <v>1</v>
      </c>
      <c r="L176" s="3"/>
      <c r="M176" s="3" t="b">
        <v>1</v>
      </c>
      <c r="N176" s="3" t="b">
        <v>0</v>
      </c>
      <c r="O176" s="3" t="b">
        <v>0</v>
      </c>
    </row>
    <row r="177" spans="1:15" x14ac:dyDescent="0.3">
      <c r="A177" s="27" t="s">
        <v>2179</v>
      </c>
      <c r="B177" s="27"/>
      <c r="C177" s="27"/>
      <c r="D177" s="27"/>
      <c r="E177" s="21" t="s">
        <v>931</v>
      </c>
      <c r="F177" s="3" t="s">
        <v>932</v>
      </c>
      <c r="G177" s="3" t="s">
        <v>922</v>
      </c>
      <c r="H177" s="3" t="s">
        <v>52</v>
      </c>
      <c r="I177" s="3" t="s">
        <v>52</v>
      </c>
      <c r="J177" s="3" t="s">
        <v>51</v>
      </c>
      <c r="K177" s="3" t="b">
        <v>1</v>
      </c>
      <c r="L177" s="3"/>
      <c r="M177" s="3" t="b">
        <v>1</v>
      </c>
      <c r="N177" s="3" t="b">
        <v>0</v>
      </c>
      <c r="O177" s="3" t="b">
        <v>0</v>
      </c>
    </row>
    <row r="178" spans="1:15" x14ac:dyDescent="0.3">
      <c r="A178" s="27" t="s">
        <v>2179</v>
      </c>
      <c r="B178" s="27"/>
      <c r="C178" s="27"/>
      <c r="D178" s="27"/>
      <c r="E178" s="21" t="s">
        <v>1506</v>
      </c>
      <c r="F178" s="3" t="s">
        <v>1509</v>
      </c>
      <c r="G178" s="3" t="s">
        <v>922</v>
      </c>
      <c r="H178" s="3" t="s">
        <v>52</v>
      </c>
      <c r="I178" s="3" t="s">
        <v>52</v>
      </c>
      <c r="J178" s="3" t="s">
        <v>51</v>
      </c>
      <c r="K178" s="3" t="b">
        <v>1</v>
      </c>
      <c r="L178" s="3"/>
      <c r="M178" s="3" t="b">
        <v>1</v>
      </c>
      <c r="N178" s="3" t="b">
        <v>0</v>
      </c>
      <c r="O178" s="3" t="b">
        <v>0</v>
      </c>
    </row>
    <row r="179" spans="1:15" x14ac:dyDescent="0.3">
      <c r="A179" s="27" t="s">
        <v>2179</v>
      </c>
      <c r="B179" s="27"/>
      <c r="C179" s="27"/>
      <c r="D179" s="27"/>
      <c r="E179" s="21" t="s">
        <v>937</v>
      </c>
      <c r="F179" s="3" t="s">
        <v>938</v>
      </c>
      <c r="G179" s="3" t="s">
        <v>922</v>
      </c>
      <c r="H179" s="3" t="s">
        <v>52</v>
      </c>
      <c r="I179" s="3" t="s">
        <v>52</v>
      </c>
      <c r="J179" s="3" t="s">
        <v>51</v>
      </c>
      <c r="K179" s="3" t="b">
        <v>1</v>
      </c>
      <c r="L179" s="3"/>
      <c r="M179" s="3" t="b">
        <v>1</v>
      </c>
      <c r="N179" s="3" t="b">
        <v>0</v>
      </c>
      <c r="O179" s="3" t="b">
        <v>0</v>
      </c>
    </row>
    <row r="180" spans="1:15" x14ac:dyDescent="0.3">
      <c r="A180" s="27" t="s">
        <v>2179</v>
      </c>
      <c r="B180" s="27"/>
      <c r="C180" s="27"/>
      <c r="D180" s="27"/>
      <c r="E180" s="21" t="s">
        <v>933</v>
      </c>
      <c r="F180" s="3" t="s">
        <v>934</v>
      </c>
      <c r="G180" s="3" t="s">
        <v>922</v>
      </c>
      <c r="H180" s="3" t="s">
        <v>52</v>
      </c>
      <c r="I180" s="3" t="s">
        <v>52</v>
      </c>
      <c r="J180" s="3" t="s">
        <v>51</v>
      </c>
      <c r="K180" s="3" t="b">
        <v>1</v>
      </c>
      <c r="L180" s="3"/>
      <c r="M180" s="3" t="b">
        <v>1</v>
      </c>
      <c r="N180" s="3" t="b">
        <v>0</v>
      </c>
      <c r="O180" s="3" t="b">
        <v>0</v>
      </c>
    </row>
    <row r="181" spans="1:15" x14ac:dyDescent="0.3">
      <c r="A181" s="27" t="s">
        <v>2179</v>
      </c>
      <c r="B181" s="27"/>
      <c r="C181" s="27"/>
      <c r="D181" s="27"/>
      <c r="E181" s="21" t="s">
        <v>967</v>
      </c>
      <c r="F181" s="3" t="s">
        <v>968</v>
      </c>
      <c r="G181" s="3" t="s">
        <v>922</v>
      </c>
      <c r="H181" s="3" t="s">
        <v>851</v>
      </c>
      <c r="I181" s="3" t="s">
        <v>52</v>
      </c>
      <c r="J181" s="3" t="s">
        <v>51</v>
      </c>
      <c r="K181" s="3" t="b">
        <v>1</v>
      </c>
      <c r="L181" s="3"/>
      <c r="M181" s="3" t="b">
        <v>1</v>
      </c>
      <c r="N181" s="3" t="b">
        <v>0</v>
      </c>
      <c r="O181" s="3" t="b">
        <v>0</v>
      </c>
    </row>
    <row r="182" spans="1:15" x14ac:dyDescent="0.3">
      <c r="A182" s="27" t="s">
        <v>2179</v>
      </c>
      <c r="B182" s="27"/>
      <c r="C182" s="27"/>
      <c r="D182" s="27"/>
      <c r="E182" s="21" t="s">
        <v>969</v>
      </c>
      <c r="F182" s="3" t="s">
        <v>970</v>
      </c>
      <c r="G182" s="3" t="s">
        <v>922</v>
      </c>
      <c r="H182" s="3" t="s">
        <v>851</v>
      </c>
      <c r="I182" s="3" t="s">
        <v>52</v>
      </c>
      <c r="J182" s="3" t="s">
        <v>51</v>
      </c>
      <c r="K182" s="3" t="b">
        <v>1</v>
      </c>
      <c r="L182" s="3"/>
      <c r="M182" s="3" t="b">
        <v>1</v>
      </c>
      <c r="N182" s="3" t="b">
        <v>0</v>
      </c>
      <c r="O182" s="3" t="b">
        <v>0</v>
      </c>
    </row>
    <row r="183" spans="1:15" x14ac:dyDescent="0.3">
      <c r="A183" s="27" t="s">
        <v>2179</v>
      </c>
      <c r="B183" s="27"/>
      <c r="C183" s="27"/>
      <c r="D183" s="27"/>
      <c r="E183" s="21" t="s">
        <v>1501</v>
      </c>
      <c r="F183" s="3" t="s">
        <v>1589</v>
      </c>
      <c r="G183" s="3" t="s">
        <v>922</v>
      </c>
      <c r="H183" s="3" t="s">
        <v>851</v>
      </c>
      <c r="I183" s="3" t="s">
        <v>52</v>
      </c>
      <c r="J183" s="3" t="s">
        <v>51</v>
      </c>
      <c r="K183" s="3" t="b">
        <v>1</v>
      </c>
      <c r="L183" s="3"/>
      <c r="M183" s="3" t="b">
        <v>1</v>
      </c>
      <c r="N183" s="3" t="b">
        <v>0</v>
      </c>
      <c r="O183" s="3" t="b">
        <v>0</v>
      </c>
    </row>
    <row r="184" spans="1:15" x14ac:dyDescent="0.3">
      <c r="A184" s="27" t="s">
        <v>2179</v>
      </c>
      <c r="B184" s="27"/>
      <c r="C184" s="27"/>
      <c r="D184" s="27"/>
      <c r="E184" s="21" t="s">
        <v>1527</v>
      </c>
      <c r="F184" s="3" t="s">
        <v>1535</v>
      </c>
      <c r="G184" s="3" t="s">
        <v>922</v>
      </c>
      <c r="H184" s="3" t="s">
        <v>52</v>
      </c>
      <c r="I184" s="3" t="s">
        <v>52</v>
      </c>
      <c r="J184" s="3" t="s">
        <v>51</v>
      </c>
      <c r="K184" s="3" t="b">
        <v>1</v>
      </c>
      <c r="L184" s="3"/>
      <c r="M184" s="3" t="b">
        <v>1</v>
      </c>
      <c r="N184" s="3" t="b">
        <v>0</v>
      </c>
      <c r="O184" s="3" t="b">
        <v>0</v>
      </c>
    </row>
    <row r="185" spans="1:15" x14ac:dyDescent="0.3">
      <c r="A185" s="27" t="s">
        <v>2179</v>
      </c>
      <c r="B185" s="27"/>
      <c r="C185" s="27"/>
      <c r="D185" s="27"/>
      <c r="E185" s="12" t="s">
        <v>1001</v>
      </c>
      <c r="F185" s="3" t="s">
        <v>1002</v>
      </c>
      <c r="G185" s="3" t="s">
        <v>978</v>
      </c>
      <c r="H185" s="3" t="s">
        <v>52</v>
      </c>
      <c r="I185" s="3" t="s">
        <v>52</v>
      </c>
      <c r="J185" s="3" t="s">
        <v>51</v>
      </c>
      <c r="K185" s="3" t="b">
        <v>1</v>
      </c>
      <c r="L185" s="3"/>
      <c r="M185" s="3" t="b">
        <v>1</v>
      </c>
      <c r="N185" s="3" t="b">
        <v>0</v>
      </c>
      <c r="O185" s="3" t="b">
        <v>0</v>
      </c>
    </row>
    <row r="186" spans="1:15" x14ac:dyDescent="0.3">
      <c r="A186" s="27" t="s">
        <v>2179</v>
      </c>
      <c r="B186" s="27"/>
      <c r="C186" s="27" t="s">
        <v>878</v>
      </c>
      <c r="D186" s="27"/>
      <c r="E186" s="12" t="s">
        <v>2017</v>
      </c>
      <c r="F186" s="3" t="s">
        <v>2003</v>
      </c>
      <c r="G186" s="3" t="s">
        <v>978</v>
      </c>
      <c r="H186" s="3" t="s">
        <v>52</v>
      </c>
      <c r="I186" s="3" t="s">
        <v>52</v>
      </c>
      <c r="J186" s="3" t="s">
        <v>51</v>
      </c>
      <c r="K186" s="3" t="b">
        <v>1</v>
      </c>
      <c r="L186" s="3"/>
      <c r="M186" s="3" t="b">
        <v>1</v>
      </c>
      <c r="N186" s="3" t="b">
        <v>0</v>
      </c>
      <c r="O186" s="3" t="b">
        <v>0</v>
      </c>
    </row>
    <row r="187" spans="1:15" x14ac:dyDescent="0.3">
      <c r="A187" s="27" t="s">
        <v>2179</v>
      </c>
      <c r="B187" s="27"/>
      <c r="C187" s="27" t="s">
        <v>1014</v>
      </c>
      <c r="D187" s="27"/>
      <c r="E187" s="12" t="s">
        <v>2004</v>
      </c>
      <c r="F187" s="3" t="s">
        <v>2005</v>
      </c>
      <c r="G187" s="3" t="s">
        <v>978</v>
      </c>
      <c r="H187" s="3" t="s">
        <v>52</v>
      </c>
      <c r="I187" s="3" t="s">
        <v>52</v>
      </c>
      <c r="J187" s="3" t="s">
        <v>51</v>
      </c>
      <c r="K187" s="3" t="b">
        <v>1</v>
      </c>
      <c r="L187" s="3"/>
      <c r="M187" s="3" t="b">
        <v>1</v>
      </c>
      <c r="N187" s="3" t="b">
        <v>0</v>
      </c>
      <c r="O187" s="3" t="b">
        <v>0</v>
      </c>
    </row>
    <row r="188" spans="1:15" x14ac:dyDescent="0.3">
      <c r="A188" s="27" t="s">
        <v>2179</v>
      </c>
      <c r="B188" s="27"/>
      <c r="C188" s="27" t="s">
        <v>1015</v>
      </c>
      <c r="D188" s="27"/>
      <c r="E188" s="12" t="s">
        <v>2006</v>
      </c>
      <c r="F188" s="3" t="s">
        <v>2007</v>
      </c>
      <c r="G188" s="3" t="s">
        <v>978</v>
      </c>
      <c r="H188" s="3" t="s">
        <v>52</v>
      </c>
      <c r="I188" s="3" t="s">
        <v>52</v>
      </c>
      <c r="J188" s="3" t="s">
        <v>51</v>
      </c>
      <c r="K188" s="3" t="b">
        <v>1</v>
      </c>
      <c r="L188" s="3"/>
      <c r="M188" s="3" t="b">
        <v>1</v>
      </c>
      <c r="N188" s="3" t="b">
        <v>0</v>
      </c>
      <c r="O188" s="3" t="b">
        <v>0</v>
      </c>
    </row>
    <row r="189" spans="1:15" x14ac:dyDescent="0.3">
      <c r="A189" s="27" t="s">
        <v>2179</v>
      </c>
      <c r="B189" s="27"/>
      <c r="C189" s="27" t="s">
        <v>1016</v>
      </c>
      <c r="D189" s="27"/>
      <c r="E189" s="12" t="s">
        <v>2008</v>
      </c>
      <c r="F189" s="3" t="s">
        <v>2009</v>
      </c>
      <c r="G189" s="3" t="s">
        <v>978</v>
      </c>
      <c r="H189" s="3" t="s">
        <v>52</v>
      </c>
      <c r="I189" s="3" t="s">
        <v>52</v>
      </c>
      <c r="J189" s="3" t="s">
        <v>51</v>
      </c>
      <c r="K189" s="3" t="b">
        <v>1</v>
      </c>
      <c r="L189" s="3"/>
      <c r="M189" s="3" t="b">
        <v>1</v>
      </c>
      <c r="N189" s="3" t="b">
        <v>0</v>
      </c>
      <c r="O189" s="3" t="b">
        <v>0</v>
      </c>
    </row>
    <row r="190" spans="1:15" x14ac:dyDescent="0.3">
      <c r="A190" s="27" t="s">
        <v>2179</v>
      </c>
      <c r="B190" s="27"/>
      <c r="C190" s="27" t="s">
        <v>878</v>
      </c>
      <c r="D190" s="27"/>
      <c r="E190" s="12" t="s">
        <v>2018</v>
      </c>
      <c r="F190" s="3" t="s">
        <v>2010</v>
      </c>
      <c r="G190" s="3" t="s">
        <v>978</v>
      </c>
      <c r="H190" s="3" t="s">
        <v>52</v>
      </c>
      <c r="I190" s="3" t="s">
        <v>52</v>
      </c>
      <c r="J190" s="3" t="s">
        <v>51</v>
      </c>
      <c r="K190" s="3" t="b">
        <v>1</v>
      </c>
      <c r="L190" s="3"/>
      <c r="M190" s="3" t="b">
        <v>1</v>
      </c>
      <c r="N190" s="3" t="b">
        <v>0</v>
      </c>
      <c r="O190" s="3" t="b">
        <v>0</v>
      </c>
    </row>
    <row r="191" spans="1:15" x14ac:dyDescent="0.3">
      <c r="A191" s="27" t="s">
        <v>2179</v>
      </c>
      <c r="B191" s="27"/>
      <c r="C191" s="27" t="s">
        <v>1014</v>
      </c>
      <c r="D191" s="27"/>
      <c r="E191" s="12" t="s">
        <v>2011</v>
      </c>
      <c r="F191" s="3" t="s">
        <v>2012</v>
      </c>
      <c r="G191" s="3" t="s">
        <v>978</v>
      </c>
      <c r="H191" s="3" t="s">
        <v>52</v>
      </c>
      <c r="I191" s="3" t="s">
        <v>52</v>
      </c>
      <c r="J191" s="3" t="s">
        <v>51</v>
      </c>
      <c r="K191" s="3" t="b">
        <v>1</v>
      </c>
      <c r="L191" s="3"/>
      <c r="M191" s="3" t="b">
        <v>1</v>
      </c>
      <c r="N191" s="3" t="b">
        <v>0</v>
      </c>
      <c r="O191" s="3" t="b">
        <v>0</v>
      </c>
    </row>
    <row r="192" spans="1:15" x14ac:dyDescent="0.3">
      <c r="A192" s="27" t="s">
        <v>2179</v>
      </c>
      <c r="B192" s="27"/>
      <c r="C192" s="27" t="s">
        <v>1015</v>
      </c>
      <c r="D192" s="27"/>
      <c r="E192" s="12" t="s">
        <v>2013</v>
      </c>
      <c r="F192" s="3" t="s">
        <v>2014</v>
      </c>
      <c r="G192" s="3" t="s">
        <v>978</v>
      </c>
      <c r="H192" s="3" t="s">
        <v>52</v>
      </c>
      <c r="I192" s="3" t="s">
        <v>52</v>
      </c>
      <c r="J192" s="3" t="s">
        <v>51</v>
      </c>
      <c r="K192" s="3" t="b">
        <v>1</v>
      </c>
      <c r="L192" s="3"/>
      <c r="M192" s="3" t="b">
        <v>1</v>
      </c>
      <c r="N192" s="3" t="b">
        <v>0</v>
      </c>
      <c r="O192" s="3" t="b">
        <v>0</v>
      </c>
    </row>
    <row r="193" spans="1:15" x14ac:dyDescent="0.3">
      <c r="A193" s="27" t="s">
        <v>2179</v>
      </c>
      <c r="B193" s="27"/>
      <c r="C193" s="27" t="s">
        <v>1016</v>
      </c>
      <c r="D193" s="27"/>
      <c r="E193" s="12" t="s">
        <v>2015</v>
      </c>
      <c r="F193" s="3" t="s">
        <v>2016</v>
      </c>
      <c r="G193" s="3" t="s">
        <v>978</v>
      </c>
      <c r="H193" s="3" t="s">
        <v>52</v>
      </c>
      <c r="I193" s="3" t="s">
        <v>52</v>
      </c>
      <c r="J193" s="3" t="s">
        <v>51</v>
      </c>
      <c r="K193" s="3" t="b">
        <v>1</v>
      </c>
      <c r="L193" s="3"/>
      <c r="M193" s="3" t="b">
        <v>1</v>
      </c>
      <c r="N193" s="3" t="b">
        <v>0</v>
      </c>
      <c r="O193" s="3" t="b">
        <v>0</v>
      </c>
    </row>
    <row r="194" spans="1:15" x14ac:dyDescent="0.3">
      <c r="A194" s="27" t="s">
        <v>2179</v>
      </c>
      <c r="B194" s="27"/>
      <c r="C194" s="27"/>
      <c r="D194" s="27"/>
      <c r="E194" s="21" t="s">
        <v>1034</v>
      </c>
      <c r="F194" s="3" t="s">
        <v>1035</v>
      </c>
      <c r="G194" s="3" t="s">
        <v>978</v>
      </c>
      <c r="H194" s="3" t="s">
        <v>52</v>
      </c>
      <c r="I194" s="3" t="s">
        <v>52</v>
      </c>
      <c r="J194" s="3" t="s">
        <v>51</v>
      </c>
      <c r="K194" s="3" t="b">
        <v>1</v>
      </c>
      <c r="L194" s="3"/>
      <c r="M194" s="3" t="b">
        <v>1</v>
      </c>
      <c r="N194" s="3" t="b">
        <v>0</v>
      </c>
      <c r="O194" s="3" t="b">
        <v>0</v>
      </c>
    </row>
    <row r="195" spans="1:15" x14ac:dyDescent="0.3">
      <c r="A195" s="27" t="s">
        <v>2179</v>
      </c>
      <c r="B195" s="27"/>
      <c r="C195" s="27"/>
      <c r="D195" s="27"/>
      <c r="E195" s="12" t="s">
        <v>2093</v>
      </c>
      <c r="F195" s="3" t="s">
        <v>2095</v>
      </c>
      <c r="G195" s="3" t="s">
        <v>900</v>
      </c>
      <c r="H195" s="3" t="s">
        <v>52</v>
      </c>
      <c r="I195" s="3" t="s">
        <v>52</v>
      </c>
      <c r="J195" s="3" t="s">
        <v>51</v>
      </c>
      <c r="K195" s="3" t="b">
        <v>1</v>
      </c>
      <c r="L195" s="3"/>
      <c r="M195" s="3" t="b">
        <v>1</v>
      </c>
      <c r="N195" s="3" t="b">
        <v>0</v>
      </c>
      <c r="O195" s="3" t="b">
        <v>0</v>
      </c>
    </row>
    <row r="196" spans="1:15" x14ac:dyDescent="0.3">
      <c r="A196" s="27" t="s">
        <v>2179</v>
      </c>
      <c r="B196" s="27"/>
      <c r="C196" s="27"/>
      <c r="D196" s="27"/>
      <c r="E196" s="12" t="s">
        <v>904</v>
      </c>
      <c r="F196" s="3" t="s">
        <v>905</v>
      </c>
      <c r="G196" s="3" t="s">
        <v>900</v>
      </c>
      <c r="H196" s="3" t="s">
        <v>52</v>
      </c>
      <c r="I196" s="3" t="s">
        <v>52</v>
      </c>
      <c r="J196" s="3" t="s">
        <v>51</v>
      </c>
      <c r="K196" s="3" t="b">
        <v>1</v>
      </c>
      <c r="L196" s="3"/>
      <c r="M196" s="3" t="b">
        <v>1</v>
      </c>
      <c r="N196" s="3" t="b">
        <v>0</v>
      </c>
      <c r="O196" s="3" t="b">
        <v>0</v>
      </c>
    </row>
    <row r="197" spans="1:15" x14ac:dyDescent="0.3">
      <c r="A197" s="27" t="s">
        <v>2179</v>
      </c>
      <c r="B197" s="27"/>
      <c r="C197" s="27"/>
      <c r="D197" s="27"/>
      <c r="E197" s="12" t="s">
        <v>908</v>
      </c>
      <c r="F197" s="3" t="s">
        <v>909</v>
      </c>
      <c r="G197" s="3" t="s">
        <v>900</v>
      </c>
      <c r="H197" s="3" t="s">
        <v>52</v>
      </c>
      <c r="I197" s="3" t="s">
        <v>52</v>
      </c>
      <c r="J197" s="3" t="s">
        <v>51</v>
      </c>
      <c r="K197" s="3" t="b">
        <v>1</v>
      </c>
      <c r="L197" s="3"/>
      <c r="M197" s="3" t="b">
        <v>1</v>
      </c>
      <c r="N197" s="3" t="b">
        <v>0</v>
      </c>
      <c r="O197" s="3" t="b">
        <v>0</v>
      </c>
    </row>
    <row r="198" spans="1:15" x14ac:dyDescent="0.3">
      <c r="A198" s="27" t="s">
        <v>2178</v>
      </c>
      <c r="B198" s="27"/>
      <c r="C198" s="27"/>
      <c r="D198" s="27"/>
      <c r="E198" s="21" t="s">
        <v>914</v>
      </c>
      <c r="F198" s="3" t="s">
        <v>915</v>
      </c>
      <c r="G198" s="3" t="s">
        <v>900</v>
      </c>
      <c r="H198" s="3" t="s">
        <v>52</v>
      </c>
      <c r="I198" s="3" t="s">
        <v>52</v>
      </c>
      <c r="J198" s="3" t="s">
        <v>51</v>
      </c>
      <c r="K198" s="3" t="b">
        <v>1</v>
      </c>
      <c r="L198" s="3"/>
      <c r="M198" s="3" t="b">
        <v>1</v>
      </c>
      <c r="N198" s="3" t="b">
        <v>0</v>
      </c>
      <c r="O198" s="3" t="b">
        <v>0</v>
      </c>
    </row>
    <row r="199" spans="1:15" x14ac:dyDescent="0.3">
      <c r="A199" s="27" t="s">
        <v>2178</v>
      </c>
      <c r="B199" s="27"/>
      <c r="C199" s="27"/>
      <c r="D199" s="27"/>
      <c r="E199" s="21" t="s">
        <v>912</v>
      </c>
      <c r="F199" s="3" t="s">
        <v>913</v>
      </c>
      <c r="G199" s="3" t="s">
        <v>900</v>
      </c>
      <c r="H199" s="3" t="s">
        <v>52</v>
      </c>
      <c r="I199" s="3" t="s">
        <v>52</v>
      </c>
      <c r="J199" s="3" t="s">
        <v>51</v>
      </c>
      <c r="K199" s="3" t="b">
        <v>1</v>
      </c>
      <c r="L199" s="3"/>
      <c r="M199" s="3" t="b">
        <v>1</v>
      </c>
      <c r="N199" s="3" t="b">
        <v>0</v>
      </c>
      <c r="O199" s="3" t="b">
        <v>0</v>
      </c>
    </row>
    <row r="200" spans="1:15" x14ac:dyDescent="0.3">
      <c r="A200" s="27" t="s">
        <v>2178</v>
      </c>
      <c r="B200" s="27"/>
      <c r="C200" s="27"/>
      <c r="D200" s="27"/>
      <c r="E200" s="12" t="s">
        <v>1623</v>
      </c>
      <c r="F200" s="3" t="s">
        <v>1624</v>
      </c>
      <c r="G200" s="3" t="s">
        <v>900</v>
      </c>
      <c r="H200" s="3" t="s">
        <v>52</v>
      </c>
      <c r="I200" s="3" t="s">
        <v>52</v>
      </c>
      <c r="J200" s="3" t="s">
        <v>51</v>
      </c>
      <c r="K200" s="3" t="b">
        <v>1</v>
      </c>
      <c r="L200" s="3"/>
      <c r="M200" s="3" t="b">
        <v>1</v>
      </c>
      <c r="N200" s="3" t="b">
        <v>0</v>
      </c>
      <c r="O200" s="3" t="b">
        <v>0</v>
      </c>
    </row>
    <row r="201" spans="1:15" x14ac:dyDescent="0.3">
      <c r="A201" s="27" t="s">
        <v>2178</v>
      </c>
      <c r="B201" s="27"/>
      <c r="C201" s="27"/>
      <c r="D201" s="27"/>
      <c r="E201" s="12" t="s">
        <v>1558</v>
      </c>
      <c r="F201" s="3" t="s">
        <v>1559</v>
      </c>
      <c r="G201" s="3" t="s">
        <v>900</v>
      </c>
      <c r="H201" s="3" t="s">
        <v>52</v>
      </c>
      <c r="I201" s="3" t="s">
        <v>52</v>
      </c>
      <c r="J201" s="3" t="s">
        <v>51</v>
      </c>
      <c r="K201" s="3" t="b">
        <v>1</v>
      </c>
      <c r="L201" s="3"/>
      <c r="M201" s="3" t="b">
        <v>1</v>
      </c>
      <c r="N201" s="3" t="b">
        <v>0</v>
      </c>
      <c r="O201" s="3" t="b">
        <v>0</v>
      </c>
    </row>
    <row r="202" spans="1:15" x14ac:dyDescent="0.3">
      <c r="A202" s="27" t="s">
        <v>2178</v>
      </c>
      <c r="B202" s="27"/>
      <c r="C202" s="27"/>
      <c r="D202" s="27"/>
      <c r="E202" s="12" t="s">
        <v>1560</v>
      </c>
      <c r="F202" s="3" t="s">
        <v>1561</v>
      </c>
      <c r="G202" s="3" t="s">
        <v>900</v>
      </c>
      <c r="H202" s="3" t="s">
        <v>52</v>
      </c>
      <c r="I202" s="3" t="s">
        <v>52</v>
      </c>
      <c r="J202" s="3" t="s">
        <v>51</v>
      </c>
      <c r="K202" s="3" t="b">
        <v>1</v>
      </c>
      <c r="L202" s="3"/>
      <c r="M202" s="3" t="b">
        <v>1</v>
      </c>
      <c r="N202" s="3" t="b">
        <v>0</v>
      </c>
      <c r="O202" s="3" t="b">
        <v>0</v>
      </c>
    </row>
    <row r="203" spans="1:15" x14ac:dyDescent="0.3">
      <c r="A203" s="27" t="s">
        <v>2178</v>
      </c>
      <c r="B203" s="27"/>
      <c r="C203" s="27"/>
      <c r="D203" s="27"/>
      <c r="E203" s="12" t="s">
        <v>1578</v>
      </c>
      <c r="F203" s="3" t="s">
        <v>1579</v>
      </c>
      <c r="G203" s="3" t="s">
        <v>900</v>
      </c>
      <c r="H203" s="3" t="s">
        <v>52</v>
      </c>
      <c r="I203" s="3" t="s">
        <v>52</v>
      </c>
      <c r="J203" s="3" t="s">
        <v>51</v>
      </c>
      <c r="K203" s="3" t="b">
        <v>1</v>
      </c>
      <c r="L203" s="3"/>
      <c r="M203" s="3" t="b">
        <v>1</v>
      </c>
      <c r="N203" s="3" t="b">
        <v>0</v>
      </c>
      <c r="O203" s="3" t="b">
        <v>0</v>
      </c>
    </row>
    <row r="204" spans="1:15" x14ac:dyDescent="0.3">
      <c r="A204" s="27" t="s">
        <v>2178</v>
      </c>
      <c r="B204" s="27"/>
      <c r="C204" s="27"/>
      <c r="D204" s="27"/>
      <c r="E204" s="21" t="s">
        <v>2084</v>
      </c>
      <c r="F204" s="3" t="s">
        <v>2085</v>
      </c>
      <c r="G204" s="3" t="s">
        <v>922</v>
      </c>
      <c r="H204" s="3" t="s">
        <v>52</v>
      </c>
      <c r="I204" s="3" t="s">
        <v>52</v>
      </c>
      <c r="J204" s="3" t="s">
        <v>51</v>
      </c>
      <c r="K204" s="3" t="b">
        <v>1</v>
      </c>
      <c r="L204" s="3"/>
      <c r="M204" s="3" t="b">
        <v>1</v>
      </c>
      <c r="N204" s="3" t="b">
        <v>0</v>
      </c>
      <c r="O204" s="3" t="b">
        <v>0</v>
      </c>
    </row>
    <row r="205" spans="1:15" x14ac:dyDescent="0.3">
      <c r="A205" s="27" t="s">
        <v>2178</v>
      </c>
      <c r="B205" s="27"/>
      <c r="C205" s="27"/>
      <c r="D205" s="27"/>
      <c r="E205" s="21" t="s">
        <v>920</v>
      </c>
      <c r="F205" s="3" t="s">
        <v>921</v>
      </c>
      <c r="G205" s="3" t="s">
        <v>922</v>
      </c>
      <c r="H205" s="3" t="s">
        <v>52</v>
      </c>
      <c r="I205" s="3" t="s">
        <v>52</v>
      </c>
      <c r="J205" s="3" t="s">
        <v>51</v>
      </c>
      <c r="K205" s="3" t="b">
        <v>1</v>
      </c>
      <c r="L205" s="3"/>
      <c r="M205" s="3" t="b">
        <v>1</v>
      </c>
      <c r="N205" s="3" t="b">
        <v>0</v>
      </c>
      <c r="O205" s="3" t="b">
        <v>0</v>
      </c>
    </row>
    <row r="206" spans="1:15" x14ac:dyDescent="0.3">
      <c r="A206" s="27" t="s">
        <v>2178</v>
      </c>
      <c r="B206" s="27"/>
      <c r="C206" s="27"/>
      <c r="D206" s="27"/>
      <c r="E206" s="21" t="s">
        <v>923</v>
      </c>
      <c r="F206" s="3" t="s">
        <v>924</v>
      </c>
      <c r="G206" s="3" t="s">
        <v>922</v>
      </c>
      <c r="H206" s="3" t="s">
        <v>52</v>
      </c>
      <c r="I206" s="3" t="s">
        <v>52</v>
      </c>
      <c r="J206" s="3" t="s">
        <v>51</v>
      </c>
      <c r="K206" s="3" t="b">
        <v>1</v>
      </c>
      <c r="L206" s="3"/>
      <c r="M206" s="3" t="b">
        <v>1</v>
      </c>
      <c r="N206" s="3" t="b">
        <v>0</v>
      </c>
      <c r="O206" s="3" t="b">
        <v>0</v>
      </c>
    </row>
    <row r="207" spans="1:15" x14ac:dyDescent="0.3">
      <c r="A207" s="27" t="s">
        <v>2178</v>
      </c>
      <c r="B207" s="27"/>
      <c r="C207" s="27"/>
      <c r="D207" s="27"/>
      <c r="E207" s="21" t="s">
        <v>939</v>
      </c>
      <c r="F207" s="3" t="s">
        <v>940</v>
      </c>
      <c r="G207" s="3" t="s">
        <v>922</v>
      </c>
      <c r="H207" s="3" t="s">
        <v>52</v>
      </c>
      <c r="I207" s="3" t="s">
        <v>52</v>
      </c>
      <c r="J207" s="3" t="s">
        <v>51</v>
      </c>
      <c r="K207" s="3" t="b">
        <v>1</v>
      </c>
      <c r="L207" s="3"/>
      <c r="M207" s="3" t="b">
        <v>1</v>
      </c>
      <c r="N207" s="3" t="b">
        <v>0</v>
      </c>
      <c r="O207" s="3" t="b">
        <v>0</v>
      </c>
    </row>
    <row r="208" spans="1:15" x14ac:dyDescent="0.3">
      <c r="A208" s="27" t="s">
        <v>2178</v>
      </c>
      <c r="B208" s="27"/>
      <c r="C208" s="27"/>
      <c r="D208" s="27"/>
      <c r="E208" s="21" t="s">
        <v>935</v>
      </c>
      <c r="F208" s="3" t="s">
        <v>936</v>
      </c>
      <c r="G208" s="3" t="s">
        <v>922</v>
      </c>
      <c r="H208" s="3" t="s">
        <v>52</v>
      </c>
      <c r="I208" s="3" t="s">
        <v>52</v>
      </c>
      <c r="J208" s="3" t="s">
        <v>51</v>
      </c>
      <c r="K208" s="3" t="b">
        <v>1</v>
      </c>
      <c r="L208" s="3"/>
      <c r="M208" s="3" t="b">
        <v>1</v>
      </c>
      <c r="N208" s="3" t="b">
        <v>0</v>
      </c>
      <c r="O208" s="3" t="b">
        <v>0</v>
      </c>
    </row>
    <row r="209" spans="1:15" x14ac:dyDescent="0.3">
      <c r="A209" s="27" t="s">
        <v>2178</v>
      </c>
      <c r="B209" s="27"/>
      <c r="C209" s="27"/>
      <c r="D209" s="27"/>
      <c r="E209" s="21" t="s">
        <v>1563</v>
      </c>
      <c r="F209" s="3" t="s">
        <v>1564</v>
      </c>
      <c r="G209" s="3" t="s">
        <v>922</v>
      </c>
      <c r="H209" s="3" t="s">
        <v>52</v>
      </c>
      <c r="I209" s="3" t="s">
        <v>52</v>
      </c>
      <c r="J209" s="3" t="s">
        <v>51</v>
      </c>
      <c r="K209" s="3" t="b">
        <v>1</v>
      </c>
      <c r="L209" s="3"/>
      <c r="M209" s="3" t="b">
        <v>1</v>
      </c>
      <c r="N209" s="3" t="b">
        <v>0</v>
      </c>
      <c r="O209" s="3" t="b">
        <v>0</v>
      </c>
    </row>
    <row r="210" spans="1:15" x14ac:dyDescent="0.3">
      <c r="A210" s="27" t="s">
        <v>2178</v>
      </c>
      <c r="B210" s="27"/>
      <c r="C210" s="27"/>
      <c r="D210" s="27"/>
      <c r="E210" s="21" t="s">
        <v>1503</v>
      </c>
      <c r="F210" s="3" t="s">
        <v>1507</v>
      </c>
      <c r="G210" s="3" t="s">
        <v>922</v>
      </c>
      <c r="H210" s="3" t="s">
        <v>52</v>
      </c>
      <c r="I210" s="3" t="s">
        <v>52</v>
      </c>
      <c r="J210" s="3" t="s">
        <v>51</v>
      </c>
      <c r="K210" s="3" t="b">
        <v>1</v>
      </c>
      <c r="L210" s="3"/>
      <c r="M210" s="3" t="b">
        <v>1</v>
      </c>
      <c r="N210" s="3" t="b">
        <v>0</v>
      </c>
      <c r="O210" s="3" t="b">
        <v>0</v>
      </c>
    </row>
    <row r="211" spans="1:15" x14ac:dyDescent="0.3">
      <c r="A211" s="27" t="s">
        <v>2178</v>
      </c>
      <c r="B211" s="27"/>
      <c r="C211" s="27"/>
      <c r="D211" s="27"/>
      <c r="E211" s="21" t="s">
        <v>941</v>
      </c>
      <c r="F211" s="3" t="s">
        <v>942</v>
      </c>
      <c r="G211" s="3" t="s">
        <v>922</v>
      </c>
      <c r="H211" s="3" t="s">
        <v>851</v>
      </c>
      <c r="I211" s="3" t="s">
        <v>52</v>
      </c>
      <c r="J211" s="3" t="s">
        <v>51</v>
      </c>
      <c r="K211" s="3" t="b">
        <v>1</v>
      </c>
      <c r="L211" s="3"/>
      <c r="M211" s="3" t="b">
        <v>1</v>
      </c>
      <c r="N211" s="3" t="b">
        <v>0</v>
      </c>
      <c r="O211" s="3" t="b">
        <v>0</v>
      </c>
    </row>
    <row r="212" spans="1:15" x14ac:dyDescent="0.3">
      <c r="A212" s="27" t="s">
        <v>2178</v>
      </c>
      <c r="B212" s="27"/>
      <c r="C212" s="27"/>
      <c r="D212" s="27"/>
      <c r="E212" s="21" t="s">
        <v>943</v>
      </c>
      <c r="F212" s="3" t="s">
        <v>944</v>
      </c>
      <c r="G212" s="3" t="s">
        <v>922</v>
      </c>
      <c r="H212" s="3" t="s">
        <v>851</v>
      </c>
      <c r="I212" s="3" t="s">
        <v>52</v>
      </c>
      <c r="J212" s="3" t="s">
        <v>51</v>
      </c>
      <c r="K212" s="3" t="b">
        <v>1</v>
      </c>
      <c r="L212" s="3"/>
      <c r="M212" s="3" t="b">
        <v>1</v>
      </c>
      <c r="N212" s="3" t="b">
        <v>0</v>
      </c>
      <c r="O212" s="3" t="b">
        <v>0</v>
      </c>
    </row>
    <row r="213" spans="1:15" x14ac:dyDescent="0.3">
      <c r="A213" s="27" t="s">
        <v>2178</v>
      </c>
      <c r="B213" s="27"/>
      <c r="C213" s="27"/>
      <c r="D213" s="27"/>
      <c r="E213" s="21" t="s">
        <v>945</v>
      </c>
      <c r="F213" s="3" t="s">
        <v>946</v>
      </c>
      <c r="G213" s="3" t="s">
        <v>922</v>
      </c>
      <c r="H213" s="3" t="s">
        <v>851</v>
      </c>
      <c r="I213" s="3" t="s">
        <v>52</v>
      </c>
      <c r="J213" s="3" t="s">
        <v>51</v>
      </c>
      <c r="K213" s="3" t="b">
        <v>1</v>
      </c>
      <c r="L213" s="3"/>
      <c r="M213" s="3" t="b">
        <v>1</v>
      </c>
      <c r="N213" s="3" t="b">
        <v>0</v>
      </c>
      <c r="O213" s="3" t="b">
        <v>0</v>
      </c>
    </row>
    <row r="214" spans="1:15" x14ac:dyDescent="0.3">
      <c r="A214" s="27" t="s">
        <v>2178</v>
      </c>
      <c r="B214" s="27"/>
      <c r="C214" s="27"/>
      <c r="D214" s="27"/>
      <c r="E214" s="21" t="s">
        <v>947</v>
      </c>
      <c r="F214" s="3" t="s">
        <v>948</v>
      </c>
      <c r="G214" s="3" t="s">
        <v>922</v>
      </c>
      <c r="H214" s="3" t="s">
        <v>851</v>
      </c>
      <c r="I214" s="3" t="s">
        <v>52</v>
      </c>
      <c r="J214" s="3" t="s">
        <v>51</v>
      </c>
      <c r="K214" s="3" t="b">
        <v>1</v>
      </c>
      <c r="L214" s="3"/>
      <c r="M214" s="3" t="b">
        <v>1</v>
      </c>
      <c r="N214" s="3" t="b">
        <v>0</v>
      </c>
      <c r="O214" s="3" t="b">
        <v>0</v>
      </c>
    </row>
    <row r="215" spans="1:15" x14ac:dyDescent="0.3">
      <c r="A215" s="27" t="s">
        <v>2178</v>
      </c>
      <c r="B215" s="27"/>
      <c r="C215" s="27"/>
      <c r="D215" s="27"/>
      <c r="E215" s="21" t="s">
        <v>1528</v>
      </c>
      <c r="F215" s="3" t="s">
        <v>1530</v>
      </c>
      <c r="G215" s="3" t="s">
        <v>922</v>
      </c>
      <c r="H215" s="3" t="s">
        <v>52</v>
      </c>
      <c r="I215" s="3" t="s">
        <v>52</v>
      </c>
      <c r="J215" s="3" t="s">
        <v>51</v>
      </c>
      <c r="K215" s="3" t="b">
        <v>1</v>
      </c>
      <c r="L215" s="3"/>
      <c r="M215" s="3" t="b">
        <v>1</v>
      </c>
      <c r="N215" s="3" t="b">
        <v>0</v>
      </c>
      <c r="O215" s="3" t="b">
        <v>0</v>
      </c>
    </row>
    <row r="216" spans="1:15" x14ac:dyDescent="0.3">
      <c r="A216" s="27" t="s">
        <v>2178</v>
      </c>
      <c r="B216" s="27"/>
      <c r="C216" s="27"/>
      <c r="D216" s="27"/>
      <c r="E216" s="21" t="s">
        <v>1523</v>
      </c>
      <c r="F216" s="3" t="s">
        <v>1531</v>
      </c>
      <c r="G216" s="3" t="s">
        <v>922</v>
      </c>
      <c r="H216" s="3" t="s">
        <v>52</v>
      </c>
      <c r="I216" s="3" t="s">
        <v>52</v>
      </c>
      <c r="J216" s="3" t="s">
        <v>51</v>
      </c>
      <c r="K216" s="3" t="b">
        <v>1</v>
      </c>
      <c r="L216" s="3"/>
      <c r="M216" s="3" t="b">
        <v>1</v>
      </c>
      <c r="N216" s="3" t="b">
        <v>0</v>
      </c>
      <c r="O216" s="3" t="b">
        <v>0</v>
      </c>
    </row>
    <row r="217" spans="1:15" x14ac:dyDescent="0.3">
      <c r="A217" s="27" t="s">
        <v>2178</v>
      </c>
      <c r="B217" s="27"/>
      <c r="C217" s="27"/>
      <c r="D217" s="27"/>
      <c r="E217" s="21" t="s">
        <v>1522</v>
      </c>
      <c r="F217" s="3" t="s">
        <v>1529</v>
      </c>
      <c r="G217" s="3" t="s">
        <v>922</v>
      </c>
      <c r="H217" s="3" t="s">
        <v>52</v>
      </c>
      <c r="I217" s="3" t="s">
        <v>52</v>
      </c>
      <c r="J217" s="3" t="s">
        <v>51</v>
      </c>
      <c r="K217" s="3" t="b">
        <v>1</v>
      </c>
      <c r="L217" s="3"/>
      <c r="M217" s="3" t="b">
        <v>1</v>
      </c>
      <c r="N217" s="3" t="b">
        <v>0</v>
      </c>
      <c r="O217" s="3" t="b">
        <v>0</v>
      </c>
    </row>
    <row r="218" spans="1:15" x14ac:dyDescent="0.3">
      <c r="A218" s="27" t="s">
        <v>2178</v>
      </c>
      <c r="B218" s="27"/>
      <c r="C218" s="27"/>
      <c r="D218" s="27"/>
      <c r="E218" s="12" t="s">
        <v>1621</v>
      </c>
      <c r="F218" s="3" t="s">
        <v>1622</v>
      </c>
      <c r="G218" s="3" t="s">
        <v>922</v>
      </c>
      <c r="H218" s="3" t="s">
        <v>852</v>
      </c>
      <c r="I218" s="3" t="s">
        <v>52</v>
      </c>
      <c r="J218" s="3" t="s">
        <v>51</v>
      </c>
      <c r="K218" s="3" t="b">
        <v>1</v>
      </c>
      <c r="L218" s="3"/>
      <c r="M218" s="3" t="b">
        <v>1</v>
      </c>
      <c r="N218" s="3" t="b">
        <v>0</v>
      </c>
      <c r="O218" s="3" t="b">
        <v>0</v>
      </c>
    </row>
    <row r="219" spans="1:15" x14ac:dyDescent="0.3">
      <c r="A219" s="27" t="s">
        <v>2178</v>
      </c>
      <c r="B219" s="27"/>
      <c r="C219" s="27"/>
      <c r="D219" s="27"/>
      <c r="E219" s="12" t="s">
        <v>1554</v>
      </c>
      <c r="F219" s="3" t="s">
        <v>1555</v>
      </c>
      <c r="G219" s="3" t="s">
        <v>922</v>
      </c>
      <c r="H219" s="3" t="s">
        <v>852</v>
      </c>
      <c r="I219" s="3" t="s">
        <v>52</v>
      </c>
      <c r="J219" s="3" t="s">
        <v>51</v>
      </c>
      <c r="K219" s="3" t="b">
        <v>1</v>
      </c>
      <c r="L219" s="3"/>
      <c r="M219" s="3" t="b">
        <v>1</v>
      </c>
      <c r="N219" s="3" t="b">
        <v>0</v>
      </c>
      <c r="O219" s="3" t="b">
        <v>0</v>
      </c>
    </row>
    <row r="220" spans="1:15" x14ac:dyDescent="0.3">
      <c r="A220" s="27" t="s">
        <v>2178</v>
      </c>
      <c r="B220" s="27"/>
      <c r="C220" s="27"/>
      <c r="D220" s="27"/>
      <c r="E220" s="12" t="s">
        <v>1556</v>
      </c>
      <c r="F220" s="3" t="s">
        <v>1557</v>
      </c>
      <c r="G220" s="3" t="s">
        <v>922</v>
      </c>
      <c r="H220" s="3" t="s">
        <v>852</v>
      </c>
      <c r="I220" s="3" t="s">
        <v>52</v>
      </c>
      <c r="J220" s="3" t="s">
        <v>51</v>
      </c>
      <c r="K220" s="3" t="b">
        <v>1</v>
      </c>
      <c r="L220" s="3"/>
      <c r="M220" s="3" t="b">
        <v>1</v>
      </c>
      <c r="N220" s="3" t="b">
        <v>0</v>
      </c>
      <c r="O220" s="3" t="b">
        <v>0</v>
      </c>
    </row>
    <row r="221" spans="1:15" x14ac:dyDescent="0.3">
      <c r="A221" s="27" t="s">
        <v>2178</v>
      </c>
      <c r="B221" s="27"/>
      <c r="C221" s="27"/>
      <c r="D221" s="27"/>
      <c r="E221" s="21" t="s">
        <v>971</v>
      </c>
      <c r="F221" s="3" t="s">
        <v>972</v>
      </c>
      <c r="G221" s="3" t="s">
        <v>922</v>
      </c>
      <c r="H221" s="3" t="s">
        <v>854</v>
      </c>
      <c r="I221" s="3" t="s">
        <v>52</v>
      </c>
      <c r="J221" s="3" t="s">
        <v>51</v>
      </c>
      <c r="K221" s="3" t="b">
        <v>1</v>
      </c>
      <c r="L221" s="3"/>
      <c r="M221" s="3" t="b">
        <v>1</v>
      </c>
      <c r="N221" s="3" t="b">
        <v>0</v>
      </c>
      <c r="O221" s="3" t="b">
        <v>0</v>
      </c>
    </row>
    <row r="222" spans="1:15" x14ac:dyDescent="0.3">
      <c r="A222" s="27" t="s">
        <v>2178</v>
      </c>
      <c r="B222" s="27" t="s">
        <v>1464</v>
      </c>
      <c r="C222" s="27"/>
      <c r="D222" s="27" t="s">
        <v>1630</v>
      </c>
      <c r="E222" s="21" t="s">
        <v>1758</v>
      </c>
      <c r="F222" s="3" t="s">
        <v>1553</v>
      </c>
      <c r="G222" s="3" t="s">
        <v>978</v>
      </c>
      <c r="H222" s="3" t="s">
        <v>52</v>
      </c>
      <c r="I222" s="3" t="s">
        <v>52</v>
      </c>
      <c r="J222" s="3" t="s">
        <v>51</v>
      </c>
      <c r="K222" s="3" t="b">
        <v>1</v>
      </c>
      <c r="L222" s="3"/>
      <c r="M222" s="3" t="b">
        <v>1</v>
      </c>
      <c r="N222" s="3" t="b">
        <v>0</v>
      </c>
      <c r="O222" s="3" t="b">
        <v>0</v>
      </c>
    </row>
    <row r="223" spans="1:15" x14ac:dyDescent="0.3">
      <c r="A223" s="27" t="s">
        <v>2178</v>
      </c>
      <c r="B223" s="27" t="s">
        <v>1466</v>
      </c>
      <c r="C223" s="27"/>
      <c r="D223" s="27" t="s">
        <v>1630</v>
      </c>
      <c r="E223" s="21" t="s">
        <v>1758</v>
      </c>
      <c r="F223" s="3" t="s">
        <v>1553</v>
      </c>
      <c r="G223" s="3" t="s">
        <v>978</v>
      </c>
      <c r="H223" s="3" t="s">
        <v>52</v>
      </c>
      <c r="I223" s="3" t="s">
        <v>52</v>
      </c>
      <c r="J223" s="3" t="s">
        <v>51</v>
      </c>
      <c r="K223" s="3" t="b">
        <v>1</v>
      </c>
      <c r="L223" s="3"/>
      <c r="M223" s="3" t="b">
        <v>1</v>
      </c>
      <c r="N223" s="3" t="b">
        <v>0</v>
      </c>
      <c r="O223" s="3" t="b">
        <v>0</v>
      </c>
    </row>
    <row r="224" spans="1:15" x14ac:dyDescent="0.3">
      <c r="A224" s="27" t="s">
        <v>2178</v>
      </c>
      <c r="B224" s="27" t="s">
        <v>1467</v>
      </c>
      <c r="C224" s="27"/>
      <c r="D224" s="27" t="s">
        <v>1630</v>
      </c>
      <c r="E224" s="21" t="s">
        <v>1758</v>
      </c>
      <c r="F224" s="3" t="s">
        <v>1553</v>
      </c>
      <c r="G224" s="3" t="s">
        <v>978</v>
      </c>
      <c r="H224" s="3" t="s">
        <v>52</v>
      </c>
      <c r="I224" s="3" t="s">
        <v>52</v>
      </c>
      <c r="J224" s="3" t="s">
        <v>51</v>
      </c>
      <c r="K224" s="3" t="b">
        <v>1</v>
      </c>
      <c r="L224" s="3"/>
      <c r="M224" s="3" t="b">
        <v>1</v>
      </c>
      <c r="N224" s="3" t="b">
        <v>0</v>
      </c>
      <c r="O224" s="3" t="b">
        <v>0</v>
      </c>
    </row>
    <row r="225" spans="1:15" x14ac:dyDescent="0.3">
      <c r="A225" s="27" t="s">
        <v>2178</v>
      </c>
      <c r="B225" s="27" t="s">
        <v>1468</v>
      </c>
      <c r="C225" s="27"/>
      <c r="D225" s="27" t="s">
        <v>1630</v>
      </c>
      <c r="E225" s="21" t="s">
        <v>1758</v>
      </c>
      <c r="F225" s="3" t="s">
        <v>1553</v>
      </c>
      <c r="G225" s="3" t="s">
        <v>978</v>
      </c>
      <c r="H225" s="3" t="s">
        <v>52</v>
      </c>
      <c r="I225" s="3" t="s">
        <v>52</v>
      </c>
      <c r="J225" s="3" t="s">
        <v>51</v>
      </c>
      <c r="K225" s="3" t="b">
        <v>1</v>
      </c>
      <c r="L225" s="3"/>
      <c r="M225" s="3" t="b">
        <v>1</v>
      </c>
      <c r="N225" s="3" t="b">
        <v>0</v>
      </c>
      <c r="O225" s="3" t="b">
        <v>0</v>
      </c>
    </row>
    <row r="226" spans="1:15" x14ac:dyDescent="0.3">
      <c r="A226" s="27" t="s">
        <v>2178</v>
      </c>
      <c r="B226" s="27" t="s">
        <v>1469</v>
      </c>
      <c r="C226" s="27"/>
      <c r="D226" s="27" t="s">
        <v>1630</v>
      </c>
      <c r="E226" s="21" t="s">
        <v>1758</v>
      </c>
      <c r="F226" s="3" t="s">
        <v>1553</v>
      </c>
      <c r="G226" s="3" t="s">
        <v>978</v>
      </c>
      <c r="H226" s="3" t="s">
        <v>52</v>
      </c>
      <c r="I226" s="3" t="s">
        <v>52</v>
      </c>
      <c r="J226" s="3" t="s">
        <v>51</v>
      </c>
      <c r="K226" s="3" t="b">
        <v>1</v>
      </c>
      <c r="L226" s="3"/>
      <c r="M226" s="3" t="b">
        <v>1</v>
      </c>
      <c r="N226" s="3" t="b">
        <v>0</v>
      </c>
      <c r="O226" s="3" t="b">
        <v>0</v>
      </c>
    </row>
    <row r="227" spans="1:15" x14ac:dyDescent="0.3">
      <c r="A227" s="27" t="s">
        <v>2178</v>
      </c>
      <c r="B227" s="27" t="s">
        <v>1470</v>
      </c>
      <c r="C227" s="27"/>
      <c r="D227" s="27" t="s">
        <v>1630</v>
      </c>
      <c r="E227" s="21" t="s">
        <v>1758</v>
      </c>
      <c r="F227" s="3" t="s">
        <v>1553</v>
      </c>
      <c r="G227" s="3" t="s">
        <v>978</v>
      </c>
      <c r="H227" s="3" t="s">
        <v>52</v>
      </c>
      <c r="I227" s="3" t="s">
        <v>52</v>
      </c>
      <c r="J227" s="3" t="s">
        <v>51</v>
      </c>
      <c r="K227" s="3" t="b">
        <v>1</v>
      </c>
      <c r="L227" s="3"/>
      <c r="M227" s="3" t="b">
        <v>1</v>
      </c>
      <c r="N227" s="3" t="b">
        <v>0</v>
      </c>
      <c r="O227" s="3" t="b">
        <v>0</v>
      </c>
    </row>
    <row r="228" spans="1:15" x14ac:dyDescent="0.3">
      <c r="A228" s="27" t="s">
        <v>2178</v>
      </c>
      <c r="B228" s="27" t="s">
        <v>1934</v>
      </c>
      <c r="C228" s="27"/>
      <c r="D228" s="27" t="s">
        <v>1630</v>
      </c>
      <c r="E228" s="12" t="s">
        <v>1758</v>
      </c>
      <c r="F228" s="3" t="s">
        <v>1553</v>
      </c>
      <c r="G228" s="3" t="s">
        <v>978</v>
      </c>
      <c r="H228" s="3" t="s">
        <v>52</v>
      </c>
      <c r="I228" s="3" t="s">
        <v>52</v>
      </c>
      <c r="J228" s="3" t="s">
        <v>51</v>
      </c>
      <c r="K228" s="3" t="b">
        <v>1</v>
      </c>
      <c r="L228" s="3"/>
      <c r="M228" s="3" t="b">
        <v>1</v>
      </c>
      <c r="N228" s="3" t="b">
        <v>0</v>
      </c>
      <c r="O228" s="3" t="b">
        <v>0</v>
      </c>
    </row>
    <row r="229" spans="1:15" x14ac:dyDescent="0.3">
      <c r="A229" s="27" t="s">
        <v>2178</v>
      </c>
      <c r="B229" s="27" t="s">
        <v>1935</v>
      </c>
      <c r="C229" s="27"/>
      <c r="D229" s="27" t="s">
        <v>1630</v>
      </c>
      <c r="E229" s="12" t="s">
        <v>1758</v>
      </c>
      <c r="F229" s="3" t="s">
        <v>1553</v>
      </c>
      <c r="G229" s="3" t="s">
        <v>978</v>
      </c>
      <c r="H229" s="3" t="s">
        <v>52</v>
      </c>
      <c r="I229" s="3" t="s">
        <v>52</v>
      </c>
      <c r="J229" s="3" t="s">
        <v>51</v>
      </c>
      <c r="K229" s="3" t="b">
        <v>1</v>
      </c>
      <c r="L229" s="3"/>
      <c r="M229" s="3" t="b">
        <v>1</v>
      </c>
      <c r="N229" s="3" t="b">
        <v>0</v>
      </c>
      <c r="O229" s="3" t="b">
        <v>0</v>
      </c>
    </row>
    <row r="230" spans="1:15" x14ac:dyDescent="0.3">
      <c r="A230" s="27" t="s">
        <v>2178</v>
      </c>
      <c r="B230" s="27" t="s">
        <v>1936</v>
      </c>
      <c r="C230" s="27"/>
      <c r="D230" s="27" t="s">
        <v>1630</v>
      </c>
      <c r="E230" s="12" t="s">
        <v>1758</v>
      </c>
      <c r="F230" s="3" t="s">
        <v>1553</v>
      </c>
      <c r="G230" s="3" t="s">
        <v>978</v>
      </c>
      <c r="H230" s="3" t="s">
        <v>52</v>
      </c>
      <c r="I230" s="3" t="s">
        <v>52</v>
      </c>
      <c r="J230" s="3" t="s">
        <v>51</v>
      </c>
      <c r="K230" s="3" t="b">
        <v>1</v>
      </c>
      <c r="L230" s="3"/>
      <c r="M230" s="3" t="b">
        <v>1</v>
      </c>
      <c r="N230" s="3" t="b">
        <v>0</v>
      </c>
      <c r="O230" s="3" t="b">
        <v>0</v>
      </c>
    </row>
    <row r="231" spans="1:15" x14ac:dyDescent="0.3">
      <c r="A231" s="27" t="s">
        <v>2178</v>
      </c>
      <c r="B231" s="27" t="s">
        <v>1937</v>
      </c>
      <c r="C231" s="27"/>
      <c r="D231" s="27" t="s">
        <v>1630</v>
      </c>
      <c r="E231" s="12" t="s">
        <v>1758</v>
      </c>
      <c r="F231" s="3" t="s">
        <v>1553</v>
      </c>
      <c r="G231" s="3" t="s">
        <v>978</v>
      </c>
      <c r="H231" s="3" t="s">
        <v>52</v>
      </c>
      <c r="I231" s="3" t="s">
        <v>52</v>
      </c>
      <c r="J231" s="3" t="s">
        <v>51</v>
      </c>
      <c r="K231" s="3" t="b">
        <v>1</v>
      </c>
      <c r="L231" s="3"/>
      <c r="M231" s="3" t="b">
        <v>1</v>
      </c>
      <c r="N231" s="3" t="b">
        <v>0</v>
      </c>
      <c r="O231" s="3" t="b">
        <v>0</v>
      </c>
    </row>
    <row r="232" spans="1:15" x14ac:dyDescent="0.3">
      <c r="A232" s="27" t="s">
        <v>2178</v>
      </c>
      <c r="B232" s="27" t="s">
        <v>1938</v>
      </c>
      <c r="C232" s="27"/>
      <c r="D232" s="27" t="s">
        <v>1630</v>
      </c>
      <c r="E232" s="12" t="s">
        <v>1758</v>
      </c>
      <c r="F232" s="3" t="s">
        <v>1553</v>
      </c>
      <c r="G232" s="3" t="s">
        <v>978</v>
      </c>
      <c r="H232" s="3" t="s">
        <v>52</v>
      </c>
      <c r="I232" s="3" t="s">
        <v>52</v>
      </c>
      <c r="J232" s="3" t="s">
        <v>51</v>
      </c>
      <c r="K232" s="3" t="b">
        <v>1</v>
      </c>
      <c r="L232" s="3"/>
      <c r="M232" s="3" t="b">
        <v>1</v>
      </c>
      <c r="N232" s="3" t="b">
        <v>0</v>
      </c>
      <c r="O232" s="3" t="b">
        <v>0</v>
      </c>
    </row>
    <row r="233" spans="1:15" x14ac:dyDescent="0.3">
      <c r="A233" s="27" t="s">
        <v>2178</v>
      </c>
      <c r="B233" s="27" t="s">
        <v>1939</v>
      </c>
      <c r="C233" s="27"/>
      <c r="D233" s="27" t="s">
        <v>1630</v>
      </c>
      <c r="E233" s="12" t="s">
        <v>1758</v>
      </c>
      <c r="F233" s="3" t="s">
        <v>1553</v>
      </c>
      <c r="G233" s="3" t="s">
        <v>978</v>
      </c>
      <c r="H233" s="3" t="s">
        <v>52</v>
      </c>
      <c r="I233" s="3" t="s">
        <v>52</v>
      </c>
      <c r="J233" s="3" t="s">
        <v>51</v>
      </c>
      <c r="K233" s="3" t="b">
        <v>1</v>
      </c>
      <c r="L233" s="3"/>
      <c r="M233" s="3" t="b">
        <v>1</v>
      </c>
      <c r="N233" s="3" t="b">
        <v>0</v>
      </c>
      <c r="O233" s="3" t="b">
        <v>0</v>
      </c>
    </row>
    <row r="234" spans="1:15" x14ac:dyDescent="0.3">
      <c r="A234" s="27" t="s">
        <v>2178</v>
      </c>
      <c r="B234" s="27"/>
      <c r="C234" s="27"/>
      <c r="D234" s="27"/>
      <c r="E234" s="12" t="s">
        <v>1517</v>
      </c>
      <c r="F234" s="3" t="s">
        <v>1518</v>
      </c>
      <c r="G234" s="3" t="s">
        <v>978</v>
      </c>
      <c r="H234" s="3" t="s">
        <v>52</v>
      </c>
      <c r="I234" s="3" t="s">
        <v>52</v>
      </c>
      <c r="J234" s="3" t="s">
        <v>51</v>
      </c>
      <c r="K234" s="3" t="b">
        <v>1</v>
      </c>
      <c r="L234" s="3"/>
      <c r="M234" s="3" t="b">
        <v>1</v>
      </c>
      <c r="N234" s="3" t="b">
        <v>0</v>
      </c>
      <c r="O234" s="3" t="b">
        <v>0</v>
      </c>
    </row>
    <row r="235" spans="1:15" x14ac:dyDescent="0.3">
      <c r="A235" s="27" t="s">
        <v>2178</v>
      </c>
      <c r="B235" s="27"/>
      <c r="C235" s="27"/>
      <c r="D235" s="27"/>
      <c r="E235" s="12" t="s">
        <v>1003</v>
      </c>
      <c r="F235" s="3" t="s">
        <v>1004</v>
      </c>
      <c r="G235" s="3" t="s">
        <v>978</v>
      </c>
      <c r="H235" s="3" t="s">
        <v>52</v>
      </c>
      <c r="I235" s="3" t="s">
        <v>52</v>
      </c>
      <c r="J235" s="3" t="s">
        <v>51</v>
      </c>
      <c r="K235" s="3" t="b">
        <v>1</v>
      </c>
      <c r="L235" s="3"/>
      <c r="M235" s="3" t="b">
        <v>1</v>
      </c>
      <c r="N235" s="3" t="b">
        <v>0</v>
      </c>
      <c r="O235" s="3" t="b">
        <v>0</v>
      </c>
    </row>
    <row r="236" spans="1:15" x14ac:dyDescent="0.3">
      <c r="A236" s="27" t="s">
        <v>2178</v>
      </c>
      <c r="B236" s="27" t="s">
        <v>1464</v>
      </c>
      <c r="C236" s="27"/>
      <c r="D236" s="27" t="s">
        <v>1630</v>
      </c>
      <c r="E236" s="21" t="s">
        <v>1761</v>
      </c>
      <c r="F236" s="3" t="s">
        <v>1549</v>
      </c>
      <c r="G236" s="3" t="s">
        <v>978</v>
      </c>
      <c r="H236" s="3" t="s">
        <v>52</v>
      </c>
      <c r="I236" s="3" t="s">
        <v>52</v>
      </c>
      <c r="J236" s="3" t="s">
        <v>51</v>
      </c>
      <c r="K236" s="3" t="b">
        <v>1</v>
      </c>
      <c r="L236" s="3"/>
      <c r="M236" s="3" t="b">
        <v>1</v>
      </c>
      <c r="N236" s="3" t="b">
        <v>0</v>
      </c>
      <c r="O236" s="3" t="b">
        <v>0</v>
      </c>
    </row>
    <row r="237" spans="1:15" x14ac:dyDescent="0.3">
      <c r="A237" s="27" t="s">
        <v>2178</v>
      </c>
      <c r="B237" s="27" t="s">
        <v>1466</v>
      </c>
      <c r="C237" s="27"/>
      <c r="D237" s="27" t="s">
        <v>1630</v>
      </c>
      <c r="E237" s="21" t="s">
        <v>1761</v>
      </c>
      <c r="F237" s="3" t="s">
        <v>1549</v>
      </c>
      <c r="G237" s="3" t="s">
        <v>978</v>
      </c>
      <c r="H237" s="3" t="s">
        <v>52</v>
      </c>
      <c r="I237" s="3" t="s">
        <v>52</v>
      </c>
      <c r="J237" s="3" t="s">
        <v>51</v>
      </c>
      <c r="K237" s="3" t="b">
        <v>1</v>
      </c>
      <c r="L237" s="3"/>
      <c r="M237" s="3" t="b">
        <v>1</v>
      </c>
      <c r="N237" s="3" t="b">
        <v>0</v>
      </c>
      <c r="O237" s="3" t="b">
        <v>0</v>
      </c>
    </row>
    <row r="238" spans="1:15" x14ac:dyDescent="0.3">
      <c r="A238" s="27" t="s">
        <v>2178</v>
      </c>
      <c r="B238" s="27" t="s">
        <v>1467</v>
      </c>
      <c r="C238" s="27"/>
      <c r="D238" s="27" t="s">
        <v>1630</v>
      </c>
      <c r="E238" s="21" t="s">
        <v>1761</v>
      </c>
      <c r="F238" s="3" t="s">
        <v>1549</v>
      </c>
      <c r="G238" s="3" t="s">
        <v>978</v>
      </c>
      <c r="H238" s="3" t="s">
        <v>52</v>
      </c>
      <c r="I238" s="3" t="s">
        <v>52</v>
      </c>
      <c r="J238" s="3" t="s">
        <v>51</v>
      </c>
      <c r="K238" s="3" t="b">
        <v>1</v>
      </c>
      <c r="L238" s="3"/>
      <c r="M238" s="3" t="b">
        <v>1</v>
      </c>
      <c r="N238" s="3" t="b">
        <v>0</v>
      </c>
      <c r="O238" s="3" t="b">
        <v>0</v>
      </c>
    </row>
    <row r="239" spans="1:15" x14ac:dyDescent="0.3">
      <c r="A239" s="27" t="s">
        <v>2178</v>
      </c>
      <c r="B239" s="27" t="s">
        <v>1468</v>
      </c>
      <c r="C239" s="27"/>
      <c r="D239" s="27" t="s">
        <v>1630</v>
      </c>
      <c r="E239" s="21" t="s">
        <v>1761</v>
      </c>
      <c r="F239" s="3" t="s">
        <v>1549</v>
      </c>
      <c r="G239" s="3" t="s">
        <v>978</v>
      </c>
      <c r="H239" s="3" t="s">
        <v>52</v>
      </c>
      <c r="I239" s="3" t="s">
        <v>52</v>
      </c>
      <c r="J239" s="3" t="s">
        <v>51</v>
      </c>
      <c r="K239" s="3" t="b">
        <v>1</v>
      </c>
      <c r="L239" s="3"/>
      <c r="M239" s="3" t="b">
        <v>1</v>
      </c>
      <c r="N239" s="3" t="b">
        <v>0</v>
      </c>
      <c r="O239" s="3" t="b">
        <v>0</v>
      </c>
    </row>
    <row r="240" spans="1:15" x14ac:dyDescent="0.3">
      <c r="A240" s="27" t="s">
        <v>2178</v>
      </c>
      <c r="B240" s="27" t="s">
        <v>1469</v>
      </c>
      <c r="C240" s="27"/>
      <c r="D240" s="27" t="s">
        <v>1630</v>
      </c>
      <c r="E240" s="21" t="s">
        <v>1761</v>
      </c>
      <c r="F240" s="3" t="s">
        <v>1549</v>
      </c>
      <c r="G240" s="3" t="s">
        <v>978</v>
      </c>
      <c r="H240" s="3" t="s">
        <v>52</v>
      </c>
      <c r="I240" s="3" t="s">
        <v>52</v>
      </c>
      <c r="J240" s="3" t="s">
        <v>51</v>
      </c>
      <c r="K240" s="3" t="b">
        <v>1</v>
      </c>
      <c r="L240" s="3"/>
      <c r="M240" s="3" t="b">
        <v>1</v>
      </c>
      <c r="N240" s="3" t="b">
        <v>0</v>
      </c>
      <c r="O240" s="3" t="b">
        <v>0</v>
      </c>
    </row>
    <row r="241" spans="1:15" x14ac:dyDescent="0.3">
      <c r="A241" s="27" t="s">
        <v>2178</v>
      </c>
      <c r="B241" s="27" t="s">
        <v>1470</v>
      </c>
      <c r="C241" s="27"/>
      <c r="D241" s="27" t="s">
        <v>1630</v>
      </c>
      <c r="E241" s="21" t="s">
        <v>1761</v>
      </c>
      <c r="F241" s="3" t="s">
        <v>1549</v>
      </c>
      <c r="G241" s="3" t="s">
        <v>978</v>
      </c>
      <c r="H241" s="3" t="s">
        <v>52</v>
      </c>
      <c r="I241" s="3" t="s">
        <v>52</v>
      </c>
      <c r="J241" s="3" t="s">
        <v>51</v>
      </c>
      <c r="K241" s="3" t="b">
        <v>1</v>
      </c>
      <c r="L241" s="3"/>
      <c r="M241" s="3" t="b">
        <v>1</v>
      </c>
      <c r="N241" s="3" t="b">
        <v>0</v>
      </c>
      <c r="O241" s="3" t="b">
        <v>0</v>
      </c>
    </row>
    <row r="242" spans="1:15" x14ac:dyDescent="0.3">
      <c r="A242" s="27" t="s">
        <v>2178</v>
      </c>
      <c r="B242" s="27" t="s">
        <v>1934</v>
      </c>
      <c r="C242" s="27"/>
      <c r="D242" s="27" t="s">
        <v>1630</v>
      </c>
      <c r="E242" s="12" t="s">
        <v>1761</v>
      </c>
      <c r="F242" s="3" t="s">
        <v>1549</v>
      </c>
      <c r="G242" s="3" t="s">
        <v>978</v>
      </c>
      <c r="H242" s="3" t="s">
        <v>52</v>
      </c>
      <c r="I242" s="3" t="s">
        <v>52</v>
      </c>
      <c r="J242" s="3" t="s">
        <v>51</v>
      </c>
      <c r="K242" s="3" t="b">
        <v>1</v>
      </c>
      <c r="L242" s="3"/>
      <c r="M242" s="3" t="b">
        <v>1</v>
      </c>
      <c r="N242" s="3" t="b">
        <v>0</v>
      </c>
      <c r="O242" s="3" t="b">
        <v>0</v>
      </c>
    </row>
    <row r="243" spans="1:15" x14ac:dyDescent="0.3">
      <c r="A243" s="27" t="s">
        <v>2178</v>
      </c>
      <c r="B243" s="27" t="s">
        <v>1935</v>
      </c>
      <c r="C243" s="27"/>
      <c r="D243" s="27" t="s">
        <v>1630</v>
      </c>
      <c r="E243" s="12" t="s">
        <v>1761</v>
      </c>
      <c r="F243" s="3" t="s">
        <v>1549</v>
      </c>
      <c r="G243" s="3" t="s">
        <v>978</v>
      </c>
      <c r="H243" s="3" t="s">
        <v>52</v>
      </c>
      <c r="I243" s="3" t="s">
        <v>52</v>
      </c>
      <c r="J243" s="3" t="s">
        <v>51</v>
      </c>
      <c r="K243" s="3" t="b">
        <v>1</v>
      </c>
      <c r="L243" s="3"/>
      <c r="M243" s="3" t="b">
        <v>1</v>
      </c>
      <c r="N243" s="3" t="b">
        <v>0</v>
      </c>
      <c r="O243" s="3" t="b">
        <v>0</v>
      </c>
    </row>
    <row r="244" spans="1:15" x14ac:dyDescent="0.3">
      <c r="A244" s="27" t="s">
        <v>2178</v>
      </c>
      <c r="B244" s="27" t="s">
        <v>1936</v>
      </c>
      <c r="C244" s="27"/>
      <c r="D244" s="27" t="s">
        <v>1630</v>
      </c>
      <c r="E244" s="12" t="s">
        <v>1761</v>
      </c>
      <c r="F244" s="3" t="s">
        <v>1549</v>
      </c>
      <c r="G244" s="3" t="s">
        <v>978</v>
      </c>
      <c r="H244" s="3" t="s">
        <v>52</v>
      </c>
      <c r="I244" s="3" t="s">
        <v>52</v>
      </c>
      <c r="J244" s="3" t="s">
        <v>51</v>
      </c>
      <c r="K244" s="3" t="b">
        <v>1</v>
      </c>
      <c r="L244" s="3"/>
      <c r="M244" s="3" t="b">
        <v>1</v>
      </c>
      <c r="N244" s="3" t="b">
        <v>0</v>
      </c>
      <c r="O244" s="3" t="b">
        <v>0</v>
      </c>
    </row>
    <row r="245" spans="1:15" x14ac:dyDescent="0.3">
      <c r="A245" s="27" t="s">
        <v>2178</v>
      </c>
      <c r="B245" s="27" t="s">
        <v>1937</v>
      </c>
      <c r="C245" s="27"/>
      <c r="D245" s="27" t="s">
        <v>1630</v>
      </c>
      <c r="E245" s="12" t="s">
        <v>1761</v>
      </c>
      <c r="F245" s="3" t="s">
        <v>1549</v>
      </c>
      <c r="G245" s="3" t="s">
        <v>978</v>
      </c>
      <c r="H245" s="3" t="s">
        <v>52</v>
      </c>
      <c r="I245" s="3" t="s">
        <v>52</v>
      </c>
      <c r="J245" s="3" t="s">
        <v>51</v>
      </c>
      <c r="K245" s="3" t="b">
        <v>1</v>
      </c>
      <c r="L245" s="3"/>
      <c r="M245" s="3" t="b">
        <v>1</v>
      </c>
      <c r="N245" s="3" t="b">
        <v>0</v>
      </c>
      <c r="O245" s="3" t="b">
        <v>0</v>
      </c>
    </row>
    <row r="246" spans="1:15" x14ac:dyDescent="0.3">
      <c r="A246" s="27" t="s">
        <v>2178</v>
      </c>
      <c r="B246" s="27" t="s">
        <v>1938</v>
      </c>
      <c r="C246" s="27"/>
      <c r="D246" s="27" t="s">
        <v>1630</v>
      </c>
      <c r="E246" s="12" t="s">
        <v>1761</v>
      </c>
      <c r="F246" s="3" t="s">
        <v>1549</v>
      </c>
      <c r="G246" s="3" t="s">
        <v>978</v>
      </c>
      <c r="H246" s="3" t="s">
        <v>52</v>
      </c>
      <c r="I246" s="3" t="s">
        <v>52</v>
      </c>
      <c r="J246" s="3" t="s">
        <v>51</v>
      </c>
      <c r="K246" s="3" t="b">
        <v>1</v>
      </c>
      <c r="L246" s="3"/>
      <c r="M246" s="3" t="b">
        <v>1</v>
      </c>
      <c r="N246" s="3" t="b">
        <v>0</v>
      </c>
      <c r="O246" s="3" t="b">
        <v>0</v>
      </c>
    </row>
    <row r="247" spans="1:15" x14ac:dyDescent="0.3">
      <c r="A247" s="27" t="s">
        <v>2178</v>
      </c>
      <c r="B247" s="27" t="s">
        <v>1939</v>
      </c>
      <c r="C247" s="27"/>
      <c r="D247" s="27" t="s">
        <v>1630</v>
      </c>
      <c r="E247" s="12" t="s">
        <v>1761</v>
      </c>
      <c r="F247" s="3" t="s">
        <v>1549</v>
      </c>
      <c r="G247" s="3" t="s">
        <v>978</v>
      </c>
      <c r="H247" s="3" t="s">
        <v>52</v>
      </c>
      <c r="I247" s="3" t="s">
        <v>52</v>
      </c>
      <c r="J247" s="3" t="s">
        <v>51</v>
      </c>
      <c r="K247" s="3" t="b">
        <v>1</v>
      </c>
      <c r="L247" s="3"/>
      <c r="M247" s="3" t="b">
        <v>1</v>
      </c>
      <c r="N247" s="3" t="b">
        <v>0</v>
      </c>
      <c r="O247" s="3" t="b">
        <v>0</v>
      </c>
    </row>
    <row r="248" spans="1:15" x14ac:dyDescent="0.3">
      <c r="A248" s="27" t="s">
        <v>2178</v>
      </c>
      <c r="B248" s="27"/>
      <c r="C248" s="27"/>
      <c r="D248" s="27"/>
      <c r="E248" s="21" t="s">
        <v>1017</v>
      </c>
      <c r="F248" s="3" t="s">
        <v>1018</v>
      </c>
      <c r="G248" s="3" t="s">
        <v>978</v>
      </c>
      <c r="H248" s="3" t="s">
        <v>52</v>
      </c>
      <c r="I248" s="3" t="s">
        <v>52</v>
      </c>
      <c r="J248" s="3" t="s">
        <v>51</v>
      </c>
      <c r="K248" s="3" t="b">
        <v>1</v>
      </c>
      <c r="L248" s="3"/>
      <c r="M248" s="3" t="b">
        <v>1</v>
      </c>
      <c r="N248" s="3" t="b">
        <v>0</v>
      </c>
      <c r="O248" s="3" t="b">
        <v>0</v>
      </c>
    </row>
    <row r="249" spans="1:15" x14ac:dyDescent="0.3">
      <c r="A249" s="27" t="s">
        <v>2178</v>
      </c>
      <c r="B249" s="27"/>
      <c r="C249" s="27"/>
      <c r="D249" s="27"/>
      <c r="E249" s="21" t="s">
        <v>1019</v>
      </c>
      <c r="F249" s="3" t="s">
        <v>1020</v>
      </c>
      <c r="G249" s="3" t="s">
        <v>978</v>
      </c>
      <c r="H249" s="3" t="s">
        <v>52</v>
      </c>
      <c r="I249" s="3" t="s">
        <v>52</v>
      </c>
      <c r="J249" s="3" t="s">
        <v>51</v>
      </c>
      <c r="K249" s="3" t="b">
        <v>1</v>
      </c>
      <c r="L249" s="3"/>
      <c r="M249" s="3" t="b">
        <v>1</v>
      </c>
      <c r="N249" s="3" t="b">
        <v>0</v>
      </c>
      <c r="O249" s="3" t="b">
        <v>0</v>
      </c>
    </row>
    <row r="250" spans="1:15" x14ac:dyDescent="0.3">
      <c r="A250" s="27" t="s">
        <v>2178</v>
      </c>
      <c r="B250" s="27"/>
      <c r="C250" s="27"/>
      <c r="D250" s="27"/>
      <c r="E250" s="21" t="s">
        <v>1023</v>
      </c>
      <c r="F250" s="3" t="s">
        <v>1024</v>
      </c>
      <c r="G250" s="3" t="s">
        <v>978</v>
      </c>
      <c r="H250" s="3" t="s">
        <v>52</v>
      </c>
      <c r="I250" s="3" t="s">
        <v>52</v>
      </c>
      <c r="J250" s="3" t="s">
        <v>51</v>
      </c>
      <c r="K250" s="3" t="b">
        <v>1</v>
      </c>
      <c r="L250" s="3"/>
      <c r="M250" s="3" t="b">
        <v>1</v>
      </c>
      <c r="N250" s="3" t="b">
        <v>0</v>
      </c>
      <c r="O250" s="3" t="b">
        <v>0</v>
      </c>
    </row>
    <row r="251" spans="1:15" x14ac:dyDescent="0.3">
      <c r="A251" s="27" t="s">
        <v>2178</v>
      </c>
      <c r="B251" s="27"/>
      <c r="C251" s="27"/>
      <c r="D251" s="27"/>
      <c r="E251" s="12" t="s">
        <v>1575</v>
      </c>
      <c r="F251" s="3" t="s">
        <v>1576</v>
      </c>
      <c r="G251" s="3" t="s">
        <v>978</v>
      </c>
      <c r="H251" s="3" t="s">
        <v>52</v>
      </c>
      <c r="I251" s="3" t="s">
        <v>52</v>
      </c>
      <c r="J251" s="3" t="s">
        <v>51</v>
      </c>
      <c r="K251" s="3" t="b">
        <v>1</v>
      </c>
      <c r="L251" s="3"/>
      <c r="M251" s="3" t="b">
        <v>1</v>
      </c>
      <c r="N251" s="3" t="b">
        <v>0</v>
      </c>
      <c r="O251" s="3" t="b">
        <v>0</v>
      </c>
    </row>
    <row r="252" spans="1:15" x14ac:dyDescent="0.3">
      <c r="A252" s="27" t="s">
        <v>2178</v>
      </c>
      <c r="B252" s="27"/>
      <c r="C252" s="27"/>
      <c r="D252" s="27"/>
      <c r="E252" s="12" t="s">
        <v>1573</v>
      </c>
      <c r="F252" s="3" t="s">
        <v>1574</v>
      </c>
      <c r="G252" s="3" t="s">
        <v>978</v>
      </c>
      <c r="H252" s="3" t="s">
        <v>52</v>
      </c>
      <c r="I252" s="3" t="s">
        <v>52</v>
      </c>
      <c r="J252" s="3" t="s">
        <v>51</v>
      </c>
      <c r="K252" s="3" t="b">
        <v>1</v>
      </c>
      <c r="L252" s="3"/>
      <c r="M252" s="3" t="b">
        <v>1</v>
      </c>
      <c r="N252" s="3" t="b">
        <v>0</v>
      </c>
      <c r="O252" s="3" t="b">
        <v>0</v>
      </c>
    </row>
    <row r="253" spans="1:15" x14ac:dyDescent="0.3">
      <c r="A253" s="27" t="s">
        <v>2177</v>
      </c>
      <c r="B253" s="27"/>
      <c r="C253" s="27"/>
      <c r="D253" s="27"/>
      <c r="E253" s="21" t="s">
        <v>914</v>
      </c>
      <c r="F253" s="3" t="s">
        <v>915</v>
      </c>
      <c r="G253" s="3" t="s">
        <v>900</v>
      </c>
      <c r="H253" s="3" t="s">
        <v>52</v>
      </c>
      <c r="I253" s="3" t="s">
        <v>52</v>
      </c>
      <c r="J253" s="3" t="s">
        <v>51</v>
      </c>
      <c r="K253" s="3" t="b">
        <v>1</v>
      </c>
      <c r="L253" s="3"/>
      <c r="M253" s="3" t="b">
        <v>1</v>
      </c>
      <c r="N253" s="3" t="b">
        <v>0</v>
      </c>
      <c r="O253" s="3" t="b">
        <v>0</v>
      </c>
    </row>
    <row r="254" spans="1:15" x14ac:dyDescent="0.3">
      <c r="A254" s="27" t="s">
        <v>2177</v>
      </c>
      <c r="B254" s="27"/>
      <c r="C254" s="27"/>
      <c r="D254" s="27"/>
      <c r="E254" s="21" t="s">
        <v>912</v>
      </c>
      <c r="F254" s="3" t="s">
        <v>913</v>
      </c>
      <c r="G254" s="3" t="s">
        <v>900</v>
      </c>
      <c r="H254" s="3" t="s">
        <v>52</v>
      </c>
      <c r="I254" s="3" t="s">
        <v>52</v>
      </c>
      <c r="J254" s="3" t="s">
        <v>51</v>
      </c>
      <c r="K254" s="3" t="b">
        <v>1</v>
      </c>
      <c r="L254" s="3"/>
      <c r="M254" s="3" t="b">
        <v>1</v>
      </c>
      <c r="N254" s="3" t="b">
        <v>0</v>
      </c>
      <c r="O254" s="3" t="b">
        <v>0</v>
      </c>
    </row>
    <row r="255" spans="1:15" x14ac:dyDescent="0.3">
      <c r="A255" s="27" t="s">
        <v>2177</v>
      </c>
      <c r="B255" s="27"/>
      <c r="C255" s="27"/>
      <c r="D255" s="27"/>
      <c r="E255" s="21" t="s">
        <v>925</v>
      </c>
      <c r="F255" s="3" t="s">
        <v>926</v>
      </c>
      <c r="G255" s="3" t="s">
        <v>922</v>
      </c>
      <c r="H255" s="3" t="s">
        <v>52</v>
      </c>
      <c r="I255" s="3" t="s">
        <v>52</v>
      </c>
      <c r="J255" s="3" t="s">
        <v>51</v>
      </c>
      <c r="K255" s="3" t="b">
        <v>1</v>
      </c>
      <c r="L255" s="3"/>
      <c r="M255" s="3" t="b">
        <v>1</v>
      </c>
      <c r="N255" s="3" t="b">
        <v>0</v>
      </c>
      <c r="O255" s="3" t="b">
        <v>0</v>
      </c>
    </row>
    <row r="256" spans="1:15" x14ac:dyDescent="0.3">
      <c r="A256" s="27" t="s">
        <v>2177</v>
      </c>
      <c r="B256" s="27"/>
      <c r="C256" s="27"/>
      <c r="D256" s="27"/>
      <c r="E256" s="21" t="s">
        <v>939</v>
      </c>
      <c r="F256" s="3" t="s">
        <v>940</v>
      </c>
      <c r="G256" s="3" t="s">
        <v>922</v>
      </c>
      <c r="H256" s="3" t="s">
        <v>52</v>
      </c>
      <c r="I256" s="3" t="s">
        <v>52</v>
      </c>
      <c r="J256" s="3" t="s">
        <v>51</v>
      </c>
      <c r="K256" s="3" t="b">
        <v>1</v>
      </c>
      <c r="L256" s="3"/>
      <c r="M256" s="3" t="b">
        <v>1</v>
      </c>
      <c r="N256" s="3" t="b">
        <v>0</v>
      </c>
      <c r="O256" s="3" t="b">
        <v>0</v>
      </c>
    </row>
    <row r="257" spans="1:15" x14ac:dyDescent="0.3">
      <c r="A257" s="27" t="s">
        <v>2177</v>
      </c>
      <c r="B257" s="27"/>
      <c r="C257" s="27"/>
      <c r="D257" s="27"/>
      <c r="E257" s="21" t="s">
        <v>935</v>
      </c>
      <c r="F257" s="3" t="s">
        <v>936</v>
      </c>
      <c r="G257" s="3" t="s">
        <v>922</v>
      </c>
      <c r="H257" s="3" t="s">
        <v>52</v>
      </c>
      <c r="I257" s="3" t="s">
        <v>52</v>
      </c>
      <c r="J257" s="3" t="s">
        <v>51</v>
      </c>
      <c r="K257" s="3" t="b">
        <v>1</v>
      </c>
      <c r="L257" s="3"/>
      <c r="M257" s="3" t="b">
        <v>1</v>
      </c>
      <c r="N257" s="3" t="b">
        <v>0</v>
      </c>
      <c r="O257" s="3" t="b">
        <v>0</v>
      </c>
    </row>
    <row r="258" spans="1:15" x14ac:dyDescent="0.3">
      <c r="A258" s="27" t="s">
        <v>2177</v>
      </c>
      <c r="B258" s="27"/>
      <c r="C258" s="27"/>
      <c r="D258" s="27"/>
      <c r="E258" s="21" t="s">
        <v>1563</v>
      </c>
      <c r="F258" s="3" t="s">
        <v>1564</v>
      </c>
      <c r="G258" s="3" t="s">
        <v>922</v>
      </c>
      <c r="H258" s="3" t="s">
        <v>52</v>
      </c>
      <c r="I258" s="3" t="s">
        <v>52</v>
      </c>
      <c r="J258" s="3" t="s">
        <v>51</v>
      </c>
      <c r="K258" s="3" t="b">
        <v>1</v>
      </c>
      <c r="L258" s="3"/>
      <c r="M258" s="3" t="b">
        <v>1</v>
      </c>
      <c r="N258" s="3" t="b">
        <v>0</v>
      </c>
      <c r="O258" s="3" t="b">
        <v>0</v>
      </c>
    </row>
    <row r="259" spans="1:15" x14ac:dyDescent="0.3">
      <c r="A259" s="27" t="s">
        <v>2177</v>
      </c>
      <c r="B259" s="27"/>
      <c r="C259" s="27"/>
      <c r="D259" s="27"/>
      <c r="E259" s="21" t="s">
        <v>1503</v>
      </c>
      <c r="F259" s="3" t="s">
        <v>1507</v>
      </c>
      <c r="G259" s="3" t="s">
        <v>922</v>
      </c>
      <c r="H259" s="3" t="s">
        <v>52</v>
      </c>
      <c r="I259" s="3" t="s">
        <v>52</v>
      </c>
      <c r="J259" s="3" t="s">
        <v>51</v>
      </c>
      <c r="K259" s="3" t="b">
        <v>1</v>
      </c>
      <c r="L259" s="3"/>
      <c r="M259" s="3" t="b">
        <v>1</v>
      </c>
      <c r="N259" s="3" t="b">
        <v>0</v>
      </c>
      <c r="O259" s="3" t="b">
        <v>0</v>
      </c>
    </row>
    <row r="260" spans="1:15" x14ac:dyDescent="0.3">
      <c r="A260" s="27" t="s">
        <v>2177</v>
      </c>
      <c r="B260" s="27"/>
      <c r="C260" s="27"/>
      <c r="D260" s="27"/>
      <c r="E260" s="21" t="s">
        <v>949</v>
      </c>
      <c r="F260" s="3" t="s">
        <v>950</v>
      </c>
      <c r="G260" s="3" t="s">
        <v>922</v>
      </c>
      <c r="H260" s="3" t="s">
        <v>851</v>
      </c>
      <c r="I260" s="3" t="s">
        <v>52</v>
      </c>
      <c r="J260" s="3" t="s">
        <v>51</v>
      </c>
      <c r="K260" s="3" t="b">
        <v>1</v>
      </c>
      <c r="L260" s="3"/>
      <c r="M260" s="3" t="b">
        <v>1</v>
      </c>
      <c r="N260" s="3" t="b">
        <v>0</v>
      </c>
      <c r="O260" s="3" t="b">
        <v>0</v>
      </c>
    </row>
    <row r="261" spans="1:15" x14ac:dyDescent="0.3">
      <c r="A261" s="27" t="s">
        <v>2177</v>
      </c>
      <c r="B261" s="27"/>
      <c r="C261" s="27"/>
      <c r="D261" s="27"/>
      <c r="E261" s="21" t="s">
        <v>951</v>
      </c>
      <c r="F261" s="3" t="s">
        <v>952</v>
      </c>
      <c r="G261" s="3" t="s">
        <v>922</v>
      </c>
      <c r="H261" s="3" t="s">
        <v>851</v>
      </c>
      <c r="I261" s="3" t="s">
        <v>52</v>
      </c>
      <c r="J261" s="3" t="s">
        <v>51</v>
      </c>
      <c r="K261" s="3" t="b">
        <v>1</v>
      </c>
      <c r="L261" s="3"/>
      <c r="M261" s="3" t="b">
        <v>1</v>
      </c>
      <c r="N261" s="3" t="b">
        <v>0</v>
      </c>
      <c r="O261" s="3" t="b">
        <v>0</v>
      </c>
    </row>
    <row r="262" spans="1:15" x14ac:dyDescent="0.3">
      <c r="A262" s="27" t="s">
        <v>2177</v>
      </c>
      <c r="B262" s="27"/>
      <c r="C262" s="27"/>
      <c r="D262" s="27"/>
      <c r="E262" s="21" t="s">
        <v>953</v>
      </c>
      <c r="F262" s="3" t="s">
        <v>954</v>
      </c>
      <c r="G262" s="3" t="s">
        <v>922</v>
      </c>
      <c r="H262" s="3" t="s">
        <v>851</v>
      </c>
      <c r="I262" s="3" t="s">
        <v>52</v>
      </c>
      <c r="J262" s="3" t="s">
        <v>51</v>
      </c>
      <c r="K262" s="3" t="b">
        <v>1</v>
      </c>
      <c r="L262" s="3"/>
      <c r="M262" s="3" t="b">
        <v>1</v>
      </c>
      <c r="N262" s="3" t="b">
        <v>0</v>
      </c>
      <c r="O262" s="3" t="b">
        <v>0</v>
      </c>
    </row>
    <row r="263" spans="1:15" x14ac:dyDescent="0.3">
      <c r="A263" s="27" t="s">
        <v>2177</v>
      </c>
      <c r="B263" s="27"/>
      <c r="C263" s="27"/>
      <c r="D263" s="27"/>
      <c r="E263" s="21" t="s">
        <v>955</v>
      </c>
      <c r="F263" s="3" t="s">
        <v>956</v>
      </c>
      <c r="G263" s="3" t="s">
        <v>922</v>
      </c>
      <c r="H263" s="3" t="s">
        <v>851</v>
      </c>
      <c r="I263" s="3" t="s">
        <v>52</v>
      </c>
      <c r="J263" s="3" t="s">
        <v>51</v>
      </c>
      <c r="K263" s="3" t="b">
        <v>1</v>
      </c>
      <c r="L263" s="3"/>
      <c r="M263" s="3" t="b">
        <v>1</v>
      </c>
      <c r="N263" s="3" t="b">
        <v>0</v>
      </c>
      <c r="O263" s="3" t="b">
        <v>0</v>
      </c>
    </row>
    <row r="264" spans="1:15" x14ac:dyDescent="0.3">
      <c r="A264" s="27" t="s">
        <v>2177</v>
      </c>
      <c r="B264" s="27"/>
      <c r="C264" s="27"/>
      <c r="D264" s="27"/>
      <c r="E264" s="21" t="s">
        <v>1524</v>
      </c>
      <c r="F264" s="3" t="s">
        <v>1532</v>
      </c>
      <c r="G264" s="3" t="s">
        <v>922</v>
      </c>
      <c r="H264" s="3" t="s">
        <v>52</v>
      </c>
      <c r="I264" s="3" t="s">
        <v>52</v>
      </c>
      <c r="J264" s="3" t="s">
        <v>51</v>
      </c>
      <c r="K264" s="3" t="b">
        <v>1</v>
      </c>
      <c r="L264" s="3"/>
      <c r="M264" s="3" t="b">
        <v>1</v>
      </c>
      <c r="N264" s="3" t="b">
        <v>0</v>
      </c>
      <c r="O264" s="3" t="b">
        <v>0</v>
      </c>
    </row>
    <row r="265" spans="1:15" x14ac:dyDescent="0.3">
      <c r="A265" s="27" t="s">
        <v>2177</v>
      </c>
      <c r="B265" s="27"/>
      <c r="C265" s="27"/>
      <c r="D265" s="27"/>
      <c r="E265" s="21" t="s">
        <v>971</v>
      </c>
      <c r="F265" s="3" t="s">
        <v>972</v>
      </c>
      <c r="G265" s="3" t="s">
        <v>922</v>
      </c>
      <c r="H265" s="3" t="s">
        <v>854</v>
      </c>
      <c r="I265" s="3" t="s">
        <v>52</v>
      </c>
      <c r="J265" s="3" t="s">
        <v>51</v>
      </c>
      <c r="K265" s="3" t="b">
        <v>1</v>
      </c>
      <c r="L265" s="3"/>
      <c r="M265" s="3" t="b">
        <v>1</v>
      </c>
      <c r="N265" s="3" t="b">
        <v>0</v>
      </c>
      <c r="O265" s="3" t="b">
        <v>0</v>
      </c>
    </row>
    <row r="266" spans="1:15" x14ac:dyDescent="0.3">
      <c r="A266" s="27" t="s">
        <v>2177</v>
      </c>
      <c r="B266" s="27" t="s">
        <v>1464</v>
      </c>
      <c r="C266" s="27"/>
      <c r="D266" s="27" t="s">
        <v>1630</v>
      </c>
      <c r="E266" s="21" t="s">
        <v>1758</v>
      </c>
      <c r="F266" s="3" t="s">
        <v>1553</v>
      </c>
      <c r="G266" s="3" t="s">
        <v>978</v>
      </c>
      <c r="H266" s="3" t="s">
        <v>52</v>
      </c>
      <c r="I266" s="3" t="s">
        <v>52</v>
      </c>
      <c r="J266" s="3" t="s">
        <v>51</v>
      </c>
      <c r="K266" s="3" t="b">
        <v>1</v>
      </c>
      <c r="L266" s="3"/>
      <c r="M266" s="3" t="b">
        <v>1</v>
      </c>
      <c r="N266" s="3" t="b">
        <v>0</v>
      </c>
      <c r="O266" s="3" t="b">
        <v>0</v>
      </c>
    </row>
    <row r="267" spans="1:15" x14ac:dyDescent="0.3">
      <c r="A267" s="27" t="s">
        <v>2177</v>
      </c>
      <c r="B267" s="27" t="s">
        <v>1466</v>
      </c>
      <c r="C267" s="27"/>
      <c r="D267" s="27" t="s">
        <v>1630</v>
      </c>
      <c r="E267" s="21" t="s">
        <v>1758</v>
      </c>
      <c r="F267" s="3" t="s">
        <v>1553</v>
      </c>
      <c r="G267" s="3" t="s">
        <v>978</v>
      </c>
      <c r="H267" s="3" t="s">
        <v>52</v>
      </c>
      <c r="I267" s="3" t="s">
        <v>52</v>
      </c>
      <c r="J267" s="3" t="s">
        <v>51</v>
      </c>
      <c r="K267" s="3" t="b">
        <v>1</v>
      </c>
      <c r="L267" s="3"/>
      <c r="M267" s="3" t="b">
        <v>1</v>
      </c>
      <c r="N267" s="3" t="b">
        <v>0</v>
      </c>
      <c r="O267" s="3" t="b">
        <v>0</v>
      </c>
    </row>
    <row r="268" spans="1:15" x14ac:dyDescent="0.3">
      <c r="A268" s="27" t="s">
        <v>2177</v>
      </c>
      <c r="B268" s="27" t="s">
        <v>1467</v>
      </c>
      <c r="C268" s="27"/>
      <c r="D268" s="27" t="s">
        <v>1630</v>
      </c>
      <c r="E268" s="21" t="s">
        <v>1758</v>
      </c>
      <c r="F268" s="3" t="s">
        <v>1553</v>
      </c>
      <c r="G268" s="3" t="s">
        <v>978</v>
      </c>
      <c r="H268" s="3" t="s">
        <v>52</v>
      </c>
      <c r="I268" s="3" t="s">
        <v>52</v>
      </c>
      <c r="J268" s="3" t="s">
        <v>51</v>
      </c>
      <c r="K268" s="3" t="b">
        <v>1</v>
      </c>
      <c r="L268" s="3"/>
      <c r="M268" s="3" t="b">
        <v>1</v>
      </c>
      <c r="N268" s="3" t="b">
        <v>0</v>
      </c>
      <c r="O268" s="3" t="b">
        <v>0</v>
      </c>
    </row>
    <row r="269" spans="1:15" x14ac:dyDescent="0.3">
      <c r="A269" s="27" t="s">
        <v>2177</v>
      </c>
      <c r="B269" s="27" t="s">
        <v>1468</v>
      </c>
      <c r="C269" s="27"/>
      <c r="D269" s="27" t="s">
        <v>1630</v>
      </c>
      <c r="E269" s="21" t="s">
        <v>1758</v>
      </c>
      <c r="F269" s="3" t="s">
        <v>1553</v>
      </c>
      <c r="G269" s="3" t="s">
        <v>978</v>
      </c>
      <c r="H269" s="3" t="s">
        <v>52</v>
      </c>
      <c r="I269" s="3" t="s">
        <v>52</v>
      </c>
      <c r="J269" s="3" t="s">
        <v>51</v>
      </c>
      <c r="K269" s="3" t="b">
        <v>1</v>
      </c>
      <c r="L269" s="3"/>
      <c r="M269" s="3" t="b">
        <v>1</v>
      </c>
      <c r="N269" s="3" t="b">
        <v>0</v>
      </c>
      <c r="O269" s="3" t="b">
        <v>0</v>
      </c>
    </row>
    <row r="270" spans="1:15" x14ac:dyDescent="0.3">
      <c r="A270" s="27" t="s">
        <v>2177</v>
      </c>
      <c r="B270" s="27" t="s">
        <v>1469</v>
      </c>
      <c r="C270" s="27"/>
      <c r="D270" s="27" t="s">
        <v>1630</v>
      </c>
      <c r="E270" s="21" t="s">
        <v>1758</v>
      </c>
      <c r="F270" s="3" t="s">
        <v>1553</v>
      </c>
      <c r="G270" s="3" t="s">
        <v>978</v>
      </c>
      <c r="H270" s="3" t="s">
        <v>52</v>
      </c>
      <c r="I270" s="3" t="s">
        <v>52</v>
      </c>
      <c r="J270" s="3" t="s">
        <v>51</v>
      </c>
      <c r="K270" s="3" t="b">
        <v>1</v>
      </c>
      <c r="L270" s="3"/>
      <c r="M270" s="3" t="b">
        <v>1</v>
      </c>
      <c r="N270" s="3" t="b">
        <v>0</v>
      </c>
      <c r="O270" s="3" t="b">
        <v>0</v>
      </c>
    </row>
    <row r="271" spans="1:15" x14ac:dyDescent="0.3">
      <c r="A271" s="27" t="s">
        <v>2177</v>
      </c>
      <c r="B271" s="27" t="s">
        <v>1470</v>
      </c>
      <c r="C271" s="27"/>
      <c r="D271" s="27" t="s">
        <v>1630</v>
      </c>
      <c r="E271" s="21" t="s">
        <v>1758</v>
      </c>
      <c r="F271" s="3" t="s">
        <v>1553</v>
      </c>
      <c r="G271" s="3" t="s">
        <v>978</v>
      </c>
      <c r="H271" s="3" t="s">
        <v>52</v>
      </c>
      <c r="I271" s="3" t="s">
        <v>52</v>
      </c>
      <c r="J271" s="3" t="s">
        <v>51</v>
      </c>
      <c r="K271" s="3" t="b">
        <v>1</v>
      </c>
      <c r="L271" s="3"/>
      <c r="M271" s="3" t="b">
        <v>1</v>
      </c>
      <c r="N271" s="3" t="b">
        <v>0</v>
      </c>
      <c r="O271" s="3" t="b">
        <v>0</v>
      </c>
    </row>
    <row r="272" spans="1:15" x14ac:dyDescent="0.3">
      <c r="A272" s="27" t="s">
        <v>2177</v>
      </c>
      <c r="B272" s="27" t="s">
        <v>1934</v>
      </c>
      <c r="C272" s="27"/>
      <c r="D272" s="27" t="s">
        <v>1630</v>
      </c>
      <c r="E272" s="12" t="s">
        <v>1758</v>
      </c>
      <c r="F272" s="3" t="s">
        <v>1553</v>
      </c>
      <c r="G272" s="3" t="s">
        <v>978</v>
      </c>
      <c r="H272" s="3" t="s">
        <v>52</v>
      </c>
      <c r="I272" s="3" t="s">
        <v>52</v>
      </c>
      <c r="J272" s="3" t="s">
        <v>51</v>
      </c>
      <c r="K272" s="3" t="b">
        <v>1</v>
      </c>
      <c r="L272" s="3"/>
      <c r="M272" s="3" t="b">
        <v>1</v>
      </c>
      <c r="N272" s="3" t="b">
        <v>0</v>
      </c>
      <c r="O272" s="3" t="b">
        <v>0</v>
      </c>
    </row>
    <row r="273" spans="1:15" x14ac:dyDescent="0.3">
      <c r="A273" s="27" t="s">
        <v>2177</v>
      </c>
      <c r="B273" s="27" t="s">
        <v>1935</v>
      </c>
      <c r="C273" s="27"/>
      <c r="D273" s="27" t="s">
        <v>1630</v>
      </c>
      <c r="E273" s="12" t="s">
        <v>1758</v>
      </c>
      <c r="F273" s="3" t="s">
        <v>1553</v>
      </c>
      <c r="G273" s="3" t="s">
        <v>978</v>
      </c>
      <c r="H273" s="3" t="s">
        <v>52</v>
      </c>
      <c r="I273" s="3" t="s">
        <v>52</v>
      </c>
      <c r="J273" s="3" t="s">
        <v>51</v>
      </c>
      <c r="K273" s="3" t="b">
        <v>1</v>
      </c>
      <c r="L273" s="3"/>
      <c r="M273" s="3" t="b">
        <v>1</v>
      </c>
      <c r="N273" s="3" t="b">
        <v>0</v>
      </c>
      <c r="O273" s="3" t="b">
        <v>0</v>
      </c>
    </row>
    <row r="274" spans="1:15" x14ac:dyDescent="0.3">
      <c r="A274" s="27" t="s">
        <v>2177</v>
      </c>
      <c r="B274" s="27" t="s">
        <v>1936</v>
      </c>
      <c r="C274" s="27"/>
      <c r="D274" s="27" t="s">
        <v>1630</v>
      </c>
      <c r="E274" s="12" t="s">
        <v>1758</v>
      </c>
      <c r="F274" s="3" t="s">
        <v>1553</v>
      </c>
      <c r="G274" s="3" t="s">
        <v>978</v>
      </c>
      <c r="H274" s="3" t="s">
        <v>52</v>
      </c>
      <c r="I274" s="3" t="s">
        <v>52</v>
      </c>
      <c r="J274" s="3" t="s">
        <v>51</v>
      </c>
      <c r="K274" s="3" t="b">
        <v>1</v>
      </c>
      <c r="L274" s="3"/>
      <c r="M274" s="3" t="b">
        <v>1</v>
      </c>
      <c r="N274" s="3" t="b">
        <v>0</v>
      </c>
      <c r="O274" s="3" t="b">
        <v>0</v>
      </c>
    </row>
    <row r="275" spans="1:15" x14ac:dyDescent="0.3">
      <c r="A275" s="27" t="s">
        <v>2177</v>
      </c>
      <c r="B275" s="27" t="s">
        <v>1937</v>
      </c>
      <c r="C275" s="27"/>
      <c r="D275" s="27" t="s">
        <v>1630</v>
      </c>
      <c r="E275" s="12" t="s">
        <v>1758</v>
      </c>
      <c r="F275" s="3" t="s">
        <v>1553</v>
      </c>
      <c r="G275" s="3" t="s">
        <v>978</v>
      </c>
      <c r="H275" s="3" t="s">
        <v>52</v>
      </c>
      <c r="I275" s="3" t="s">
        <v>52</v>
      </c>
      <c r="J275" s="3" t="s">
        <v>51</v>
      </c>
      <c r="K275" s="3" t="b">
        <v>1</v>
      </c>
      <c r="L275" s="3"/>
      <c r="M275" s="3" t="b">
        <v>1</v>
      </c>
      <c r="N275" s="3" t="b">
        <v>0</v>
      </c>
      <c r="O275" s="3" t="b">
        <v>0</v>
      </c>
    </row>
    <row r="276" spans="1:15" x14ac:dyDescent="0.3">
      <c r="A276" s="27" t="s">
        <v>2177</v>
      </c>
      <c r="B276" s="27" t="s">
        <v>1938</v>
      </c>
      <c r="C276" s="27"/>
      <c r="D276" s="27" t="s">
        <v>1630</v>
      </c>
      <c r="E276" s="12" t="s">
        <v>1758</v>
      </c>
      <c r="F276" s="3" t="s">
        <v>1553</v>
      </c>
      <c r="G276" s="3" t="s">
        <v>978</v>
      </c>
      <c r="H276" s="3" t="s">
        <v>52</v>
      </c>
      <c r="I276" s="3" t="s">
        <v>52</v>
      </c>
      <c r="J276" s="3" t="s">
        <v>51</v>
      </c>
      <c r="K276" s="3" t="b">
        <v>1</v>
      </c>
      <c r="L276" s="3"/>
      <c r="M276" s="3" t="b">
        <v>1</v>
      </c>
      <c r="N276" s="3" t="b">
        <v>0</v>
      </c>
      <c r="O276" s="3" t="b">
        <v>0</v>
      </c>
    </row>
    <row r="277" spans="1:15" x14ac:dyDescent="0.3">
      <c r="A277" s="27" t="s">
        <v>2177</v>
      </c>
      <c r="B277" s="27" t="s">
        <v>1939</v>
      </c>
      <c r="C277" s="27"/>
      <c r="D277" s="27" t="s">
        <v>1630</v>
      </c>
      <c r="E277" s="12" t="s">
        <v>1758</v>
      </c>
      <c r="F277" s="3" t="s">
        <v>1553</v>
      </c>
      <c r="G277" s="3" t="s">
        <v>978</v>
      </c>
      <c r="H277" s="3" t="s">
        <v>52</v>
      </c>
      <c r="I277" s="3" t="s">
        <v>52</v>
      </c>
      <c r="J277" s="3" t="s">
        <v>51</v>
      </c>
      <c r="K277" s="3" t="b">
        <v>1</v>
      </c>
      <c r="L277" s="3"/>
      <c r="M277" s="3" t="b">
        <v>1</v>
      </c>
      <c r="N277" s="3" t="b">
        <v>0</v>
      </c>
      <c r="O277" s="3" t="b">
        <v>0</v>
      </c>
    </row>
    <row r="278" spans="1:15" x14ac:dyDescent="0.3">
      <c r="A278" s="27" t="s">
        <v>2177</v>
      </c>
      <c r="B278" s="27"/>
      <c r="C278" s="27"/>
      <c r="D278" s="27"/>
      <c r="E278" s="12" t="s">
        <v>1003</v>
      </c>
      <c r="F278" s="3" t="s">
        <v>1004</v>
      </c>
      <c r="G278" s="3" t="s">
        <v>978</v>
      </c>
      <c r="H278" s="3" t="s">
        <v>52</v>
      </c>
      <c r="I278" s="3" t="s">
        <v>52</v>
      </c>
      <c r="J278" s="3" t="s">
        <v>51</v>
      </c>
      <c r="K278" s="3" t="b">
        <v>1</v>
      </c>
      <c r="L278" s="3"/>
      <c r="M278" s="3" t="b">
        <v>1</v>
      </c>
      <c r="N278" s="3" t="b">
        <v>0</v>
      </c>
      <c r="O278" s="3" t="b">
        <v>0</v>
      </c>
    </row>
    <row r="279" spans="1:15" x14ac:dyDescent="0.3">
      <c r="A279" s="27" t="s">
        <v>2177</v>
      </c>
      <c r="B279" s="27" t="s">
        <v>1464</v>
      </c>
      <c r="C279" s="27"/>
      <c r="D279" s="27" t="s">
        <v>1630</v>
      </c>
      <c r="E279" s="21" t="s">
        <v>1761</v>
      </c>
      <c r="F279" s="3" t="s">
        <v>1549</v>
      </c>
      <c r="G279" s="3" t="s">
        <v>978</v>
      </c>
      <c r="H279" s="3" t="s">
        <v>52</v>
      </c>
      <c r="I279" s="3" t="s">
        <v>52</v>
      </c>
      <c r="J279" s="3" t="s">
        <v>51</v>
      </c>
      <c r="K279" s="3" t="b">
        <v>1</v>
      </c>
      <c r="L279" s="3"/>
      <c r="M279" s="3" t="b">
        <v>1</v>
      </c>
      <c r="N279" s="3" t="b">
        <v>0</v>
      </c>
      <c r="O279" s="3" t="b">
        <v>0</v>
      </c>
    </row>
    <row r="280" spans="1:15" x14ac:dyDescent="0.3">
      <c r="A280" s="27" t="s">
        <v>2177</v>
      </c>
      <c r="B280" s="27" t="s">
        <v>1466</v>
      </c>
      <c r="C280" s="27"/>
      <c r="D280" s="27" t="s">
        <v>1630</v>
      </c>
      <c r="E280" s="21" t="s">
        <v>1761</v>
      </c>
      <c r="F280" s="3" t="s">
        <v>1549</v>
      </c>
      <c r="G280" s="3" t="s">
        <v>978</v>
      </c>
      <c r="H280" s="3" t="s">
        <v>52</v>
      </c>
      <c r="I280" s="3" t="s">
        <v>52</v>
      </c>
      <c r="J280" s="3" t="s">
        <v>51</v>
      </c>
      <c r="K280" s="3" t="b">
        <v>1</v>
      </c>
      <c r="L280" s="3"/>
      <c r="M280" s="3" t="b">
        <v>1</v>
      </c>
      <c r="N280" s="3" t="b">
        <v>0</v>
      </c>
      <c r="O280" s="3" t="b">
        <v>0</v>
      </c>
    </row>
    <row r="281" spans="1:15" x14ac:dyDescent="0.3">
      <c r="A281" s="27" t="s">
        <v>2177</v>
      </c>
      <c r="B281" s="27" t="s">
        <v>1467</v>
      </c>
      <c r="C281" s="27"/>
      <c r="D281" s="27" t="s">
        <v>1630</v>
      </c>
      <c r="E281" s="21" t="s">
        <v>1761</v>
      </c>
      <c r="F281" s="3" t="s">
        <v>1549</v>
      </c>
      <c r="G281" s="3" t="s">
        <v>978</v>
      </c>
      <c r="H281" s="3" t="s">
        <v>52</v>
      </c>
      <c r="I281" s="3" t="s">
        <v>52</v>
      </c>
      <c r="J281" s="3" t="s">
        <v>51</v>
      </c>
      <c r="K281" s="3" t="b">
        <v>1</v>
      </c>
      <c r="L281" s="3"/>
      <c r="M281" s="3" t="b">
        <v>1</v>
      </c>
      <c r="N281" s="3" t="b">
        <v>0</v>
      </c>
      <c r="O281" s="3" t="b">
        <v>0</v>
      </c>
    </row>
    <row r="282" spans="1:15" x14ac:dyDescent="0.3">
      <c r="A282" s="27" t="s">
        <v>2177</v>
      </c>
      <c r="B282" s="27" t="s">
        <v>1468</v>
      </c>
      <c r="C282" s="27"/>
      <c r="D282" s="27" t="s">
        <v>1630</v>
      </c>
      <c r="E282" s="21" t="s">
        <v>1761</v>
      </c>
      <c r="F282" s="3" t="s">
        <v>1549</v>
      </c>
      <c r="G282" s="3" t="s">
        <v>978</v>
      </c>
      <c r="H282" s="3" t="s">
        <v>52</v>
      </c>
      <c r="I282" s="3" t="s">
        <v>52</v>
      </c>
      <c r="J282" s="3" t="s">
        <v>51</v>
      </c>
      <c r="K282" s="3" t="b">
        <v>1</v>
      </c>
      <c r="L282" s="3"/>
      <c r="M282" s="3" t="b">
        <v>1</v>
      </c>
      <c r="N282" s="3" t="b">
        <v>0</v>
      </c>
      <c r="O282" s="3" t="b">
        <v>0</v>
      </c>
    </row>
    <row r="283" spans="1:15" x14ac:dyDescent="0.3">
      <c r="A283" s="27" t="s">
        <v>2177</v>
      </c>
      <c r="B283" s="27" t="s">
        <v>1469</v>
      </c>
      <c r="C283" s="27"/>
      <c r="D283" s="27" t="s">
        <v>1630</v>
      </c>
      <c r="E283" s="21" t="s">
        <v>1761</v>
      </c>
      <c r="F283" s="3" t="s">
        <v>1549</v>
      </c>
      <c r="G283" s="3" t="s">
        <v>978</v>
      </c>
      <c r="H283" s="3" t="s">
        <v>52</v>
      </c>
      <c r="I283" s="3" t="s">
        <v>52</v>
      </c>
      <c r="J283" s="3" t="s">
        <v>51</v>
      </c>
      <c r="K283" s="3" t="b">
        <v>1</v>
      </c>
      <c r="L283" s="3"/>
      <c r="M283" s="3" t="b">
        <v>1</v>
      </c>
      <c r="N283" s="3" t="b">
        <v>0</v>
      </c>
      <c r="O283" s="3" t="b">
        <v>0</v>
      </c>
    </row>
    <row r="284" spans="1:15" x14ac:dyDescent="0.3">
      <c r="A284" s="27" t="s">
        <v>2177</v>
      </c>
      <c r="B284" s="27" t="s">
        <v>1470</v>
      </c>
      <c r="C284" s="27"/>
      <c r="D284" s="27" t="s">
        <v>1630</v>
      </c>
      <c r="E284" s="21" t="s">
        <v>1761</v>
      </c>
      <c r="F284" s="3" t="s">
        <v>1549</v>
      </c>
      <c r="G284" s="3" t="s">
        <v>978</v>
      </c>
      <c r="H284" s="3" t="s">
        <v>52</v>
      </c>
      <c r="I284" s="3" t="s">
        <v>52</v>
      </c>
      <c r="J284" s="3" t="s">
        <v>51</v>
      </c>
      <c r="K284" s="3" t="b">
        <v>1</v>
      </c>
      <c r="L284" s="3"/>
      <c r="M284" s="3" t="b">
        <v>1</v>
      </c>
      <c r="N284" s="3" t="b">
        <v>0</v>
      </c>
      <c r="O284" s="3" t="b">
        <v>0</v>
      </c>
    </row>
    <row r="285" spans="1:15" x14ac:dyDescent="0.3">
      <c r="A285" s="27" t="s">
        <v>2177</v>
      </c>
      <c r="B285" s="27" t="s">
        <v>1934</v>
      </c>
      <c r="C285" s="27"/>
      <c r="D285" s="27" t="s">
        <v>1630</v>
      </c>
      <c r="E285" s="12" t="s">
        <v>1761</v>
      </c>
      <c r="F285" s="3" t="s">
        <v>1549</v>
      </c>
      <c r="G285" s="3" t="s">
        <v>978</v>
      </c>
      <c r="H285" s="3" t="s">
        <v>52</v>
      </c>
      <c r="I285" s="3" t="s">
        <v>52</v>
      </c>
      <c r="J285" s="3" t="s">
        <v>51</v>
      </c>
      <c r="K285" s="3" t="b">
        <v>1</v>
      </c>
      <c r="L285" s="3"/>
      <c r="M285" s="3" t="b">
        <v>1</v>
      </c>
      <c r="N285" s="3" t="b">
        <v>0</v>
      </c>
      <c r="O285" s="3" t="b">
        <v>0</v>
      </c>
    </row>
    <row r="286" spans="1:15" x14ac:dyDescent="0.3">
      <c r="A286" s="27" t="s">
        <v>2177</v>
      </c>
      <c r="B286" s="27" t="s">
        <v>1935</v>
      </c>
      <c r="C286" s="27"/>
      <c r="D286" s="27" t="s">
        <v>1630</v>
      </c>
      <c r="E286" s="12" t="s">
        <v>1761</v>
      </c>
      <c r="F286" s="3" t="s">
        <v>1549</v>
      </c>
      <c r="G286" s="3" t="s">
        <v>978</v>
      </c>
      <c r="H286" s="3" t="s">
        <v>52</v>
      </c>
      <c r="I286" s="3" t="s">
        <v>52</v>
      </c>
      <c r="J286" s="3" t="s">
        <v>51</v>
      </c>
      <c r="K286" s="3" t="b">
        <v>1</v>
      </c>
      <c r="L286" s="3"/>
      <c r="M286" s="3" t="b">
        <v>1</v>
      </c>
      <c r="N286" s="3" t="b">
        <v>0</v>
      </c>
      <c r="O286" s="3" t="b">
        <v>0</v>
      </c>
    </row>
    <row r="287" spans="1:15" x14ac:dyDescent="0.3">
      <c r="A287" s="27" t="s">
        <v>2177</v>
      </c>
      <c r="B287" s="27" t="s">
        <v>1936</v>
      </c>
      <c r="C287" s="27"/>
      <c r="D287" s="27" t="s">
        <v>1630</v>
      </c>
      <c r="E287" s="12" t="s">
        <v>1761</v>
      </c>
      <c r="F287" s="3" t="s">
        <v>1549</v>
      </c>
      <c r="G287" s="3" t="s">
        <v>978</v>
      </c>
      <c r="H287" s="3" t="s">
        <v>52</v>
      </c>
      <c r="I287" s="3" t="s">
        <v>52</v>
      </c>
      <c r="J287" s="3" t="s">
        <v>51</v>
      </c>
      <c r="K287" s="3" t="b">
        <v>1</v>
      </c>
      <c r="L287" s="3"/>
      <c r="M287" s="3" t="b">
        <v>1</v>
      </c>
      <c r="N287" s="3" t="b">
        <v>0</v>
      </c>
      <c r="O287" s="3" t="b">
        <v>0</v>
      </c>
    </row>
    <row r="288" spans="1:15" x14ac:dyDescent="0.3">
      <c r="A288" s="27" t="s">
        <v>2177</v>
      </c>
      <c r="B288" s="27" t="s">
        <v>1937</v>
      </c>
      <c r="C288" s="27"/>
      <c r="D288" s="27" t="s">
        <v>1630</v>
      </c>
      <c r="E288" s="12" t="s">
        <v>1761</v>
      </c>
      <c r="F288" s="3" t="s">
        <v>1549</v>
      </c>
      <c r="G288" s="3" t="s">
        <v>978</v>
      </c>
      <c r="H288" s="3" t="s">
        <v>52</v>
      </c>
      <c r="I288" s="3" t="s">
        <v>52</v>
      </c>
      <c r="J288" s="3" t="s">
        <v>51</v>
      </c>
      <c r="K288" s="3" t="b">
        <v>1</v>
      </c>
      <c r="L288" s="3"/>
      <c r="M288" s="3" t="b">
        <v>1</v>
      </c>
      <c r="N288" s="3" t="b">
        <v>0</v>
      </c>
      <c r="O288" s="3" t="b">
        <v>0</v>
      </c>
    </row>
    <row r="289" spans="1:15" x14ac:dyDescent="0.3">
      <c r="A289" s="27" t="s">
        <v>2177</v>
      </c>
      <c r="B289" s="27" t="s">
        <v>1938</v>
      </c>
      <c r="C289" s="27"/>
      <c r="D289" s="27" t="s">
        <v>1630</v>
      </c>
      <c r="E289" s="12" t="s">
        <v>1761</v>
      </c>
      <c r="F289" s="3" t="s">
        <v>1549</v>
      </c>
      <c r="G289" s="3" t="s">
        <v>978</v>
      </c>
      <c r="H289" s="3" t="s">
        <v>52</v>
      </c>
      <c r="I289" s="3" t="s">
        <v>52</v>
      </c>
      <c r="J289" s="3" t="s">
        <v>51</v>
      </c>
      <c r="K289" s="3" t="b">
        <v>1</v>
      </c>
      <c r="L289" s="3"/>
      <c r="M289" s="3" t="b">
        <v>1</v>
      </c>
      <c r="N289" s="3" t="b">
        <v>0</v>
      </c>
      <c r="O289" s="3" t="b">
        <v>0</v>
      </c>
    </row>
    <row r="290" spans="1:15" x14ac:dyDescent="0.3">
      <c r="A290" s="27" t="s">
        <v>2177</v>
      </c>
      <c r="B290" s="27" t="s">
        <v>1939</v>
      </c>
      <c r="C290" s="27"/>
      <c r="D290" s="27" t="s">
        <v>1630</v>
      </c>
      <c r="E290" s="12" t="s">
        <v>1761</v>
      </c>
      <c r="F290" s="3" t="s">
        <v>1549</v>
      </c>
      <c r="G290" s="3" t="s">
        <v>978</v>
      </c>
      <c r="H290" s="3" t="s">
        <v>52</v>
      </c>
      <c r="I290" s="3" t="s">
        <v>52</v>
      </c>
      <c r="J290" s="3" t="s">
        <v>51</v>
      </c>
      <c r="K290" s="3" t="b">
        <v>1</v>
      </c>
      <c r="L290" s="3"/>
      <c r="M290" s="3" t="b">
        <v>1</v>
      </c>
      <c r="N290" s="3" t="b">
        <v>0</v>
      </c>
      <c r="O290" s="3" t="b">
        <v>0</v>
      </c>
    </row>
    <row r="291" spans="1:15" x14ac:dyDescent="0.3">
      <c r="A291" s="27" t="s">
        <v>2177</v>
      </c>
      <c r="B291" s="27"/>
      <c r="C291" s="27"/>
      <c r="D291" s="27"/>
      <c r="E291" s="21" t="s">
        <v>1017</v>
      </c>
      <c r="F291" s="3" t="s">
        <v>1018</v>
      </c>
      <c r="G291" s="3" t="s">
        <v>978</v>
      </c>
      <c r="H291" s="3" t="s">
        <v>52</v>
      </c>
      <c r="I291" s="3" t="s">
        <v>52</v>
      </c>
      <c r="J291" s="3" t="s">
        <v>51</v>
      </c>
      <c r="K291" s="3" t="b">
        <v>1</v>
      </c>
      <c r="L291" s="3"/>
      <c r="M291" s="3" t="b">
        <v>1</v>
      </c>
      <c r="N291" s="3" t="b">
        <v>0</v>
      </c>
      <c r="O291" s="3" t="b">
        <v>0</v>
      </c>
    </row>
    <row r="292" spans="1:15" x14ac:dyDescent="0.3">
      <c r="A292" s="27" t="s">
        <v>2177</v>
      </c>
      <c r="B292" s="27"/>
      <c r="C292" s="27"/>
      <c r="D292" s="27"/>
      <c r="E292" s="21" t="s">
        <v>1019</v>
      </c>
      <c r="F292" s="3" t="s">
        <v>1020</v>
      </c>
      <c r="G292" s="3" t="s">
        <v>978</v>
      </c>
      <c r="H292" s="3" t="s">
        <v>52</v>
      </c>
      <c r="I292" s="3" t="s">
        <v>52</v>
      </c>
      <c r="J292" s="3" t="s">
        <v>51</v>
      </c>
      <c r="K292" s="3" t="b">
        <v>1</v>
      </c>
      <c r="L292" s="3"/>
      <c r="M292" s="3" t="b">
        <v>1</v>
      </c>
      <c r="N292" s="3" t="b">
        <v>0</v>
      </c>
      <c r="O292" s="3" t="b">
        <v>0</v>
      </c>
    </row>
    <row r="293" spans="1:15" x14ac:dyDescent="0.3">
      <c r="A293" s="27" t="s">
        <v>2177</v>
      </c>
      <c r="B293" s="27"/>
      <c r="C293" s="27"/>
      <c r="D293" s="27"/>
      <c r="E293" s="21" t="s">
        <v>1023</v>
      </c>
      <c r="F293" s="3" t="s">
        <v>1024</v>
      </c>
      <c r="G293" s="3" t="s">
        <v>978</v>
      </c>
      <c r="H293" s="3" t="s">
        <v>52</v>
      </c>
      <c r="I293" s="3" t="s">
        <v>52</v>
      </c>
      <c r="J293" s="3" t="s">
        <v>51</v>
      </c>
      <c r="K293" s="3" t="b">
        <v>1</v>
      </c>
      <c r="L293" s="3"/>
      <c r="M293" s="3" t="b">
        <v>1</v>
      </c>
      <c r="N293" s="3" t="b">
        <v>0</v>
      </c>
      <c r="O293" s="3" t="b">
        <v>0</v>
      </c>
    </row>
    <row r="294" spans="1:15" x14ac:dyDescent="0.3">
      <c r="A294" s="27" t="s">
        <v>2180</v>
      </c>
      <c r="B294" s="27"/>
      <c r="C294" s="27"/>
      <c r="D294" s="27"/>
      <c r="E294" s="21" t="s">
        <v>914</v>
      </c>
      <c r="F294" s="3" t="s">
        <v>915</v>
      </c>
      <c r="G294" s="3" t="s">
        <v>900</v>
      </c>
      <c r="H294" s="3" t="s">
        <v>52</v>
      </c>
      <c r="I294" s="3" t="s">
        <v>52</v>
      </c>
      <c r="J294" s="3" t="s">
        <v>51</v>
      </c>
      <c r="K294" s="3" t="b">
        <v>1</v>
      </c>
      <c r="L294" s="3"/>
      <c r="M294" s="3" t="b">
        <v>1</v>
      </c>
      <c r="N294" s="3" t="b">
        <v>0</v>
      </c>
      <c r="O294" s="3" t="b">
        <v>0</v>
      </c>
    </row>
    <row r="295" spans="1:15" x14ac:dyDescent="0.3">
      <c r="A295" s="27" t="s">
        <v>2180</v>
      </c>
      <c r="B295" s="27"/>
      <c r="C295" s="27"/>
      <c r="D295" s="27"/>
      <c r="E295" s="21" t="s">
        <v>916</v>
      </c>
      <c r="F295" s="3" t="s">
        <v>917</v>
      </c>
      <c r="G295" s="3" t="s">
        <v>900</v>
      </c>
      <c r="H295" s="3" t="s">
        <v>52</v>
      </c>
      <c r="I295" s="3" t="s">
        <v>52</v>
      </c>
      <c r="J295" s="3" t="s">
        <v>51</v>
      </c>
      <c r="K295" s="3" t="b">
        <v>1</v>
      </c>
      <c r="L295" s="3"/>
      <c r="M295" s="3" t="b">
        <v>1</v>
      </c>
      <c r="N295" s="3" t="b">
        <v>0</v>
      </c>
      <c r="O295" s="3" t="b">
        <v>0</v>
      </c>
    </row>
    <row r="296" spans="1:15" x14ac:dyDescent="0.3">
      <c r="A296" s="27" t="s">
        <v>2180</v>
      </c>
      <c r="B296" s="27"/>
      <c r="C296" s="27"/>
      <c r="D296" s="27"/>
      <c r="E296" s="21" t="s">
        <v>912</v>
      </c>
      <c r="F296" s="3" t="s">
        <v>913</v>
      </c>
      <c r="G296" s="3" t="s">
        <v>900</v>
      </c>
      <c r="H296" s="3" t="s">
        <v>52</v>
      </c>
      <c r="I296" s="3" t="s">
        <v>52</v>
      </c>
      <c r="J296" s="3" t="s">
        <v>51</v>
      </c>
      <c r="K296" s="3" t="b">
        <v>1</v>
      </c>
      <c r="L296" s="3"/>
      <c r="M296" s="3" t="b">
        <v>1</v>
      </c>
      <c r="N296" s="3" t="b">
        <v>0</v>
      </c>
      <c r="O296" s="3" t="b">
        <v>0</v>
      </c>
    </row>
    <row r="297" spans="1:15" x14ac:dyDescent="0.3">
      <c r="A297" s="27" t="s">
        <v>2180</v>
      </c>
      <c r="B297" s="27"/>
      <c r="C297" s="27"/>
      <c r="D297" s="27"/>
      <c r="E297" s="21" t="s">
        <v>925</v>
      </c>
      <c r="F297" s="3" t="s">
        <v>926</v>
      </c>
      <c r="G297" s="3" t="s">
        <v>922</v>
      </c>
      <c r="H297" s="3" t="s">
        <v>52</v>
      </c>
      <c r="I297" s="3" t="s">
        <v>52</v>
      </c>
      <c r="J297" s="3" t="s">
        <v>51</v>
      </c>
      <c r="K297" s="3" t="b">
        <v>1</v>
      </c>
      <c r="L297" s="3"/>
      <c r="M297" s="3" t="b">
        <v>1</v>
      </c>
      <c r="N297" s="3" t="b">
        <v>0</v>
      </c>
      <c r="O297" s="3" t="b">
        <v>0</v>
      </c>
    </row>
    <row r="298" spans="1:15" x14ac:dyDescent="0.3">
      <c r="A298" s="27" t="s">
        <v>2180</v>
      </c>
      <c r="B298" s="27"/>
      <c r="C298" s="27"/>
      <c r="D298" s="27"/>
      <c r="E298" s="21" t="s">
        <v>927</v>
      </c>
      <c r="F298" s="3" t="s">
        <v>928</v>
      </c>
      <c r="G298" s="3" t="s">
        <v>922</v>
      </c>
      <c r="H298" s="3" t="s">
        <v>52</v>
      </c>
      <c r="I298" s="3" t="s">
        <v>52</v>
      </c>
      <c r="J298" s="3" t="s">
        <v>51</v>
      </c>
      <c r="K298" s="3" t="b">
        <v>1</v>
      </c>
      <c r="L298" s="3"/>
      <c r="M298" s="3" t="b">
        <v>1</v>
      </c>
      <c r="N298" s="3" t="b">
        <v>0</v>
      </c>
      <c r="O298" s="3" t="b">
        <v>0</v>
      </c>
    </row>
    <row r="299" spans="1:15" x14ac:dyDescent="0.3">
      <c r="A299" s="27" t="s">
        <v>2180</v>
      </c>
      <c r="B299" s="27"/>
      <c r="C299" s="27"/>
      <c r="D299" s="27"/>
      <c r="E299" s="21" t="s">
        <v>1504</v>
      </c>
      <c r="F299" s="3" t="s">
        <v>1508</v>
      </c>
      <c r="G299" s="3" t="s">
        <v>922</v>
      </c>
      <c r="H299" s="3" t="s">
        <v>52</v>
      </c>
      <c r="I299" s="3" t="s">
        <v>52</v>
      </c>
      <c r="J299" s="3" t="s">
        <v>51</v>
      </c>
      <c r="K299" s="3" t="b">
        <v>1</v>
      </c>
      <c r="L299" s="3"/>
      <c r="M299" s="3" t="b">
        <v>1</v>
      </c>
      <c r="N299" s="3" t="b">
        <v>0</v>
      </c>
      <c r="O299" s="3" t="b">
        <v>0</v>
      </c>
    </row>
    <row r="300" spans="1:15" x14ac:dyDescent="0.3">
      <c r="A300" s="27" t="s">
        <v>2180</v>
      </c>
      <c r="B300" s="27"/>
      <c r="C300" s="27"/>
      <c r="D300" s="27"/>
      <c r="E300" s="21" t="s">
        <v>939</v>
      </c>
      <c r="F300" s="3" t="s">
        <v>940</v>
      </c>
      <c r="G300" s="3" t="s">
        <v>922</v>
      </c>
      <c r="H300" s="3" t="s">
        <v>52</v>
      </c>
      <c r="I300" s="3" t="s">
        <v>52</v>
      </c>
      <c r="J300" s="3" t="s">
        <v>51</v>
      </c>
      <c r="K300" s="3" t="b">
        <v>1</v>
      </c>
      <c r="L300" s="3"/>
      <c r="M300" s="3" t="b">
        <v>1</v>
      </c>
      <c r="N300" s="3" t="b">
        <v>0</v>
      </c>
      <c r="O300" s="3" t="b">
        <v>0</v>
      </c>
    </row>
    <row r="301" spans="1:15" x14ac:dyDescent="0.3">
      <c r="A301" s="27" t="s">
        <v>2180</v>
      </c>
      <c r="B301" s="27"/>
      <c r="C301" s="27"/>
      <c r="D301" s="27"/>
      <c r="E301" s="21" t="s">
        <v>935</v>
      </c>
      <c r="F301" s="3" t="s">
        <v>936</v>
      </c>
      <c r="G301" s="3" t="s">
        <v>922</v>
      </c>
      <c r="H301" s="3" t="s">
        <v>52</v>
      </c>
      <c r="I301" s="3" t="s">
        <v>52</v>
      </c>
      <c r="J301" s="3" t="s">
        <v>51</v>
      </c>
      <c r="K301" s="3" t="b">
        <v>1</v>
      </c>
      <c r="L301" s="3"/>
      <c r="M301" s="3" t="b">
        <v>1</v>
      </c>
      <c r="N301" s="3" t="b">
        <v>0</v>
      </c>
      <c r="O301" s="3" t="b">
        <v>0</v>
      </c>
    </row>
    <row r="302" spans="1:15" x14ac:dyDescent="0.3">
      <c r="A302" s="27" t="s">
        <v>2180</v>
      </c>
      <c r="B302" s="27"/>
      <c r="C302" s="27"/>
      <c r="D302" s="27"/>
      <c r="E302" s="21" t="s">
        <v>1563</v>
      </c>
      <c r="F302" s="3" t="s">
        <v>1564</v>
      </c>
      <c r="G302" s="3" t="s">
        <v>922</v>
      </c>
      <c r="H302" s="3" t="s">
        <v>52</v>
      </c>
      <c r="I302" s="3" t="s">
        <v>52</v>
      </c>
      <c r="J302" s="3" t="s">
        <v>51</v>
      </c>
      <c r="K302" s="3" t="b">
        <v>1</v>
      </c>
      <c r="L302" s="3"/>
      <c r="M302" s="3" t="b">
        <v>1</v>
      </c>
      <c r="N302" s="3" t="b">
        <v>0</v>
      </c>
      <c r="O302" s="3" t="b">
        <v>0</v>
      </c>
    </row>
    <row r="303" spans="1:15" x14ac:dyDescent="0.3">
      <c r="A303" s="27" t="s">
        <v>2180</v>
      </c>
      <c r="B303" s="27"/>
      <c r="C303" s="27"/>
      <c r="D303" s="27"/>
      <c r="E303" s="21" t="s">
        <v>1503</v>
      </c>
      <c r="F303" s="3" t="s">
        <v>1507</v>
      </c>
      <c r="G303" s="3" t="s">
        <v>922</v>
      </c>
      <c r="H303" s="3" t="s">
        <v>52</v>
      </c>
      <c r="I303" s="3" t="s">
        <v>52</v>
      </c>
      <c r="J303" s="3" t="s">
        <v>51</v>
      </c>
      <c r="K303" s="3" t="b">
        <v>1</v>
      </c>
      <c r="L303" s="3"/>
      <c r="M303" s="3" t="b">
        <v>1</v>
      </c>
      <c r="N303" s="3" t="b">
        <v>0</v>
      </c>
      <c r="O303" s="3" t="b">
        <v>0</v>
      </c>
    </row>
    <row r="304" spans="1:15" x14ac:dyDescent="0.3">
      <c r="A304" s="27" t="s">
        <v>2180</v>
      </c>
      <c r="B304" s="27"/>
      <c r="C304" s="27"/>
      <c r="D304" s="27"/>
      <c r="E304" s="21" t="s">
        <v>953</v>
      </c>
      <c r="F304" s="3" t="s">
        <v>954</v>
      </c>
      <c r="G304" s="3" t="s">
        <v>922</v>
      </c>
      <c r="H304" s="3" t="s">
        <v>851</v>
      </c>
      <c r="I304" s="3" t="s">
        <v>52</v>
      </c>
      <c r="J304" s="3" t="s">
        <v>51</v>
      </c>
      <c r="K304" s="3" t="b">
        <v>1</v>
      </c>
      <c r="L304" s="3"/>
      <c r="M304" s="3" t="b">
        <v>1</v>
      </c>
      <c r="N304" s="3" t="b">
        <v>0</v>
      </c>
      <c r="O304" s="3" t="b">
        <v>0</v>
      </c>
    </row>
    <row r="305" spans="1:15" x14ac:dyDescent="0.3">
      <c r="A305" s="27" t="s">
        <v>2180</v>
      </c>
      <c r="B305" s="27"/>
      <c r="C305" s="27"/>
      <c r="D305" s="27"/>
      <c r="E305" s="21" t="s">
        <v>955</v>
      </c>
      <c r="F305" s="3" t="s">
        <v>956</v>
      </c>
      <c r="G305" s="3" t="s">
        <v>922</v>
      </c>
      <c r="H305" s="3" t="s">
        <v>851</v>
      </c>
      <c r="I305" s="3" t="s">
        <v>52</v>
      </c>
      <c r="J305" s="3" t="s">
        <v>51</v>
      </c>
      <c r="K305" s="3" t="b">
        <v>1</v>
      </c>
      <c r="L305" s="3"/>
      <c r="M305" s="3" t="b">
        <v>1</v>
      </c>
      <c r="N305" s="3" t="b">
        <v>0</v>
      </c>
      <c r="O305" s="3" t="b">
        <v>0</v>
      </c>
    </row>
    <row r="306" spans="1:15" x14ac:dyDescent="0.3">
      <c r="A306" s="27" t="s">
        <v>2180</v>
      </c>
      <c r="B306" s="27"/>
      <c r="C306" s="27"/>
      <c r="D306" s="27"/>
      <c r="E306" s="21" t="s">
        <v>957</v>
      </c>
      <c r="F306" s="3" t="s">
        <v>958</v>
      </c>
      <c r="G306" s="3" t="s">
        <v>922</v>
      </c>
      <c r="H306" s="3" t="s">
        <v>851</v>
      </c>
      <c r="I306" s="3" t="s">
        <v>52</v>
      </c>
      <c r="J306" s="3" t="s">
        <v>51</v>
      </c>
      <c r="K306" s="3" t="b">
        <v>1</v>
      </c>
      <c r="L306" s="3"/>
      <c r="M306" s="3" t="b">
        <v>1</v>
      </c>
      <c r="N306" s="3" t="b">
        <v>0</v>
      </c>
      <c r="O306" s="3" t="b">
        <v>0</v>
      </c>
    </row>
    <row r="307" spans="1:15" x14ac:dyDescent="0.3">
      <c r="A307" s="27" t="s">
        <v>2180</v>
      </c>
      <c r="B307" s="27"/>
      <c r="C307" s="27"/>
      <c r="D307" s="27"/>
      <c r="E307" s="21" t="s">
        <v>959</v>
      </c>
      <c r="F307" s="3" t="s">
        <v>960</v>
      </c>
      <c r="G307" s="3" t="s">
        <v>922</v>
      </c>
      <c r="H307" s="3" t="s">
        <v>851</v>
      </c>
      <c r="I307" s="3" t="s">
        <v>52</v>
      </c>
      <c r="J307" s="3" t="s">
        <v>51</v>
      </c>
      <c r="K307" s="3" t="b">
        <v>1</v>
      </c>
      <c r="L307" s="3"/>
      <c r="M307" s="3" t="b">
        <v>1</v>
      </c>
      <c r="N307" s="3" t="b">
        <v>0</v>
      </c>
      <c r="O307" s="3" t="b">
        <v>0</v>
      </c>
    </row>
    <row r="308" spans="1:15" x14ac:dyDescent="0.3">
      <c r="A308" s="27" t="s">
        <v>2180</v>
      </c>
      <c r="B308" s="27"/>
      <c r="C308" s="27"/>
      <c r="D308" s="27"/>
      <c r="E308" s="21" t="s">
        <v>1524</v>
      </c>
      <c r="F308" s="3" t="s">
        <v>1532</v>
      </c>
      <c r="G308" s="3" t="s">
        <v>922</v>
      </c>
      <c r="H308" s="3" t="s">
        <v>52</v>
      </c>
      <c r="I308" s="3" t="s">
        <v>52</v>
      </c>
      <c r="J308" s="3" t="s">
        <v>51</v>
      </c>
      <c r="K308" s="3" t="b">
        <v>1</v>
      </c>
      <c r="L308" s="3"/>
      <c r="M308" s="3" t="b">
        <v>1</v>
      </c>
      <c r="N308" s="3" t="b">
        <v>0</v>
      </c>
      <c r="O308" s="3" t="b">
        <v>0</v>
      </c>
    </row>
    <row r="309" spans="1:15" x14ac:dyDescent="0.3">
      <c r="A309" s="27" t="s">
        <v>2180</v>
      </c>
      <c r="B309" s="27"/>
      <c r="C309" s="27"/>
      <c r="D309" s="27"/>
      <c r="E309" s="21" t="s">
        <v>1525</v>
      </c>
      <c r="F309" s="3" t="s">
        <v>1533</v>
      </c>
      <c r="G309" s="3" t="s">
        <v>922</v>
      </c>
      <c r="H309" s="3" t="s">
        <v>52</v>
      </c>
      <c r="I309" s="3" t="s">
        <v>52</v>
      </c>
      <c r="J309" s="3" t="s">
        <v>51</v>
      </c>
      <c r="K309" s="3" t="b">
        <v>1</v>
      </c>
      <c r="L309" s="3"/>
      <c r="M309" s="3" t="b">
        <v>1</v>
      </c>
      <c r="N309" s="3" t="b">
        <v>0</v>
      </c>
      <c r="O309" s="3" t="b">
        <v>0</v>
      </c>
    </row>
    <row r="310" spans="1:15" x14ac:dyDescent="0.3">
      <c r="A310" s="27" t="s">
        <v>2180</v>
      </c>
      <c r="B310" s="27"/>
      <c r="C310" s="27"/>
      <c r="D310" s="27"/>
      <c r="E310" s="21" t="s">
        <v>971</v>
      </c>
      <c r="F310" s="3" t="s">
        <v>972</v>
      </c>
      <c r="G310" s="3" t="s">
        <v>922</v>
      </c>
      <c r="H310" s="3" t="s">
        <v>854</v>
      </c>
      <c r="I310" s="3" t="s">
        <v>52</v>
      </c>
      <c r="J310" s="3" t="s">
        <v>51</v>
      </c>
      <c r="K310" s="3" t="b">
        <v>1</v>
      </c>
      <c r="L310" s="3"/>
      <c r="M310" s="3" t="b">
        <v>1</v>
      </c>
      <c r="N310" s="3" t="b">
        <v>0</v>
      </c>
      <c r="O310" s="3" t="b">
        <v>0</v>
      </c>
    </row>
    <row r="311" spans="1:15" x14ac:dyDescent="0.3">
      <c r="A311" s="27" t="s">
        <v>2180</v>
      </c>
      <c r="B311" s="27"/>
      <c r="C311" s="27"/>
      <c r="D311" s="27"/>
      <c r="E311" s="21" t="s">
        <v>973</v>
      </c>
      <c r="F311" s="3" t="s">
        <v>974</v>
      </c>
      <c r="G311" s="3" t="s">
        <v>922</v>
      </c>
      <c r="H311" s="3" t="s">
        <v>854</v>
      </c>
      <c r="I311" s="3" t="s">
        <v>52</v>
      </c>
      <c r="J311" s="3" t="s">
        <v>51</v>
      </c>
      <c r="K311" s="3" t="b">
        <v>1</v>
      </c>
      <c r="L311" s="3"/>
      <c r="M311" s="3" t="b">
        <v>1</v>
      </c>
      <c r="N311" s="3" t="b">
        <v>0</v>
      </c>
      <c r="O311" s="3" t="b">
        <v>0</v>
      </c>
    </row>
    <row r="312" spans="1:15" x14ac:dyDescent="0.3">
      <c r="A312" s="27" t="s">
        <v>2180</v>
      </c>
      <c r="B312" s="27" t="s">
        <v>1464</v>
      </c>
      <c r="C312" s="27"/>
      <c r="D312" s="27" t="s">
        <v>1630</v>
      </c>
      <c r="E312" s="21" t="s">
        <v>1758</v>
      </c>
      <c r="F312" s="3" t="s">
        <v>1553</v>
      </c>
      <c r="G312" s="3" t="s">
        <v>978</v>
      </c>
      <c r="H312" s="3" t="s">
        <v>52</v>
      </c>
      <c r="I312" s="3" t="s">
        <v>52</v>
      </c>
      <c r="J312" s="3" t="s">
        <v>51</v>
      </c>
      <c r="K312" s="3" t="b">
        <v>1</v>
      </c>
      <c r="L312" s="3"/>
      <c r="M312" s="3" t="b">
        <v>1</v>
      </c>
      <c r="N312" s="3" t="b">
        <v>0</v>
      </c>
      <c r="O312" s="3" t="b">
        <v>0</v>
      </c>
    </row>
    <row r="313" spans="1:15" x14ac:dyDescent="0.3">
      <c r="A313" s="27" t="s">
        <v>2180</v>
      </c>
      <c r="B313" s="27" t="s">
        <v>1466</v>
      </c>
      <c r="C313" s="27"/>
      <c r="D313" s="27" t="s">
        <v>1630</v>
      </c>
      <c r="E313" s="21" t="s">
        <v>1758</v>
      </c>
      <c r="F313" s="3" t="s">
        <v>1553</v>
      </c>
      <c r="G313" s="3" t="s">
        <v>978</v>
      </c>
      <c r="H313" s="3" t="s">
        <v>52</v>
      </c>
      <c r="I313" s="3" t="s">
        <v>52</v>
      </c>
      <c r="J313" s="3" t="s">
        <v>51</v>
      </c>
      <c r="K313" s="3" t="b">
        <v>1</v>
      </c>
      <c r="L313" s="3"/>
      <c r="M313" s="3" t="b">
        <v>1</v>
      </c>
      <c r="N313" s="3" t="b">
        <v>0</v>
      </c>
      <c r="O313" s="3" t="b">
        <v>0</v>
      </c>
    </row>
    <row r="314" spans="1:15" x14ac:dyDescent="0.3">
      <c r="A314" s="27" t="s">
        <v>2180</v>
      </c>
      <c r="B314" s="27" t="s">
        <v>1467</v>
      </c>
      <c r="C314" s="27"/>
      <c r="D314" s="27" t="s">
        <v>1630</v>
      </c>
      <c r="E314" s="21" t="s">
        <v>1758</v>
      </c>
      <c r="F314" s="3" t="s">
        <v>1553</v>
      </c>
      <c r="G314" s="3" t="s">
        <v>978</v>
      </c>
      <c r="H314" s="3" t="s">
        <v>52</v>
      </c>
      <c r="I314" s="3" t="s">
        <v>52</v>
      </c>
      <c r="J314" s="3" t="s">
        <v>51</v>
      </c>
      <c r="K314" s="3" t="b">
        <v>1</v>
      </c>
      <c r="L314" s="3"/>
      <c r="M314" s="3" t="b">
        <v>1</v>
      </c>
      <c r="N314" s="3" t="b">
        <v>0</v>
      </c>
      <c r="O314" s="3" t="b">
        <v>0</v>
      </c>
    </row>
    <row r="315" spans="1:15" x14ac:dyDescent="0.3">
      <c r="A315" s="27" t="s">
        <v>2180</v>
      </c>
      <c r="B315" s="27" t="s">
        <v>1468</v>
      </c>
      <c r="C315" s="27"/>
      <c r="D315" s="27" t="s">
        <v>1630</v>
      </c>
      <c r="E315" s="21" t="s">
        <v>1758</v>
      </c>
      <c r="F315" s="3" t="s">
        <v>1553</v>
      </c>
      <c r="G315" s="3" t="s">
        <v>978</v>
      </c>
      <c r="H315" s="3" t="s">
        <v>52</v>
      </c>
      <c r="I315" s="3" t="s">
        <v>52</v>
      </c>
      <c r="J315" s="3" t="s">
        <v>51</v>
      </c>
      <c r="K315" s="3" t="b">
        <v>1</v>
      </c>
      <c r="L315" s="3"/>
      <c r="M315" s="3" t="b">
        <v>1</v>
      </c>
      <c r="N315" s="3" t="b">
        <v>0</v>
      </c>
      <c r="O315" s="3" t="b">
        <v>0</v>
      </c>
    </row>
    <row r="316" spans="1:15" x14ac:dyDescent="0.3">
      <c r="A316" s="27" t="s">
        <v>2180</v>
      </c>
      <c r="B316" s="27" t="s">
        <v>1469</v>
      </c>
      <c r="C316" s="27"/>
      <c r="D316" s="27" t="s">
        <v>1630</v>
      </c>
      <c r="E316" s="21" t="s">
        <v>1758</v>
      </c>
      <c r="F316" s="3" t="s">
        <v>1553</v>
      </c>
      <c r="G316" s="3" t="s">
        <v>978</v>
      </c>
      <c r="H316" s="3" t="s">
        <v>52</v>
      </c>
      <c r="I316" s="3" t="s">
        <v>52</v>
      </c>
      <c r="J316" s="3" t="s">
        <v>51</v>
      </c>
      <c r="K316" s="3" t="b">
        <v>1</v>
      </c>
      <c r="L316" s="3"/>
      <c r="M316" s="3" t="b">
        <v>1</v>
      </c>
      <c r="N316" s="3" t="b">
        <v>0</v>
      </c>
      <c r="O316" s="3" t="b">
        <v>0</v>
      </c>
    </row>
    <row r="317" spans="1:15" x14ac:dyDescent="0.3">
      <c r="A317" s="27" t="s">
        <v>2180</v>
      </c>
      <c r="B317" s="27" t="s">
        <v>1470</v>
      </c>
      <c r="C317" s="27"/>
      <c r="D317" s="27" t="s">
        <v>1630</v>
      </c>
      <c r="E317" s="21" t="s">
        <v>1758</v>
      </c>
      <c r="F317" s="3" t="s">
        <v>1553</v>
      </c>
      <c r="G317" s="3" t="s">
        <v>978</v>
      </c>
      <c r="H317" s="3" t="s">
        <v>52</v>
      </c>
      <c r="I317" s="3" t="s">
        <v>52</v>
      </c>
      <c r="J317" s="3" t="s">
        <v>51</v>
      </c>
      <c r="K317" s="3" t="b">
        <v>1</v>
      </c>
      <c r="L317" s="3"/>
      <c r="M317" s="3" t="b">
        <v>1</v>
      </c>
      <c r="N317" s="3" t="b">
        <v>0</v>
      </c>
      <c r="O317" s="3" t="b">
        <v>0</v>
      </c>
    </row>
    <row r="318" spans="1:15" x14ac:dyDescent="0.3">
      <c r="A318" s="27" t="s">
        <v>2180</v>
      </c>
      <c r="B318" s="27" t="s">
        <v>1934</v>
      </c>
      <c r="C318" s="27"/>
      <c r="D318" s="27" t="s">
        <v>1630</v>
      </c>
      <c r="E318" s="12" t="s">
        <v>1758</v>
      </c>
      <c r="F318" s="3" t="s">
        <v>1553</v>
      </c>
      <c r="G318" s="3" t="s">
        <v>978</v>
      </c>
      <c r="H318" s="3" t="s">
        <v>52</v>
      </c>
      <c r="I318" s="3" t="s">
        <v>52</v>
      </c>
      <c r="J318" s="3" t="s">
        <v>51</v>
      </c>
      <c r="K318" s="3" t="b">
        <v>1</v>
      </c>
      <c r="L318" s="3"/>
      <c r="M318" s="3" t="b">
        <v>1</v>
      </c>
      <c r="N318" s="3" t="b">
        <v>0</v>
      </c>
      <c r="O318" s="3" t="b">
        <v>0</v>
      </c>
    </row>
    <row r="319" spans="1:15" x14ac:dyDescent="0.3">
      <c r="A319" s="27" t="s">
        <v>2180</v>
      </c>
      <c r="B319" s="27" t="s">
        <v>1935</v>
      </c>
      <c r="C319" s="27"/>
      <c r="D319" s="27" t="s">
        <v>1630</v>
      </c>
      <c r="E319" s="12" t="s">
        <v>1758</v>
      </c>
      <c r="F319" s="3" t="s">
        <v>1553</v>
      </c>
      <c r="G319" s="3" t="s">
        <v>978</v>
      </c>
      <c r="H319" s="3" t="s">
        <v>52</v>
      </c>
      <c r="I319" s="3" t="s">
        <v>52</v>
      </c>
      <c r="J319" s="3" t="s">
        <v>51</v>
      </c>
      <c r="K319" s="3" t="b">
        <v>1</v>
      </c>
      <c r="L319" s="3"/>
      <c r="M319" s="3" t="b">
        <v>1</v>
      </c>
      <c r="N319" s="3" t="b">
        <v>0</v>
      </c>
      <c r="O319" s="3" t="b">
        <v>0</v>
      </c>
    </row>
    <row r="320" spans="1:15" x14ac:dyDescent="0.3">
      <c r="A320" s="27" t="s">
        <v>2180</v>
      </c>
      <c r="B320" s="27" t="s">
        <v>1936</v>
      </c>
      <c r="C320" s="27"/>
      <c r="D320" s="27" t="s">
        <v>1630</v>
      </c>
      <c r="E320" s="12" t="s">
        <v>1758</v>
      </c>
      <c r="F320" s="3" t="s">
        <v>1553</v>
      </c>
      <c r="G320" s="3" t="s">
        <v>978</v>
      </c>
      <c r="H320" s="3" t="s">
        <v>52</v>
      </c>
      <c r="I320" s="3" t="s">
        <v>52</v>
      </c>
      <c r="J320" s="3" t="s">
        <v>51</v>
      </c>
      <c r="K320" s="3" t="b">
        <v>1</v>
      </c>
      <c r="L320" s="3"/>
      <c r="M320" s="3" t="b">
        <v>1</v>
      </c>
      <c r="N320" s="3" t="b">
        <v>0</v>
      </c>
      <c r="O320" s="3" t="b">
        <v>0</v>
      </c>
    </row>
    <row r="321" spans="1:15" x14ac:dyDescent="0.3">
      <c r="A321" s="27" t="s">
        <v>2180</v>
      </c>
      <c r="B321" s="27" t="s">
        <v>1937</v>
      </c>
      <c r="C321" s="27"/>
      <c r="D321" s="27" t="s">
        <v>1630</v>
      </c>
      <c r="E321" s="12" t="s">
        <v>1758</v>
      </c>
      <c r="F321" s="3" t="s">
        <v>1553</v>
      </c>
      <c r="G321" s="3" t="s">
        <v>978</v>
      </c>
      <c r="H321" s="3" t="s">
        <v>52</v>
      </c>
      <c r="I321" s="3" t="s">
        <v>52</v>
      </c>
      <c r="J321" s="3" t="s">
        <v>51</v>
      </c>
      <c r="K321" s="3" t="b">
        <v>1</v>
      </c>
      <c r="L321" s="3"/>
      <c r="M321" s="3" t="b">
        <v>1</v>
      </c>
      <c r="N321" s="3" t="b">
        <v>0</v>
      </c>
      <c r="O321" s="3" t="b">
        <v>0</v>
      </c>
    </row>
    <row r="322" spans="1:15" x14ac:dyDescent="0.3">
      <c r="A322" s="27" t="s">
        <v>2180</v>
      </c>
      <c r="B322" s="27" t="s">
        <v>1938</v>
      </c>
      <c r="C322" s="27"/>
      <c r="D322" s="27" t="s">
        <v>1630</v>
      </c>
      <c r="E322" s="12" t="s">
        <v>1758</v>
      </c>
      <c r="F322" s="3" t="s">
        <v>1553</v>
      </c>
      <c r="G322" s="3" t="s">
        <v>978</v>
      </c>
      <c r="H322" s="3" t="s">
        <v>52</v>
      </c>
      <c r="I322" s="3" t="s">
        <v>52</v>
      </c>
      <c r="J322" s="3" t="s">
        <v>51</v>
      </c>
      <c r="K322" s="3" t="b">
        <v>1</v>
      </c>
      <c r="L322" s="3"/>
      <c r="M322" s="3" t="b">
        <v>1</v>
      </c>
      <c r="N322" s="3" t="b">
        <v>0</v>
      </c>
      <c r="O322" s="3" t="b">
        <v>0</v>
      </c>
    </row>
    <row r="323" spans="1:15" x14ac:dyDescent="0.3">
      <c r="A323" s="27" t="s">
        <v>2180</v>
      </c>
      <c r="B323" s="27" t="s">
        <v>1939</v>
      </c>
      <c r="C323" s="27"/>
      <c r="D323" s="27" t="s">
        <v>1630</v>
      </c>
      <c r="E323" s="12" t="s">
        <v>1758</v>
      </c>
      <c r="F323" s="3" t="s">
        <v>1553</v>
      </c>
      <c r="G323" s="3" t="s">
        <v>978</v>
      </c>
      <c r="H323" s="3" t="s">
        <v>52</v>
      </c>
      <c r="I323" s="3" t="s">
        <v>52</v>
      </c>
      <c r="J323" s="3" t="s">
        <v>51</v>
      </c>
      <c r="K323" s="3" t="b">
        <v>1</v>
      </c>
      <c r="L323" s="3"/>
      <c r="M323" s="3" t="b">
        <v>1</v>
      </c>
      <c r="N323" s="3" t="b">
        <v>0</v>
      </c>
      <c r="O323" s="3" t="b">
        <v>0</v>
      </c>
    </row>
    <row r="324" spans="1:15" x14ac:dyDescent="0.3">
      <c r="A324" s="27" t="s">
        <v>2180</v>
      </c>
      <c r="B324" s="27" t="s">
        <v>1464</v>
      </c>
      <c r="C324" s="27"/>
      <c r="D324" s="27" t="s">
        <v>1481</v>
      </c>
      <c r="E324" s="21" t="s">
        <v>1759</v>
      </c>
      <c r="F324" s="3" t="s">
        <v>1551</v>
      </c>
      <c r="G324" s="3" t="s">
        <v>978</v>
      </c>
      <c r="H324" s="3" t="s">
        <v>52</v>
      </c>
      <c r="I324" s="3" t="s">
        <v>52</v>
      </c>
      <c r="J324" s="3" t="s">
        <v>51</v>
      </c>
      <c r="K324" s="3" t="b">
        <v>1</v>
      </c>
      <c r="L324" s="3"/>
      <c r="M324" s="3" t="b">
        <v>1</v>
      </c>
      <c r="N324" s="3" t="b">
        <v>0</v>
      </c>
      <c r="O324" s="3" t="b">
        <v>0</v>
      </c>
    </row>
    <row r="325" spans="1:15" x14ac:dyDescent="0.3">
      <c r="A325" s="27" t="s">
        <v>2180</v>
      </c>
      <c r="B325" s="27" t="s">
        <v>1466</v>
      </c>
      <c r="C325" s="27"/>
      <c r="D325" s="27" t="s">
        <v>1481</v>
      </c>
      <c r="E325" s="21" t="s">
        <v>1759</v>
      </c>
      <c r="F325" s="3" t="s">
        <v>1551</v>
      </c>
      <c r="G325" s="3" t="s">
        <v>978</v>
      </c>
      <c r="H325" s="3" t="s">
        <v>52</v>
      </c>
      <c r="I325" s="3" t="s">
        <v>52</v>
      </c>
      <c r="J325" s="3" t="s">
        <v>51</v>
      </c>
      <c r="K325" s="3" t="b">
        <v>1</v>
      </c>
      <c r="L325" s="3"/>
      <c r="M325" s="3" t="b">
        <v>1</v>
      </c>
      <c r="N325" s="3" t="b">
        <v>0</v>
      </c>
      <c r="O325" s="3" t="b">
        <v>0</v>
      </c>
    </row>
    <row r="326" spans="1:15" x14ac:dyDescent="0.3">
      <c r="A326" s="27" t="s">
        <v>2180</v>
      </c>
      <c r="B326" s="27" t="s">
        <v>1467</v>
      </c>
      <c r="C326" s="27"/>
      <c r="D326" s="27" t="s">
        <v>1481</v>
      </c>
      <c r="E326" s="21" t="s">
        <v>1759</v>
      </c>
      <c r="F326" s="3" t="s">
        <v>1551</v>
      </c>
      <c r="G326" s="3" t="s">
        <v>978</v>
      </c>
      <c r="H326" s="3" t="s">
        <v>52</v>
      </c>
      <c r="I326" s="3" t="s">
        <v>52</v>
      </c>
      <c r="J326" s="3" t="s">
        <v>51</v>
      </c>
      <c r="K326" s="3" t="b">
        <v>1</v>
      </c>
      <c r="L326" s="3"/>
      <c r="M326" s="3" t="b">
        <v>1</v>
      </c>
      <c r="N326" s="3" t="b">
        <v>0</v>
      </c>
      <c r="O326" s="3" t="b">
        <v>0</v>
      </c>
    </row>
    <row r="327" spans="1:15" x14ac:dyDescent="0.3">
      <c r="A327" s="27" t="s">
        <v>2180</v>
      </c>
      <c r="B327" s="27" t="s">
        <v>1468</v>
      </c>
      <c r="C327" s="27"/>
      <c r="D327" s="27" t="s">
        <v>1481</v>
      </c>
      <c r="E327" s="21" t="s">
        <v>1759</v>
      </c>
      <c r="F327" s="3" t="s">
        <v>1551</v>
      </c>
      <c r="G327" s="3" t="s">
        <v>978</v>
      </c>
      <c r="H327" s="3" t="s">
        <v>52</v>
      </c>
      <c r="I327" s="3" t="s">
        <v>52</v>
      </c>
      <c r="J327" s="3" t="s">
        <v>51</v>
      </c>
      <c r="K327" s="3" t="b">
        <v>1</v>
      </c>
      <c r="L327" s="3"/>
      <c r="M327" s="3" t="b">
        <v>1</v>
      </c>
      <c r="N327" s="3" t="b">
        <v>0</v>
      </c>
      <c r="O327" s="3" t="b">
        <v>0</v>
      </c>
    </row>
    <row r="328" spans="1:15" x14ac:dyDescent="0.3">
      <c r="A328" s="27" t="s">
        <v>2180</v>
      </c>
      <c r="B328" s="27" t="s">
        <v>1469</v>
      </c>
      <c r="C328" s="27"/>
      <c r="D328" s="27" t="s">
        <v>1481</v>
      </c>
      <c r="E328" s="21" t="s">
        <v>1759</v>
      </c>
      <c r="F328" s="3" t="s">
        <v>1551</v>
      </c>
      <c r="G328" s="3" t="s">
        <v>978</v>
      </c>
      <c r="H328" s="3" t="s">
        <v>52</v>
      </c>
      <c r="I328" s="3" t="s">
        <v>52</v>
      </c>
      <c r="J328" s="3" t="s">
        <v>51</v>
      </c>
      <c r="K328" s="3" t="b">
        <v>1</v>
      </c>
      <c r="L328" s="3"/>
      <c r="M328" s="3" t="b">
        <v>1</v>
      </c>
      <c r="N328" s="3" t="b">
        <v>0</v>
      </c>
      <c r="O328" s="3" t="b">
        <v>0</v>
      </c>
    </row>
    <row r="329" spans="1:15" x14ac:dyDescent="0.3">
      <c r="A329" s="27" t="s">
        <v>2180</v>
      </c>
      <c r="B329" s="27" t="s">
        <v>1470</v>
      </c>
      <c r="C329" s="27"/>
      <c r="D329" s="27" t="s">
        <v>1481</v>
      </c>
      <c r="E329" s="21" t="s">
        <v>1759</v>
      </c>
      <c r="F329" s="3" t="s">
        <v>1551</v>
      </c>
      <c r="G329" s="3" t="s">
        <v>978</v>
      </c>
      <c r="H329" s="3" t="s">
        <v>52</v>
      </c>
      <c r="I329" s="3" t="s">
        <v>52</v>
      </c>
      <c r="J329" s="3" t="s">
        <v>51</v>
      </c>
      <c r="K329" s="3" t="b">
        <v>1</v>
      </c>
      <c r="L329" s="3"/>
      <c r="M329" s="3" t="b">
        <v>1</v>
      </c>
      <c r="N329" s="3" t="b">
        <v>0</v>
      </c>
      <c r="O329" s="3" t="b">
        <v>0</v>
      </c>
    </row>
    <row r="330" spans="1:15" x14ac:dyDescent="0.3">
      <c r="A330" s="27" t="s">
        <v>2180</v>
      </c>
      <c r="B330" s="27" t="s">
        <v>1934</v>
      </c>
      <c r="C330" s="27"/>
      <c r="D330" s="27" t="s">
        <v>1481</v>
      </c>
      <c r="E330" s="12" t="s">
        <v>1759</v>
      </c>
      <c r="F330" s="3" t="s">
        <v>1551</v>
      </c>
      <c r="G330" s="3" t="s">
        <v>978</v>
      </c>
      <c r="H330" s="3" t="s">
        <v>52</v>
      </c>
      <c r="I330" s="3" t="s">
        <v>52</v>
      </c>
      <c r="J330" s="3" t="s">
        <v>51</v>
      </c>
      <c r="K330" s="3" t="b">
        <v>1</v>
      </c>
      <c r="L330" s="3"/>
      <c r="M330" s="3" t="b">
        <v>1</v>
      </c>
      <c r="N330" s="3" t="b">
        <v>0</v>
      </c>
      <c r="O330" s="3" t="b">
        <v>0</v>
      </c>
    </row>
    <row r="331" spans="1:15" x14ac:dyDescent="0.3">
      <c r="A331" s="27" t="s">
        <v>2180</v>
      </c>
      <c r="B331" s="27" t="s">
        <v>1935</v>
      </c>
      <c r="C331" s="27"/>
      <c r="D331" s="27" t="s">
        <v>1481</v>
      </c>
      <c r="E331" s="12" t="s">
        <v>1759</v>
      </c>
      <c r="F331" s="3" t="s">
        <v>1551</v>
      </c>
      <c r="G331" s="3" t="s">
        <v>978</v>
      </c>
      <c r="H331" s="3" t="s">
        <v>52</v>
      </c>
      <c r="I331" s="3" t="s">
        <v>52</v>
      </c>
      <c r="J331" s="3" t="s">
        <v>51</v>
      </c>
      <c r="K331" s="3" t="b">
        <v>1</v>
      </c>
      <c r="L331" s="3"/>
      <c r="M331" s="3" t="b">
        <v>1</v>
      </c>
      <c r="N331" s="3" t="b">
        <v>0</v>
      </c>
      <c r="O331" s="3" t="b">
        <v>0</v>
      </c>
    </row>
    <row r="332" spans="1:15" x14ac:dyDescent="0.3">
      <c r="A332" s="27" t="s">
        <v>2180</v>
      </c>
      <c r="B332" s="27" t="s">
        <v>1936</v>
      </c>
      <c r="C332" s="27"/>
      <c r="D332" s="27" t="s">
        <v>1481</v>
      </c>
      <c r="E332" s="12" t="s">
        <v>1759</v>
      </c>
      <c r="F332" s="3" t="s">
        <v>1551</v>
      </c>
      <c r="G332" s="3" t="s">
        <v>978</v>
      </c>
      <c r="H332" s="3" t="s">
        <v>52</v>
      </c>
      <c r="I332" s="3" t="s">
        <v>52</v>
      </c>
      <c r="J332" s="3" t="s">
        <v>51</v>
      </c>
      <c r="K332" s="3" t="b">
        <v>1</v>
      </c>
      <c r="L332" s="3"/>
      <c r="M332" s="3" t="b">
        <v>1</v>
      </c>
      <c r="N332" s="3" t="b">
        <v>0</v>
      </c>
      <c r="O332" s="3" t="b">
        <v>0</v>
      </c>
    </row>
    <row r="333" spans="1:15" x14ac:dyDescent="0.3">
      <c r="A333" s="27" t="s">
        <v>2180</v>
      </c>
      <c r="B333" s="27" t="s">
        <v>1937</v>
      </c>
      <c r="C333" s="27"/>
      <c r="D333" s="27" t="s">
        <v>1481</v>
      </c>
      <c r="E333" s="12" t="s">
        <v>1759</v>
      </c>
      <c r="F333" s="3" t="s">
        <v>1551</v>
      </c>
      <c r="G333" s="3" t="s">
        <v>978</v>
      </c>
      <c r="H333" s="3" t="s">
        <v>52</v>
      </c>
      <c r="I333" s="3" t="s">
        <v>52</v>
      </c>
      <c r="J333" s="3" t="s">
        <v>51</v>
      </c>
      <c r="K333" s="3" t="b">
        <v>1</v>
      </c>
      <c r="L333" s="3"/>
      <c r="M333" s="3" t="b">
        <v>1</v>
      </c>
      <c r="N333" s="3" t="b">
        <v>0</v>
      </c>
      <c r="O333" s="3" t="b">
        <v>0</v>
      </c>
    </row>
    <row r="334" spans="1:15" x14ac:dyDescent="0.3">
      <c r="A334" s="27" t="s">
        <v>2180</v>
      </c>
      <c r="B334" s="27" t="s">
        <v>1938</v>
      </c>
      <c r="C334" s="27"/>
      <c r="D334" s="27" t="s">
        <v>1481</v>
      </c>
      <c r="E334" s="12" t="s">
        <v>1759</v>
      </c>
      <c r="F334" s="3" t="s">
        <v>1551</v>
      </c>
      <c r="G334" s="3" t="s">
        <v>978</v>
      </c>
      <c r="H334" s="3" t="s">
        <v>52</v>
      </c>
      <c r="I334" s="3" t="s">
        <v>52</v>
      </c>
      <c r="J334" s="3" t="s">
        <v>51</v>
      </c>
      <c r="K334" s="3" t="b">
        <v>1</v>
      </c>
      <c r="L334" s="3"/>
      <c r="M334" s="3" t="b">
        <v>1</v>
      </c>
      <c r="N334" s="3" t="b">
        <v>0</v>
      </c>
      <c r="O334" s="3" t="b">
        <v>0</v>
      </c>
    </row>
    <row r="335" spans="1:15" x14ac:dyDescent="0.3">
      <c r="A335" s="27" t="s">
        <v>2180</v>
      </c>
      <c r="B335" s="27" t="s">
        <v>1939</v>
      </c>
      <c r="C335" s="27"/>
      <c r="D335" s="27" t="s">
        <v>1481</v>
      </c>
      <c r="E335" s="12" t="s">
        <v>1759</v>
      </c>
      <c r="F335" s="3" t="s">
        <v>1551</v>
      </c>
      <c r="G335" s="3" t="s">
        <v>978</v>
      </c>
      <c r="H335" s="3" t="s">
        <v>52</v>
      </c>
      <c r="I335" s="3" t="s">
        <v>52</v>
      </c>
      <c r="J335" s="3" t="s">
        <v>51</v>
      </c>
      <c r="K335" s="3" t="b">
        <v>1</v>
      </c>
      <c r="L335" s="3"/>
      <c r="M335" s="3" t="b">
        <v>1</v>
      </c>
      <c r="N335" s="3" t="b">
        <v>0</v>
      </c>
      <c r="O335" s="3" t="b">
        <v>0</v>
      </c>
    </row>
    <row r="336" spans="1:15" x14ac:dyDescent="0.3">
      <c r="A336" s="27" t="s">
        <v>2180</v>
      </c>
      <c r="B336" s="27"/>
      <c r="C336" s="27"/>
      <c r="D336" s="27"/>
      <c r="E336" s="12" t="s">
        <v>1003</v>
      </c>
      <c r="F336" s="3" t="s">
        <v>1004</v>
      </c>
      <c r="G336" s="3" t="s">
        <v>978</v>
      </c>
      <c r="H336" s="3" t="s">
        <v>52</v>
      </c>
      <c r="I336" s="3" t="s">
        <v>52</v>
      </c>
      <c r="J336" s="3" t="s">
        <v>51</v>
      </c>
      <c r="K336" s="3" t="b">
        <v>1</v>
      </c>
      <c r="L336" s="3"/>
      <c r="M336" s="3" t="b">
        <v>1</v>
      </c>
      <c r="N336" s="3" t="b">
        <v>0</v>
      </c>
      <c r="O336" s="3" t="b">
        <v>0</v>
      </c>
    </row>
    <row r="337" spans="1:15" x14ac:dyDescent="0.3">
      <c r="A337" s="27" t="s">
        <v>2180</v>
      </c>
      <c r="B337" s="27"/>
      <c r="C337" s="27"/>
      <c r="D337" s="27"/>
      <c r="E337" s="12" t="s">
        <v>1005</v>
      </c>
      <c r="F337" s="3" t="s">
        <v>1006</v>
      </c>
      <c r="G337" s="3" t="s">
        <v>978</v>
      </c>
      <c r="H337" s="3" t="s">
        <v>52</v>
      </c>
      <c r="I337" s="3" t="s">
        <v>52</v>
      </c>
      <c r="J337" s="3" t="s">
        <v>51</v>
      </c>
      <c r="K337" s="3" t="b">
        <v>1</v>
      </c>
      <c r="L337" s="3"/>
      <c r="M337" s="3" t="b">
        <v>1</v>
      </c>
      <c r="N337" s="3" t="b">
        <v>0</v>
      </c>
      <c r="O337" s="3" t="b">
        <v>0</v>
      </c>
    </row>
    <row r="338" spans="1:15" x14ac:dyDescent="0.3">
      <c r="A338" s="27" t="s">
        <v>2180</v>
      </c>
      <c r="B338" s="27" t="s">
        <v>1464</v>
      </c>
      <c r="C338" s="27"/>
      <c r="D338" s="27" t="s">
        <v>1630</v>
      </c>
      <c r="E338" s="21" t="s">
        <v>1761</v>
      </c>
      <c r="F338" s="3" t="s">
        <v>1549</v>
      </c>
      <c r="G338" s="3" t="s">
        <v>978</v>
      </c>
      <c r="H338" s="3" t="s">
        <v>52</v>
      </c>
      <c r="I338" s="3" t="s">
        <v>52</v>
      </c>
      <c r="J338" s="3" t="s">
        <v>51</v>
      </c>
      <c r="K338" s="3" t="b">
        <v>1</v>
      </c>
      <c r="L338" s="3"/>
      <c r="M338" s="3" t="b">
        <v>1</v>
      </c>
      <c r="N338" s="3" t="b">
        <v>0</v>
      </c>
      <c r="O338" s="3" t="b">
        <v>0</v>
      </c>
    </row>
    <row r="339" spans="1:15" x14ac:dyDescent="0.3">
      <c r="A339" s="27" t="s">
        <v>2180</v>
      </c>
      <c r="B339" s="27" t="s">
        <v>1466</v>
      </c>
      <c r="C339" s="27"/>
      <c r="D339" s="27" t="s">
        <v>1630</v>
      </c>
      <c r="E339" s="21" t="s">
        <v>1761</v>
      </c>
      <c r="F339" s="3" t="s">
        <v>1549</v>
      </c>
      <c r="G339" s="3" t="s">
        <v>978</v>
      </c>
      <c r="H339" s="3" t="s">
        <v>52</v>
      </c>
      <c r="I339" s="3" t="s">
        <v>52</v>
      </c>
      <c r="J339" s="3" t="s">
        <v>51</v>
      </c>
      <c r="K339" s="3" t="b">
        <v>1</v>
      </c>
      <c r="L339" s="3"/>
      <c r="M339" s="3" t="b">
        <v>1</v>
      </c>
      <c r="N339" s="3" t="b">
        <v>0</v>
      </c>
      <c r="O339" s="3" t="b">
        <v>0</v>
      </c>
    </row>
    <row r="340" spans="1:15" x14ac:dyDescent="0.3">
      <c r="A340" s="27" t="s">
        <v>2180</v>
      </c>
      <c r="B340" s="27" t="s">
        <v>1467</v>
      </c>
      <c r="C340" s="27"/>
      <c r="D340" s="27" t="s">
        <v>1630</v>
      </c>
      <c r="E340" s="21" t="s">
        <v>1761</v>
      </c>
      <c r="F340" s="3" t="s">
        <v>1549</v>
      </c>
      <c r="G340" s="3" t="s">
        <v>978</v>
      </c>
      <c r="H340" s="3" t="s">
        <v>52</v>
      </c>
      <c r="I340" s="3" t="s">
        <v>52</v>
      </c>
      <c r="J340" s="3" t="s">
        <v>51</v>
      </c>
      <c r="K340" s="3" t="b">
        <v>1</v>
      </c>
      <c r="L340" s="3"/>
      <c r="M340" s="3" t="b">
        <v>1</v>
      </c>
      <c r="N340" s="3" t="b">
        <v>0</v>
      </c>
      <c r="O340" s="3" t="b">
        <v>0</v>
      </c>
    </row>
    <row r="341" spans="1:15" x14ac:dyDescent="0.3">
      <c r="A341" s="27" t="s">
        <v>2180</v>
      </c>
      <c r="B341" s="27" t="s">
        <v>1468</v>
      </c>
      <c r="C341" s="27"/>
      <c r="D341" s="27" t="s">
        <v>1630</v>
      </c>
      <c r="E341" s="21" t="s">
        <v>1761</v>
      </c>
      <c r="F341" s="3" t="s">
        <v>1549</v>
      </c>
      <c r="G341" s="3" t="s">
        <v>978</v>
      </c>
      <c r="H341" s="3" t="s">
        <v>52</v>
      </c>
      <c r="I341" s="3" t="s">
        <v>52</v>
      </c>
      <c r="J341" s="3" t="s">
        <v>51</v>
      </c>
      <c r="K341" s="3" t="b">
        <v>1</v>
      </c>
      <c r="L341" s="3"/>
      <c r="M341" s="3" t="b">
        <v>1</v>
      </c>
      <c r="N341" s="3" t="b">
        <v>0</v>
      </c>
      <c r="O341" s="3" t="b">
        <v>0</v>
      </c>
    </row>
    <row r="342" spans="1:15" x14ac:dyDescent="0.3">
      <c r="A342" s="27" t="s">
        <v>2180</v>
      </c>
      <c r="B342" s="27" t="s">
        <v>1469</v>
      </c>
      <c r="C342" s="27"/>
      <c r="D342" s="27" t="s">
        <v>1630</v>
      </c>
      <c r="E342" s="21" t="s">
        <v>1761</v>
      </c>
      <c r="F342" s="3" t="s">
        <v>1549</v>
      </c>
      <c r="G342" s="3" t="s">
        <v>978</v>
      </c>
      <c r="H342" s="3" t="s">
        <v>52</v>
      </c>
      <c r="I342" s="3" t="s">
        <v>52</v>
      </c>
      <c r="J342" s="3" t="s">
        <v>51</v>
      </c>
      <c r="K342" s="3" t="b">
        <v>1</v>
      </c>
      <c r="L342" s="3"/>
      <c r="M342" s="3" t="b">
        <v>1</v>
      </c>
      <c r="N342" s="3" t="b">
        <v>0</v>
      </c>
      <c r="O342" s="3" t="b">
        <v>0</v>
      </c>
    </row>
    <row r="343" spans="1:15" x14ac:dyDescent="0.3">
      <c r="A343" s="27" t="s">
        <v>2180</v>
      </c>
      <c r="B343" s="27" t="s">
        <v>1470</v>
      </c>
      <c r="C343" s="27"/>
      <c r="D343" s="27" t="s">
        <v>1630</v>
      </c>
      <c r="E343" s="21" t="s">
        <v>1761</v>
      </c>
      <c r="F343" s="3" t="s">
        <v>1549</v>
      </c>
      <c r="G343" s="3" t="s">
        <v>978</v>
      </c>
      <c r="H343" s="3" t="s">
        <v>52</v>
      </c>
      <c r="I343" s="3" t="s">
        <v>52</v>
      </c>
      <c r="J343" s="3" t="s">
        <v>51</v>
      </c>
      <c r="K343" s="3" t="b">
        <v>1</v>
      </c>
      <c r="L343" s="3"/>
      <c r="M343" s="3" t="b">
        <v>1</v>
      </c>
      <c r="N343" s="3" t="b">
        <v>0</v>
      </c>
      <c r="O343" s="3" t="b">
        <v>0</v>
      </c>
    </row>
    <row r="344" spans="1:15" x14ac:dyDescent="0.3">
      <c r="A344" s="27" t="s">
        <v>2180</v>
      </c>
      <c r="B344" s="27" t="s">
        <v>1464</v>
      </c>
      <c r="C344" s="27"/>
      <c r="D344" s="27" t="s">
        <v>1631</v>
      </c>
      <c r="E344" s="21" t="s">
        <v>1761</v>
      </c>
      <c r="F344" s="3" t="s">
        <v>1550</v>
      </c>
      <c r="G344" s="3" t="s">
        <v>978</v>
      </c>
      <c r="H344" s="3" t="s">
        <v>52</v>
      </c>
      <c r="I344" s="3" t="s">
        <v>52</v>
      </c>
      <c r="J344" s="3" t="s">
        <v>51</v>
      </c>
      <c r="K344" s="3" t="b">
        <v>1</v>
      </c>
      <c r="L344" s="3"/>
      <c r="M344" s="3" t="b">
        <v>1</v>
      </c>
      <c r="N344" s="3" t="b">
        <v>0</v>
      </c>
      <c r="O344" s="3" t="b">
        <v>0</v>
      </c>
    </row>
    <row r="345" spans="1:15" x14ac:dyDescent="0.3">
      <c r="A345" s="27" t="s">
        <v>2180</v>
      </c>
      <c r="B345" s="27" t="s">
        <v>1466</v>
      </c>
      <c r="C345" s="27"/>
      <c r="D345" s="27" t="s">
        <v>1631</v>
      </c>
      <c r="E345" s="21" t="s">
        <v>1761</v>
      </c>
      <c r="F345" s="3" t="s">
        <v>1550</v>
      </c>
      <c r="G345" s="3" t="s">
        <v>978</v>
      </c>
      <c r="H345" s="3" t="s">
        <v>52</v>
      </c>
      <c r="I345" s="3" t="s">
        <v>52</v>
      </c>
      <c r="J345" s="3" t="s">
        <v>51</v>
      </c>
      <c r="K345" s="3" t="b">
        <v>1</v>
      </c>
      <c r="L345" s="3"/>
      <c r="M345" s="3" t="b">
        <v>1</v>
      </c>
      <c r="N345" s="3" t="b">
        <v>0</v>
      </c>
      <c r="O345" s="3" t="b">
        <v>0</v>
      </c>
    </row>
    <row r="346" spans="1:15" x14ac:dyDescent="0.3">
      <c r="A346" s="27" t="s">
        <v>2180</v>
      </c>
      <c r="B346" s="27" t="s">
        <v>1467</v>
      </c>
      <c r="C346" s="27"/>
      <c r="D346" s="27" t="s">
        <v>1631</v>
      </c>
      <c r="E346" s="21" t="s">
        <v>1761</v>
      </c>
      <c r="F346" s="3" t="s">
        <v>1550</v>
      </c>
      <c r="G346" s="3" t="s">
        <v>978</v>
      </c>
      <c r="H346" s="3" t="s">
        <v>52</v>
      </c>
      <c r="I346" s="3" t="s">
        <v>52</v>
      </c>
      <c r="J346" s="3" t="s">
        <v>51</v>
      </c>
      <c r="K346" s="3" t="b">
        <v>1</v>
      </c>
      <c r="L346" s="3"/>
      <c r="M346" s="3" t="b">
        <v>1</v>
      </c>
      <c r="N346" s="3" t="b">
        <v>0</v>
      </c>
      <c r="O346" s="3" t="b">
        <v>0</v>
      </c>
    </row>
    <row r="347" spans="1:15" x14ac:dyDescent="0.3">
      <c r="A347" s="27" t="s">
        <v>2180</v>
      </c>
      <c r="B347" s="27" t="s">
        <v>1468</v>
      </c>
      <c r="C347" s="27"/>
      <c r="D347" s="27" t="s">
        <v>1631</v>
      </c>
      <c r="E347" s="21" t="s">
        <v>1761</v>
      </c>
      <c r="F347" s="3" t="s">
        <v>1550</v>
      </c>
      <c r="G347" s="3" t="s">
        <v>978</v>
      </c>
      <c r="H347" s="3" t="s">
        <v>52</v>
      </c>
      <c r="I347" s="3" t="s">
        <v>52</v>
      </c>
      <c r="J347" s="3" t="s">
        <v>51</v>
      </c>
      <c r="K347" s="3" t="b">
        <v>1</v>
      </c>
      <c r="L347" s="3"/>
      <c r="M347" s="3" t="b">
        <v>1</v>
      </c>
      <c r="N347" s="3" t="b">
        <v>0</v>
      </c>
      <c r="O347" s="3" t="b">
        <v>0</v>
      </c>
    </row>
    <row r="348" spans="1:15" x14ac:dyDescent="0.3">
      <c r="A348" s="27" t="s">
        <v>2180</v>
      </c>
      <c r="B348" s="27" t="s">
        <v>1469</v>
      </c>
      <c r="C348" s="27"/>
      <c r="D348" s="27" t="s">
        <v>1631</v>
      </c>
      <c r="E348" s="21" t="s">
        <v>1761</v>
      </c>
      <c r="F348" s="3" t="s">
        <v>1550</v>
      </c>
      <c r="G348" s="3" t="s">
        <v>978</v>
      </c>
      <c r="H348" s="3" t="s">
        <v>52</v>
      </c>
      <c r="I348" s="3" t="s">
        <v>52</v>
      </c>
      <c r="J348" s="3" t="s">
        <v>51</v>
      </c>
      <c r="K348" s="3" t="b">
        <v>1</v>
      </c>
      <c r="L348" s="3"/>
      <c r="M348" s="3" t="b">
        <v>1</v>
      </c>
      <c r="N348" s="3" t="b">
        <v>0</v>
      </c>
      <c r="O348" s="3" t="b">
        <v>0</v>
      </c>
    </row>
    <row r="349" spans="1:15" x14ac:dyDescent="0.3">
      <c r="A349" s="27" t="s">
        <v>2180</v>
      </c>
      <c r="B349" s="27" t="s">
        <v>1470</v>
      </c>
      <c r="C349" s="27"/>
      <c r="D349" s="27" t="s">
        <v>1631</v>
      </c>
      <c r="E349" s="21" t="s">
        <v>1761</v>
      </c>
      <c r="F349" s="3" t="s">
        <v>1550</v>
      </c>
      <c r="G349" s="3" t="s">
        <v>978</v>
      </c>
      <c r="H349" s="3" t="s">
        <v>52</v>
      </c>
      <c r="I349" s="3" t="s">
        <v>52</v>
      </c>
      <c r="J349" s="3" t="s">
        <v>51</v>
      </c>
      <c r="K349" s="3" t="b">
        <v>1</v>
      </c>
      <c r="L349" s="3"/>
      <c r="M349" s="3" t="b">
        <v>1</v>
      </c>
      <c r="N349" s="3" t="b">
        <v>0</v>
      </c>
      <c r="O349" s="3" t="b">
        <v>0</v>
      </c>
    </row>
    <row r="350" spans="1:15" x14ac:dyDescent="0.3">
      <c r="A350" s="27" t="s">
        <v>2180</v>
      </c>
      <c r="B350" s="27" t="s">
        <v>1934</v>
      </c>
      <c r="C350" s="27"/>
      <c r="D350" s="27" t="s">
        <v>1630</v>
      </c>
      <c r="E350" s="12" t="s">
        <v>1761</v>
      </c>
      <c r="F350" s="3" t="s">
        <v>1549</v>
      </c>
      <c r="G350" s="3" t="s">
        <v>978</v>
      </c>
      <c r="H350" s="3" t="s">
        <v>52</v>
      </c>
      <c r="I350" s="3" t="s">
        <v>52</v>
      </c>
      <c r="J350" s="3" t="s">
        <v>51</v>
      </c>
      <c r="K350" s="3" t="b">
        <v>1</v>
      </c>
      <c r="L350" s="3"/>
      <c r="M350" s="3" t="b">
        <v>1</v>
      </c>
      <c r="N350" s="3" t="b">
        <v>0</v>
      </c>
      <c r="O350" s="3" t="b">
        <v>0</v>
      </c>
    </row>
    <row r="351" spans="1:15" x14ac:dyDescent="0.3">
      <c r="A351" s="27" t="s">
        <v>2180</v>
      </c>
      <c r="B351" s="27" t="s">
        <v>1935</v>
      </c>
      <c r="C351" s="27"/>
      <c r="D351" s="27" t="s">
        <v>1630</v>
      </c>
      <c r="E351" s="12" t="s">
        <v>1761</v>
      </c>
      <c r="F351" s="3" t="s">
        <v>1549</v>
      </c>
      <c r="G351" s="3" t="s">
        <v>978</v>
      </c>
      <c r="H351" s="3" t="s">
        <v>52</v>
      </c>
      <c r="I351" s="3" t="s">
        <v>52</v>
      </c>
      <c r="J351" s="3" t="s">
        <v>51</v>
      </c>
      <c r="K351" s="3" t="b">
        <v>1</v>
      </c>
      <c r="L351" s="3"/>
      <c r="M351" s="3" t="b">
        <v>1</v>
      </c>
      <c r="N351" s="3" t="b">
        <v>0</v>
      </c>
      <c r="O351" s="3" t="b">
        <v>0</v>
      </c>
    </row>
    <row r="352" spans="1:15" x14ac:dyDescent="0.3">
      <c r="A352" s="27" t="s">
        <v>2180</v>
      </c>
      <c r="B352" s="27" t="s">
        <v>1936</v>
      </c>
      <c r="C352" s="27"/>
      <c r="D352" s="27" t="s">
        <v>1630</v>
      </c>
      <c r="E352" s="12" t="s">
        <v>1761</v>
      </c>
      <c r="F352" s="3" t="s">
        <v>1549</v>
      </c>
      <c r="G352" s="3" t="s">
        <v>978</v>
      </c>
      <c r="H352" s="3" t="s">
        <v>52</v>
      </c>
      <c r="I352" s="3" t="s">
        <v>52</v>
      </c>
      <c r="J352" s="3" t="s">
        <v>51</v>
      </c>
      <c r="K352" s="3" t="b">
        <v>1</v>
      </c>
      <c r="L352" s="3"/>
      <c r="M352" s="3" t="b">
        <v>1</v>
      </c>
      <c r="N352" s="3" t="b">
        <v>0</v>
      </c>
      <c r="O352" s="3" t="b">
        <v>0</v>
      </c>
    </row>
    <row r="353" spans="1:15" x14ac:dyDescent="0.3">
      <c r="A353" s="27" t="s">
        <v>2180</v>
      </c>
      <c r="B353" s="27" t="s">
        <v>1937</v>
      </c>
      <c r="C353" s="27"/>
      <c r="D353" s="27" t="s">
        <v>1630</v>
      </c>
      <c r="E353" s="12" t="s">
        <v>1761</v>
      </c>
      <c r="F353" s="3" t="s">
        <v>1549</v>
      </c>
      <c r="G353" s="3" t="s">
        <v>978</v>
      </c>
      <c r="H353" s="3" t="s">
        <v>52</v>
      </c>
      <c r="I353" s="3" t="s">
        <v>52</v>
      </c>
      <c r="J353" s="3" t="s">
        <v>51</v>
      </c>
      <c r="K353" s="3" t="b">
        <v>1</v>
      </c>
      <c r="L353" s="3"/>
      <c r="M353" s="3" t="b">
        <v>1</v>
      </c>
      <c r="N353" s="3" t="b">
        <v>0</v>
      </c>
      <c r="O353" s="3" t="b">
        <v>0</v>
      </c>
    </row>
    <row r="354" spans="1:15" x14ac:dyDescent="0.3">
      <c r="A354" s="27" t="s">
        <v>2180</v>
      </c>
      <c r="B354" s="27" t="s">
        <v>1938</v>
      </c>
      <c r="C354" s="27"/>
      <c r="D354" s="27" t="s">
        <v>1630</v>
      </c>
      <c r="E354" s="12" t="s">
        <v>1761</v>
      </c>
      <c r="F354" s="3" t="s">
        <v>1549</v>
      </c>
      <c r="G354" s="3" t="s">
        <v>978</v>
      </c>
      <c r="H354" s="3" t="s">
        <v>52</v>
      </c>
      <c r="I354" s="3" t="s">
        <v>52</v>
      </c>
      <c r="J354" s="3" t="s">
        <v>51</v>
      </c>
      <c r="K354" s="3" t="b">
        <v>1</v>
      </c>
      <c r="L354" s="3"/>
      <c r="M354" s="3" t="b">
        <v>1</v>
      </c>
      <c r="N354" s="3" t="b">
        <v>0</v>
      </c>
      <c r="O354" s="3" t="b">
        <v>0</v>
      </c>
    </row>
    <row r="355" spans="1:15" x14ac:dyDescent="0.3">
      <c r="A355" s="27" t="s">
        <v>2180</v>
      </c>
      <c r="B355" s="27" t="s">
        <v>1939</v>
      </c>
      <c r="C355" s="27"/>
      <c r="D355" s="27" t="s">
        <v>1630</v>
      </c>
      <c r="E355" s="12" t="s">
        <v>1761</v>
      </c>
      <c r="F355" s="3" t="s">
        <v>1549</v>
      </c>
      <c r="G355" s="3" t="s">
        <v>978</v>
      </c>
      <c r="H355" s="3" t="s">
        <v>52</v>
      </c>
      <c r="I355" s="3" t="s">
        <v>52</v>
      </c>
      <c r="J355" s="3" t="s">
        <v>51</v>
      </c>
      <c r="K355" s="3" t="b">
        <v>1</v>
      </c>
      <c r="L355" s="3"/>
      <c r="M355" s="3" t="b">
        <v>1</v>
      </c>
      <c r="N355" s="3" t="b">
        <v>0</v>
      </c>
      <c r="O355" s="3" t="b">
        <v>0</v>
      </c>
    </row>
    <row r="356" spans="1:15" x14ac:dyDescent="0.3">
      <c r="A356" s="27" t="s">
        <v>2180</v>
      </c>
      <c r="B356" s="27" t="s">
        <v>1934</v>
      </c>
      <c r="C356" s="27"/>
      <c r="D356" s="27" t="s">
        <v>1631</v>
      </c>
      <c r="E356" s="12" t="s">
        <v>1761</v>
      </c>
      <c r="F356" s="3" t="s">
        <v>1550</v>
      </c>
      <c r="G356" s="3" t="s">
        <v>978</v>
      </c>
      <c r="H356" s="3" t="s">
        <v>52</v>
      </c>
      <c r="I356" s="3" t="s">
        <v>52</v>
      </c>
      <c r="J356" s="3" t="s">
        <v>51</v>
      </c>
      <c r="K356" s="3" t="b">
        <v>1</v>
      </c>
      <c r="L356" s="3"/>
      <c r="M356" s="3" t="b">
        <v>1</v>
      </c>
      <c r="N356" s="3" t="b">
        <v>0</v>
      </c>
      <c r="O356" s="3" t="b">
        <v>0</v>
      </c>
    </row>
    <row r="357" spans="1:15" x14ac:dyDescent="0.3">
      <c r="A357" s="27" t="s">
        <v>2180</v>
      </c>
      <c r="B357" s="27" t="s">
        <v>1935</v>
      </c>
      <c r="C357" s="27"/>
      <c r="D357" s="27" t="s">
        <v>1631</v>
      </c>
      <c r="E357" s="12" t="s">
        <v>1761</v>
      </c>
      <c r="F357" s="3" t="s">
        <v>1550</v>
      </c>
      <c r="G357" s="3" t="s">
        <v>978</v>
      </c>
      <c r="H357" s="3" t="s">
        <v>52</v>
      </c>
      <c r="I357" s="3" t="s">
        <v>52</v>
      </c>
      <c r="J357" s="3" t="s">
        <v>51</v>
      </c>
      <c r="K357" s="3" t="b">
        <v>1</v>
      </c>
      <c r="L357" s="3"/>
      <c r="M357" s="3" t="b">
        <v>1</v>
      </c>
      <c r="N357" s="3" t="b">
        <v>0</v>
      </c>
      <c r="O357" s="3" t="b">
        <v>0</v>
      </c>
    </row>
    <row r="358" spans="1:15" x14ac:dyDescent="0.3">
      <c r="A358" s="27" t="s">
        <v>2180</v>
      </c>
      <c r="B358" s="27" t="s">
        <v>1936</v>
      </c>
      <c r="C358" s="27"/>
      <c r="D358" s="27" t="s">
        <v>1631</v>
      </c>
      <c r="E358" s="12" t="s">
        <v>1761</v>
      </c>
      <c r="F358" s="3" t="s">
        <v>1550</v>
      </c>
      <c r="G358" s="3" t="s">
        <v>978</v>
      </c>
      <c r="H358" s="3" t="s">
        <v>52</v>
      </c>
      <c r="I358" s="3" t="s">
        <v>52</v>
      </c>
      <c r="J358" s="3" t="s">
        <v>51</v>
      </c>
      <c r="K358" s="3" t="b">
        <v>1</v>
      </c>
      <c r="L358" s="3"/>
      <c r="M358" s="3" t="b">
        <v>1</v>
      </c>
      <c r="N358" s="3" t="b">
        <v>0</v>
      </c>
      <c r="O358" s="3" t="b">
        <v>0</v>
      </c>
    </row>
    <row r="359" spans="1:15" x14ac:dyDescent="0.3">
      <c r="A359" s="27" t="s">
        <v>2180</v>
      </c>
      <c r="B359" s="27" t="s">
        <v>1937</v>
      </c>
      <c r="C359" s="27"/>
      <c r="D359" s="27" t="s">
        <v>1631</v>
      </c>
      <c r="E359" s="12" t="s">
        <v>1761</v>
      </c>
      <c r="F359" s="3" t="s">
        <v>1550</v>
      </c>
      <c r="G359" s="3" t="s">
        <v>978</v>
      </c>
      <c r="H359" s="3" t="s">
        <v>52</v>
      </c>
      <c r="I359" s="3" t="s">
        <v>52</v>
      </c>
      <c r="J359" s="3" t="s">
        <v>51</v>
      </c>
      <c r="K359" s="3" t="b">
        <v>1</v>
      </c>
      <c r="L359" s="3"/>
      <c r="M359" s="3" t="b">
        <v>1</v>
      </c>
      <c r="N359" s="3" t="b">
        <v>0</v>
      </c>
      <c r="O359" s="3" t="b">
        <v>0</v>
      </c>
    </row>
    <row r="360" spans="1:15" x14ac:dyDescent="0.3">
      <c r="A360" s="27" t="s">
        <v>2180</v>
      </c>
      <c r="B360" s="27" t="s">
        <v>1938</v>
      </c>
      <c r="C360" s="27"/>
      <c r="D360" s="27" t="s">
        <v>1631</v>
      </c>
      <c r="E360" s="12" t="s">
        <v>1761</v>
      </c>
      <c r="F360" s="3" t="s">
        <v>1550</v>
      </c>
      <c r="G360" s="3" t="s">
        <v>978</v>
      </c>
      <c r="H360" s="3" t="s">
        <v>52</v>
      </c>
      <c r="I360" s="3" t="s">
        <v>52</v>
      </c>
      <c r="J360" s="3" t="s">
        <v>51</v>
      </c>
      <c r="K360" s="3" t="b">
        <v>1</v>
      </c>
      <c r="L360" s="3"/>
      <c r="M360" s="3" t="b">
        <v>1</v>
      </c>
      <c r="N360" s="3" t="b">
        <v>0</v>
      </c>
      <c r="O360" s="3" t="b">
        <v>0</v>
      </c>
    </row>
    <row r="361" spans="1:15" x14ac:dyDescent="0.3">
      <c r="A361" s="27" t="s">
        <v>2180</v>
      </c>
      <c r="B361" s="27" t="s">
        <v>1939</v>
      </c>
      <c r="C361" s="27"/>
      <c r="D361" s="27" t="s">
        <v>1631</v>
      </c>
      <c r="E361" s="12" t="s">
        <v>1761</v>
      </c>
      <c r="F361" s="3" t="s">
        <v>1550</v>
      </c>
      <c r="G361" s="3" t="s">
        <v>978</v>
      </c>
      <c r="H361" s="3" t="s">
        <v>52</v>
      </c>
      <c r="I361" s="3" t="s">
        <v>52</v>
      </c>
      <c r="J361" s="3" t="s">
        <v>51</v>
      </c>
      <c r="K361" s="3" t="b">
        <v>1</v>
      </c>
      <c r="L361" s="3"/>
      <c r="M361" s="3" t="b">
        <v>1</v>
      </c>
      <c r="N361" s="3" t="b">
        <v>0</v>
      </c>
      <c r="O361" s="3" t="b">
        <v>0</v>
      </c>
    </row>
    <row r="362" spans="1:15" x14ac:dyDescent="0.3">
      <c r="A362" s="27" t="s">
        <v>2180</v>
      </c>
      <c r="B362" s="27"/>
      <c r="C362" s="27"/>
      <c r="D362" s="27"/>
      <c r="E362" s="21" t="s">
        <v>1017</v>
      </c>
      <c r="F362" s="3" t="s">
        <v>1018</v>
      </c>
      <c r="G362" s="3" t="s">
        <v>978</v>
      </c>
      <c r="H362" s="3" t="s">
        <v>52</v>
      </c>
      <c r="I362" s="3" t="s">
        <v>52</v>
      </c>
      <c r="J362" s="3" t="s">
        <v>51</v>
      </c>
      <c r="K362" s="3" t="b">
        <v>1</v>
      </c>
      <c r="L362" s="3"/>
      <c r="M362" s="3" t="b">
        <v>1</v>
      </c>
      <c r="N362" s="3" t="b">
        <v>0</v>
      </c>
      <c r="O362" s="3" t="b">
        <v>0</v>
      </c>
    </row>
    <row r="363" spans="1:15" x14ac:dyDescent="0.3">
      <c r="A363" s="27" t="s">
        <v>2180</v>
      </c>
      <c r="B363" s="27"/>
      <c r="C363" s="27"/>
      <c r="D363" s="27"/>
      <c r="E363" s="21" t="s">
        <v>1019</v>
      </c>
      <c r="F363" s="3" t="s">
        <v>1020</v>
      </c>
      <c r="G363" s="3" t="s">
        <v>978</v>
      </c>
      <c r="H363" s="3" t="s">
        <v>52</v>
      </c>
      <c r="I363" s="3" t="s">
        <v>52</v>
      </c>
      <c r="J363" s="3" t="s">
        <v>51</v>
      </c>
      <c r="K363" s="3" t="b">
        <v>1</v>
      </c>
      <c r="L363" s="3"/>
      <c r="M363" s="3" t="b">
        <v>1</v>
      </c>
      <c r="N363" s="3" t="b">
        <v>0</v>
      </c>
      <c r="O363" s="3" t="b">
        <v>0</v>
      </c>
    </row>
    <row r="364" spans="1:15" x14ac:dyDescent="0.3">
      <c r="A364" s="27" t="s">
        <v>2180</v>
      </c>
      <c r="B364" s="27"/>
      <c r="C364" s="27"/>
      <c r="D364" s="27"/>
      <c r="E364" s="21" t="s">
        <v>1023</v>
      </c>
      <c r="F364" s="3" t="s">
        <v>1024</v>
      </c>
      <c r="G364" s="3" t="s">
        <v>978</v>
      </c>
      <c r="H364" s="3" t="s">
        <v>52</v>
      </c>
      <c r="I364" s="3" t="s">
        <v>52</v>
      </c>
      <c r="J364" s="3" t="s">
        <v>51</v>
      </c>
      <c r="K364" s="3" t="b">
        <v>1</v>
      </c>
      <c r="L364" s="3"/>
      <c r="M364" s="3" t="b">
        <v>1</v>
      </c>
      <c r="N364" s="3" t="b">
        <v>0</v>
      </c>
      <c r="O364" s="3" t="b">
        <v>0</v>
      </c>
    </row>
    <row r="365" spans="1:15" x14ac:dyDescent="0.3">
      <c r="A365" s="27" t="s">
        <v>2180</v>
      </c>
      <c r="B365" s="27"/>
      <c r="C365" s="27"/>
      <c r="D365" s="27"/>
      <c r="E365" s="21" t="s">
        <v>1025</v>
      </c>
      <c r="F365" s="3" t="s">
        <v>1026</v>
      </c>
      <c r="G365" s="3" t="s">
        <v>978</v>
      </c>
      <c r="H365" s="3" t="s">
        <v>52</v>
      </c>
      <c r="I365" s="3" t="s">
        <v>52</v>
      </c>
      <c r="J365" s="3" t="s">
        <v>51</v>
      </c>
      <c r="K365" s="3" t="b">
        <v>1</v>
      </c>
      <c r="L365" s="3"/>
      <c r="M365" s="3" t="b">
        <v>1</v>
      </c>
      <c r="N365" s="3" t="b">
        <v>0</v>
      </c>
      <c r="O365" s="3" t="b">
        <v>0</v>
      </c>
    </row>
    <row r="366" spans="1:15" x14ac:dyDescent="0.3">
      <c r="A366" s="27" t="s">
        <v>2181</v>
      </c>
      <c r="B366" s="27"/>
      <c r="C366" s="27"/>
      <c r="D366" s="27"/>
      <c r="E366" s="21" t="s">
        <v>2084</v>
      </c>
      <c r="F366" s="3" t="s">
        <v>2085</v>
      </c>
      <c r="G366" s="3" t="s">
        <v>922</v>
      </c>
      <c r="H366" s="3" t="s">
        <v>52</v>
      </c>
      <c r="I366" s="3" t="s">
        <v>52</v>
      </c>
      <c r="J366" s="3" t="s">
        <v>51</v>
      </c>
      <c r="K366" s="3" t="b">
        <v>1</v>
      </c>
      <c r="L366" s="3"/>
      <c r="M366" s="3" t="b">
        <v>1</v>
      </c>
      <c r="N366" s="3" t="b">
        <v>0</v>
      </c>
      <c r="O366" s="3" t="b">
        <v>0</v>
      </c>
    </row>
    <row r="367" spans="1:15" x14ac:dyDescent="0.3">
      <c r="A367" s="27" t="s">
        <v>2181</v>
      </c>
      <c r="B367" s="27"/>
      <c r="C367" s="27"/>
      <c r="D367" s="27"/>
      <c r="E367" s="21" t="s">
        <v>941</v>
      </c>
      <c r="F367" s="3" t="s">
        <v>942</v>
      </c>
      <c r="G367" s="3" t="s">
        <v>922</v>
      </c>
      <c r="H367" s="3" t="s">
        <v>851</v>
      </c>
      <c r="I367" s="3" t="s">
        <v>52</v>
      </c>
      <c r="J367" s="3" t="s">
        <v>51</v>
      </c>
      <c r="K367" s="3" t="b">
        <v>1</v>
      </c>
      <c r="L367" s="3"/>
      <c r="M367" s="3" t="b">
        <v>1</v>
      </c>
      <c r="N367" s="3" t="b">
        <v>0</v>
      </c>
      <c r="O367" s="3" t="b">
        <v>0</v>
      </c>
    </row>
    <row r="368" spans="1:15" x14ac:dyDescent="0.3">
      <c r="A368" s="27" t="s">
        <v>2181</v>
      </c>
      <c r="B368" s="27"/>
      <c r="C368" s="27"/>
      <c r="D368" s="27"/>
      <c r="E368" s="21" t="s">
        <v>1522</v>
      </c>
      <c r="F368" s="3" t="s">
        <v>1529</v>
      </c>
      <c r="G368" s="3" t="s">
        <v>922</v>
      </c>
      <c r="H368" s="3" t="s">
        <v>52</v>
      </c>
      <c r="I368" s="3" t="s">
        <v>52</v>
      </c>
      <c r="J368" s="3" t="s">
        <v>51</v>
      </c>
      <c r="K368" s="3" t="b">
        <v>1</v>
      </c>
      <c r="L368" s="3"/>
      <c r="M368" s="3" t="b">
        <v>1</v>
      </c>
      <c r="N368" s="3" t="b">
        <v>0</v>
      </c>
      <c r="O368" s="3" t="b">
        <v>0</v>
      </c>
    </row>
    <row r="369" spans="1:15" x14ac:dyDescent="0.3">
      <c r="A369" s="27" t="s">
        <v>2181</v>
      </c>
      <c r="B369" s="27"/>
      <c r="C369" s="27"/>
      <c r="D369" s="27"/>
      <c r="E369" s="12" t="s">
        <v>1517</v>
      </c>
      <c r="F369" s="3" t="s">
        <v>1518</v>
      </c>
      <c r="G369" s="3" t="s">
        <v>978</v>
      </c>
      <c r="H369" s="3" t="s">
        <v>52</v>
      </c>
      <c r="I369" s="3" t="s">
        <v>52</v>
      </c>
      <c r="J369" s="3" t="s">
        <v>51</v>
      </c>
      <c r="K369" s="3" t="b">
        <v>1</v>
      </c>
      <c r="L369" s="3"/>
      <c r="M369" s="3" t="b">
        <v>1</v>
      </c>
      <c r="N369" s="3" t="b">
        <v>0</v>
      </c>
      <c r="O369" s="3" t="b">
        <v>0</v>
      </c>
    </row>
    <row r="370" spans="1:15" x14ac:dyDescent="0.3">
      <c r="A370" s="27" t="s">
        <v>858</v>
      </c>
      <c r="B370" s="27"/>
      <c r="C370" s="27"/>
      <c r="D370" s="27"/>
      <c r="E370" s="21" t="s">
        <v>914</v>
      </c>
      <c r="F370" s="3" t="s">
        <v>915</v>
      </c>
      <c r="G370" s="3" t="s">
        <v>900</v>
      </c>
      <c r="H370" s="3" t="s">
        <v>52</v>
      </c>
      <c r="I370" s="3" t="s">
        <v>52</v>
      </c>
      <c r="J370" s="3" t="s">
        <v>51</v>
      </c>
      <c r="K370" s="3" t="b">
        <v>1</v>
      </c>
      <c r="L370" s="3"/>
      <c r="M370" s="3" t="b">
        <v>1</v>
      </c>
      <c r="N370" s="3" t="b">
        <v>0</v>
      </c>
      <c r="O370" s="3" t="b">
        <v>0</v>
      </c>
    </row>
    <row r="371" spans="1:15" x14ac:dyDescent="0.3">
      <c r="A371" s="27" t="s">
        <v>858</v>
      </c>
      <c r="B371" s="27"/>
      <c r="C371" s="27"/>
      <c r="D371" s="27"/>
      <c r="E371" s="1" t="s">
        <v>912</v>
      </c>
      <c r="F371" s="3" t="s">
        <v>913</v>
      </c>
      <c r="G371" s="3" t="s">
        <v>900</v>
      </c>
      <c r="H371" s="3" t="s">
        <v>52</v>
      </c>
      <c r="I371" s="3" t="s">
        <v>52</v>
      </c>
      <c r="J371" s="3" t="s">
        <v>51</v>
      </c>
      <c r="K371" s="3" t="b">
        <v>1</v>
      </c>
      <c r="L371" s="3"/>
      <c r="M371" s="3" t="b">
        <v>1</v>
      </c>
      <c r="N371" s="3" t="b">
        <v>0</v>
      </c>
      <c r="O371" s="3" t="b">
        <v>0</v>
      </c>
    </row>
    <row r="372" spans="1:15" x14ac:dyDescent="0.3">
      <c r="A372" s="27" t="s">
        <v>858</v>
      </c>
      <c r="B372" s="27"/>
      <c r="C372" s="27"/>
      <c r="D372" s="27"/>
      <c r="E372" s="12" t="s">
        <v>1623</v>
      </c>
      <c r="F372" s="3" t="s">
        <v>1624</v>
      </c>
      <c r="G372" s="3" t="s">
        <v>900</v>
      </c>
      <c r="H372" s="3" t="s">
        <v>52</v>
      </c>
      <c r="I372" s="3" t="s">
        <v>52</v>
      </c>
      <c r="J372" s="3" t="s">
        <v>51</v>
      </c>
      <c r="K372" s="3" t="b">
        <v>1</v>
      </c>
      <c r="L372" s="3"/>
      <c r="M372" s="3" t="b">
        <v>1</v>
      </c>
      <c r="N372" s="3" t="b">
        <v>0</v>
      </c>
      <c r="O372" s="3" t="b">
        <v>0</v>
      </c>
    </row>
    <row r="373" spans="1:15" x14ac:dyDescent="0.3">
      <c r="A373" s="27" t="s">
        <v>858</v>
      </c>
      <c r="B373" s="27"/>
      <c r="C373" s="27"/>
      <c r="D373" s="27"/>
      <c r="E373" s="12" t="s">
        <v>1558</v>
      </c>
      <c r="F373" s="3" t="s">
        <v>1559</v>
      </c>
      <c r="G373" s="3" t="s">
        <v>900</v>
      </c>
      <c r="H373" s="3" t="s">
        <v>52</v>
      </c>
      <c r="I373" s="3" t="s">
        <v>52</v>
      </c>
      <c r="J373" s="3" t="s">
        <v>51</v>
      </c>
      <c r="K373" s="3" t="b">
        <v>1</v>
      </c>
      <c r="L373" s="3"/>
      <c r="M373" s="3" t="b">
        <v>1</v>
      </c>
      <c r="N373" s="3" t="b">
        <v>0</v>
      </c>
      <c r="O373" s="3" t="b">
        <v>0</v>
      </c>
    </row>
    <row r="374" spans="1:15" x14ac:dyDescent="0.3">
      <c r="A374" s="27" t="s">
        <v>858</v>
      </c>
      <c r="B374" s="27"/>
      <c r="C374" s="27"/>
      <c r="D374" s="27"/>
      <c r="E374" s="12" t="s">
        <v>1560</v>
      </c>
      <c r="F374" s="3" t="s">
        <v>1561</v>
      </c>
      <c r="G374" s="3" t="s">
        <v>900</v>
      </c>
      <c r="H374" s="3" t="s">
        <v>52</v>
      </c>
      <c r="I374" s="3" t="s">
        <v>52</v>
      </c>
      <c r="J374" s="3" t="s">
        <v>51</v>
      </c>
      <c r="K374" s="3" t="b">
        <v>1</v>
      </c>
      <c r="L374" s="3"/>
      <c r="M374" s="3" t="b">
        <v>1</v>
      </c>
      <c r="N374" s="3" t="b">
        <v>0</v>
      </c>
      <c r="O374" s="3" t="b">
        <v>0</v>
      </c>
    </row>
    <row r="375" spans="1:15" x14ac:dyDescent="0.3">
      <c r="A375" s="27" t="s">
        <v>858</v>
      </c>
      <c r="B375" s="27"/>
      <c r="C375" s="27"/>
      <c r="D375" s="27"/>
      <c r="E375" s="12" t="s">
        <v>1578</v>
      </c>
      <c r="F375" s="3" t="s">
        <v>1579</v>
      </c>
      <c r="G375" s="3" t="s">
        <v>900</v>
      </c>
      <c r="H375" s="3" t="s">
        <v>52</v>
      </c>
      <c r="I375" s="3" t="s">
        <v>52</v>
      </c>
      <c r="J375" s="3" t="s">
        <v>51</v>
      </c>
      <c r="K375" s="3" t="b">
        <v>1</v>
      </c>
      <c r="L375" s="3"/>
      <c r="M375" s="3" t="b">
        <v>1</v>
      </c>
      <c r="N375" s="3" t="b">
        <v>0</v>
      </c>
      <c r="O375" s="3" t="b">
        <v>0</v>
      </c>
    </row>
    <row r="376" spans="1:15" x14ac:dyDescent="0.3">
      <c r="A376" s="27" t="s">
        <v>858</v>
      </c>
      <c r="B376" s="27"/>
      <c r="C376" s="27"/>
      <c r="D376" s="27"/>
      <c r="E376" s="21" t="s">
        <v>2084</v>
      </c>
      <c r="F376" s="3" t="s">
        <v>2085</v>
      </c>
      <c r="G376" s="3" t="s">
        <v>922</v>
      </c>
      <c r="H376" s="3" t="s">
        <v>52</v>
      </c>
      <c r="I376" s="3" t="s">
        <v>52</v>
      </c>
      <c r="J376" s="3" t="s">
        <v>51</v>
      </c>
      <c r="K376" s="3" t="b">
        <v>1</v>
      </c>
      <c r="L376" s="3"/>
      <c r="M376" s="3" t="b">
        <v>1</v>
      </c>
      <c r="N376" s="3" t="b">
        <v>0</v>
      </c>
      <c r="O376" s="3" t="b">
        <v>0</v>
      </c>
    </row>
    <row r="377" spans="1:15" x14ac:dyDescent="0.3">
      <c r="A377" s="27" t="s">
        <v>858</v>
      </c>
      <c r="B377" s="27"/>
      <c r="C377" s="27"/>
      <c r="D377" s="27"/>
      <c r="E377" s="1" t="s">
        <v>920</v>
      </c>
      <c r="F377" s="3" t="s">
        <v>921</v>
      </c>
      <c r="G377" s="3" t="s">
        <v>922</v>
      </c>
      <c r="H377" s="3" t="s">
        <v>52</v>
      </c>
      <c r="I377" s="3" t="s">
        <v>52</v>
      </c>
      <c r="J377" s="3" t="s">
        <v>51</v>
      </c>
      <c r="K377" s="3" t="b">
        <v>1</v>
      </c>
      <c r="L377" s="3"/>
      <c r="M377" s="3" t="b">
        <v>1</v>
      </c>
      <c r="N377" s="3" t="b">
        <v>0</v>
      </c>
      <c r="O377" s="3" t="b">
        <v>0</v>
      </c>
    </row>
    <row r="378" spans="1:15" x14ac:dyDescent="0.3">
      <c r="A378" s="27" t="s">
        <v>858</v>
      </c>
      <c r="B378" s="27"/>
      <c r="C378" s="27"/>
      <c r="D378" s="27"/>
      <c r="E378" s="1" t="s">
        <v>923</v>
      </c>
      <c r="F378" s="3" t="s">
        <v>924</v>
      </c>
      <c r="G378" s="3" t="s">
        <v>922</v>
      </c>
      <c r="H378" s="3" t="s">
        <v>52</v>
      </c>
      <c r="I378" s="3" t="s">
        <v>52</v>
      </c>
      <c r="J378" s="3" t="s">
        <v>51</v>
      </c>
      <c r="K378" s="3" t="b">
        <v>1</v>
      </c>
      <c r="L378" s="3"/>
      <c r="M378" s="3" t="b">
        <v>1</v>
      </c>
      <c r="N378" s="3" t="b">
        <v>0</v>
      </c>
      <c r="O378" s="3" t="b">
        <v>0</v>
      </c>
    </row>
    <row r="379" spans="1:15" x14ac:dyDescent="0.3">
      <c r="A379" s="27" t="s">
        <v>858</v>
      </c>
      <c r="B379" s="27"/>
      <c r="C379" s="27"/>
      <c r="D379" s="27"/>
      <c r="E379" s="1" t="s">
        <v>925</v>
      </c>
      <c r="F379" s="3" t="s">
        <v>926</v>
      </c>
      <c r="G379" s="3" t="s">
        <v>922</v>
      </c>
      <c r="H379" s="3" t="s">
        <v>52</v>
      </c>
      <c r="I379" s="3" t="s">
        <v>52</v>
      </c>
      <c r="J379" s="3" t="s">
        <v>51</v>
      </c>
      <c r="K379" s="3" t="b">
        <v>1</v>
      </c>
      <c r="L379" s="3"/>
      <c r="M379" s="3" t="b">
        <v>1</v>
      </c>
      <c r="N379" s="3" t="b">
        <v>0</v>
      </c>
      <c r="O379" s="3" t="b">
        <v>0</v>
      </c>
    </row>
    <row r="380" spans="1:15" x14ac:dyDescent="0.3">
      <c r="A380" s="27" t="s">
        <v>858</v>
      </c>
      <c r="B380" s="27"/>
      <c r="C380" s="27"/>
      <c r="D380" s="27"/>
      <c r="E380" s="1" t="s">
        <v>939</v>
      </c>
      <c r="F380" s="3" t="s">
        <v>940</v>
      </c>
      <c r="G380" s="3" t="s">
        <v>922</v>
      </c>
      <c r="H380" s="3" t="s">
        <v>52</v>
      </c>
      <c r="I380" s="3" t="s">
        <v>52</v>
      </c>
      <c r="J380" s="3" t="s">
        <v>51</v>
      </c>
      <c r="K380" s="3" t="b">
        <v>1</v>
      </c>
      <c r="L380" s="3"/>
      <c r="M380" s="3" t="b">
        <v>1</v>
      </c>
      <c r="N380" s="3" t="b">
        <v>0</v>
      </c>
      <c r="O380" s="3" t="b">
        <v>0</v>
      </c>
    </row>
    <row r="381" spans="1:15" x14ac:dyDescent="0.3">
      <c r="A381" s="27" t="s">
        <v>858</v>
      </c>
      <c r="B381" s="27"/>
      <c r="C381" s="27"/>
      <c r="D381" s="27"/>
      <c r="E381" s="1" t="s">
        <v>935</v>
      </c>
      <c r="F381" s="3" t="s">
        <v>936</v>
      </c>
      <c r="G381" s="3" t="s">
        <v>922</v>
      </c>
      <c r="H381" s="3" t="s">
        <v>52</v>
      </c>
      <c r="I381" s="3" t="s">
        <v>52</v>
      </c>
      <c r="J381" s="3" t="s">
        <v>51</v>
      </c>
      <c r="K381" s="3" t="b">
        <v>1</v>
      </c>
      <c r="L381" s="3"/>
      <c r="M381" s="3" t="b">
        <v>1</v>
      </c>
      <c r="N381" s="3" t="b">
        <v>0</v>
      </c>
      <c r="O381" s="3" t="b">
        <v>0</v>
      </c>
    </row>
    <row r="382" spans="1:15" x14ac:dyDescent="0.3">
      <c r="A382" s="27" t="s">
        <v>858</v>
      </c>
      <c r="B382" s="27"/>
      <c r="C382" s="27"/>
      <c r="D382" s="27"/>
      <c r="E382" s="1" t="s">
        <v>1563</v>
      </c>
      <c r="F382" s="3" t="s">
        <v>1564</v>
      </c>
      <c r="G382" s="3" t="s">
        <v>922</v>
      </c>
      <c r="H382" s="3" t="s">
        <v>52</v>
      </c>
      <c r="I382" s="3" t="s">
        <v>52</v>
      </c>
      <c r="J382" s="3" t="s">
        <v>51</v>
      </c>
      <c r="K382" s="3" t="b">
        <v>1</v>
      </c>
      <c r="L382" s="3"/>
      <c r="M382" s="3" t="b">
        <v>1</v>
      </c>
      <c r="N382" s="3" t="b">
        <v>0</v>
      </c>
      <c r="O382" s="3" t="b">
        <v>0</v>
      </c>
    </row>
    <row r="383" spans="1:15" x14ac:dyDescent="0.3">
      <c r="A383" s="27" t="s">
        <v>858</v>
      </c>
      <c r="B383" s="27"/>
      <c r="C383" s="27"/>
      <c r="D383" s="27"/>
      <c r="E383" s="21" t="s">
        <v>1503</v>
      </c>
      <c r="F383" s="3" t="s">
        <v>1507</v>
      </c>
      <c r="G383" s="3" t="s">
        <v>922</v>
      </c>
      <c r="H383" s="3" t="s">
        <v>52</v>
      </c>
      <c r="I383" s="3" t="s">
        <v>52</v>
      </c>
      <c r="J383" s="3" t="s">
        <v>51</v>
      </c>
      <c r="K383" s="3" t="b">
        <v>1</v>
      </c>
      <c r="L383" s="3"/>
      <c r="M383" s="3" t="b">
        <v>1</v>
      </c>
      <c r="N383" s="3" t="b">
        <v>0</v>
      </c>
      <c r="O383" s="3" t="b">
        <v>0</v>
      </c>
    </row>
    <row r="384" spans="1:15" x14ac:dyDescent="0.3">
      <c r="A384" s="27" t="s">
        <v>858</v>
      </c>
      <c r="B384" s="27"/>
      <c r="C384" s="27"/>
      <c r="D384" s="27"/>
      <c r="E384" s="1" t="s">
        <v>941</v>
      </c>
      <c r="F384" s="3" t="s">
        <v>942</v>
      </c>
      <c r="G384" s="3" t="s">
        <v>922</v>
      </c>
      <c r="H384" s="3" t="s">
        <v>851</v>
      </c>
      <c r="I384" s="3" t="s">
        <v>52</v>
      </c>
      <c r="J384" s="3" t="s">
        <v>51</v>
      </c>
      <c r="K384" s="3" t="b">
        <v>1</v>
      </c>
      <c r="L384" s="3"/>
      <c r="M384" s="3" t="b">
        <v>1</v>
      </c>
      <c r="N384" s="3" t="b">
        <v>0</v>
      </c>
      <c r="O384" s="3" t="b">
        <v>0</v>
      </c>
    </row>
    <row r="385" spans="1:15" x14ac:dyDescent="0.3">
      <c r="A385" s="27" t="s">
        <v>858</v>
      </c>
      <c r="B385" s="27"/>
      <c r="C385" s="27"/>
      <c r="D385" s="27"/>
      <c r="E385" s="1" t="s">
        <v>943</v>
      </c>
      <c r="F385" s="3" t="s">
        <v>944</v>
      </c>
      <c r="G385" s="3" t="s">
        <v>922</v>
      </c>
      <c r="H385" s="3" t="s">
        <v>851</v>
      </c>
      <c r="I385" s="3" t="s">
        <v>52</v>
      </c>
      <c r="J385" s="3" t="s">
        <v>51</v>
      </c>
      <c r="K385" s="3" t="b">
        <v>1</v>
      </c>
      <c r="L385" s="3"/>
      <c r="M385" s="3" t="b">
        <v>1</v>
      </c>
      <c r="N385" s="3" t="b">
        <v>0</v>
      </c>
      <c r="O385" s="3" t="b">
        <v>0</v>
      </c>
    </row>
    <row r="386" spans="1:15" x14ac:dyDescent="0.3">
      <c r="A386" s="27" t="s">
        <v>858</v>
      </c>
      <c r="B386" s="27"/>
      <c r="C386" s="27"/>
      <c r="D386" s="27"/>
      <c r="E386" s="1" t="s">
        <v>945</v>
      </c>
      <c r="F386" s="3" t="s">
        <v>946</v>
      </c>
      <c r="G386" s="3" t="s">
        <v>922</v>
      </c>
      <c r="H386" s="3" t="s">
        <v>851</v>
      </c>
      <c r="I386" s="3" t="s">
        <v>52</v>
      </c>
      <c r="J386" s="3" t="s">
        <v>51</v>
      </c>
      <c r="K386" s="3" t="b">
        <v>1</v>
      </c>
      <c r="L386" s="3"/>
      <c r="M386" s="3" t="b">
        <v>1</v>
      </c>
      <c r="N386" s="3" t="b">
        <v>0</v>
      </c>
      <c r="O386" s="3" t="b">
        <v>0</v>
      </c>
    </row>
    <row r="387" spans="1:15" x14ac:dyDescent="0.3">
      <c r="A387" s="27" t="s">
        <v>858</v>
      </c>
      <c r="B387" s="27"/>
      <c r="C387" s="27"/>
      <c r="D387" s="27"/>
      <c r="E387" s="1" t="s">
        <v>947</v>
      </c>
      <c r="F387" s="3" t="s">
        <v>948</v>
      </c>
      <c r="G387" s="3" t="s">
        <v>922</v>
      </c>
      <c r="H387" s="3" t="s">
        <v>851</v>
      </c>
      <c r="I387" s="3" t="s">
        <v>52</v>
      </c>
      <c r="J387" s="3" t="s">
        <v>51</v>
      </c>
      <c r="K387" s="3" t="b">
        <v>1</v>
      </c>
      <c r="L387" s="3"/>
      <c r="M387" s="3" t="b">
        <v>1</v>
      </c>
      <c r="N387" s="3" t="b">
        <v>0</v>
      </c>
      <c r="O387" s="3" t="b">
        <v>0</v>
      </c>
    </row>
    <row r="388" spans="1:15" x14ac:dyDescent="0.3">
      <c r="A388" s="27" t="s">
        <v>858</v>
      </c>
      <c r="B388" s="27"/>
      <c r="C388" s="27"/>
      <c r="D388" s="27"/>
      <c r="E388" s="1" t="s">
        <v>949</v>
      </c>
      <c r="F388" s="3" t="s">
        <v>950</v>
      </c>
      <c r="G388" s="3" t="s">
        <v>922</v>
      </c>
      <c r="H388" s="3" t="s">
        <v>851</v>
      </c>
      <c r="I388" s="3" t="s">
        <v>52</v>
      </c>
      <c r="J388" s="3" t="s">
        <v>51</v>
      </c>
      <c r="K388" s="3" t="b">
        <v>1</v>
      </c>
      <c r="L388" s="3"/>
      <c r="M388" s="3" t="b">
        <v>1</v>
      </c>
      <c r="N388" s="3" t="b">
        <v>0</v>
      </c>
      <c r="O388" s="3" t="b">
        <v>0</v>
      </c>
    </row>
    <row r="389" spans="1:15" x14ac:dyDescent="0.3">
      <c r="A389" s="27" t="s">
        <v>858</v>
      </c>
      <c r="B389" s="27"/>
      <c r="C389" s="27"/>
      <c r="D389" s="27"/>
      <c r="E389" s="1" t="s">
        <v>951</v>
      </c>
      <c r="F389" s="3" t="s">
        <v>952</v>
      </c>
      <c r="G389" s="3" t="s">
        <v>922</v>
      </c>
      <c r="H389" s="3" t="s">
        <v>851</v>
      </c>
      <c r="I389" s="3" t="s">
        <v>52</v>
      </c>
      <c r="J389" s="3" t="s">
        <v>51</v>
      </c>
      <c r="K389" s="3" t="b">
        <v>1</v>
      </c>
      <c r="L389" s="3"/>
      <c r="M389" s="3" t="b">
        <v>1</v>
      </c>
      <c r="N389" s="3" t="b">
        <v>0</v>
      </c>
      <c r="O389" s="3" t="b">
        <v>0</v>
      </c>
    </row>
    <row r="390" spans="1:15" x14ac:dyDescent="0.3">
      <c r="A390" s="27" t="s">
        <v>858</v>
      </c>
      <c r="B390" s="27"/>
      <c r="C390" s="27"/>
      <c r="D390" s="27"/>
      <c r="E390" s="1" t="s">
        <v>953</v>
      </c>
      <c r="F390" s="3" t="s">
        <v>954</v>
      </c>
      <c r="G390" s="3" t="s">
        <v>922</v>
      </c>
      <c r="H390" s="3" t="s">
        <v>851</v>
      </c>
      <c r="I390" s="3" t="s">
        <v>52</v>
      </c>
      <c r="J390" s="3" t="s">
        <v>51</v>
      </c>
      <c r="K390" s="3" t="b">
        <v>1</v>
      </c>
      <c r="L390" s="3"/>
      <c r="M390" s="3" t="b">
        <v>1</v>
      </c>
      <c r="N390" s="3" t="b">
        <v>0</v>
      </c>
      <c r="O390" s="3" t="b">
        <v>0</v>
      </c>
    </row>
    <row r="391" spans="1:15" x14ac:dyDescent="0.3">
      <c r="A391" s="27" t="s">
        <v>858</v>
      </c>
      <c r="B391" s="27"/>
      <c r="C391" s="27"/>
      <c r="D391" s="27"/>
      <c r="E391" s="1" t="s">
        <v>955</v>
      </c>
      <c r="F391" s="3" t="s">
        <v>956</v>
      </c>
      <c r="G391" s="3" t="s">
        <v>922</v>
      </c>
      <c r="H391" s="3" t="s">
        <v>851</v>
      </c>
      <c r="I391" s="3" t="s">
        <v>52</v>
      </c>
      <c r="J391" s="3" t="s">
        <v>51</v>
      </c>
      <c r="K391" s="3" t="b">
        <v>1</v>
      </c>
      <c r="L391" s="3"/>
      <c r="M391" s="3" t="b">
        <v>1</v>
      </c>
      <c r="N391" s="3" t="b">
        <v>0</v>
      </c>
      <c r="O391" s="3" t="b">
        <v>0</v>
      </c>
    </row>
    <row r="392" spans="1:15" x14ac:dyDescent="0.3">
      <c r="A392" s="27" t="s">
        <v>858</v>
      </c>
      <c r="B392" s="27"/>
      <c r="C392" s="27"/>
      <c r="D392" s="27"/>
      <c r="E392" s="1" t="s">
        <v>1528</v>
      </c>
      <c r="F392" s="3" t="s">
        <v>1530</v>
      </c>
      <c r="G392" s="3" t="s">
        <v>922</v>
      </c>
      <c r="H392" s="3" t="s">
        <v>52</v>
      </c>
      <c r="I392" s="3" t="s">
        <v>52</v>
      </c>
      <c r="J392" s="3" t="s">
        <v>51</v>
      </c>
      <c r="K392" s="3" t="b">
        <v>1</v>
      </c>
      <c r="L392" s="3"/>
      <c r="M392" s="3" t="b">
        <v>1</v>
      </c>
      <c r="N392" s="3" t="b">
        <v>0</v>
      </c>
      <c r="O392" s="3" t="b">
        <v>0</v>
      </c>
    </row>
    <row r="393" spans="1:15" x14ac:dyDescent="0.3">
      <c r="A393" s="27" t="s">
        <v>858</v>
      </c>
      <c r="B393" s="27"/>
      <c r="C393" s="27"/>
      <c r="D393" s="27"/>
      <c r="E393" s="1" t="s">
        <v>1523</v>
      </c>
      <c r="F393" s="3" t="s">
        <v>1531</v>
      </c>
      <c r="G393" s="3" t="s">
        <v>922</v>
      </c>
      <c r="H393" s="3" t="s">
        <v>52</v>
      </c>
      <c r="I393" s="3" t="s">
        <v>52</v>
      </c>
      <c r="J393" s="3" t="s">
        <v>51</v>
      </c>
      <c r="K393" s="3" t="b">
        <v>1</v>
      </c>
      <c r="L393" s="3"/>
      <c r="M393" s="3" t="b">
        <v>1</v>
      </c>
      <c r="N393" s="3" t="b">
        <v>0</v>
      </c>
      <c r="O393" s="3" t="b">
        <v>0</v>
      </c>
    </row>
    <row r="394" spans="1:15" x14ac:dyDescent="0.3">
      <c r="A394" s="27" t="s">
        <v>858</v>
      </c>
      <c r="B394" s="27"/>
      <c r="C394" s="27"/>
      <c r="D394" s="27"/>
      <c r="E394" s="1" t="s">
        <v>1524</v>
      </c>
      <c r="F394" s="3" t="s">
        <v>1532</v>
      </c>
      <c r="G394" s="3" t="s">
        <v>922</v>
      </c>
      <c r="H394" s="3" t="s">
        <v>52</v>
      </c>
      <c r="I394" s="3" t="s">
        <v>52</v>
      </c>
      <c r="J394" s="3" t="s">
        <v>51</v>
      </c>
      <c r="K394" s="3" t="b">
        <v>1</v>
      </c>
      <c r="L394" s="3"/>
      <c r="M394" s="3" t="b">
        <v>1</v>
      </c>
      <c r="N394" s="3" t="b">
        <v>0</v>
      </c>
      <c r="O394" s="3" t="b">
        <v>0</v>
      </c>
    </row>
    <row r="395" spans="1:15" x14ac:dyDescent="0.3">
      <c r="A395" s="27" t="s">
        <v>858</v>
      </c>
      <c r="B395" s="27"/>
      <c r="C395" s="27"/>
      <c r="D395" s="27"/>
      <c r="E395" s="1" t="s">
        <v>1522</v>
      </c>
      <c r="F395" s="3" t="s">
        <v>1529</v>
      </c>
      <c r="G395" s="3" t="s">
        <v>922</v>
      </c>
      <c r="H395" s="3" t="s">
        <v>52</v>
      </c>
      <c r="I395" s="3" t="s">
        <v>52</v>
      </c>
      <c r="J395" s="3" t="s">
        <v>51</v>
      </c>
      <c r="K395" s="3" t="b">
        <v>1</v>
      </c>
      <c r="L395" s="3"/>
      <c r="M395" s="3" t="b">
        <v>1</v>
      </c>
      <c r="N395" s="3" t="b">
        <v>0</v>
      </c>
      <c r="O395" s="3" t="b">
        <v>0</v>
      </c>
    </row>
    <row r="396" spans="1:15" x14ac:dyDescent="0.3">
      <c r="A396" s="27" t="s">
        <v>858</v>
      </c>
      <c r="B396" s="27"/>
      <c r="C396" s="27"/>
      <c r="D396" s="27"/>
      <c r="E396" s="12" t="s">
        <v>1621</v>
      </c>
      <c r="F396" s="3" t="s">
        <v>1622</v>
      </c>
      <c r="G396" s="3" t="s">
        <v>922</v>
      </c>
      <c r="H396" s="3" t="s">
        <v>852</v>
      </c>
      <c r="I396" s="3" t="s">
        <v>52</v>
      </c>
      <c r="J396" s="3" t="s">
        <v>51</v>
      </c>
      <c r="K396" s="3" t="b">
        <v>1</v>
      </c>
      <c r="L396" s="3"/>
      <c r="M396" s="3" t="b">
        <v>1</v>
      </c>
      <c r="N396" s="3" t="b">
        <v>0</v>
      </c>
      <c r="O396" s="3" t="b">
        <v>0</v>
      </c>
    </row>
    <row r="397" spans="1:15" x14ac:dyDescent="0.3">
      <c r="A397" s="27" t="s">
        <v>858</v>
      </c>
      <c r="B397" s="27"/>
      <c r="C397" s="27"/>
      <c r="D397" s="27"/>
      <c r="E397" s="12" t="s">
        <v>1554</v>
      </c>
      <c r="F397" s="3" t="s">
        <v>1555</v>
      </c>
      <c r="G397" s="3" t="s">
        <v>922</v>
      </c>
      <c r="H397" s="3" t="s">
        <v>852</v>
      </c>
      <c r="I397" s="3" t="s">
        <v>52</v>
      </c>
      <c r="J397" s="3" t="s">
        <v>51</v>
      </c>
      <c r="K397" s="3" t="b">
        <v>1</v>
      </c>
      <c r="L397" s="3"/>
      <c r="M397" s="3" t="b">
        <v>1</v>
      </c>
      <c r="N397" s="3" t="b">
        <v>0</v>
      </c>
      <c r="O397" s="3" t="b">
        <v>0</v>
      </c>
    </row>
    <row r="398" spans="1:15" x14ac:dyDescent="0.3">
      <c r="A398" s="27" t="s">
        <v>858</v>
      </c>
      <c r="B398" s="27"/>
      <c r="C398" s="27"/>
      <c r="D398" s="27"/>
      <c r="E398" s="12" t="s">
        <v>1556</v>
      </c>
      <c r="F398" s="3" t="s">
        <v>1557</v>
      </c>
      <c r="G398" s="3" t="s">
        <v>922</v>
      </c>
      <c r="H398" s="3" t="s">
        <v>852</v>
      </c>
      <c r="I398" s="3" t="s">
        <v>52</v>
      </c>
      <c r="J398" s="3" t="s">
        <v>51</v>
      </c>
      <c r="K398" s="3" t="b">
        <v>1</v>
      </c>
      <c r="L398" s="3"/>
      <c r="M398" s="3" t="b">
        <v>1</v>
      </c>
      <c r="N398" s="3" t="b">
        <v>0</v>
      </c>
      <c r="O398" s="3" t="b">
        <v>0</v>
      </c>
    </row>
    <row r="399" spans="1:15" x14ac:dyDescent="0.3">
      <c r="A399" s="27" t="s">
        <v>858</v>
      </c>
      <c r="B399" s="27"/>
      <c r="C399" s="27"/>
      <c r="D399" s="27"/>
      <c r="E399" s="1" t="s">
        <v>971</v>
      </c>
      <c r="F399" s="3" t="s">
        <v>972</v>
      </c>
      <c r="G399" s="3" t="s">
        <v>922</v>
      </c>
      <c r="H399" s="3" t="s">
        <v>854</v>
      </c>
      <c r="I399" s="3" t="s">
        <v>52</v>
      </c>
      <c r="J399" s="3" t="s">
        <v>51</v>
      </c>
      <c r="K399" s="3" t="b">
        <v>1</v>
      </c>
      <c r="L399" s="3"/>
      <c r="M399" s="3" t="b">
        <v>1</v>
      </c>
      <c r="N399" s="3" t="b">
        <v>0</v>
      </c>
      <c r="O399" s="3" t="b">
        <v>0</v>
      </c>
    </row>
    <row r="400" spans="1:15" x14ac:dyDescent="0.3">
      <c r="A400" s="27" t="s">
        <v>858</v>
      </c>
      <c r="B400" s="27" t="s">
        <v>1464</v>
      </c>
      <c r="C400" s="27"/>
      <c r="D400" s="27" t="s">
        <v>1630</v>
      </c>
      <c r="E400" s="1" t="s">
        <v>1758</v>
      </c>
      <c r="F400" s="3" t="s">
        <v>1553</v>
      </c>
      <c r="G400" s="3" t="s">
        <v>978</v>
      </c>
      <c r="H400" s="3" t="s">
        <v>52</v>
      </c>
      <c r="I400" s="3" t="s">
        <v>52</v>
      </c>
      <c r="J400" s="3" t="s">
        <v>51</v>
      </c>
      <c r="K400" s="3" t="b">
        <v>1</v>
      </c>
      <c r="L400" s="3"/>
      <c r="M400" s="3" t="b">
        <v>1</v>
      </c>
      <c r="N400" s="3" t="b">
        <v>0</v>
      </c>
      <c r="O400" s="3" t="b">
        <v>0</v>
      </c>
    </row>
    <row r="401" spans="1:15" x14ac:dyDescent="0.3">
      <c r="A401" s="27" t="s">
        <v>858</v>
      </c>
      <c r="B401" s="27" t="s">
        <v>1466</v>
      </c>
      <c r="C401" s="27"/>
      <c r="D401" s="27" t="s">
        <v>1630</v>
      </c>
      <c r="E401" s="1" t="s">
        <v>1758</v>
      </c>
      <c r="F401" s="3" t="s">
        <v>1553</v>
      </c>
      <c r="G401" s="3" t="s">
        <v>978</v>
      </c>
      <c r="H401" s="3" t="s">
        <v>52</v>
      </c>
      <c r="I401" s="3" t="s">
        <v>52</v>
      </c>
      <c r="J401" s="3" t="s">
        <v>51</v>
      </c>
      <c r="K401" s="3" t="b">
        <v>1</v>
      </c>
      <c r="L401" s="3"/>
      <c r="M401" s="3" t="b">
        <v>1</v>
      </c>
      <c r="N401" s="3" t="b">
        <v>0</v>
      </c>
      <c r="O401" s="3" t="b">
        <v>0</v>
      </c>
    </row>
    <row r="402" spans="1:15" x14ac:dyDescent="0.3">
      <c r="A402" s="27" t="s">
        <v>858</v>
      </c>
      <c r="B402" s="27" t="s">
        <v>1467</v>
      </c>
      <c r="C402" s="27"/>
      <c r="D402" s="27" t="s">
        <v>1630</v>
      </c>
      <c r="E402" s="1" t="s">
        <v>1758</v>
      </c>
      <c r="F402" s="3" t="s">
        <v>1553</v>
      </c>
      <c r="G402" s="3" t="s">
        <v>978</v>
      </c>
      <c r="H402" s="3" t="s">
        <v>52</v>
      </c>
      <c r="I402" s="3" t="s">
        <v>52</v>
      </c>
      <c r="J402" s="3" t="s">
        <v>51</v>
      </c>
      <c r="K402" s="3" t="b">
        <v>1</v>
      </c>
      <c r="L402" s="3"/>
      <c r="M402" s="3" t="b">
        <v>1</v>
      </c>
      <c r="N402" s="3" t="b">
        <v>0</v>
      </c>
      <c r="O402" s="3" t="b">
        <v>0</v>
      </c>
    </row>
    <row r="403" spans="1:15" x14ac:dyDescent="0.3">
      <c r="A403" s="27" t="s">
        <v>858</v>
      </c>
      <c r="B403" s="27" t="s">
        <v>1468</v>
      </c>
      <c r="C403" s="27"/>
      <c r="D403" s="27" t="s">
        <v>1630</v>
      </c>
      <c r="E403" s="1" t="s">
        <v>1758</v>
      </c>
      <c r="F403" s="3" t="s">
        <v>1553</v>
      </c>
      <c r="G403" s="3" t="s">
        <v>978</v>
      </c>
      <c r="H403" s="3" t="s">
        <v>52</v>
      </c>
      <c r="I403" s="3" t="s">
        <v>52</v>
      </c>
      <c r="J403" s="3" t="s">
        <v>51</v>
      </c>
      <c r="K403" s="3" t="b">
        <v>1</v>
      </c>
      <c r="L403" s="3"/>
      <c r="M403" s="3" t="b">
        <v>1</v>
      </c>
      <c r="N403" s="3" t="b">
        <v>0</v>
      </c>
      <c r="O403" s="3" t="b">
        <v>0</v>
      </c>
    </row>
    <row r="404" spans="1:15" x14ac:dyDescent="0.3">
      <c r="A404" s="27" t="s">
        <v>858</v>
      </c>
      <c r="B404" s="27" t="s">
        <v>1469</v>
      </c>
      <c r="C404" s="27"/>
      <c r="D404" s="27" t="s">
        <v>1630</v>
      </c>
      <c r="E404" s="1" t="s">
        <v>1758</v>
      </c>
      <c r="F404" s="3" t="s">
        <v>1553</v>
      </c>
      <c r="G404" s="3" t="s">
        <v>978</v>
      </c>
      <c r="H404" s="3" t="s">
        <v>52</v>
      </c>
      <c r="I404" s="3" t="s">
        <v>52</v>
      </c>
      <c r="J404" s="3" t="s">
        <v>51</v>
      </c>
      <c r="K404" s="3" t="b">
        <v>1</v>
      </c>
      <c r="L404" s="3"/>
      <c r="M404" s="3" t="b">
        <v>1</v>
      </c>
      <c r="N404" s="3" t="b">
        <v>0</v>
      </c>
      <c r="O404" s="3" t="b">
        <v>0</v>
      </c>
    </row>
    <row r="405" spans="1:15" x14ac:dyDescent="0.3">
      <c r="A405" s="27" t="s">
        <v>858</v>
      </c>
      <c r="B405" s="27" t="s">
        <v>1470</v>
      </c>
      <c r="C405" s="27"/>
      <c r="D405" s="27" t="s">
        <v>1630</v>
      </c>
      <c r="E405" s="1" t="s">
        <v>1758</v>
      </c>
      <c r="F405" s="3" t="s">
        <v>1553</v>
      </c>
      <c r="G405" s="3" t="s">
        <v>978</v>
      </c>
      <c r="H405" s="3" t="s">
        <v>52</v>
      </c>
      <c r="I405" s="3" t="s">
        <v>52</v>
      </c>
      <c r="J405" s="3" t="s">
        <v>51</v>
      </c>
      <c r="K405" s="3" t="b">
        <v>1</v>
      </c>
      <c r="L405" s="3"/>
      <c r="M405" s="3" t="b">
        <v>1</v>
      </c>
      <c r="N405" s="3" t="b">
        <v>0</v>
      </c>
      <c r="O405" s="3" t="b">
        <v>0</v>
      </c>
    </row>
    <row r="406" spans="1:15" x14ac:dyDescent="0.3">
      <c r="A406" s="27" t="s">
        <v>858</v>
      </c>
      <c r="B406" s="27" t="s">
        <v>1934</v>
      </c>
      <c r="C406" s="27"/>
      <c r="D406" s="27" t="s">
        <v>1630</v>
      </c>
      <c r="E406" s="12" t="s">
        <v>1758</v>
      </c>
      <c r="F406" s="3" t="s">
        <v>1553</v>
      </c>
      <c r="G406" s="3" t="s">
        <v>978</v>
      </c>
      <c r="H406" s="3" t="s">
        <v>52</v>
      </c>
      <c r="I406" s="3" t="s">
        <v>52</v>
      </c>
      <c r="J406" s="3" t="s">
        <v>51</v>
      </c>
      <c r="K406" s="3" t="b">
        <v>1</v>
      </c>
      <c r="L406" s="3"/>
      <c r="M406" s="3" t="b">
        <v>1</v>
      </c>
      <c r="N406" s="3" t="b">
        <v>0</v>
      </c>
      <c r="O406" s="3" t="b">
        <v>0</v>
      </c>
    </row>
    <row r="407" spans="1:15" x14ac:dyDescent="0.3">
      <c r="A407" s="27" t="s">
        <v>858</v>
      </c>
      <c r="B407" s="27" t="s">
        <v>1935</v>
      </c>
      <c r="C407" s="27"/>
      <c r="D407" s="27" t="s">
        <v>1630</v>
      </c>
      <c r="E407" s="12" t="s">
        <v>1758</v>
      </c>
      <c r="F407" s="3" t="s">
        <v>1553</v>
      </c>
      <c r="G407" s="3" t="s">
        <v>978</v>
      </c>
      <c r="H407" s="3" t="s">
        <v>52</v>
      </c>
      <c r="I407" s="3" t="s">
        <v>52</v>
      </c>
      <c r="J407" s="3" t="s">
        <v>51</v>
      </c>
      <c r="K407" s="3" t="b">
        <v>1</v>
      </c>
      <c r="L407" s="3"/>
      <c r="M407" s="3" t="b">
        <v>1</v>
      </c>
      <c r="N407" s="3" t="b">
        <v>0</v>
      </c>
      <c r="O407" s="3" t="b">
        <v>0</v>
      </c>
    </row>
    <row r="408" spans="1:15" x14ac:dyDescent="0.3">
      <c r="A408" s="27" t="s">
        <v>858</v>
      </c>
      <c r="B408" s="27" t="s">
        <v>1936</v>
      </c>
      <c r="C408" s="27"/>
      <c r="D408" s="27" t="s">
        <v>1630</v>
      </c>
      <c r="E408" s="12" t="s">
        <v>1758</v>
      </c>
      <c r="F408" s="3" t="s">
        <v>1553</v>
      </c>
      <c r="G408" s="3" t="s">
        <v>978</v>
      </c>
      <c r="H408" s="3" t="s">
        <v>52</v>
      </c>
      <c r="I408" s="3" t="s">
        <v>52</v>
      </c>
      <c r="J408" s="3" t="s">
        <v>51</v>
      </c>
      <c r="K408" s="3" t="b">
        <v>1</v>
      </c>
      <c r="L408" s="3"/>
      <c r="M408" s="3" t="b">
        <v>1</v>
      </c>
      <c r="N408" s="3" t="b">
        <v>0</v>
      </c>
      <c r="O408" s="3" t="b">
        <v>0</v>
      </c>
    </row>
    <row r="409" spans="1:15" x14ac:dyDescent="0.3">
      <c r="A409" s="27" t="s">
        <v>858</v>
      </c>
      <c r="B409" s="27" t="s">
        <v>1937</v>
      </c>
      <c r="C409" s="27"/>
      <c r="D409" s="27" t="s">
        <v>1630</v>
      </c>
      <c r="E409" s="12" t="s">
        <v>1758</v>
      </c>
      <c r="F409" s="3" t="s">
        <v>1553</v>
      </c>
      <c r="G409" s="3" t="s">
        <v>978</v>
      </c>
      <c r="H409" s="3" t="s">
        <v>52</v>
      </c>
      <c r="I409" s="3" t="s">
        <v>52</v>
      </c>
      <c r="J409" s="3" t="s">
        <v>51</v>
      </c>
      <c r="K409" s="3" t="b">
        <v>1</v>
      </c>
      <c r="L409" s="3"/>
      <c r="M409" s="3" t="b">
        <v>1</v>
      </c>
      <c r="N409" s="3" t="b">
        <v>0</v>
      </c>
      <c r="O409" s="3" t="b">
        <v>0</v>
      </c>
    </row>
    <row r="410" spans="1:15" x14ac:dyDescent="0.3">
      <c r="A410" s="27" t="s">
        <v>858</v>
      </c>
      <c r="B410" s="27" t="s">
        <v>1938</v>
      </c>
      <c r="C410" s="27"/>
      <c r="D410" s="27" t="s">
        <v>1630</v>
      </c>
      <c r="E410" s="12" t="s">
        <v>1758</v>
      </c>
      <c r="F410" s="3" t="s">
        <v>1553</v>
      </c>
      <c r="G410" s="3" t="s">
        <v>978</v>
      </c>
      <c r="H410" s="3" t="s">
        <v>52</v>
      </c>
      <c r="I410" s="3" t="s">
        <v>52</v>
      </c>
      <c r="J410" s="3" t="s">
        <v>51</v>
      </c>
      <c r="K410" s="3" t="b">
        <v>1</v>
      </c>
      <c r="L410" s="3"/>
      <c r="M410" s="3" t="b">
        <v>1</v>
      </c>
      <c r="N410" s="3" t="b">
        <v>0</v>
      </c>
      <c r="O410" s="3" t="b">
        <v>0</v>
      </c>
    </row>
    <row r="411" spans="1:15" x14ac:dyDescent="0.3">
      <c r="A411" s="27" t="s">
        <v>858</v>
      </c>
      <c r="B411" s="27" t="s">
        <v>1939</v>
      </c>
      <c r="C411" s="27"/>
      <c r="D411" s="27" t="s">
        <v>1630</v>
      </c>
      <c r="E411" s="12" t="s">
        <v>1758</v>
      </c>
      <c r="F411" s="3" t="s">
        <v>1553</v>
      </c>
      <c r="G411" s="3" t="s">
        <v>978</v>
      </c>
      <c r="H411" s="3" t="s">
        <v>52</v>
      </c>
      <c r="I411" s="3" t="s">
        <v>52</v>
      </c>
      <c r="J411" s="3" t="s">
        <v>51</v>
      </c>
      <c r="K411" s="3" t="b">
        <v>1</v>
      </c>
      <c r="L411" s="3"/>
      <c r="M411" s="3" t="b">
        <v>1</v>
      </c>
      <c r="N411" s="3" t="b">
        <v>0</v>
      </c>
      <c r="O411" s="3" t="b">
        <v>0</v>
      </c>
    </row>
    <row r="412" spans="1:15" x14ac:dyDescent="0.3">
      <c r="A412" s="27" t="s">
        <v>858</v>
      </c>
      <c r="B412" s="27"/>
      <c r="C412" s="27"/>
      <c r="D412" s="27"/>
      <c r="E412" s="12" t="s">
        <v>1517</v>
      </c>
      <c r="F412" s="3" t="s">
        <v>1518</v>
      </c>
      <c r="G412" s="3" t="s">
        <v>978</v>
      </c>
      <c r="H412" s="3" t="s">
        <v>52</v>
      </c>
      <c r="I412" s="3" t="s">
        <v>52</v>
      </c>
      <c r="J412" s="3" t="s">
        <v>51</v>
      </c>
      <c r="K412" s="3" t="b">
        <v>1</v>
      </c>
      <c r="L412" s="3"/>
      <c r="M412" s="3" t="b">
        <v>1</v>
      </c>
      <c r="N412" s="3" t="b">
        <v>0</v>
      </c>
      <c r="O412" s="3" t="b">
        <v>0</v>
      </c>
    </row>
    <row r="413" spans="1:15" x14ac:dyDescent="0.3">
      <c r="A413" s="27" t="s">
        <v>858</v>
      </c>
      <c r="B413" s="27"/>
      <c r="C413" s="27"/>
      <c r="D413" s="27"/>
      <c r="E413" s="12" t="s">
        <v>1003</v>
      </c>
      <c r="F413" s="3" t="s">
        <v>1004</v>
      </c>
      <c r="G413" s="3" t="s">
        <v>978</v>
      </c>
      <c r="H413" s="3" t="s">
        <v>52</v>
      </c>
      <c r="I413" s="3" t="s">
        <v>52</v>
      </c>
      <c r="J413" s="3" t="s">
        <v>51</v>
      </c>
      <c r="K413" s="3" t="b">
        <v>1</v>
      </c>
      <c r="L413" s="3"/>
      <c r="M413" s="3" t="b">
        <v>1</v>
      </c>
      <c r="N413" s="3" t="b">
        <v>0</v>
      </c>
      <c r="O413" s="3" t="b">
        <v>0</v>
      </c>
    </row>
    <row r="414" spans="1:15" x14ac:dyDescent="0.3">
      <c r="A414" s="27" t="s">
        <v>858</v>
      </c>
      <c r="B414" s="27" t="s">
        <v>1464</v>
      </c>
      <c r="C414" s="27"/>
      <c r="D414" s="27" t="s">
        <v>1630</v>
      </c>
      <c r="E414" s="1" t="s">
        <v>1761</v>
      </c>
      <c r="F414" s="3" t="s">
        <v>1549</v>
      </c>
      <c r="G414" s="3" t="s">
        <v>978</v>
      </c>
      <c r="H414" s="3" t="s">
        <v>52</v>
      </c>
      <c r="I414" s="3" t="s">
        <v>52</v>
      </c>
      <c r="J414" s="3" t="s">
        <v>51</v>
      </c>
      <c r="K414" s="3" t="b">
        <v>1</v>
      </c>
      <c r="L414" s="3"/>
      <c r="M414" s="3" t="b">
        <v>1</v>
      </c>
      <c r="N414" s="3" t="b">
        <v>0</v>
      </c>
      <c r="O414" s="3" t="b">
        <v>0</v>
      </c>
    </row>
    <row r="415" spans="1:15" x14ac:dyDescent="0.3">
      <c r="A415" s="27" t="s">
        <v>858</v>
      </c>
      <c r="B415" s="27" t="s">
        <v>1466</v>
      </c>
      <c r="C415" s="27"/>
      <c r="D415" s="27" t="s">
        <v>1630</v>
      </c>
      <c r="E415" s="1" t="s">
        <v>1761</v>
      </c>
      <c r="F415" s="3" t="s">
        <v>1549</v>
      </c>
      <c r="G415" s="3" t="s">
        <v>978</v>
      </c>
      <c r="H415" s="3" t="s">
        <v>52</v>
      </c>
      <c r="I415" s="3" t="s">
        <v>52</v>
      </c>
      <c r="J415" s="3" t="s">
        <v>51</v>
      </c>
      <c r="K415" s="3" t="b">
        <v>1</v>
      </c>
      <c r="L415" s="3"/>
      <c r="M415" s="3" t="b">
        <v>1</v>
      </c>
      <c r="N415" s="3" t="b">
        <v>0</v>
      </c>
      <c r="O415" s="3" t="b">
        <v>0</v>
      </c>
    </row>
    <row r="416" spans="1:15" x14ac:dyDescent="0.3">
      <c r="A416" s="27" t="s">
        <v>858</v>
      </c>
      <c r="B416" s="27" t="s">
        <v>1467</v>
      </c>
      <c r="C416" s="27"/>
      <c r="D416" s="27" t="s">
        <v>1630</v>
      </c>
      <c r="E416" s="1" t="s">
        <v>1761</v>
      </c>
      <c r="F416" s="3" t="s">
        <v>1549</v>
      </c>
      <c r="G416" s="3" t="s">
        <v>978</v>
      </c>
      <c r="H416" s="3" t="s">
        <v>52</v>
      </c>
      <c r="I416" s="3" t="s">
        <v>52</v>
      </c>
      <c r="J416" s="3" t="s">
        <v>51</v>
      </c>
      <c r="K416" s="3" t="b">
        <v>1</v>
      </c>
      <c r="L416" s="3"/>
      <c r="M416" s="3" t="b">
        <v>1</v>
      </c>
      <c r="N416" s="3" t="b">
        <v>0</v>
      </c>
      <c r="O416" s="3" t="b">
        <v>0</v>
      </c>
    </row>
    <row r="417" spans="1:15" x14ac:dyDescent="0.3">
      <c r="A417" s="27" t="s">
        <v>858</v>
      </c>
      <c r="B417" s="27" t="s">
        <v>1468</v>
      </c>
      <c r="C417" s="27"/>
      <c r="D417" s="27" t="s">
        <v>1630</v>
      </c>
      <c r="E417" s="1" t="s">
        <v>1761</v>
      </c>
      <c r="F417" s="3" t="s">
        <v>1549</v>
      </c>
      <c r="G417" s="3" t="s">
        <v>978</v>
      </c>
      <c r="H417" s="3" t="s">
        <v>52</v>
      </c>
      <c r="I417" s="3" t="s">
        <v>52</v>
      </c>
      <c r="J417" s="3" t="s">
        <v>51</v>
      </c>
      <c r="K417" s="3" t="b">
        <v>1</v>
      </c>
      <c r="L417" s="3"/>
      <c r="M417" s="3" t="b">
        <v>1</v>
      </c>
      <c r="N417" s="3" t="b">
        <v>0</v>
      </c>
      <c r="O417" s="3" t="b">
        <v>0</v>
      </c>
    </row>
    <row r="418" spans="1:15" x14ac:dyDescent="0.3">
      <c r="A418" s="27" t="s">
        <v>858</v>
      </c>
      <c r="B418" s="27" t="s">
        <v>1469</v>
      </c>
      <c r="C418" s="27"/>
      <c r="D418" s="27" t="s">
        <v>1630</v>
      </c>
      <c r="E418" s="1" t="s">
        <v>1761</v>
      </c>
      <c r="F418" s="3" t="s">
        <v>1549</v>
      </c>
      <c r="G418" s="3" t="s">
        <v>978</v>
      </c>
      <c r="H418" s="3" t="s">
        <v>52</v>
      </c>
      <c r="I418" s="3" t="s">
        <v>52</v>
      </c>
      <c r="J418" s="3" t="s">
        <v>51</v>
      </c>
      <c r="K418" s="3" t="b">
        <v>1</v>
      </c>
      <c r="L418" s="3"/>
      <c r="M418" s="3" t="b">
        <v>1</v>
      </c>
      <c r="N418" s="3" t="b">
        <v>0</v>
      </c>
      <c r="O418" s="3" t="b">
        <v>0</v>
      </c>
    </row>
    <row r="419" spans="1:15" x14ac:dyDescent="0.3">
      <c r="A419" s="27" t="s">
        <v>858</v>
      </c>
      <c r="B419" s="27" t="s">
        <v>1470</v>
      </c>
      <c r="C419" s="27"/>
      <c r="D419" s="27" t="s">
        <v>1630</v>
      </c>
      <c r="E419" s="1" t="s">
        <v>1761</v>
      </c>
      <c r="F419" s="3" t="s">
        <v>1549</v>
      </c>
      <c r="G419" s="3" t="s">
        <v>978</v>
      </c>
      <c r="H419" s="3" t="s">
        <v>52</v>
      </c>
      <c r="I419" s="3" t="s">
        <v>52</v>
      </c>
      <c r="J419" s="3" t="s">
        <v>51</v>
      </c>
      <c r="K419" s="3" t="b">
        <v>1</v>
      </c>
      <c r="L419" s="3"/>
      <c r="M419" s="3" t="b">
        <v>1</v>
      </c>
      <c r="N419" s="3" t="b">
        <v>0</v>
      </c>
      <c r="O419" s="3" t="b">
        <v>0</v>
      </c>
    </row>
    <row r="420" spans="1:15" x14ac:dyDescent="0.3">
      <c r="A420" s="27" t="s">
        <v>858</v>
      </c>
      <c r="B420" s="27" t="s">
        <v>1934</v>
      </c>
      <c r="C420" s="27"/>
      <c r="D420" s="27" t="s">
        <v>1630</v>
      </c>
      <c r="E420" s="12" t="s">
        <v>1761</v>
      </c>
      <c r="F420" s="3" t="s">
        <v>1549</v>
      </c>
      <c r="G420" s="3" t="s">
        <v>978</v>
      </c>
      <c r="H420" s="3" t="s">
        <v>52</v>
      </c>
      <c r="I420" s="3" t="s">
        <v>52</v>
      </c>
      <c r="J420" s="3" t="s">
        <v>51</v>
      </c>
      <c r="K420" s="3" t="b">
        <v>1</v>
      </c>
      <c r="L420" s="3"/>
      <c r="M420" s="3" t="b">
        <v>1</v>
      </c>
      <c r="N420" s="3" t="b">
        <v>0</v>
      </c>
      <c r="O420" s="3" t="b">
        <v>0</v>
      </c>
    </row>
    <row r="421" spans="1:15" x14ac:dyDescent="0.3">
      <c r="A421" s="27" t="s">
        <v>858</v>
      </c>
      <c r="B421" s="27" t="s">
        <v>1935</v>
      </c>
      <c r="C421" s="27"/>
      <c r="D421" s="27" t="s">
        <v>1630</v>
      </c>
      <c r="E421" s="12" t="s">
        <v>1761</v>
      </c>
      <c r="F421" s="3" t="s">
        <v>1549</v>
      </c>
      <c r="G421" s="3" t="s">
        <v>978</v>
      </c>
      <c r="H421" s="3" t="s">
        <v>52</v>
      </c>
      <c r="I421" s="3" t="s">
        <v>52</v>
      </c>
      <c r="J421" s="3" t="s">
        <v>51</v>
      </c>
      <c r="K421" s="3" t="b">
        <v>1</v>
      </c>
      <c r="L421" s="3"/>
      <c r="M421" s="3" t="b">
        <v>1</v>
      </c>
      <c r="N421" s="3" t="b">
        <v>0</v>
      </c>
      <c r="O421" s="3" t="b">
        <v>0</v>
      </c>
    </row>
    <row r="422" spans="1:15" x14ac:dyDescent="0.3">
      <c r="A422" s="27" t="s">
        <v>858</v>
      </c>
      <c r="B422" s="27" t="s">
        <v>1936</v>
      </c>
      <c r="C422" s="27"/>
      <c r="D422" s="27" t="s">
        <v>1630</v>
      </c>
      <c r="E422" s="12" t="s">
        <v>1761</v>
      </c>
      <c r="F422" s="3" t="s">
        <v>1549</v>
      </c>
      <c r="G422" s="3" t="s">
        <v>978</v>
      </c>
      <c r="H422" s="3" t="s">
        <v>52</v>
      </c>
      <c r="I422" s="3" t="s">
        <v>52</v>
      </c>
      <c r="J422" s="3" t="s">
        <v>51</v>
      </c>
      <c r="K422" s="3" t="b">
        <v>1</v>
      </c>
      <c r="L422" s="3"/>
      <c r="M422" s="3" t="b">
        <v>1</v>
      </c>
      <c r="N422" s="3" t="b">
        <v>0</v>
      </c>
      <c r="O422" s="3" t="b">
        <v>0</v>
      </c>
    </row>
    <row r="423" spans="1:15" x14ac:dyDescent="0.3">
      <c r="A423" s="27" t="s">
        <v>858</v>
      </c>
      <c r="B423" s="27" t="s">
        <v>1937</v>
      </c>
      <c r="C423" s="27"/>
      <c r="D423" s="27" t="s">
        <v>1630</v>
      </c>
      <c r="E423" s="12" t="s">
        <v>1761</v>
      </c>
      <c r="F423" s="3" t="s">
        <v>1549</v>
      </c>
      <c r="G423" s="3" t="s">
        <v>978</v>
      </c>
      <c r="H423" s="3" t="s">
        <v>52</v>
      </c>
      <c r="I423" s="3" t="s">
        <v>52</v>
      </c>
      <c r="J423" s="3" t="s">
        <v>51</v>
      </c>
      <c r="K423" s="3" t="b">
        <v>1</v>
      </c>
      <c r="L423" s="3"/>
      <c r="M423" s="3" t="b">
        <v>1</v>
      </c>
      <c r="N423" s="3" t="b">
        <v>0</v>
      </c>
      <c r="O423" s="3" t="b">
        <v>0</v>
      </c>
    </row>
    <row r="424" spans="1:15" x14ac:dyDescent="0.3">
      <c r="A424" s="27" t="s">
        <v>858</v>
      </c>
      <c r="B424" s="27" t="s">
        <v>1938</v>
      </c>
      <c r="C424" s="27"/>
      <c r="D424" s="27" t="s">
        <v>1630</v>
      </c>
      <c r="E424" s="12" t="s">
        <v>1761</v>
      </c>
      <c r="F424" s="3" t="s">
        <v>1549</v>
      </c>
      <c r="G424" s="3" t="s">
        <v>978</v>
      </c>
      <c r="H424" s="3" t="s">
        <v>52</v>
      </c>
      <c r="I424" s="3" t="s">
        <v>52</v>
      </c>
      <c r="J424" s="3" t="s">
        <v>51</v>
      </c>
      <c r="K424" s="3" t="b">
        <v>1</v>
      </c>
      <c r="L424" s="3"/>
      <c r="M424" s="3" t="b">
        <v>1</v>
      </c>
      <c r="N424" s="3" t="b">
        <v>0</v>
      </c>
      <c r="O424" s="3" t="b">
        <v>0</v>
      </c>
    </row>
    <row r="425" spans="1:15" x14ac:dyDescent="0.3">
      <c r="A425" s="27" t="s">
        <v>858</v>
      </c>
      <c r="B425" s="27" t="s">
        <v>1939</v>
      </c>
      <c r="C425" s="27"/>
      <c r="D425" s="27" t="s">
        <v>1630</v>
      </c>
      <c r="E425" s="12" t="s">
        <v>1761</v>
      </c>
      <c r="F425" s="3" t="s">
        <v>1549</v>
      </c>
      <c r="G425" s="3" t="s">
        <v>978</v>
      </c>
      <c r="H425" s="3" t="s">
        <v>52</v>
      </c>
      <c r="I425" s="3" t="s">
        <v>52</v>
      </c>
      <c r="J425" s="3" t="s">
        <v>51</v>
      </c>
      <c r="K425" s="3" t="b">
        <v>1</v>
      </c>
      <c r="L425" s="3"/>
      <c r="M425" s="3" t="b">
        <v>1</v>
      </c>
      <c r="N425" s="3" t="b">
        <v>0</v>
      </c>
      <c r="O425" s="3" t="b">
        <v>0</v>
      </c>
    </row>
    <row r="426" spans="1:15" x14ac:dyDescent="0.3">
      <c r="A426" s="27" t="s">
        <v>858</v>
      </c>
      <c r="B426" s="27"/>
      <c r="C426" s="27"/>
      <c r="D426" s="27"/>
      <c r="E426" s="1" t="s">
        <v>1017</v>
      </c>
      <c r="F426" s="3" t="s">
        <v>1018</v>
      </c>
      <c r="G426" s="3" t="s">
        <v>978</v>
      </c>
      <c r="H426" s="3" t="s">
        <v>52</v>
      </c>
      <c r="I426" s="3" t="s">
        <v>52</v>
      </c>
      <c r="J426" s="3" t="s">
        <v>51</v>
      </c>
      <c r="K426" s="3" t="b">
        <v>1</v>
      </c>
      <c r="L426" s="3"/>
      <c r="M426" s="3" t="b">
        <v>1</v>
      </c>
      <c r="N426" s="3" t="b">
        <v>0</v>
      </c>
      <c r="O426" s="3" t="b">
        <v>0</v>
      </c>
    </row>
    <row r="427" spans="1:15" x14ac:dyDescent="0.3">
      <c r="A427" s="27" t="s">
        <v>858</v>
      </c>
      <c r="B427" s="27"/>
      <c r="C427" s="27"/>
      <c r="D427" s="27"/>
      <c r="E427" s="1" t="s">
        <v>1019</v>
      </c>
      <c r="F427" s="3" t="s">
        <v>1020</v>
      </c>
      <c r="G427" s="3" t="s">
        <v>978</v>
      </c>
      <c r="H427" s="3" t="s">
        <v>52</v>
      </c>
      <c r="I427" s="3" t="s">
        <v>52</v>
      </c>
      <c r="J427" s="3" t="s">
        <v>51</v>
      </c>
      <c r="K427" s="3" t="b">
        <v>1</v>
      </c>
      <c r="L427" s="3"/>
      <c r="M427" s="3" t="b">
        <v>1</v>
      </c>
      <c r="N427" s="3" t="b">
        <v>0</v>
      </c>
      <c r="O427" s="3" t="b">
        <v>0</v>
      </c>
    </row>
    <row r="428" spans="1:15" x14ac:dyDescent="0.3">
      <c r="A428" s="27" t="s">
        <v>858</v>
      </c>
      <c r="B428" s="27"/>
      <c r="C428" s="27"/>
      <c r="D428" s="27"/>
      <c r="E428" s="1" t="s">
        <v>1023</v>
      </c>
      <c r="F428" s="3" t="s">
        <v>1024</v>
      </c>
      <c r="G428" s="3" t="s">
        <v>978</v>
      </c>
      <c r="H428" s="3" t="s">
        <v>52</v>
      </c>
      <c r="I428" s="3" t="s">
        <v>52</v>
      </c>
      <c r="J428" s="3" t="s">
        <v>51</v>
      </c>
      <c r="K428" s="3" t="b">
        <v>1</v>
      </c>
      <c r="L428" s="3"/>
      <c r="M428" s="3" t="b">
        <v>1</v>
      </c>
      <c r="N428" s="3" t="b">
        <v>0</v>
      </c>
      <c r="O428" s="3" t="b">
        <v>0</v>
      </c>
    </row>
    <row r="429" spans="1:15" x14ac:dyDescent="0.3">
      <c r="A429" s="27" t="s">
        <v>858</v>
      </c>
      <c r="B429" s="27"/>
      <c r="C429" s="27"/>
      <c r="D429" s="27"/>
      <c r="E429" s="12" t="s">
        <v>1575</v>
      </c>
      <c r="F429" s="3" t="s">
        <v>1576</v>
      </c>
      <c r="G429" s="3" t="s">
        <v>978</v>
      </c>
      <c r="H429" s="3" t="s">
        <v>52</v>
      </c>
      <c r="I429" s="3" t="s">
        <v>52</v>
      </c>
      <c r="J429" s="3" t="s">
        <v>51</v>
      </c>
      <c r="K429" s="3" t="b">
        <v>1</v>
      </c>
      <c r="L429" s="3"/>
      <c r="M429" s="3" t="b">
        <v>1</v>
      </c>
      <c r="N429" s="3" t="b">
        <v>0</v>
      </c>
      <c r="O429" s="3" t="b">
        <v>0</v>
      </c>
    </row>
    <row r="430" spans="1:15" x14ac:dyDescent="0.3">
      <c r="A430" s="27" t="s">
        <v>858</v>
      </c>
      <c r="B430" s="27"/>
      <c r="C430" s="27"/>
      <c r="D430" s="27"/>
      <c r="E430" s="12" t="s">
        <v>1573</v>
      </c>
      <c r="F430" s="3" t="s">
        <v>1574</v>
      </c>
      <c r="G430" s="3" t="s">
        <v>978</v>
      </c>
      <c r="H430" s="3" t="s">
        <v>52</v>
      </c>
      <c r="I430" s="3" t="s">
        <v>52</v>
      </c>
      <c r="J430" s="3" t="s">
        <v>51</v>
      </c>
      <c r="K430" s="3" t="b">
        <v>1</v>
      </c>
      <c r="L430" s="3"/>
      <c r="M430" s="3" t="b">
        <v>1</v>
      </c>
      <c r="N430" s="3" t="b">
        <v>0</v>
      </c>
      <c r="O430" s="3" t="b">
        <v>0</v>
      </c>
    </row>
    <row r="431" spans="1:15" x14ac:dyDescent="0.3">
      <c r="A431" s="27" t="s">
        <v>2422</v>
      </c>
      <c r="B431" s="27"/>
      <c r="C431" s="27"/>
      <c r="D431" s="27"/>
      <c r="E431" s="12" t="s">
        <v>914</v>
      </c>
      <c r="F431" s="3" t="s">
        <v>915</v>
      </c>
      <c r="G431" s="3" t="s">
        <v>900</v>
      </c>
      <c r="H431" s="3" t="s">
        <v>52</v>
      </c>
      <c r="I431" s="3" t="s">
        <v>52</v>
      </c>
      <c r="J431" s="3" t="s">
        <v>51</v>
      </c>
      <c r="K431" s="3" t="b">
        <v>1</v>
      </c>
      <c r="L431" s="3"/>
      <c r="M431" s="3" t="b">
        <v>1</v>
      </c>
      <c r="N431" s="3" t="b">
        <v>0</v>
      </c>
      <c r="O431" s="3" t="b">
        <v>0</v>
      </c>
    </row>
    <row r="432" spans="1:15" x14ac:dyDescent="0.3">
      <c r="A432" s="27" t="s">
        <v>2422</v>
      </c>
      <c r="B432" s="27"/>
      <c r="C432" s="27"/>
      <c r="D432" s="27"/>
      <c r="E432" s="12" t="s">
        <v>912</v>
      </c>
      <c r="F432" s="3" t="s">
        <v>913</v>
      </c>
      <c r="G432" s="3" t="s">
        <v>900</v>
      </c>
      <c r="H432" s="3" t="s">
        <v>52</v>
      </c>
      <c r="I432" s="3" t="s">
        <v>52</v>
      </c>
      <c r="J432" s="3" t="s">
        <v>51</v>
      </c>
      <c r="K432" s="3" t="b">
        <v>1</v>
      </c>
      <c r="L432" s="3"/>
      <c r="M432" s="3" t="b">
        <v>1</v>
      </c>
      <c r="N432" s="3" t="b">
        <v>0</v>
      </c>
      <c r="O432" s="3" t="b">
        <v>0</v>
      </c>
    </row>
    <row r="433" spans="1:15" x14ac:dyDescent="0.3">
      <c r="A433" s="27" t="s">
        <v>2422</v>
      </c>
      <c r="B433" s="27"/>
      <c r="C433" s="27"/>
      <c r="D433" s="27"/>
      <c r="E433" s="12" t="s">
        <v>1623</v>
      </c>
      <c r="F433" s="3" t="s">
        <v>1624</v>
      </c>
      <c r="G433" s="3" t="s">
        <v>900</v>
      </c>
      <c r="H433" s="3" t="s">
        <v>52</v>
      </c>
      <c r="I433" s="3" t="s">
        <v>52</v>
      </c>
      <c r="J433" s="3" t="s">
        <v>51</v>
      </c>
      <c r="K433" s="3" t="b">
        <v>1</v>
      </c>
      <c r="L433" s="3"/>
      <c r="M433" s="3" t="b">
        <v>1</v>
      </c>
      <c r="N433" s="3" t="b">
        <v>0</v>
      </c>
      <c r="O433" s="3" t="b">
        <v>0</v>
      </c>
    </row>
    <row r="434" spans="1:15" x14ac:dyDescent="0.3">
      <c r="A434" s="27" t="s">
        <v>2422</v>
      </c>
      <c r="B434" s="27"/>
      <c r="C434" s="27"/>
      <c r="D434" s="27"/>
      <c r="E434" s="12" t="s">
        <v>1558</v>
      </c>
      <c r="F434" s="3" t="s">
        <v>1559</v>
      </c>
      <c r="G434" s="3" t="s">
        <v>900</v>
      </c>
      <c r="H434" s="3" t="s">
        <v>52</v>
      </c>
      <c r="I434" s="3" t="s">
        <v>52</v>
      </c>
      <c r="J434" s="3" t="s">
        <v>51</v>
      </c>
      <c r="K434" s="3" t="b">
        <v>1</v>
      </c>
      <c r="L434" s="3"/>
      <c r="M434" s="3" t="b">
        <v>1</v>
      </c>
      <c r="N434" s="3" t="b">
        <v>0</v>
      </c>
      <c r="O434" s="3" t="b">
        <v>0</v>
      </c>
    </row>
    <row r="435" spans="1:15" x14ac:dyDescent="0.3">
      <c r="A435" s="27" t="s">
        <v>2422</v>
      </c>
      <c r="B435" s="27"/>
      <c r="C435" s="27"/>
      <c r="D435" s="27"/>
      <c r="E435" s="12" t="s">
        <v>1560</v>
      </c>
      <c r="F435" s="3" t="s">
        <v>1561</v>
      </c>
      <c r="G435" s="3" t="s">
        <v>900</v>
      </c>
      <c r="H435" s="3" t="s">
        <v>52</v>
      </c>
      <c r="I435" s="3" t="s">
        <v>52</v>
      </c>
      <c r="J435" s="3" t="s">
        <v>51</v>
      </c>
      <c r="K435" s="3" t="b">
        <v>1</v>
      </c>
      <c r="L435" s="3"/>
      <c r="M435" s="3" t="b">
        <v>1</v>
      </c>
      <c r="N435" s="3" t="b">
        <v>0</v>
      </c>
      <c r="O435" s="3" t="b">
        <v>0</v>
      </c>
    </row>
    <row r="436" spans="1:15" x14ac:dyDescent="0.3">
      <c r="A436" s="27" t="s">
        <v>2422</v>
      </c>
      <c r="B436" s="27"/>
      <c r="C436" s="27"/>
      <c r="D436" s="27"/>
      <c r="E436" s="12" t="s">
        <v>1578</v>
      </c>
      <c r="F436" s="3" t="s">
        <v>1579</v>
      </c>
      <c r="G436" s="3" t="s">
        <v>900</v>
      </c>
      <c r="H436" s="3" t="s">
        <v>52</v>
      </c>
      <c r="I436" s="3" t="s">
        <v>52</v>
      </c>
      <c r="J436" s="3" t="s">
        <v>51</v>
      </c>
      <c r="K436" s="3" t="b">
        <v>1</v>
      </c>
      <c r="L436" s="3"/>
      <c r="M436" s="3" t="b">
        <v>1</v>
      </c>
      <c r="N436" s="3" t="b">
        <v>0</v>
      </c>
      <c r="O436" s="3" t="b">
        <v>0</v>
      </c>
    </row>
    <row r="437" spans="1:15" x14ac:dyDescent="0.3">
      <c r="A437" s="27" t="s">
        <v>2422</v>
      </c>
      <c r="B437" s="27"/>
      <c r="C437" s="27"/>
      <c r="D437" s="27"/>
      <c r="E437" s="12" t="s">
        <v>920</v>
      </c>
      <c r="F437" s="3" t="s">
        <v>921</v>
      </c>
      <c r="G437" s="3" t="s">
        <v>922</v>
      </c>
      <c r="H437" s="3" t="s">
        <v>52</v>
      </c>
      <c r="I437" s="3" t="s">
        <v>52</v>
      </c>
      <c r="J437" s="3" t="s">
        <v>51</v>
      </c>
      <c r="K437" s="3" t="b">
        <v>1</v>
      </c>
      <c r="L437" s="3"/>
      <c r="M437" s="3" t="b">
        <v>1</v>
      </c>
      <c r="N437" s="3" t="b">
        <v>0</v>
      </c>
      <c r="O437" s="3" t="b">
        <v>0</v>
      </c>
    </row>
    <row r="438" spans="1:15" x14ac:dyDescent="0.3">
      <c r="A438" s="27" t="s">
        <v>2422</v>
      </c>
      <c r="B438" s="27"/>
      <c r="C438" s="27"/>
      <c r="D438" s="27"/>
      <c r="E438" s="12" t="s">
        <v>923</v>
      </c>
      <c r="F438" s="3" t="s">
        <v>924</v>
      </c>
      <c r="G438" s="3" t="s">
        <v>922</v>
      </c>
      <c r="H438" s="3" t="s">
        <v>52</v>
      </c>
      <c r="I438" s="3" t="s">
        <v>52</v>
      </c>
      <c r="J438" s="3" t="s">
        <v>51</v>
      </c>
      <c r="K438" s="3" t="b">
        <v>1</v>
      </c>
      <c r="L438" s="3"/>
      <c r="M438" s="3" t="b">
        <v>1</v>
      </c>
      <c r="N438" s="3" t="b">
        <v>0</v>
      </c>
      <c r="O438" s="3" t="b">
        <v>0</v>
      </c>
    </row>
    <row r="439" spans="1:15" x14ac:dyDescent="0.3">
      <c r="A439" s="27" t="s">
        <v>2422</v>
      </c>
      <c r="B439" s="27"/>
      <c r="C439" s="27"/>
      <c r="D439" s="27"/>
      <c r="E439" s="12" t="s">
        <v>925</v>
      </c>
      <c r="F439" s="3" t="s">
        <v>926</v>
      </c>
      <c r="G439" s="3" t="s">
        <v>922</v>
      </c>
      <c r="H439" s="3" t="s">
        <v>52</v>
      </c>
      <c r="I439" s="3" t="s">
        <v>52</v>
      </c>
      <c r="J439" s="3" t="s">
        <v>51</v>
      </c>
      <c r="K439" s="3" t="b">
        <v>1</v>
      </c>
      <c r="L439" s="3"/>
      <c r="M439" s="3" t="b">
        <v>1</v>
      </c>
      <c r="N439" s="3" t="b">
        <v>0</v>
      </c>
      <c r="O439" s="3" t="b">
        <v>0</v>
      </c>
    </row>
    <row r="440" spans="1:15" x14ac:dyDescent="0.3">
      <c r="A440" s="27" t="s">
        <v>2422</v>
      </c>
      <c r="B440" s="27"/>
      <c r="C440" s="27"/>
      <c r="D440" s="27"/>
      <c r="E440" s="12" t="s">
        <v>939</v>
      </c>
      <c r="F440" s="3" t="s">
        <v>940</v>
      </c>
      <c r="G440" s="3" t="s">
        <v>922</v>
      </c>
      <c r="H440" s="3" t="s">
        <v>52</v>
      </c>
      <c r="I440" s="3" t="s">
        <v>52</v>
      </c>
      <c r="J440" s="3" t="s">
        <v>51</v>
      </c>
      <c r="K440" s="3" t="b">
        <v>1</v>
      </c>
      <c r="L440" s="3"/>
      <c r="M440" s="3" t="b">
        <v>1</v>
      </c>
      <c r="N440" s="3" t="b">
        <v>0</v>
      </c>
      <c r="O440" s="3" t="b">
        <v>0</v>
      </c>
    </row>
    <row r="441" spans="1:15" x14ac:dyDescent="0.3">
      <c r="A441" s="27" t="s">
        <v>2422</v>
      </c>
      <c r="B441" s="27"/>
      <c r="C441" s="27"/>
      <c r="D441" s="27"/>
      <c r="E441" s="12" t="s">
        <v>935</v>
      </c>
      <c r="F441" s="3" t="s">
        <v>936</v>
      </c>
      <c r="G441" s="3" t="s">
        <v>922</v>
      </c>
      <c r="H441" s="3" t="s">
        <v>52</v>
      </c>
      <c r="I441" s="3" t="s">
        <v>52</v>
      </c>
      <c r="J441" s="3" t="s">
        <v>51</v>
      </c>
      <c r="K441" s="3" t="b">
        <v>1</v>
      </c>
      <c r="L441" s="3"/>
      <c r="M441" s="3" t="b">
        <v>1</v>
      </c>
      <c r="N441" s="3" t="b">
        <v>0</v>
      </c>
      <c r="O441" s="3" t="b">
        <v>0</v>
      </c>
    </row>
    <row r="442" spans="1:15" x14ac:dyDescent="0.3">
      <c r="A442" s="27" t="s">
        <v>2422</v>
      </c>
      <c r="B442" s="27"/>
      <c r="C442" s="27"/>
      <c r="D442" s="27"/>
      <c r="E442" s="12" t="s">
        <v>1563</v>
      </c>
      <c r="F442" s="3" t="s">
        <v>1564</v>
      </c>
      <c r="G442" s="3" t="s">
        <v>922</v>
      </c>
      <c r="H442" s="3" t="s">
        <v>52</v>
      </c>
      <c r="I442" s="3" t="s">
        <v>52</v>
      </c>
      <c r="J442" s="3" t="s">
        <v>51</v>
      </c>
      <c r="K442" s="3" t="b">
        <v>1</v>
      </c>
      <c r="L442" s="3"/>
      <c r="M442" s="3" t="b">
        <v>1</v>
      </c>
      <c r="N442" s="3" t="b">
        <v>0</v>
      </c>
      <c r="O442" s="3" t="b">
        <v>0</v>
      </c>
    </row>
    <row r="443" spans="1:15" x14ac:dyDescent="0.3">
      <c r="A443" s="27" t="s">
        <v>2422</v>
      </c>
      <c r="B443" s="27"/>
      <c r="C443" s="27"/>
      <c r="D443" s="27"/>
      <c r="E443" s="12" t="s">
        <v>1503</v>
      </c>
      <c r="F443" s="3" t="s">
        <v>1507</v>
      </c>
      <c r="G443" s="3" t="s">
        <v>922</v>
      </c>
      <c r="H443" s="3" t="s">
        <v>52</v>
      </c>
      <c r="I443" s="3" t="s">
        <v>52</v>
      </c>
      <c r="J443" s="3" t="s">
        <v>51</v>
      </c>
      <c r="K443" s="3" t="b">
        <v>1</v>
      </c>
      <c r="L443" s="3"/>
      <c r="M443" s="3" t="b">
        <v>1</v>
      </c>
      <c r="N443" s="3" t="b">
        <v>0</v>
      </c>
      <c r="O443" s="3" t="b">
        <v>0</v>
      </c>
    </row>
    <row r="444" spans="1:15" x14ac:dyDescent="0.3">
      <c r="A444" s="27" t="s">
        <v>2422</v>
      </c>
      <c r="B444" s="27"/>
      <c r="C444" s="27"/>
      <c r="D444" s="27"/>
      <c r="E444" s="12" t="s">
        <v>943</v>
      </c>
      <c r="F444" s="3" t="s">
        <v>944</v>
      </c>
      <c r="G444" s="3" t="s">
        <v>922</v>
      </c>
      <c r="H444" s="3" t="s">
        <v>851</v>
      </c>
      <c r="I444" s="3" t="s">
        <v>52</v>
      </c>
      <c r="J444" s="3" t="s">
        <v>51</v>
      </c>
      <c r="K444" s="3" t="b">
        <v>1</v>
      </c>
      <c r="L444" s="3"/>
      <c r="M444" s="3" t="b">
        <v>1</v>
      </c>
      <c r="N444" s="3" t="b">
        <v>0</v>
      </c>
      <c r="O444" s="3" t="b">
        <v>0</v>
      </c>
    </row>
    <row r="445" spans="1:15" x14ac:dyDescent="0.3">
      <c r="A445" s="27" t="s">
        <v>2422</v>
      </c>
      <c r="B445" s="27"/>
      <c r="C445" s="27"/>
      <c r="D445" s="27"/>
      <c r="E445" s="12" t="s">
        <v>945</v>
      </c>
      <c r="F445" s="3" t="s">
        <v>946</v>
      </c>
      <c r="G445" s="3" t="s">
        <v>922</v>
      </c>
      <c r="H445" s="3" t="s">
        <v>851</v>
      </c>
      <c r="I445" s="3" t="s">
        <v>52</v>
      </c>
      <c r="J445" s="3" t="s">
        <v>51</v>
      </c>
      <c r="K445" s="3" t="b">
        <v>1</v>
      </c>
      <c r="L445" s="3"/>
      <c r="M445" s="3" t="b">
        <v>1</v>
      </c>
      <c r="N445" s="3" t="b">
        <v>0</v>
      </c>
      <c r="O445" s="3" t="b">
        <v>0</v>
      </c>
    </row>
    <row r="446" spans="1:15" x14ac:dyDescent="0.3">
      <c r="A446" s="27" t="s">
        <v>2422</v>
      </c>
      <c r="B446" s="27"/>
      <c r="C446" s="27"/>
      <c r="D446" s="27"/>
      <c r="E446" s="12" t="s">
        <v>947</v>
      </c>
      <c r="F446" s="3" t="s">
        <v>948</v>
      </c>
      <c r="G446" s="3" t="s">
        <v>922</v>
      </c>
      <c r="H446" s="3" t="s">
        <v>851</v>
      </c>
      <c r="I446" s="3" t="s">
        <v>52</v>
      </c>
      <c r="J446" s="3" t="s">
        <v>51</v>
      </c>
      <c r="K446" s="3" t="b">
        <v>1</v>
      </c>
      <c r="L446" s="3"/>
      <c r="M446" s="3" t="b">
        <v>1</v>
      </c>
      <c r="N446" s="3" t="b">
        <v>0</v>
      </c>
      <c r="O446" s="3" t="b">
        <v>0</v>
      </c>
    </row>
    <row r="447" spans="1:15" x14ac:dyDescent="0.3">
      <c r="A447" s="27" t="s">
        <v>2422</v>
      </c>
      <c r="B447" s="27"/>
      <c r="C447" s="27"/>
      <c r="D447" s="27"/>
      <c r="E447" s="12" t="s">
        <v>949</v>
      </c>
      <c r="F447" s="3" t="s">
        <v>950</v>
      </c>
      <c r="G447" s="3" t="s">
        <v>922</v>
      </c>
      <c r="H447" s="3" t="s">
        <v>851</v>
      </c>
      <c r="I447" s="3" t="s">
        <v>52</v>
      </c>
      <c r="J447" s="3" t="s">
        <v>51</v>
      </c>
      <c r="K447" s="3" t="b">
        <v>1</v>
      </c>
      <c r="L447" s="3"/>
      <c r="M447" s="3" t="b">
        <v>1</v>
      </c>
      <c r="N447" s="3" t="b">
        <v>0</v>
      </c>
      <c r="O447" s="3" t="b">
        <v>0</v>
      </c>
    </row>
    <row r="448" spans="1:15" x14ac:dyDescent="0.3">
      <c r="A448" s="27" t="s">
        <v>2422</v>
      </c>
      <c r="B448" s="27"/>
      <c r="C448" s="27"/>
      <c r="D448" s="27"/>
      <c r="E448" s="12" t="s">
        <v>951</v>
      </c>
      <c r="F448" s="3" t="s">
        <v>952</v>
      </c>
      <c r="G448" s="3" t="s">
        <v>922</v>
      </c>
      <c r="H448" s="3" t="s">
        <v>851</v>
      </c>
      <c r="I448" s="3" t="s">
        <v>52</v>
      </c>
      <c r="J448" s="3" t="s">
        <v>51</v>
      </c>
      <c r="K448" s="3" t="b">
        <v>1</v>
      </c>
      <c r="L448" s="3"/>
      <c r="M448" s="3" t="b">
        <v>1</v>
      </c>
      <c r="N448" s="3" t="b">
        <v>0</v>
      </c>
      <c r="O448" s="3" t="b">
        <v>0</v>
      </c>
    </row>
    <row r="449" spans="1:15" x14ac:dyDescent="0.3">
      <c r="A449" s="27" t="s">
        <v>2422</v>
      </c>
      <c r="B449" s="27"/>
      <c r="C449" s="27"/>
      <c r="D449" s="27"/>
      <c r="E449" s="12" t="s">
        <v>953</v>
      </c>
      <c r="F449" s="3" t="s">
        <v>954</v>
      </c>
      <c r="G449" s="3" t="s">
        <v>922</v>
      </c>
      <c r="H449" s="3" t="s">
        <v>851</v>
      </c>
      <c r="I449" s="3" t="s">
        <v>52</v>
      </c>
      <c r="J449" s="3" t="s">
        <v>51</v>
      </c>
      <c r="K449" s="3" t="b">
        <v>1</v>
      </c>
      <c r="L449" s="3"/>
      <c r="M449" s="3" t="b">
        <v>1</v>
      </c>
      <c r="N449" s="3" t="b">
        <v>0</v>
      </c>
      <c r="O449" s="3" t="b">
        <v>0</v>
      </c>
    </row>
    <row r="450" spans="1:15" x14ac:dyDescent="0.3">
      <c r="A450" s="27" t="s">
        <v>2422</v>
      </c>
      <c r="B450" s="27"/>
      <c r="C450" s="27"/>
      <c r="D450" s="27"/>
      <c r="E450" s="12" t="s">
        <v>955</v>
      </c>
      <c r="F450" s="3" t="s">
        <v>956</v>
      </c>
      <c r="G450" s="3" t="s">
        <v>922</v>
      </c>
      <c r="H450" s="3" t="s">
        <v>851</v>
      </c>
      <c r="I450" s="3" t="s">
        <v>52</v>
      </c>
      <c r="J450" s="3" t="s">
        <v>51</v>
      </c>
      <c r="K450" s="3" t="b">
        <v>1</v>
      </c>
      <c r="L450" s="3"/>
      <c r="M450" s="3" t="b">
        <v>1</v>
      </c>
      <c r="N450" s="3" t="b">
        <v>0</v>
      </c>
      <c r="O450" s="3" t="b">
        <v>0</v>
      </c>
    </row>
    <row r="451" spans="1:15" x14ac:dyDescent="0.3">
      <c r="A451" s="27" t="s">
        <v>2422</v>
      </c>
      <c r="B451" s="27"/>
      <c r="C451" s="27"/>
      <c r="D451" s="27"/>
      <c r="E451" s="12" t="s">
        <v>1528</v>
      </c>
      <c r="F451" s="3" t="s">
        <v>1530</v>
      </c>
      <c r="G451" s="3" t="s">
        <v>922</v>
      </c>
      <c r="H451" s="3" t="s">
        <v>52</v>
      </c>
      <c r="I451" s="3" t="s">
        <v>52</v>
      </c>
      <c r="J451" s="3" t="s">
        <v>51</v>
      </c>
      <c r="K451" s="3" t="b">
        <v>1</v>
      </c>
      <c r="L451" s="3"/>
      <c r="M451" s="3" t="b">
        <v>1</v>
      </c>
      <c r="N451" s="3" t="b">
        <v>0</v>
      </c>
      <c r="O451" s="3" t="b">
        <v>0</v>
      </c>
    </row>
    <row r="452" spans="1:15" x14ac:dyDescent="0.3">
      <c r="A452" s="27" t="s">
        <v>2422</v>
      </c>
      <c r="B452" s="27"/>
      <c r="C452" s="27"/>
      <c r="D452" s="27"/>
      <c r="E452" s="12" t="s">
        <v>1523</v>
      </c>
      <c r="F452" s="3" t="s">
        <v>1531</v>
      </c>
      <c r="G452" s="3" t="s">
        <v>922</v>
      </c>
      <c r="H452" s="3" t="s">
        <v>52</v>
      </c>
      <c r="I452" s="3" t="s">
        <v>52</v>
      </c>
      <c r="J452" s="3" t="s">
        <v>51</v>
      </c>
      <c r="K452" s="3" t="b">
        <v>1</v>
      </c>
      <c r="L452" s="3"/>
      <c r="M452" s="3" t="b">
        <v>1</v>
      </c>
      <c r="N452" s="3" t="b">
        <v>0</v>
      </c>
      <c r="O452" s="3" t="b">
        <v>0</v>
      </c>
    </row>
    <row r="453" spans="1:15" x14ac:dyDescent="0.3">
      <c r="A453" s="27" t="s">
        <v>2422</v>
      </c>
      <c r="B453" s="27"/>
      <c r="C453" s="27"/>
      <c r="D453" s="27"/>
      <c r="E453" s="12" t="s">
        <v>1524</v>
      </c>
      <c r="F453" s="3" t="s">
        <v>1532</v>
      </c>
      <c r="G453" s="3" t="s">
        <v>922</v>
      </c>
      <c r="H453" s="3" t="s">
        <v>52</v>
      </c>
      <c r="I453" s="3" t="s">
        <v>52</v>
      </c>
      <c r="J453" s="3" t="s">
        <v>51</v>
      </c>
      <c r="K453" s="3" t="b">
        <v>1</v>
      </c>
      <c r="L453" s="3"/>
      <c r="M453" s="3" t="b">
        <v>1</v>
      </c>
      <c r="N453" s="3" t="b">
        <v>0</v>
      </c>
      <c r="O453" s="3" t="b">
        <v>0</v>
      </c>
    </row>
    <row r="454" spans="1:15" x14ac:dyDescent="0.3">
      <c r="A454" s="27" t="s">
        <v>2422</v>
      </c>
      <c r="B454" s="27"/>
      <c r="C454" s="27"/>
      <c r="D454" s="27"/>
      <c r="E454" s="12" t="s">
        <v>1621</v>
      </c>
      <c r="F454" s="3" t="s">
        <v>1622</v>
      </c>
      <c r="G454" s="3" t="s">
        <v>922</v>
      </c>
      <c r="H454" s="3" t="s">
        <v>852</v>
      </c>
      <c r="I454" s="3" t="s">
        <v>52</v>
      </c>
      <c r="J454" s="3" t="s">
        <v>51</v>
      </c>
      <c r="K454" s="3" t="b">
        <v>1</v>
      </c>
      <c r="L454" s="3"/>
      <c r="M454" s="3" t="b">
        <v>1</v>
      </c>
      <c r="N454" s="3" t="b">
        <v>0</v>
      </c>
      <c r="O454" s="3" t="b">
        <v>0</v>
      </c>
    </row>
    <row r="455" spans="1:15" x14ac:dyDescent="0.3">
      <c r="A455" s="27" t="s">
        <v>2422</v>
      </c>
      <c r="B455" s="27"/>
      <c r="C455" s="27"/>
      <c r="D455" s="27"/>
      <c r="E455" s="12" t="s">
        <v>1554</v>
      </c>
      <c r="F455" s="3" t="s">
        <v>1555</v>
      </c>
      <c r="G455" s="3" t="s">
        <v>922</v>
      </c>
      <c r="H455" s="3" t="s">
        <v>852</v>
      </c>
      <c r="I455" s="3" t="s">
        <v>52</v>
      </c>
      <c r="J455" s="3" t="s">
        <v>51</v>
      </c>
      <c r="K455" s="3" t="b">
        <v>1</v>
      </c>
      <c r="L455" s="3"/>
      <c r="M455" s="3" t="b">
        <v>1</v>
      </c>
      <c r="N455" s="3" t="b">
        <v>0</v>
      </c>
      <c r="O455" s="3" t="b">
        <v>0</v>
      </c>
    </row>
    <row r="456" spans="1:15" x14ac:dyDescent="0.3">
      <c r="A456" s="27" t="s">
        <v>2422</v>
      </c>
      <c r="B456" s="27"/>
      <c r="C456" s="27"/>
      <c r="D456" s="27"/>
      <c r="E456" s="12" t="s">
        <v>1556</v>
      </c>
      <c r="F456" s="3" t="s">
        <v>1557</v>
      </c>
      <c r="G456" s="3" t="s">
        <v>922</v>
      </c>
      <c r="H456" s="3" t="s">
        <v>852</v>
      </c>
      <c r="I456" s="3" t="s">
        <v>52</v>
      </c>
      <c r="J456" s="3" t="s">
        <v>51</v>
      </c>
      <c r="K456" s="3" t="b">
        <v>1</v>
      </c>
      <c r="L456" s="3"/>
      <c r="M456" s="3" t="b">
        <v>1</v>
      </c>
      <c r="N456" s="3" t="b">
        <v>0</v>
      </c>
      <c r="O456" s="3" t="b">
        <v>0</v>
      </c>
    </row>
    <row r="457" spans="1:15" x14ac:dyDescent="0.3">
      <c r="A457" s="27" t="s">
        <v>2422</v>
      </c>
      <c r="B457" s="27"/>
      <c r="C457" s="27"/>
      <c r="D457" s="27"/>
      <c r="E457" s="12" t="s">
        <v>971</v>
      </c>
      <c r="F457" s="3" t="s">
        <v>972</v>
      </c>
      <c r="G457" s="3" t="s">
        <v>922</v>
      </c>
      <c r="H457" s="3" t="s">
        <v>854</v>
      </c>
      <c r="I457" s="3" t="s">
        <v>52</v>
      </c>
      <c r="J457" s="3" t="s">
        <v>51</v>
      </c>
      <c r="K457" s="3" t="b">
        <v>1</v>
      </c>
      <c r="L457" s="3"/>
      <c r="M457" s="3" t="b">
        <v>1</v>
      </c>
      <c r="N457" s="3" t="b">
        <v>0</v>
      </c>
      <c r="O457" s="3" t="b">
        <v>0</v>
      </c>
    </row>
    <row r="458" spans="1:15" x14ac:dyDescent="0.3">
      <c r="A458" s="27" t="s">
        <v>2422</v>
      </c>
      <c r="B458" s="27" t="s">
        <v>1464</v>
      </c>
      <c r="C458" s="27"/>
      <c r="D458" s="27" t="s">
        <v>1630</v>
      </c>
      <c r="E458" s="12" t="s">
        <v>1758</v>
      </c>
      <c r="F458" s="3" t="s">
        <v>1553</v>
      </c>
      <c r="G458" s="3" t="s">
        <v>978</v>
      </c>
      <c r="H458" s="3" t="s">
        <v>52</v>
      </c>
      <c r="I458" s="3" t="s">
        <v>52</v>
      </c>
      <c r="J458" s="3" t="s">
        <v>51</v>
      </c>
      <c r="K458" s="3" t="b">
        <v>1</v>
      </c>
      <c r="L458" s="3"/>
      <c r="M458" s="3" t="b">
        <v>1</v>
      </c>
      <c r="N458" s="3" t="b">
        <v>0</v>
      </c>
      <c r="O458" s="3" t="b">
        <v>0</v>
      </c>
    </row>
    <row r="459" spans="1:15" x14ac:dyDescent="0.3">
      <c r="A459" s="27" t="s">
        <v>2422</v>
      </c>
      <c r="B459" s="27" t="s">
        <v>1466</v>
      </c>
      <c r="C459" s="27"/>
      <c r="D459" s="27" t="s">
        <v>1630</v>
      </c>
      <c r="E459" s="12" t="s">
        <v>1758</v>
      </c>
      <c r="F459" s="3" t="s">
        <v>1553</v>
      </c>
      <c r="G459" s="3" t="s">
        <v>978</v>
      </c>
      <c r="H459" s="3" t="s">
        <v>52</v>
      </c>
      <c r="I459" s="3" t="s">
        <v>52</v>
      </c>
      <c r="J459" s="3" t="s">
        <v>51</v>
      </c>
      <c r="K459" s="3" t="b">
        <v>1</v>
      </c>
      <c r="L459" s="3"/>
      <c r="M459" s="3" t="b">
        <v>1</v>
      </c>
      <c r="N459" s="3" t="b">
        <v>0</v>
      </c>
      <c r="O459" s="3" t="b">
        <v>0</v>
      </c>
    </row>
    <row r="460" spans="1:15" x14ac:dyDescent="0.3">
      <c r="A460" s="27" t="s">
        <v>2422</v>
      </c>
      <c r="B460" s="27" t="s">
        <v>1467</v>
      </c>
      <c r="C460" s="27"/>
      <c r="D460" s="27" t="s">
        <v>1630</v>
      </c>
      <c r="E460" s="12" t="s">
        <v>1758</v>
      </c>
      <c r="F460" s="3" t="s">
        <v>1553</v>
      </c>
      <c r="G460" s="3" t="s">
        <v>978</v>
      </c>
      <c r="H460" s="3" t="s">
        <v>52</v>
      </c>
      <c r="I460" s="3" t="s">
        <v>52</v>
      </c>
      <c r="J460" s="3" t="s">
        <v>51</v>
      </c>
      <c r="K460" s="3" t="b">
        <v>1</v>
      </c>
      <c r="L460" s="3"/>
      <c r="M460" s="3" t="b">
        <v>1</v>
      </c>
      <c r="N460" s="3" t="b">
        <v>0</v>
      </c>
      <c r="O460" s="3" t="b">
        <v>0</v>
      </c>
    </row>
    <row r="461" spans="1:15" x14ac:dyDescent="0.3">
      <c r="A461" s="27" t="s">
        <v>2422</v>
      </c>
      <c r="B461" s="27" t="s">
        <v>1468</v>
      </c>
      <c r="C461" s="27"/>
      <c r="D461" s="27" t="s">
        <v>1630</v>
      </c>
      <c r="E461" s="12" t="s">
        <v>1758</v>
      </c>
      <c r="F461" s="3" t="s">
        <v>1553</v>
      </c>
      <c r="G461" s="3" t="s">
        <v>978</v>
      </c>
      <c r="H461" s="3" t="s">
        <v>52</v>
      </c>
      <c r="I461" s="3" t="s">
        <v>52</v>
      </c>
      <c r="J461" s="3" t="s">
        <v>51</v>
      </c>
      <c r="K461" s="3" t="b">
        <v>1</v>
      </c>
      <c r="L461" s="3"/>
      <c r="M461" s="3" t="b">
        <v>1</v>
      </c>
      <c r="N461" s="3" t="b">
        <v>0</v>
      </c>
      <c r="O461" s="3" t="b">
        <v>0</v>
      </c>
    </row>
    <row r="462" spans="1:15" x14ac:dyDescent="0.3">
      <c r="A462" s="27" t="s">
        <v>2422</v>
      </c>
      <c r="B462" s="27" t="s">
        <v>1469</v>
      </c>
      <c r="C462" s="27"/>
      <c r="D462" s="27" t="s">
        <v>1630</v>
      </c>
      <c r="E462" s="12" t="s">
        <v>1758</v>
      </c>
      <c r="F462" s="3" t="s">
        <v>1553</v>
      </c>
      <c r="G462" s="3" t="s">
        <v>978</v>
      </c>
      <c r="H462" s="3" t="s">
        <v>52</v>
      </c>
      <c r="I462" s="3" t="s">
        <v>52</v>
      </c>
      <c r="J462" s="3" t="s">
        <v>51</v>
      </c>
      <c r="K462" s="3" t="b">
        <v>1</v>
      </c>
      <c r="L462" s="3"/>
      <c r="M462" s="3" t="b">
        <v>1</v>
      </c>
      <c r="N462" s="3" t="b">
        <v>0</v>
      </c>
      <c r="O462" s="3" t="b">
        <v>0</v>
      </c>
    </row>
    <row r="463" spans="1:15" x14ac:dyDescent="0.3">
      <c r="A463" s="27" t="s">
        <v>2422</v>
      </c>
      <c r="B463" s="27" t="s">
        <v>1470</v>
      </c>
      <c r="C463" s="27"/>
      <c r="D463" s="27" t="s">
        <v>1630</v>
      </c>
      <c r="E463" s="12" t="s">
        <v>1758</v>
      </c>
      <c r="F463" s="3" t="s">
        <v>1553</v>
      </c>
      <c r="G463" s="3" t="s">
        <v>978</v>
      </c>
      <c r="H463" s="3" t="s">
        <v>52</v>
      </c>
      <c r="I463" s="3" t="s">
        <v>52</v>
      </c>
      <c r="J463" s="3" t="s">
        <v>51</v>
      </c>
      <c r="K463" s="3" t="b">
        <v>1</v>
      </c>
      <c r="L463" s="3"/>
      <c r="M463" s="3" t="b">
        <v>1</v>
      </c>
      <c r="N463" s="3" t="b">
        <v>0</v>
      </c>
      <c r="O463" s="3" t="b">
        <v>0</v>
      </c>
    </row>
    <row r="464" spans="1:15" x14ac:dyDescent="0.3">
      <c r="A464" s="27" t="s">
        <v>2422</v>
      </c>
      <c r="B464" s="27" t="s">
        <v>1934</v>
      </c>
      <c r="C464" s="27"/>
      <c r="D464" s="27" t="s">
        <v>1630</v>
      </c>
      <c r="E464" s="12" t="s">
        <v>1758</v>
      </c>
      <c r="F464" s="3" t="s">
        <v>1553</v>
      </c>
      <c r="G464" s="3" t="s">
        <v>978</v>
      </c>
      <c r="H464" s="3" t="s">
        <v>52</v>
      </c>
      <c r="I464" s="3" t="s">
        <v>52</v>
      </c>
      <c r="J464" s="3" t="s">
        <v>51</v>
      </c>
      <c r="K464" s="3" t="b">
        <v>1</v>
      </c>
      <c r="L464" s="3"/>
      <c r="M464" s="3" t="b">
        <v>1</v>
      </c>
      <c r="N464" s="3" t="b">
        <v>0</v>
      </c>
      <c r="O464" s="3" t="b">
        <v>0</v>
      </c>
    </row>
    <row r="465" spans="1:15" x14ac:dyDescent="0.3">
      <c r="A465" s="27" t="s">
        <v>2422</v>
      </c>
      <c r="B465" s="27" t="s">
        <v>1935</v>
      </c>
      <c r="C465" s="27"/>
      <c r="D465" s="27" t="s">
        <v>1630</v>
      </c>
      <c r="E465" s="12" t="s">
        <v>1758</v>
      </c>
      <c r="F465" s="3" t="s">
        <v>1553</v>
      </c>
      <c r="G465" s="3" t="s">
        <v>978</v>
      </c>
      <c r="H465" s="3" t="s">
        <v>52</v>
      </c>
      <c r="I465" s="3" t="s">
        <v>52</v>
      </c>
      <c r="J465" s="3" t="s">
        <v>51</v>
      </c>
      <c r="K465" s="3" t="b">
        <v>1</v>
      </c>
      <c r="L465" s="3"/>
      <c r="M465" s="3" t="b">
        <v>1</v>
      </c>
      <c r="N465" s="3" t="b">
        <v>0</v>
      </c>
      <c r="O465" s="3" t="b">
        <v>0</v>
      </c>
    </row>
    <row r="466" spans="1:15" x14ac:dyDescent="0.3">
      <c r="A466" s="27" t="s">
        <v>2422</v>
      </c>
      <c r="B466" s="27" t="s">
        <v>1936</v>
      </c>
      <c r="C466" s="27"/>
      <c r="D466" s="27" t="s">
        <v>1630</v>
      </c>
      <c r="E466" s="12" t="s">
        <v>1758</v>
      </c>
      <c r="F466" s="3" t="s">
        <v>1553</v>
      </c>
      <c r="G466" s="3" t="s">
        <v>978</v>
      </c>
      <c r="H466" s="3" t="s">
        <v>52</v>
      </c>
      <c r="I466" s="3" t="s">
        <v>52</v>
      </c>
      <c r="J466" s="3" t="s">
        <v>51</v>
      </c>
      <c r="K466" s="3" t="b">
        <v>1</v>
      </c>
      <c r="L466" s="3"/>
      <c r="M466" s="3" t="b">
        <v>1</v>
      </c>
      <c r="N466" s="3" t="b">
        <v>0</v>
      </c>
      <c r="O466" s="3" t="b">
        <v>0</v>
      </c>
    </row>
    <row r="467" spans="1:15" x14ac:dyDescent="0.3">
      <c r="A467" s="27" t="s">
        <v>2422</v>
      </c>
      <c r="B467" s="27" t="s">
        <v>1937</v>
      </c>
      <c r="C467" s="27"/>
      <c r="D467" s="27" t="s">
        <v>1630</v>
      </c>
      <c r="E467" s="12" t="s">
        <v>1758</v>
      </c>
      <c r="F467" s="3" t="s">
        <v>1553</v>
      </c>
      <c r="G467" s="3" t="s">
        <v>978</v>
      </c>
      <c r="H467" s="3" t="s">
        <v>52</v>
      </c>
      <c r="I467" s="3" t="s">
        <v>52</v>
      </c>
      <c r="J467" s="3" t="s">
        <v>51</v>
      </c>
      <c r="K467" s="3" t="b">
        <v>1</v>
      </c>
      <c r="L467" s="3"/>
      <c r="M467" s="3" t="b">
        <v>1</v>
      </c>
      <c r="N467" s="3" t="b">
        <v>0</v>
      </c>
      <c r="O467" s="3" t="b">
        <v>0</v>
      </c>
    </row>
    <row r="468" spans="1:15" x14ac:dyDescent="0.3">
      <c r="A468" s="27" t="s">
        <v>2422</v>
      </c>
      <c r="B468" s="27" t="s">
        <v>1938</v>
      </c>
      <c r="C468" s="27"/>
      <c r="D468" s="27" t="s">
        <v>1630</v>
      </c>
      <c r="E468" s="12" t="s">
        <v>1758</v>
      </c>
      <c r="F468" s="3" t="s">
        <v>1553</v>
      </c>
      <c r="G468" s="3" t="s">
        <v>978</v>
      </c>
      <c r="H468" s="3" t="s">
        <v>52</v>
      </c>
      <c r="I468" s="3" t="s">
        <v>52</v>
      </c>
      <c r="J468" s="3" t="s">
        <v>51</v>
      </c>
      <c r="K468" s="3" t="b">
        <v>1</v>
      </c>
      <c r="L468" s="3"/>
      <c r="M468" s="3" t="b">
        <v>1</v>
      </c>
      <c r="N468" s="3" t="b">
        <v>0</v>
      </c>
      <c r="O468" s="3" t="b">
        <v>0</v>
      </c>
    </row>
    <row r="469" spans="1:15" x14ac:dyDescent="0.3">
      <c r="A469" s="27" t="s">
        <v>2422</v>
      </c>
      <c r="B469" s="27" t="s">
        <v>1939</v>
      </c>
      <c r="C469" s="27"/>
      <c r="D469" s="27" t="s">
        <v>1630</v>
      </c>
      <c r="E469" s="12" t="s">
        <v>1758</v>
      </c>
      <c r="F469" s="3" t="s">
        <v>1553</v>
      </c>
      <c r="G469" s="3" t="s">
        <v>978</v>
      </c>
      <c r="H469" s="3" t="s">
        <v>52</v>
      </c>
      <c r="I469" s="3" t="s">
        <v>52</v>
      </c>
      <c r="J469" s="3" t="s">
        <v>51</v>
      </c>
      <c r="K469" s="3" t="b">
        <v>1</v>
      </c>
      <c r="L469" s="3"/>
      <c r="M469" s="3" t="b">
        <v>1</v>
      </c>
      <c r="N469" s="3" t="b">
        <v>0</v>
      </c>
      <c r="O469" s="3" t="b">
        <v>0</v>
      </c>
    </row>
    <row r="470" spans="1:15" x14ac:dyDescent="0.3">
      <c r="A470" s="27" t="s">
        <v>2422</v>
      </c>
      <c r="B470" s="27"/>
      <c r="C470" s="27"/>
      <c r="D470" s="27"/>
      <c r="E470" s="12" t="s">
        <v>1003</v>
      </c>
      <c r="F470" s="3" t="s">
        <v>1004</v>
      </c>
      <c r="G470" s="3" t="s">
        <v>978</v>
      </c>
      <c r="H470" s="3" t="s">
        <v>52</v>
      </c>
      <c r="I470" s="3" t="s">
        <v>52</v>
      </c>
      <c r="J470" s="3" t="s">
        <v>51</v>
      </c>
      <c r="K470" s="3" t="b">
        <v>1</v>
      </c>
      <c r="L470" s="3"/>
      <c r="M470" s="3" t="b">
        <v>1</v>
      </c>
      <c r="N470" s="3" t="b">
        <v>0</v>
      </c>
      <c r="O470" s="3" t="b">
        <v>0</v>
      </c>
    </row>
    <row r="471" spans="1:15" x14ac:dyDescent="0.3">
      <c r="A471" s="27" t="s">
        <v>2422</v>
      </c>
      <c r="B471" s="27" t="s">
        <v>1464</v>
      </c>
      <c r="C471" s="27"/>
      <c r="D471" s="27" t="s">
        <v>1630</v>
      </c>
      <c r="E471" s="12" t="s">
        <v>1761</v>
      </c>
      <c r="F471" s="3" t="s">
        <v>1549</v>
      </c>
      <c r="G471" s="3" t="s">
        <v>978</v>
      </c>
      <c r="H471" s="3" t="s">
        <v>52</v>
      </c>
      <c r="I471" s="3" t="s">
        <v>52</v>
      </c>
      <c r="J471" s="3" t="s">
        <v>51</v>
      </c>
      <c r="K471" s="3" t="b">
        <v>1</v>
      </c>
      <c r="L471" s="3"/>
      <c r="M471" s="3" t="b">
        <v>1</v>
      </c>
      <c r="N471" s="3" t="b">
        <v>0</v>
      </c>
      <c r="O471" s="3" t="b">
        <v>0</v>
      </c>
    </row>
    <row r="472" spans="1:15" x14ac:dyDescent="0.3">
      <c r="A472" s="27" t="s">
        <v>2422</v>
      </c>
      <c r="B472" s="27" t="s">
        <v>1466</v>
      </c>
      <c r="C472" s="27"/>
      <c r="D472" s="27" t="s">
        <v>1630</v>
      </c>
      <c r="E472" s="12" t="s">
        <v>1761</v>
      </c>
      <c r="F472" s="3" t="s">
        <v>1549</v>
      </c>
      <c r="G472" s="3" t="s">
        <v>978</v>
      </c>
      <c r="H472" s="3" t="s">
        <v>52</v>
      </c>
      <c r="I472" s="3" t="s">
        <v>52</v>
      </c>
      <c r="J472" s="3" t="s">
        <v>51</v>
      </c>
      <c r="K472" s="3" t="b">
        <v>1</v>
      </c>
      <c r="L472" s="3"/>
      <c r="M472" s="3" t="b">
        <v>1</v>
      </c>
      <c r="N472" s="3" t="b">
        <v>0</v>
      </c>
      <c r="O472" s="3" t="b">
        <v>0</v>
      </c>
    </row>
    <row r="473" spans="1:15" x14ac:dyDescent="0.3">
      <c r="A473" s="27" t="s">
        <v>2422</v>
      </c>
      <c r="B473" s="27" t="s">
        <v>1467</v>
      </c>
      <c r="C473" s="27"/>
      <c r="D473" s="27" t="s">
        <v>1630</v>
      </c>
      <c r="E473" s="12" t="s">
        <v>1761</v>
      </c>
      <c r="F473" s="3" t="s">
        <v>1549</v>
      </c>
      <c r="G473" s="3" t="s">
        <v>978</v>
      </c>
      <c r="H473" s="3" t="s">
        <v>52</v>
      </c>
      <c r="I473" s="3" t="s">
        <v>52</v>
      </c>
      <c r="J473" s="3" t="s">
        <v>51</v>
      </c>
      <c r="K473" s="3" t="b">
        <v>1</v>
      </c>
      <c r="L473" s="3"/>
      <c r="M473" s="3" t="b">
        <v>1</v>
      </c>
      <c r="N473" s="3" t="b">
        <v>0</v>
      </c>
      <c r="O473" s="3" t="b">
        <v>0</v>
      </c>
    </row>
    <row r="474" spans="1:15" x14ac:dyDescent="0.3">
      <c r="A474" s="27" t="s">
        <v>2422</v>
      </c>
      <c r="B474" s="27" t="s">
        <v>1468</v>
      </c>
      <c r="C474" s="27"/>
      <c r="D474" s="27" t="s">
        <v>1630</v>
      </c>
      <c r="E474" s="12" t="s">
        <v>1761</v>
      </c>
      <c r="F474" s="3" t="s">
        <v>1549</v>
      </c>
      <c r="G474" s="3" t="s">
        <v>978</v>
      </c>
      <c r="H474" s="3" t="s">
        <v>52</v>
      </c>
      <c r="I474" s="3" t="s">
        <v>52</v>
      </c>
      <c r="J474" s="3" t="s">
        <v>51</v>
      </c>
      <c r="K474" s="3" t="b">
        <v>1</v>
      </c>
      <c r="L474" s="3"/>
      <c r="M474" s="3" t="b">
        <v>1</v>
      </c>
      <c r="N474" s="3" t="b">
        <v>0</v>
      </c>
      <c r="O474" s="3" t="b">
        <v>0</v>
      </c>
    </row>
    <row r="475" spans="1:15" x14ac:dyDescent="0.3">
      <c r="A475" s="27" t="s">
        <v>2422</v>
      </c>
      <c r="B475" s="27" t="s">
        <v>1469</v>
      </c>
      <c r="C475" s="27"/>
      <c r="D475" s="27" t="s">
        <v>1630</v>
      </c>
      <c r="E475" s="12" t="s">
        <v>1761</v>
      </c>
      <c r="F475" s="3" t="s">
        <v>1549</v>
      </c>
      <c r="G475" s="3" t="s">
        <v>978</v>
      </c>
      <c r="H475" s="3" t="s">
        <v>52</v>
      </c>
      <c r="I475" s="3" t="s">
        <v>52</v>
      </c>
      <c r="J475" s="3" t="s">
        <v>51</v>
      </c>
      <c r="K475" s="3" t="b">
        <v>1</v>
      </c>
      <c r="L475" s="3"/>
      <c r="M475" s="3" t="b">
        <v>1</v>
      </c>
      <c r="N475" s="3" t="b">
        <v>0</v>
      </c>
      <c r="O475" s="3" t="b">
        <v>0</v>
      </c>
    </row>
    <row r="476" spans="1:15" x14ac:dyDescent="0.3">
      <c r="A476" s="27" t="s">
        <v>2422</v>
      </c>
      <c r="B476" s="27" t="s">
        <v>1470</v>
      </c>
      <c r="C476" s="27"/>
      <c r="D476" s="27" t="s">
        <v>1630</v>
      </c>
      <c r="E476" s="12" t="s">
        <v>1761</v>
      </c>
      <c r="F476" s="3" t="s">
        <v>1549</v>
      </c>
      <c r="G476" s="3" t="s">
        <v>978</v>
      </c>
      <c r="H476" s="3" t="s">
        <v>52</v>
      </c>
      <c r="I476" s="3" t="s">
        <v>52</v>
      </c>
      <c r="J476" s="3" t="s">
        <v>51</v>
      </c>
      <c r="K476" s="3" t="b">
        <v>1</v>
      </c>
      <c r="L476" s="3"/>
      <c r="M476" s="3" t="b">
        <v>1</v>
      </c>
      <c r="N476" s="3" t="b">
        <v>0</v>
      </c>
      <c r="O476" s="3" t="b">
        <v>0</v>
      </c>
    </row>
    <row r="477" spans="1:15" x14ac:dyDescent="0.3">
      <c r="A477" s="27" t="s">
        <v>2422</v>
      </c>
      <c r="B477" s="27" t="s">
        <v>1934</v>
      </c>
      <c r="C477" s="27"/>
      <c r="D477" s="27" t="s">
        <v>1630</v>
      </c>
      <c r="E477" s="12" t="s">
        <v>1761</v>
      </c>
      <c r="F477" s="3" t="s">
        <v>1549</v>
      </c>
      <c r="G477" s="3" t="s">
        <v>978</v>
      </c>
      <c r="H477" s="3" t="s">
        <v>52</v>
      </c>
      <c r="I477" s="3" t="s">
        <v>52</v>
      </c>
      <c r="J477" s="3" t="s">
        <v>51</v>
      </c>
      <c r="K477" s="3" t="b">
        <v>1</v>
      </c>
      <c r="L477" s="3"/>
      <c r="M477" s="3" t="b">
        <v>1</v>
      </c>
      <c r="N477" s="3" t="b">
        <v>0</v>
      </c>
      <c r="O477" s="3" t="b">
        <v>0</v>
      </c>
    </row>
    <row r="478" spans="1:15" x14ac:dyDescent="0.3">
      <c r="A478" s="27" t="s">
        <v>2422</v>
      </c>
      <c r="B478" s="27" t="s">
        <v>1935</v>
      </c>
      <c r="C478" s="27"/>
      <c r="D478" s="27" t="s">
        <v>1630</v>
      </c>
      <c r="E478" s="12" t="s">
        <v>1761</v>
      </c>
      <c r="F478" s="3" t="s">
        <v>1549</v>
      </c>
      <c r="G478" s="3" t="s">
        <v>978</v>
      </c>
      <c r="H478" s="3" t="s">
        <v>52</v>
      </c>
      <c r="I478" s="3" t="s">
        <v>52</v>
      </c>
      <c r="J478" s="3" t="s">
        <v>51</v>
      </c>
      <c r="K478" s="3" t="b">
        <v>1</v>
      </c>
      <c r="L478" s="3"/>
      <c r="M478" s="3" t="b">
        <v>1</v>
      </c>
      <c r="N478" s="3" t="b">
        <v>0</v>
      </c>
      <c r="O478" s="3" t="b">
        <v>0</v>
      </c>
    </row>
    <row r="479" spans="1:15" x14ac:dyDescent="0.3">
      <c r="A479" s="27" t="s">
        <v>2422</v>
      </c>
      <c r="B479" s="27" t="s">
        <v>1936</v>
      </c>
      <c r="C479" s="27"/>
      <c r="D479" s="27" t="s">
        <v>1630</v>
      </c>
      <c r="E479" s="12" t="s">
        <v>1761</v>
      </c>
      <c r="F479" s="3" t="s">
        <v>1549</v>
      </c>
      <c r="G479" s="3" t="s">
        <v>978</v>
      </c>
      <c r="H479" s="3" t="s">
        <v>52</v>
      </c>
      <c r="I479" s="3" t="s">
        <v>52</v>
      </c>
      <c r="J479" s="3" t="s">
        <v>51</v>
      </c>
      <c r="K479" s="3" t="b">
        <v>1</v>
      </c>
      <c r="L479" s="3"/>
      <c r="M479" s="3" t="b">
        <v>1</v>
      </c>
      <c r="N479" s="3" t="b">
        <v>0</v>
      </c>
      <c r="O479" s="3" t="b">
        <v>0</v>
      </c>
    </row>
    <row r="480" spans="1:15" x14ac:dyDescent="0.3">
      <c r="A480" s="27" t="s">
        <v>2422</v>
      </c>
      <c r="B480" s="27" t="s">
        <v>1937</v>
      </c>
      <c r="C480" s="27"/>
      <c r="D480" s="27" t="s">
        <v>1630</v>
      </c>
      <c r="E480" s="12" t="s">
        <v>1761</v>
      </c>
      <c r="F480" s="3" t="s">
        <v>1549</v>
      </c>
      <c r="G480" s="3" t="s">
        <v>978</v>
      </c>
      <c r="H480" s="3" t="s">
        <v>52</v>
      </c>
      <c r="I480" s="3" t="s">
        <v>52</v>
      </c>
      <c r="J480" s="3" t="s">
        <v>51</v>
      </c>
      <c r="K480" s="3" t="b">
        <v>1</v>
      </c>
      <c r="L480" s="3"/>
      <c r="M480" s="3" t="b">
        <v>1</v>
      </c>
      <c r="N480" s="3" t="b">
        <v>0</v>
      </c>
      <c r="O480" s="3" t="b">
        <v>0</v>
      </c>
    </row>
    <row r="481" spans="1:15" x14ac:dyDescent="0.3">
      <c r="A481" s="27" t="s">
        <v>2422</v>
      </c>
      <c r="B481" s="27" t="s">
        <v>1938</v>
      </c>
      <c r="C481" s="27"/>
      <c r="D481" s="27" t="s">
        <v>1630</v>
      </c>
      <c r="E481" s="12" t="s">
        <v>1761</v>
      </c>
      <c r="F481" s="3" t="s">
        <v>1549</v>
      </c>
      <c r="G481" s="3" t="s">
        <v>978</v>
      </c>
      <c r="H481" s="3" t="s">
        <v>52</v>
      </c>
      <c r="I481" s="3" t="s">
        <v>52</v>
      </c>
      <c r="J481" s="3" t="s">
        <v>51</v>
      </c>
      <c r="K481" s="3" t="b">
        <v>1</v>
      </c>
      <c r="L481" s="3"/>
      <c r="M481" s="3" t="b">
        <v>1</v>
      </c>
      <c r="N481" s="3" t="b">
        <v>0</v>
      </c>
      <c r="O481" s="3" t="b">
        <v>0</v>
      </c>
    </row>
    <row r="482" spans="1:15" x14ac:dyDescent="0.3">
      <c r="A482" s="27" t="s">
        <v>2422</v>
      </c>
      <c r="B482" s="27" t="s">
        <v>1939</v>
      </c>
      <c r="C482" s="27"/>
      <c r="D482" s="27" t="s">
        <v>1630</v>
      </c>
      <c r="E482" s="12" t="s">
        <v>1761</v>
      </c>
      <c r="F482" s="3" t="s">
        <v>1549</v>
      </c>
      <c r="G482" s="3" t="s">
        <v>978</v>
      </c>
      <c r="H482" s="3" t="s">
        <v>52</v>
      </c>
      <c r="I482" s="3" t="s">
        <v>52</v>
      </c>
      <c r="J482" s="3" t="s">
        <v>51</v>
      </c>
      <c r="K482" s="3" t="b">
        <v>1</v>
      </c>
      <c r="L482" s="3"/>
      <c r="M482" s="3" t="b">
        <v>1</v>
      </c>
      <c r="N482" s="3" t="b">
        <v>0</v>
      </c>
      <c r="O482" s="3" t="b">
        <v>0</v>
      </c>
    </row>
    <row r="483" spans="1:15" x14ac:dyDescent="0.3">
      <c r="A483" s="27" t="s">
        <v>2422</v>
      </c>
      <c r="B483" s="27"/>
      <c r="C483" s="27"/>
      <c r="D483" s="27"/>
      <c r="E483" s="12" t="s">
        <v>1017</v>
      </c>
      <c r="F483" s="3" t="s">
        <v>1018</v>
      </c>
      <c r="G483" s="3" t="s">
        <v>978</v>
      </c>
      <c r="H483" s="3" t="s">
        <v>52</v>
      </c>
      <c r="I483" s="3" t="s">
        <v>52</v>
      </c>
      <c r="J483" s="3" t="s">
        <v>51</v>
      </c>
      <c r="K483" s="3" t="b">
        <v>1</v>
      </c>
      <c r="L483" s="3"/>
      <c r="M483" s="3" t="b">
        <v>1</v>
      </c>
      <c r="N483" s="3" t="b">
        <v>0</v>
      </c>
      <c r="O483" s="3" t="b">
        <v>0</v>
      </c>
    </row>
    <row r="484" spans="1:15" x14ac:dyDescent="0.3">
      <c r="A484" s="27" t="s">
        <v>2422</v>
      </c>
      <c r="B484" s="27"/>
      <c r="C484" s="27"/>
      <c r="D484" s="27"/>
      <c r="E484" s="12" t="s">
        <v>1019</v>
      </c>
      <c r="F484" s="3" t="s">
        <v>1020</v>
      </c>
      <c r="G484" s="3" t="s">
        <v>978</v>
      </c>
      <c r="H484" s="3" t="s">
        <v>52</v>
      </c>
      <c r="I484" s="3" t="s">
        <v>52</v>
      </c>
      <c r="J484" s="3" t="s">
        <v>51</v>
      </c>
      <c r="K484" s="3" t="b">
        <v>1</v>
      </c>
      <c r="L484" s="3"/>
      <c r="M484" s="3" t="b">
        <v>1</v>
      </c>
      <c r="N484" s="3" t="b">
        <v>0</v>
      </c>
      <c r="O484" s="3" t="b">
        <v>0</v>
      </c>
    </row>
    <row r="485" spans="1:15" x14ac:dyDescent="0.3">
      <c r="A485" s="27" t="s">
        <v>2422</v>
      </c>
      <c r="B485" s="27"/>
      <c r="C485" s="27"/>
      <c r="D485" s="27"/>
      <c r="E485" s="12" t="s">
        <v>1023</v>
      </c>
      <c r="F485" s="3" t="s">
        <v>1024</v>
      </c>
      <c r="G485" s="3" t="s">
        <v>978</v>
      </c>
      <c r="H485" s="3" t="s">
        <v>52</v>
      </c>
      <c r="I485" s="3" t="s">
        <v>52</v>
      </c>
      <c r="J485" s="3" t="s">
        <v>51</v>
      </c>
      <c r="K485" s="3" t="b">
        <v>1</v>
      </c>
      <c r="L485" s="3"/>
      <c r="M485" s="3" t="b">
        <v>1</v>
      </c>
      <c r="N485" s="3" t="b">
        <v>0</v>
      </c>
      <c r="O485" s="3" t="b">
        <v>0</v>
      </c>
    </row>
    <row r="486" spans="1:15" x14ac:dyDescent="0.3">
      <c r="A486" s="27" t="s">
        <v>2422</v>
      </c>
      <c r="B486" s="27"/>
      <c r="C486" s="27"/>
      <c r="D486" s="27"/>
      <c r="E486" s="12" t="s">
        <v>1575</v>
      </c>
      <c r="F486" s="3" t="s">
        <v>1576</v>
      </c>
      <c r="G486" s="3" t="s">
        <v>978</v>
      </c>
      <c r="H486" s="3" t="s">
        <v>52</v>
      </c>
      <c r="I486" s="3" t="s">
        <v>52</v>
      </c>
      <c r="J486" s="3" t="s">
        <v>51</v>
      </c>
      <c r="K486" s="3" t="b">
        <v>1</v>
      </c>
      <c r="L486" s="3"/>
      <c r="M486" s="3" t="b">
        <v>1</v>
      </c>
      <c r="N486" s="3" t="b">
        <v>0</v>
      </c>
      <c r="O486" s="3" t="b">
        <v>0</v>
      </c>
    </row>
    <row r="487" spans="1:15" x14ac:dyDescent="0.3">
      <c r="A487" s="27" t="s">
        <v>2422</v>
      </c>
      <c r="B487" s="27"/>
      <c r="C487" s="27"/>
      <c r="D487" s="27"/>
      <c r="E487" s="12" t="s">
        <v>1573</v>
      </c>
      <c r="F487" s="3" t="s">
        <v>1574</v>
      </c>
      <c r="G487" s="3" t="s">
        <v>978</v>
      </c>
      <c r="H487" s="3" t="s">
        <v>52</v>
      </c>
      <c r="I487" s="3" t="s">
        <v>52</v>
      </c>
      <c r="J487" s="3" t="s">
        <v>51</v>
      </c>
      <c r="K487" s="3" t="b">
        <v>1</v>
      </c>
      <c r="L487" s="3"/>
      <c r="M487" s="3" t="b">
        <v>1</v>
      </c>
      <c r="N487" s="3" t="b">
        <v>0</v>
      </c>
      <c r="O487" s="3" t="b">
        <v>0</v>
      </c>
    </row>
    <row r="488" spans="1:15" x14ac:dyDescent="0.3">
      <c r="A488" s="27" t="s">
        <v>859</v>
      </c>
      <c r="B488" s="27"/>
      <c r="C488" s="27"/>
      <c r="D488" s="27"/>
      <c r="E488" s="3" t="s">
        <v>2093</v>
      </c>
      <c r="F488" s="3" t="s">
        <v>2095</v>
      </c>
      <c r="G488" s="3" t="s">
        <v>900</v>
      </c>
      <c r="H488" s="3" t="s">
        <v>52</v>
      </c>
      <c r="I488" s="3" t="s">
        <v>52</v>
      </c>
      <c r="J488" s="3" t="s">
        <v>51</v>
      </c>
      <c r="K488" s="3" t="b">
        <v>1</v>
      </c>
      <c r="L488" s="3"/>
      <c r="M488" s="3" t="b">
        <v>1</v>
      </c>
      <c r="N488" s="3" t="b">
        <v>0</v>
      </c>
      <c r="O488" s="3" t="b">
        <v>0</v>
      </c>
    </row>
    <row r="489" spans="1:15" x14ac:dyDescent="0.3">
      <c r="A489" s="27" t="s">
        <v>859</v>
      </c>
      <c r="B489" s="27"/>
      <c r="C489" s="27"/>
      <c r="D489" s="27"/>
      <c r="E489" s="3" t="s">
        <v>904</v>
      </c>
      <c r="F489" s="3" t="s">
        <v>905</v>
      </c>
      <c r="G489" s="3" t="s">
        <v>900</v>
      </c>
      <c r="H489" s="3" t="s">
        <v>52</v>
      </c>
      <c r="I489" s="3" t="s">
        <v>52</v>
      </c>
      <c r="J489" s="3" t="s">
        <v>51</v>
      </c>
      <c r="K489" s="3" t="b">
        <v>1</v>
      </c>
      <c r="L489" s="3"/>
      <c r="M489" s="3" t="b">
        <v>1</v>
      </c>
      <c r="N489" s="3" t="b">
        <v>0</v>
      </c>
      <c r="O489" s="3" t="b">
        <v>0</v>
      </c>
    </row>
    <row r="490" spans="1:15" x14ac:dyDescent="0.3">
      <c r="A490" s="27" t="s">
        <v>859</v>
      </c>
      <c r="B490" s="27"/>
      <c r="C490" s="27"/>
      <c r="D490" s="27"/>
      <c r="E490" s="3" t="s">
        <v>908</v>
      </c>
      <c r="F490" s="3" t="s">
        <v>909</v>
      </c>
      <c r="G490" s="3" t="s">
        <v>900</v>
      </c>
      <c r="H490" s="3" t="s">
        <v>52</v>
      </c>
      <c r="I490" s="3" t="s">
        <v>52</v>
      </c>
      <c r="J490" s="3" t="s">
        <v>51</v>
      </c>
      <c r="K490" s="3" t="b">
        <v>1</v>
      </c>
      <c r="L490" s="3"/>
      <c r="M490" s="3" t="b">
        <v>1</v>
      </c>
      <c r="N490" s="3" t="b">
        <v>0</v>
      </c>
      <c r="O490" s="3" t="b">
        <v>0</v>
      </c>
    </row>
    <row r="491" spans="1:15" x14ac:dyDescent="0.3">
      <c r="A491" s="27" t="s">
        <v>859</v>
      </c>
      <c r="B491" s="27"/>
      <c r="C491" s="27"/>
      <c r="D491" s="27"/>
      <c r="E491" s="21" t="s">
        <v>1586</v>
      </c>
      <c r="F491" s="3" t="s">
        <v>2046</v>
      </c>
      <c r="G491" s="3" t="s">
        <v>900</v>
      </c>
      <c r="H491" s="3" t="s">
        <v>52</v>
      </c>
      <c r="I491" s="3" t="s">
        <v>52</v>
      </c>
      <c r="J491" s="3" t="s">
        <v>51</v>
      </c>
      <c r="K491" s="3" t="b">
        <v>1</v>
      </c>
      <c r="L491" s="3"/>
      <c r="M491" s="3" t="b">
        <v>1</v>
      </c>
      <c r="N491" s="3" t="b">
        <v>0</v>
      </c>
      <c r="O491" s="3" t="b">
        <v>0</v>
      </c>
    </row>
    <row r="492" spans="1:15" x14ac:dyDescent="0.3">
      <c r="A492" s="27" t="s">
        <v>859</v>
      </c>
      <c r="B492" s="27"/>
      <c r="C492" s="27"/>
      <c r="D492" s="27"/>
      <c r="E492" s="21" t="s">
        <v>916</v>
      </c>
      <c r="F492" s="3" t="s">
        <v>917</v>
      </c>
      <c r="G492" s="3" t="s">
        <v>900</v>
      </c>
      <c r="H492" s="3" t="s">
        <v>52</v>
      </c>
      <c r="I492" s="3" t="s">
        <v>52</v>
      </c>
      <c r="J492" s="3" t="s">
        <v>51</v>
      </c>
      <c r="K492" s="3" t="b">
        <v>1</v>
      </c>
      <c r="L492" s="3"/>
      <c r="M492" s="3" t="b">
        <v>1</v>
      </c>
      <c r="N492" s="3" t="b">
        <v>0</v>
      </c>
      <c r="O492" s="3" t="b">
        <v>0</v>
      </c>
    </row>
    <row r="493" spans="1:15" x14ac:dyDescent="0.3">
      <c r="A493" s="27" t="s">
        <v>859</v>
      </c>
      <c r="B493" s="27"/>
      <c r="C493" s="27"/>
      <c r="D493" s="27"/>
      <c r="E493" s="21" t="s">
        <v>2047</v>
      </c>
      <c r="F493" s="3" t="s">
        <v>2048</v>
      </c>
      <c r="G493" s="3" t="s">
        <v>900</v>
      </c>
      <c r="H493" s="3" t="s">
        <v>52</v>
      </c>
      <c r="I493" s="3" t="s">
        <v>52</v>
      </c>
      <c r="J493" s="3" t="s">
        <v>51</v>
      </c>
      <c r="K493" s="3" t="b">
        <v>1</v>
      </c>
      <c r="L493" s="3"/>
      <c r="M493" s="3" t="b">
        <v>1</v>
      </c>
      <c r="N493" s="3" t="b">
        <v>0</v>
      </c>
      <c r="O493" s="3" t="b">
        <v>0</v>
      </c>
    </row>
    <row r="494" spans="1:15" x14ac:dyDescent="0.3">
      <c r="A494" s="27" t="s">
        <v>859</v>
      </c>
      <c r="B494" s="27"/>
      <c r="C494" s="27"/>
      <c r="D494" s="27"/>
      <c r="E494" s="12" t="s">
        <v>2001</v>
      </c>
      <c r="F494" s="3" t="s">
        <v>2002</v>
      </c>
      <c r="G494" s="3" t="s">
        <v>922</v>
      </c>
      <c r="H494" s="3" t="s">
        <v>52</v>
      </c>
      <c r="I494" s="3" t="s">
        <v>52</v>
      </c>
      <c r="J494" s="3" t="s">
        <v>51</v>
      </c>
      <c r="K494" s="3" t="b">
        <v>1</v>
      </c>
      <c r="L494" s="3"/>
      <c r="M494" s="3" t="b">
        <v>1</v>
      </c>
      <c r="N494" s="3" t="b">
        <v>0</v>
      </c>
      <c r="O494" s="3" t="b">
        <v>0</v>
      </c>
    </row>
    <row r="495" spans="1:15" x14ac:dyDescent="0.3">
      <c r="A495" s="27" t="s">
        <v>859</v>
      </c>
      <c r="B495" s="27"/>
      <c r="C495" s="27"/>
      <c r="D495" s="27"/>
      <c r="E495" s="1" t="s">
        <v>927</v>
      </c>
      <c r="F495" s="3" t="s">
        <v>928</v>
      </c>
      <c r="G495" s="3" t="s">
        <v>922</v>
      </c>
      <c r="H495" s="3" t="s">
        <v>52</v>
      </c>
      <c r="I495" s="3" t="s">
        <v>52</v>
      </c>
      <c r="J495" s="3" t="s">
        <v>51</v>
      </c>
      <c r="K495" s="3" t="b">
        <v>1</v>
      </c>
      <c r="L495" s="3"/>
      <c r="M495" s="3" t="b">
        <v>1</v>
      </c>
      <c r="N495" s="3" t="b">
        <v>0</v>
      </c>
      <c r="O495" s="3" t="b">
        <v>0</v>
      </c>
    </row>
    <row r="496" spans="1:15" x14ac:dyDescent="0.3">
      <c r="A496" s="27" t="s">
        <v>859</v>
      </c>
      <c r="B496" s="27"/>
      <c r="C496" s="27"/>
      <c r="D496" s="27"/>
      <c r="E496" s="21" t="s">
        <v>1504</v>
      </c>
      <c r="F496" s="3" t="s">
        <v>1508</v>
      </c>
      <c r="G496" s="3" t="s">
        <v>922</v>
      </c>
      <c r="H496" s="3" t="s">
        <v>52</v>
      </c>
      <c r="I496" s="3" t="s">
        <v>52</v>
      </c>
      <c r="J496" s="3" t="s">
        <v>51</v>
      </c>
      <c r="K496" s="3" t="b">
        <v>1</v>
      </c>
      <c r="L496" s="3"/>
      <c r="M496" s="3" t="b">
        <v>1</v>
      </c>
      <c r="N496" s="3" t="b">
        <v>0</v>
      </c>
      <c r="O496" s="3" t="b">
        <v>0</v>
      </c>
    </row>
    <row r="497" spans="1:15" x14ac:dyDescent="0.3">
      <c r="A497" s="27" t="s">
        <v>859</v>
      </c>
      <c r="B497" s="27"/>
      <c r="C497" s="27"/>
      <c r="D497" s="27"/>
      <c r="E497" s="1" t="s">
        <v>929</v>
      </c>
      <c r="F497" s="3" t="s">
        <v>930</v>
      </c>
      <c r="G497" s="3" t="s">
        <v>922</v>
      </c>
      <c r="H497" s="3" t="s">
        <v>52</v>
      </c>
      <c r="I497" s="3" t="s">
        <v>52</v>
      </c>
      <c r="J497" s="3" t="s">
        <v>51</v>
      </c>
      <c r="K497" s="3" t="b">
        <v>1</v>
      </c>
      <c r="L497" s="3"/>
      <c r="M497" s="3" t="b">
        <v>1</v>
      </c>
      <c r="N497" s="3" t="b">
        <v>0</v>
      </c>
      <c r="O497" s="3" t="b">
        <v>0</v>
      </c>
    </row>
    <row r="498" spans="1:15" x14ac:dyDescent="0.3">
      <c r="A498" s="27" t="s">
        <v>859</v>
      </c>
      <c r="B498" s="27"/>
      <c r="C498" s="27"/>
      <c r="D498" s="27"/>
      <c r="E498" s="21" t="s">
        <v>1505</v>
      </c>
      <c r="F498" s="3" t="s">
        <v>1510</v>
      </c>
      <c r="G498" s="3" t="s">
        <v>922</v>
      </c>
      <c r="H498" s="3" t="s">
        <v>52</v>
      </c>
      <c r="I498" s="3" t="s">
        <v>52</v>
      </c>
      <c r="J498" s="3" t="s">
        <v>51</v>
      </c>
      <c r="K498" s="3" t="b">
        <v>1</v>
      </c>
      <c r="L498" s="3"/>
      <c r="M498" s="3" t="b">
        <v>1</v>
      </c>
      <c r="N498" s="3" t="b">
        <v>0</v>
      </c>
      <c r="O498" s="3" t="b">
        <v>0</v>
      </c>
    </row>
    <row r="499" spans="1:15" x14ac:dyDescent="0.3">
      <c r="A499" s="27" t="s">
        <v>859</v>
      </c>
      <c r="B499" s="27"/>
      <c r="C499" s="27"/>
      <c r="D499" s="27"/>
      <c r="E499" s="1" t="s">
        <v>931</v>
      </c>
      <c r="F499" s="3" t="s">
        <v>932</v>
      </c>
      <c r="G499" s="3" t="s">
        <v>922</v>
      </c>
      <c r="H499" s="3" t="s">
        <v>52</v>
      </c>
      <c r="I499" s="3" t="s">
        <v>52</v>
      </c>
      <c r="J499" s="3" t="s">
        <v>51</v>
      </c>
      <c r="K499" s="3" t="b">
        <v>1</v>
      </c>
      <c r="L499" s="3"/>
      <c r="M499" s="3" t="b">
        <v>1</v>
      </c>
      <c r="N499" s="3" t="b">
        <v>0</v>
      </c>
      <c r="O499" s="3" t="b">
        <v>0</v>
      </c>
    </row>
    <row r="500" spans="1:15" x14ac:dyDescent="0.3">
      <c r="A500" s="27" t="s">
        <v>859</v>
      </c>
      <c r="B500" s="27"/>
      <c r="C500" s="27"/>
      <c r="D500" s="27"/>
      <c r="E500" s="21" t="s">
        <v>1506</v>
      </c>
      <c r="F500" s="3" t="s">
        <v>1509</v>
      </c>
      <c r="G500" s="3" t="s">
        <v>922</v>
      </c>
      <c r="H500" s="3" t="s">
        <v>52</v>
      </c>
      <c r="I500" s="3" t="s">
        <v>52</v>
      </c>
      <c r="J500" s="3" t="s">
        <v>51</v>
      </c>
      <c r="K500" s="3" t="b">
        <v>1</v>
      </c>
      <c r="L500" s="3"/>
      <c r="M500" s="3" t="b">
        <v>1</v>
      </c>
      <c r="N500" s="3" t="b">
        <v>0</v>
      </c>
      <c r="O500" s="3" t="b">
        <v>0</v>
      </c>
    </row>
    <row r="501" spans="1:15" x14ac:dyDescent="0.3">
      <c r="A501" s="27" t="s">
        <v>859</v>
      </c>
      <c r="B501" s="27"/>
      <c r="C501" s="27"/>
      <c r="D501" s="27"/>
      <c r="E501" s="1" t="s">
        <v>937</v>
      </c>
      <c r="F501" s="3" t="s">
        <v>938</v>
      </c>
      <c r="G501" s="3" t="s">
        <v>922</v>
      </c>
      <c r="H501" s="3" t="s">
        <v>52</v>
      </c>
      <c r="I501" s="3" t="s">
        <v>52</v>
      </c>
      <c r="J501" s="3" t="s">
        <v>51</v>
      </c>
      <c r="K501" s="3" t="b">
        <v>1</v>
      </c>
      <c r="L501" s="3"/>
      <c r="M501" s="3" t="b">
        <v>1</v>
      </c>
      <c r="N501" s="3" t="b">
        <v>0</v>
      </c>
      <c r="O501" s="3" t="b">
        <v>0</v>
      </c>
    </row>
    <row r="502" spans="1:15" x14ac:dyDescent="0.3">
      <c r="A502" s="27" t="s">
        <v>859</v>
      </c>
      <c r="B502" s="27"/>
      <c r="C502" s="27"/>
      <c r="D502" s="27"/>
      <c r="E502" s="1" t="s">
        <v>933</v>
      </c>
      <c r="F502" s="3" t="s">
        <v>934</v>
      </c>
      <c r="G502" s="3" t="s">
        <v>922</v>
      </c>
      <c r="H502" s="3" t="s">
        <v>52</v>
      </c>
      <c r="I502" s="3" t="s">
        <v>52</v>
      </c>
      <c r="J502" s="3" t="s">
        <v>51</v>
      </c>
      <c r="K502" s="3" t="b">
        <v>1</v>
      </c>
      <c r="L502" s="3"/>
      <c r="M502" s="3" t="b">
        <v>1</v>
      </c>
      <c r="N502" s="3" t="b">
        <v>0</v>
      </c>
      <c r="O502" s="3" t="b">
        <v>0</v>
      </c>
    </row>
    <row r="503" spans="1:15" x14ac:dyDescent="0.3">
      <c r="A503" s="27" t="s">
        <v>859</v>
      </c>
      <c r="B503" s="27"/>
      <c r="C503" s="27"/>
      <c r="D503" s="27"/>
      <c r="E503" s="1" t="s">
        <v>939</v>
      </c>
      <c r="F503" s="3" t="s">
        <v>940</v>
      </c>
      <c r="G503" s="3" t="s">
        <v>922</v>
      </c>
      <c r="H503" s="3" t="s">
        <v>52</v>
      </c>
      <c r="I503" s="3" t="s">
        <v>52</v>
      </c>
      <c r="J503" s="3" t="s">
        <v>51</v>
      </c>
      <c r="K503" s="3" t="b">
        <v>1</v>
      </c>
      <c r="L503" s="3"/>
      <c r="M503" s="3" t="b">
        <v>1</v>
      </c>
      <c r="N503" s="3" t="b">
        <v>0</v>
      </c>
      <c r="O503" s="3" t="b">
        <v>0</v>
      </c>
    </row>
    <row r="504" spans="1:15" x14ac:dyDescent="0.3">
      <c r="A504" s="27" t="s">
        <v>859</v>
      </c>
      <c r="B504" s="27"/>
      <c r="C504" s="27"/>
      <c r="D504" s="27"/>
      <c r="E504" s="1" t="s">
        <v>935</v>
      </c>
      <c r="F504" s="3" t="s">
        <v>936</v>
      </c>
      <c r="G504" s="3" t="s">
        <v>922</v>
      </c>
      <c r="H504" s="3" t="s">
        <v>52</v>
      </c>
      <c r="I504" s="3" t="s">
        <v>52</v>
      </c>
      <c r="J504" s="3" t="s">
        <v>51</v>
      </c>
      <c r="K504" s="3" t="b">
        <v>1</v>
      </c>
      <c r="L504" s="3"/>
      <c r="M504" s="3" t="b">
        <v>1</v>
      </c>
      <c r="N504" s="3" t="b">
        <v>0</v>
      </c>
      <c r="O504" s="3" t="b">
        <v>0</v>
      </c>
    </row>
    <row r="505" spans="1:15" x14ac:dyDescent="0.3">
      <c r="A505" s="27" t="s">
        <v>859</v>
      </c>
      <c r="B505" s="27"/>
      <c r="C505" s="27"/>
      <c r="D505" s="27"/>
      <c r="E505" s="1" t="s">
        <v>957</v>
      </c>
      <c r="F505" s="3" t="s">
        <v>958</v>
      </c>
      <c r="G505" s="3" t="s">
        <v>922</v>
      </c>
      <c r="H505" s="3" t="s">
        <v>851</v>
      </c>
      <c r="I505" s="3" t="s">
        <v>52</v>
      </c>
      <c r="J505" s="3" t="s">
        <v>51</v>
      </c>
      <c r="K505" s="3" t="b">
        <v>1</v>
      </c>
      <c r="L505" s="3"/>
      <c r="M505" s="3" t="b">
        <v>1</v>
      </c>
      <c r="N505" s="3" t="b">
        <v>0</v>
      </c>
      <c r="O505" s="3" t="b">
        <v>0</v>
      </c>
    </row>
    <row r="506" spans="1:15" x14ac:dyDescent="0.3">
      <c r="A506" s="27" t="s">
        <v>859</v>
      </c>
      <c r="B506" s="27"/>
      <c r="C506" s="27"/>
      <c r="D506" s="27"/>
      <c r="E506" s="1" t="s">
        <v>959</v>
      </c>
      <c r="F506" s="3" t="s">
        <v>960</v>
      </c>
      <c r="G506" s="3" t="s">
        <v>922</v>
      </c>
      <c r="H506" s="3" t="s">
        <v>851</v>
      </c>
      <c r="I506" s="3" t="s">
        <v>52</v>
      </c>
      <c r="J506" s="3" t="s">
        <v>51</v>
      </c>
      <c r="K506" s="3" t="b">
        <v>1</v>
      </c>
      <c r="L506" s="3"/>
      <c r="M506" s="3" t="b">
        <v>1</v>
      </c>
      <c r="N506" s="3" t="b">
        <v>0</v>
      </c>
      <c r="O506" s="3" t="b">
        <v>0</v>
      </c>
    </row>
    <row r="507" spans="1:15" x14ac:dyDescent="0.3">
      <c r="A507" s="27" t="s">
        <v>859</v>
      </c>
      <c r="B507" s="27"/>
      <c r="C507" s="27"/>
      <c r="D507" s="27"/>
      <c r="E507" s="1" t="s">
        <v>961</v>
      </c>
      <c r="F507" s="3" t="s">
        <v>962</v>
      </c>
      <c r="G507" s="3" t="s">
        <v>922</v>
      </c>
      <c r="H507" s="3" t="s">
        <v>851</v>
      </c>
      <c r="I507" s="3" t="s">
        <v>52</v>
      </c>
      <c r="J507" s="3" t="s">
        <v>51</v>
      </c>
      <c r="K507" s="3" t="b">
        <v>1</v>
      </c>
      <c r="L507" s="3"/>
      <c r="M507" s="3" t="b">
        <v>1</v>
      </c>
      <c r="N507" s="3" t="b">
        <v>0</v>
      </c>
      <c r="O507" s="3" t="b">
        <v>0</v>
      </c>
    </row>
    <row r="508" spans="1:15" x14ac:dyDescent="0.3">
      <c r="A508" s="27" t="s">
        <v>859</v>
      </c>
      <c r="B508" s="27"/>
      <c r="C508" s="27"/>
      <c r="D508" s="27"/>
      <c r="E508" s="1" t="s">
        <v>963</v>
      </c>
      <c r="F508" s="3" t="s">
        <v>964</v>
      </c>
      <c r="G508" s="3" t="s">
        <v>922</v>
      </c>
      <c r="H508" s="3" t="s">
        <v>851</v>
      </c>
      <c r="I508" s="3" t="s">
        <v>52</v>
      </c>
      <c r="J508" s="3" t="s">
        <v>51</v>
      </c>
      <c r="K508" s="3" t="b">
        <v>1</v>
      </c>
      <c r="L508" s="3"/>
      <c r="M508" s="3" t="b">
        <v>1</v>
      </c>
      <c r="N508" s="3" t="b">
        <v>0</v>
      </c>
      <c r="O508" s="3" t="b">
        <v>0</v>
      </c>
    </row>
    <row r="509" spans="1:15" x14ac:dyDescent="0.3">
      <c r="A509" s="27" t="s">
        <v>859</v>
      </c>
      <c r="B509" s="27"/>
      <c r="C509" s="27"/>
      <c r="D509" s="27"/>
      <c r="E509" s="1" t="s">
        <v>965</v>
      </c>
      <c r="F509" s="3" t="s">
        <v>966</v>
      </c>
      <c r="G509" s="3" t="s">
        <v>922</v>
      </c>
      <c r="H509" s="3" t="s">
        <v>851</v>
      </c>
      <c r="I509" s="3" t="s">
        <v>52</v>
      </c>
      <c r="J509" s="3" t="s">
        <v>51</v>
      </c>
      <c r="K509" s="3" t="b">
        <v>1</v>
      </c>
      <c r="L509" s="3"/>
      <c r="M509" s="3" t="b">
        <v>1</v>
      </c>
      <c r="N509" s="3" t="b">
        <v>0</v>
      </c>
      <c r="O509" s="3" t="b">
        <v>0</v>
      </c>
    </row>
    <row r="510" spans="1:15" x14ac:dyDescent="0.3">
      <c r="A510" s="27" t="s">
        <v>859</v>
      </c>
      <c r="B510" s="27"/>
      <c r="C510" s="27"/>
      <c r="D510" s="27"/>
      <c r="E510" s="1" t="s">
        <v>967</v>
      </c>
      <c r="F510" s="3" t="s">
        <v>968</v>
      </c>
      <c r="G510" s="3" t="s">
        <v>922</v>
      </c>
      <c r="H510" s="3" t="s">
        <v>851</v>
      </c>
      <c r="I510" s="3" t="s">
        <v>52</v>
      </c>
      <c r="J510" s="3" t="s">
        <v>51</v>
      </c>
      <c r="K510" s="3" t="b">
        <v>1</v>
      </c>
      <c r="L510" s="3"/>
      <c r="M510" s="3" t="b">
        <v>1</v>
      </c>
      <c r="N510" s="3" t="b">
        <v>0</v>
      </c>
      <c r="O510" s="3" t="b">
        <v>0</v>
      </c>
    </row>
    <row r="511" spans="1:15" x14ac:dyDescent="0.3">
      <c r="A511" s="27" t="s">
        <v>859</v>
      </c>
      <c r="B511" s="27"/>
      <c r="C511" s="27"/>
      <c r="D511" s="27"/>
      <c r="E511" s="1" t="s">
        <v>969</v>
      </c>
      <c r="F511" s="3" t="s">
        <v>970</v>
      </c>
      <c r="G511" s="3" t="s">
        <v>922</v>
      </c>
      <c r="H511" s="3" t="s">
        <v>851</v>
      </c>
      <c r="I511" s="3" t="s">
        <v>52</v>
      </c>
      <c r="J511" s="3" t="s">
        <v>51</v>
      </c>
      <c r="K511" s="3" t="b">
        <v>1</v>
      </c>
      <c r="L511" s="3"/>
      <c r="M511" s="3" t="b">
        <v>1</v>
      </c>
      <c r="N511" s="3" t="b">
        <v>0</v>
      </c>
      <c r="O511" s="3" t="b">
        <v>0</v>
      </c>
    </row>
    <row r="512" spans="1:15" x14ac:dyDescent="0.3">
      <c r="A512" s="27" t="s">
        <v>859</v>
      </c>
      <c r="B512" s="27"/>
      <c r="C512" s="27"/>
      <c r="D512" s="27"/>
      <c r="E512" s="1" t="s">
        <v>1501</v>
      </c>
      <c r="F512" s="3" t="s">
        <v>1589</v>
      </c>
      <c r="G512" s="3" t="s">
        <v>922</v>
      </c>
      <c r="H512" s="3" t="s">
        <v>851</v>
      </c>
      <c r="I512" s="3" t="s">
        <v>52</v>
      </c>
      <c r="J512" s="3" t="s">
        <v>51</v>
      </c>
      <c r="K512" s="3" t="b">
        <v>1</v>
      </c>
      <c r="L512" s="3"/>
      <c r="M512" s="3" t="b">
        <v>1</v>
      </c>
      <c r="N512" s="3" t="b">
        <v>0</v>
      </c>
      <c r="O512" s="3" t="b">
        <v>0</v>
      </c>
    </row>
    <row r="513" spans="1:15" x14ac:dyDescent="0.3">
      <c r="A513" s="27" t="s">
        <v>859</v>
      </c>
      <c r="B513" s="27"/>
      <c r="C513" s="27"/>
      <c r="D513" s="27"/>
      <c r="E513" s="1" t="s">
        <v>1525</v>
      </c>
      <c r="F513" s="3" t="s">
        <v>1533</v>
      </c>
      <c r="G513" s="3" t="s">
        <v>922</v>
      </c>
      <c r="H513" s="3" t="s">
        <v>52</v>
      </c>
      <c r="I513" s="3" t="s">
        <v>52</v>
      </c>
      <c r="J513" s="3" t="s">
        <v>51</v>
      </c>
      <c r="K513" s="3" t="b">
        <v>1</v>
      </c>
      <c r="L513" s="3"/>
      <c r="M513" s="3" t="b">
        <v>1</v>
      </c>
      <c r="N513" s="3" t="b">
        <v>0</v>
      </c>
      <c r="O513" s="3" t="b">
        <v>0</v>
      </c>
    </row>
    <row r="514" spans="1:15" x14ac:dyDescent="0.3">
      <c r="A514" s="27" t="s">
        <v>859</v>
      </c>
      <c r="B514" s="27"/>
      <c r="C514" s="27"/>
      <c r="D514" s="27"/>
      <c r="E514" s="1" t="s">
        <v>1526</v>
      </c>
      <c r="F514" s="3" t="s">
        <v>1534</v>
      </c>
      <c r="G514" s="3" t="s">
        <v>922</v>
      </c>
      <c r="H514" s="3" t="s">
        <v>52</v>
      </c>
      <c r="I514" s="3" t="s">
        <v>52</v>
      </c>
      <c r="J514" s="3" t="s">
        <v>51</v>
      </c>
      <c r="K514" s="3" t="b">
        <v>1</v>
      </c>
      <c r="L514" s="3"/>
      <c r="M514" s="3" t="b">
        <v>1</v>
      </c>
      <c r="N514" s="3" t="b">
        <v>0</v>
      </c>
      <c r="O514" s="3" t="b">
        <v>0</v>
      </c>
    </row>
    <row r="515" spans="1:15" x14ac:dyDescent="0.3">
      <c r="A515" s="27" t="s">
        <v>859</v>
      </c>
      <c r="B515" s="27"/>
      <c r="C515" s="27"/>
      <c r="D515" s="27"/>
      <c r="E515" s="1" t="s">
        <v>1527</v>
      </c>
      <c r="F515" s="3" t="s">
        <v>1535</v>
      </c>
      <c r="G515" s="3" t="s">
        <v>922</v>
      </c>
      <c r="H515" s="3" t="s">
        <v>52</v>
      </c>
      <c r="I515" s="3" t="s">
        <v>52</v>
      </c>
      <c r="J515" s="3" t="s">
        <v>51</v>
      </c>
      <c r="K515" s="3" t="b">
        <v>1</v>
      </c>
      <c r="L515" s="3"/>
      <c r="M515" s="3" t="b">
        <v>1</v>
      </c>
      <c r="N515" s="3" t="b">
        <v>0</v>
      </c>
      <c r="O515" s="3" t="b">
        <v>0</v>
      </c>
    </row>
    <row r="516" spans="1:15" x14ac:dyDescent="0.3">
      <c r="A516" s="27" t="s">
        <v>859</v>
      </c>
      <c r="B516" s="27"/>
      <c r="C516" s="27"/>
      <c r="D516" s="27"/>
      <c r="E516" s="1" t="s">
        <v>973</v>
      </c>
      <c r="F516" s="3" t="s">
        <v>974</v>
      </c>
      <c r="G516" s="3" t="s">
        <v>922</v>
      </c>
      <c r="H516" s="3" t="s">
        <v>854</v>
      </c>
      <c r="I516" s="3" t="s">
        <v>52</v>
      </c>
      <c r="J516" s="3" t="s">
        <v>51</v>
      </c>
      <c r="K516" s="3" t="b">
        <v>1</v>
      </c>
      <c r="L516" s="3"/>
      <c r="M516" s="3" t="b">
        <v>1</v>
      </c>
      <c r="N516" s="3" t="b">
        <v>0</v>
      </c>
      <c r="O516" s="3" t="b">
        <v>0</v>
      </c>
    </row>
    <row r="517" spans="1:15" x14ac:dyDescent="0.3">
      <c r="A517" s="27" t="s">
        <v>859</v>
      </c>
      <c r="B517" s="27" t="s">
        <v>1464</v>
      </c>
      <c r="C517" s="27"/>
      <c r="D517" s="27" t="s">
        <v>1481</v>
      </c>
      <c r="E517" s="1" t="s">
        <v>1759</v>
      </c>
      <c r="F517" s="3" t="s">
        <v>1551</v>
      </c>
      <c r="G517" s="3" t="s">
        <v>978</v>
      </c>
      <c r="H517" s="3" t="s">
        <v>52</v>
      </c>
      <c r="I517" s="3" t="s">
        <v>52</v>
      </c>
      <c r="J517" s="3" t="s">
        <v>51</v>
      </c>
      <c r="K517" s="3" t="b">
        <v>1</v>
      </c>
      <c r="L517" s="3"/>
      <c r="M517" s="3" t="b">
        <v>1</v>
      </c>
      <c r="N517" s="3" t="b">
        <v>0</v>
      </c>
      <c r="O517" s="3" t="b">
        <v>0</v>
      </c>
    </row>
    <row r="518" spans="1:15" x14ac:dyDescent="0.3">
      <c r="A518" s="27" t="s">
        <v>859</v>
      </c>
      <c r="B518" s="27" t="s">
        <v>1466</v>
      </c>
      <c r="C518" s="27"/>
      <c r="D518" s="27" t="s">
        <v>1481</v>
      </c>
      <c r="E518" s="1" t="s">
        <v>1759</v>
      </c>
      <c r="F518" s="3" t="s">
        <v>1551</v>
      </c>
      <c r="G518" s="3" t="s">
        <v>978</v>
      </c>
      <c r="H518" s="3" t="s">
        <v>52</v>
      </c>
      <c r="I518" s="3" t="s">
        <v>52</v>
      </c>
      <c r="J518" s="3" t="s">
        <v>51</v>
      </c>
      <c r="K518" s="3" t="b">
        <v>1</v>
      </c>
      <c r="L518" s="3"/>
      <c r="M518" s="3" t="b">
        <v>1</v>
      </c>
      <c r="N518" s="3" t="b">
        <v>0</v>
      </c>
      <c r="O518" s="3" t="b">
        <v>0</v>
      </c>
    </row>
    <row r="519" spans="1:15" x14ac:dyDescent="0.3">
      <c r="A519" s="27" t="s">
        <v>859</v>
      </c>
      <c r="B519" s="27" t="s">
        <v>1467</v>
      </c>
      <c r="C519" s="27"/>
      <c r="D519" s="27" t="s">
        <v>1481</v>
      </c>
      <c r="E519" s="1" t="s">
        <v>1759</v>
      </c>
      <c r="F519" s="3" t="s">
        <v>1551</v>
      </c>
      <c r="G519" s="3" t="s">
        <v>978</v>
      </c>
      <c r="H519" s="3" t="s">
        <v>52</v>
      </c>
      <c r="I519" s="3" t="s">
        <v>52</v>
      </c>
      <c r="J519" s="3" t="s">
        <v>51</v>
      </c>
      <c r="K519" s="3" t="b">
        <v>1</v>
      </c>
      <c r="L519" s="3"/>
      <c r="M519" s="3" t="b">
        <v>1</v>
      </c>
      <c r="N519" s="3" t="b">
        <v>0</v>
      </c>
      <c r="O519" s="3" t="b">
        <v>0</v>
      </c>
    </row>
    <row r="520" spans="1:15" x14ac:dyDescent="0.3">
      <c r="A520" s="27" t="s">
        <v>859</v>
      </c>
      <c r="B520" s="27" t="s">
        <v>1468</v>
      </c>
      <c r="C520" s="27"/>
      <c r="D520" s="27" t="s">
        <v>1481</v>
      </c>
      <c r="E520" s="1" t="s">
        <v>1759</v>
      </c>
      <c r="F520" s="3" t="s">
        <v>1551</v>
      </c>
      <c r="G520" s="3" t="s">
        <v>978</v>
      </c>
      <c r="H520" s="3" t="s">
        <v>52</v>
      </c>
      <c r="I520" s="3" t="s">
        <v>52</v>
      </c>
      <c r="J520" s="3" t="s">
        <v>51</v>
      </c>
      <c r="K520" s="3" t="b">
        <v>1</v>
      </c>
      <c r="L520" s="3"/>
      <c r="M520" s="3" t="b">
        <v>1</v>
      </c>
      <c r="N520" s="3" t="b">
        <v>0</v>
      </c>
      <c r="O520" s="3" t="b">
        <v>0</v>
      </c>
    </row>
    <row r="521" spans="1:15" x14ac:dyDescent="0.3">
      <c r="A521" s="27" t="s">
        <v>859</v>
      </c>
      <c r="B521" s="27" t="s">
        <v>1469</v>
      </c>
      <c r="C521" s="27"/>
      <c r="D521" s="27" t="s">
        <v>1481</v>
      </c>
      <c r="E521" s="1" t="s">
        <v>1759</v>
      </c>
      <c r="F521" s="3" t="s">
        <v>1551</v>
      </c>
      <c r="G521" s="3" t="s">
        <v>978</v>
      </c>
      <c r="H521" s="3" t="s">
        <v>52</v>
      </c>
      <c r="I521" s="3" t="s">
        <v>52</v>
      </c>
      <c r="J521" s="3" t="s">
        <v>51</v>
      </c>
      <c r="K521" s="3" t="b">
        <v>1</v>
      </c>
      <c r="L521" s="3"/>
      <c r="M521" s="3" t="b">
        <v>1</v>
      </c>
      <c r="N521" s="3" t="b">
        <v>0</v>
      </c>
      <c r="O521" s="3" t="b">
        <v>0</v>
      </c>
    </row>
    <row r="522" spans="1:15" x14ac:dyDescent="0.3">
      <c r="A522" s="27" t="s">
        <v>859</v>
      </c>
      <c r="B522" s="27" t="s">
        <v>1470</v>
      </c>
      <c r="C522" s="27"/>
      <c r="D522" s="27" t="s">
        <v>1481</v>
      </c>
      <c r="E522" s="1" t="s">
        <v>1759</v>
      </c>
      <c r="F522" s="3" t="s">
        <v>1551</v>
      </c>
      <c r="G522" s="3" t="s">
        <v>978</v>
      </c>
      <c r="H522" s="3" t="s">
        <v>52</v>
      </c>
      <c r="I522" s="3" t="s">
        <v>52</v>
      </c>
      <c r="J522" s="3" t="s">
        <v>51</v>
      </c>
      <c r="K522" s="3" t="b">
        <v>1</v>
      </c>
      <c r="L522" s="3"/>
      <c r="M522" s="3" t="b">
        <v>1</v>
      </c>
      <c r="N522" s="3" t="b">
        <v>0</v>
      </c>
      <c r="O522" s="3" t="b">
        <v>0</v>
      </c>
    </row>
    <row r="523" spans="1:15" x14ac:dyDescent="0.3">
      <c r="A523" s="27" t="s">
        <v>859</v>
      </c>
      <c r="B523" s="27" t="s">
        <v>1934</v>
      </c>
      <c r="C523" s="27"/>
      <c r="D523" s="27" t="s">
        <v>1481</v>
      </c>
      <c r="E523" s="12" t="s">
        <v>1759</v>
      </c>
      <c r="F523" s="3" t="s">
        <v>1551</v>
      </c>
      <c r="G523" s="3" t="s">
        <v>978</v>
      </c>
      <c r="H523" s="3" t="s">
        <v>52</v>
      </c>
      <c r="I523" s="3" t="s">
        <v>52</v>
      </c>
      <c r="J523" s="3" t="s">
        <v>51</v>
      </c>
      <c r="K523" s="3" t="b">
        <v>1</v>
      </c>
      <c r="L523" s="3"/>
      <c r="M523" s="3" t="b">
        <v>1</v>
      </c>
      <c r="N523" s="3" t="b">
        <v>0</v>
      </c>
      <c r="O523" s="3" t="b">
        <v>0</v>
      </c>
    </row>
    <row r="524" spans="1:15" x14ac:dyDescent="0.3">
      <c r="A524" s="27" t="s">
        <v>859</v>
      </c>
      <c r="B524" s="27" t="s">
        <v>1935</v>
      </c>
      <c r="C524" s="27"/>
      <c r="D524" s="27" t="s">
        <v>1481</v>
      </c>
      <c r="E524" s="12" t="s">
        <v>1759</v>
      </c>
      <c r="F524" s="3" t="s">
        <v>1551</v>
      </c>
      <c r="G524" s="3" t="s">
        <v>978</v>
      </c>
      <c r="H524" s="3" t="s">
        <v>52</v>
      </c>
      <c r="I524" s="3" t="s">
        <v>52</v>
      </c>
      <c r="J524" s="3" t="s">
        <v>51</v>
      </c>
      <c r="K524" s="3" t="b">
        <v>1</v>
      </c>
      <c r="L524" s="3"/>
      <c r="M524" s="3" t="b">
        <v>1</v>
      </c>
      <c r="N524" s="3" t="b">
        <v>0</v>
      </c>
      <c r="O524" s="3" t="b">
        <v>0</v>
      </c>
    </row>
    <row r="525" spans="1:15" x14ac:dyDescent="0.3">
      <c r="A525" s="27" t="s">
        <v>859</v>
      </c>
      <c r="B525" s="27" t="s">
        <v>1936</v>
      </c>
      <c r="C525" s="27"/>
      <c r="D525" s="27" t="s">
        <v>1481</v>
      </c>
      <c r="E525" s="12" t="s">
        <v>1759</v>
      </c>
      <c r="F525" s="3" t="s">
        <v>1551</v>
      </c>
      <c r="G525" s="3" t="s">
        <v>978</v>
      </c>
      <c r="H525" s="3" t="s">
        <v>52</v>
      </c>
      <c r="I525" s="3" t="s">
        <v>52</v>
      </c>
      <c r="J525" s="3" t="s">
        <v>51</v>
      </c>
      <c r="K525" s="3" t="b">
        <v>1</v>
      </c>
      <c r="L525" s="3"/>
      <c r="M525" s="3" t="b">
        <v>1</v>
      </c>
      <c r="N525" s="3" t="b">
        <v>0</v>
      </c>
      <c r="O525" s="3" t="b">
        <v>0</v>
      </c>
    </row>
    <row r="526" spans="1:15" x14ac:dyDescent="0.3">
      <c r="A526" s="27" t="s">
        <v>859</v>
      </c>
      <c r="B526" s="27" t="s">
        <v>1937</v>
      </c>
      <c r="C526" s="27"/>
      <c r="D526" s="27" t="s">
        <v>1481</v>
      </c>
      <c r="E526" s="12" t="s">
        <v>1759</v>
      </c>
      <c r="F526" s="3" t="s">
        <v>1551</v>
      </c>
      <c r="G526" s="3" t="s">
        <v>978</v>
      </c>
      <c r="H526" s="3" t="s">
        <v>52</v>
      </c>
      <c r="I526" s="3" t="s">
        <v>52</v>
      </c>
      <c r="J526" s="3" t="s">
        <v>51</v>
      </c>
      <c r="K526" s="3" t="b">
        <v>1</v>
      </c>
      <c r="L526" s="3"/>
      <c r="M526" s="3" t="b">
        <v>1</v>
      </c>
      <c r="N526" s="3" t="b">
        <v>0</v>
      </c>
      <c r="O526" s="3" t="b">
        <v>0</v>
      </c>
    </row>
    <row r="527" spans="1:15" x14ac:dyDescent="0.3">
      <c r="A527" s="27" t="s">
        <v>859</v>
      </c>
      <c r="B527" s="27" t="s">
        <v>1938</v>
      </c>
      <c r="C527" s="27"/>
      <c r="D527" s="27" t="s">
        <v>1481</v>
      </c>
      <c r="E527" s="12" t="s">
        <v>1759</v>
      </c>
      <c r="F527" s="3" t="s">
        <v>1551</v>
      </c>
      <c r="G527" s="3" t="s">
        <v>978</v>
      </c>
      <c r="H527" s="3" t="s">
        <v>52</v>
      </c>
      <c r="I527" s="3" t="s">
        <v>52</v>
      </c>
      <c r="J527" s="3" t="s">
        <v>51</v>
      </c>
      <c r="K527" s="3" t="b">
        <v>1</v>
      </c>
      <c r="L527" s="3"/>
      <c r="M527" s="3" t="b">
        <v>1</v>
      </c>
      <c r="N527" s="3" t="b">
        <v>0</v>
      </c>
      <c r="O527" s="3" t="b">
        <v>0</v>
      </c>
    </row>
    <row r="528" spans="1:15" x14ac:dyDescent="0.3">
      <c r="A528" s="27" t="s">
        <v>859</v>
      </c>
      <c r="B528" s="27" t="s">
        <v>1939</v>
      </c>
      <c r="C528" s="27"/>
      <c r="D528" s="27" t="s">
        <v>1481</v>
      </c>
      <c r="E528" s="12" t="s">
        <v>1759</v>
      </c>
      <c r="F528" s="3" t="s">
        <v>1551</v>
      </c>
      <c r="G528" s="3" t="s">
        <v>978</v>
      </c>
      <c r="H528" s="3" t="s">
        <v>52</v>
      </c>
      <c r="I528" s="3" t="s">
        <v>52</v>
      </c>
      <c r="J528" s="3" t="s">
        <v>51</v>
      </c>
      <c r="K528" s="3" t="b">
        <v>1</v>
      </c>
      <c r="L528" s="3"/>
      <c r="M528" s="3" t="b">
        <v>1</v>
      </c>
      <c r="N528" s="3" t="b">
        <v>0</v>
      </c>
      <c r="O528" s="3" t="b">
        <v>0</v>
      </c>
    </row>
    <row r="529" spans="1:15" x14ac:dyDescent="0.3">
      <c r="A529" s="27" t="s">
        <v>859</v>
      </c>
      <c r="B529" s="27" t="s">
        <v>1464</v>
      </c>
      <c r="C529" s="27"/>
      <c r="D529" s="27" t="s">
        <v>1594</v>
      </c>
      <c r="E529" s="21" t="s">
        <v>1760</v>
      </c>
      <c r="F529" s="3" t="s">
        <v>1552</v>
      </c>
      <c r="G529" s="3" t="s">
        <v>978</v>
      </c>
      <c r="H529" s="3" t="s">
        <v>52</v>
      </c>
      <c r="I529" s="3" t="s">
        <v>52</v>
      </c>
      <c r="J529" s="3" t="s">
        <v>51</v>
      </c>
      <c r="K529" s="3" t="b">
        <v>1</v>
      </c>
      <c r="L529" s="3"/>
      <c r="M529" s="3" t="b">
        <v>1</v>
      </c>
      <c r="N529" s="3" t="b">
        <v>0</v>
      </c>
      <c r="O529" s="3" t="b">
        <v>0</v>
      </c>
    </row>
    <row r="530" spans="1:15" x14ac:dyDescent="0.3">
      <c r="A530" s="27" t="s">
        <v>859</v>
      </c>
      <c r="B530" s="27" t="s">
        <v>1466</v>
      </c>
      <c r="C530" s="27"/>
      <c r="D530" s="27" t="s">
        <v>1594</v>
      </c>
      <c r="E530" s="21" t="s">
        <v>1760</v>
      </c>
      <c r="F530" s="3" t="s">
        <v>1552</v>
      </c>
      <c r="G530" s="3" t="s">
        <v>978</v>
      </c>
      <c r="H530" s="3" t="s">
        <v>52</v>
      </c>
      <c r="I530" s="3" t="s">
        <v>52</v>
      </c>
      <c r="J530" s="3" t="s">
        <v>51</v>
      </c>
      <c r="K530" s="3" t="b">
        <v>1</v>
      </c>
      <c r="L530" s="3"/>
      <c r="M530" s="3" t="b">
        <v>1</v>
      </c>
      <c r="N530" s="3" t="b">
        <v>0</v>
      </c>
      <c r="O530" s="3" t="b">
        <v>0</v>
      </c>
    </row>
    <row r="531" spans="1:15" x14ac:dyDescent="0.3">
      <c r="A531" s="27" t="s">
        <v>859</v>
      </c>
      <c r="B531" s="27" t="s">
        <v>1467</v>
      </c>
      <c r="C531" s="27"/>
      <c r="D531" s="27" t="s">
        <v>1594</v>
      </c>
      <c r="E531" s="21" t="s">
        <v>1760</v>
      </c>
      <c r="F531" s="3" t="s">
        <v>1552</v>
      </c>
      <c r="G531" s="3" t="s">
        <v>978</v>
      </c>
      <c r="H531" s="3" t="s">
        <v>52</v>
      </c>
      <c r="I531" s="3" t="s">
        <v>52</v>
      </c>
      <c r="J531" s="3" t="s">
        <v>51</v>
      </c>
      <c r="K531" s="3" t="b">
        <v>1</v>
      </c>
      <c r="L531" s="3"/>
      <c r="M531" s="3" t="b">
        <v>1</v>
      </c>
      <c r="N531" s="3" t="b">
        <v>0</v>
      </c>
      <c r="O531" s="3" t="b">
        <v>0</v>
      </c>
    </row>
    <row r="532" spans="1:15" x14ac:dyDescent="0.3">
      <c r="A532" s="27" t="s">
        <v>859</v>
      </c>
      <c r="B532" s="27" t="s">
        <v>1468</v>
      </c>
      <c r="C532" s="27"/>
      <c r="D532" s="27" t="s">
        <v>1594</v>
      </c>
      <c r="E532" s="21" t="s">
        <v>1760</v>
      </c>
      <c r="F532" s="3" t="s">
        <v>1552</v>
      </c>
      <c r="G532" s="3" t="s">
        <v>978</v>
      </c>
      <c r="H532" s="3" t="s">
        <v>52</v>
      </c>
      <c r="I532" s="3" t="s">
        <v>52</v>
      </c>
      <c r="J532" s="3" t="s">
        <v>51</v>
      </c>
      <c r="K532" s="3" t="b">
        <v>1</v>
      </c>
      <c r="L532" s="3"/>
      <c r="M532" s="3" t="b">
        <v>1</v>
      </c>
      <c r="N532" s="3" t="b">
        <v>0</v>
      </c>
      <c r="O532" s="3" t="b">
        <v>0</v>
      </c>
    </row>
    <row r="533" spans="1:15" x14ac:dyDescent="0.3">
      <c r="A533" s="27" t="s">
        <v>859</v>
      </c>
      <c r="B533" s="27" t="s">
        <v>1469</v>
      </c>
      <c r="C533" s="27"/>
      <c r="D533" s="27" t="s">
        <v>1594</v>
      </c>
      <c r="E533" s="21" t="s">
        <v>1760</v>
      </c>
      <c r="F533" s="3" t="s">
        <v>1552</v>
      </c>
      <c r="G533" s="3" t="s">
        <v>978</v>
      </c>
      <c r="H533" s="3" t="s">
        <v>52</v>
      </c>
      <c r="I533" s="3" t="s">
        <v>52</v>
      </c>
      <c r="J533" s="3" t="s">
        <v>51</v>
      </c>
      <c r="K533" s="3" t="b">
        <v>1</v>
      </c>
      <c r="L533" s="3"/>
      <c r="M533" s="3" t="b">
        <v>1</v>
      </c>
      <c r="N533" s="3" t="b">
        <v>0</v>
      </c>
      <c r="O533" s="3" t="b">
        <v>0</v>
      </c>
    </row>
    <row r="534" spans="1:15" x14ac:dyDescent="0.3">
      <c r="A534" s="27" t="s">
        <v>859</v>
      </c>
      <c r="B534" s="27" t="s">
        <v>1470</v>
      </c>
      <c r="C534" s="27"/>
      <c r="D534" s="27" t="s">
        <v>1594</v>
      </c>
      <c r="E534" s="21" t="s">
        <v>1760</v>
      </c>
      <c r="F534" s="3" t="s">
        <v>1552</v>
      </c>
      <c r="G534" s="3" t="s">
        <v>978</v>
      </c>
      <c r="H534" s="3" t="s">
        <v>52</v>
      </c>
      <c r="I534" s="3" t="s">
        <v>52</v>
      </c>
      <c r="J534" s="3" t="s">
        <v>51</v>
      </c>
      <c r="K534" s="3" t="b">
        <v>1</v>
      </c>
      <c r="L534" s="3"/>
      <c r="M534" s="3" t="b">
        <v>1</v>
      </c>
      <c r="N534" s="3" t="b">
        <v>0</v>
      </c>
      <c r="O534" s="3" t="b">
        <v>0</v>
      </c>
    </row>
    <row r="535" spans="1:15" x14ac:dyDescent="0.3">
      <c r="A535" s="27" t="s">
        <v>859</v>
      </c>
      <c r="B535" s="27" t="s">
        <v>1934</v>
      </c>
      <c r="C535" s="27"/>
      <c r="D535" s="27" t="s">
        <v>1594</v>
      </c>
      <c r="E535" s="12" t="s">
        <v>1760</v>
      </c>
      <c r="F535" s="3" t="s">
        <v>1552</v>
      </c>
      <c r="G535" s="3" t="s">
        <v>978</v>
      </c>
      <c r="H535" s="3" t="s">
        <v>52</v>
      </c>
      <c r="I535" s="3" t="s">
        <v>52</v>
      </c>
      <c r="J535" s="3" t="s">
        <v>51</v>
      </c>
      <c r="K535" s="3" t="b">
        <v>1</v>
      </c>
      <c r="L535" s="3"/>
      <c r="M535" s="3" t="b">
        <v>1</v>
      </c>
      <c r="N535" s="3" t="b">
        <v>0</v>
      </c>
      <c r="O535" s="3" t="b">
        <v>0</v>
      </c>
    </row>
    <row r="536" spans="1:15" x14ac:dyDescent="0.3">
      <c r="A536" s="27" t="s">
        <v>859</v>
      </c>
      <c r="B536" s="27" t="s">
        <v>1935</v>
      </c>
      <c r="C536" s="27"/>
      <c r="D536" s="27" t="s">
        <v>1594</v>
      </c>
      <c r="E536" s="12" t="s">
        <v>1760</v>
      </c>
      <c r="F536" s="3" t="s">
        <v>1552</v>
      </c>
      <c r="G536" s="3" t="s">
        <v>978</v>
      </c>
      <c r="H536" s="3" t="s">
        <v>52</v>
      </c>
      <c r="I536" s="3" t="s">
        <v>52</v>
      </c>
      <c r="J536" s="3" t="s">
        <v>51</v>
      </c>
      <c r="K536" s="3" t="b">
        <v>1</v>
      </c>
      <c r="L536" s="3"/>
      <c r="M536" s="3" t="b">
        <v>1</v>
      </c>
      <c r="N536" s="3" t="b">
        <v>0</v>
      </c>
      <c r="O536" s="3" t="b">
        <v>0</v>
      </c>
    </row>
    <row r="537" spans="1:15" x14ac:dyDescent="0.3">
      <c r="A537" s="27" t="s">
        <v>859</v>
      </c>
      <c r="B537" s="27" t="s">
        <v>1936</v>
      </c>
      <c r="C537" s="27"/>
      <c r="D537" s="27" t="s">
        <v>1594</v>
      </c>
      <c r="E537" s="12" t="s">
        <v>1760</v>
      </c>
      <c r="F537" s="3" t="s">
        <v>1552</v>
      </c>
      <c r="G537" s="3" t="s">
        <v>978</v>
      </c>
      <c r="H537" s="3" t="s">
        <v>52</v>
      </c>
      <c r="I537" s="3" t="s">
        <v>52</v>
      </c>
      <c r="J537" s="3" t="s">
        <v>51</v>
      </c>
      <c r="K537" s="3" t="b">
        <v>1</v>
      </c>
      <c r="L537" s="3"/>
      <c r="M537" s="3" t="b">
        <v>1</v>
      </c>
      <c r="N537" s="3" t="b">
        <v>0</v>
      </c>
      <c r="O537" s="3" t="b">
        <v>0</v>
      </c>
    </row>
    <row r="538" spans="1:15" x14ac:dyDescent="0.3">
      <c r="A538" s="27" t="s">
        <v>859</v>
      </c>
      <c r="B538" s="27" t="s">
        <v>1937</v>
      </c>
      <c r="C538" s="27"/>
      <c r="D538" s="27" t="s">
        <v>1594</v>
      </c>
      <c r="E538" s="12" t="s">
        <v>1760</v>
      </c>
      <c r="F538" s="3" t="s">
        <v>1552</v>
      </c>
      <c r="G538" s="3" t="s">
        <v>978</v>
      </c>
      <c r="H538" s="3" t="s">
        <v>52</v>
      </c>
      <c r="I538" s="3" t="s">
        <v>52</v>
      </c>
      <c r="J538" s="3" t="s">
        <v>51</v>
      </c>
      <c r="K538" s="3" t="b">
        <v>1</v>
      </c>
      <c r="L538" s="3"/>
      <c r="M538" s="3" t="b">
        <v>1</v>
      </c>
      <c r="N538" s="3" t="b">
        <v>0</v>
      </c>
      <c r="O538" s="3" t="b">
        <v>0</v>
      </c>
    </row>
    <row r="539" spans="1:15" x14ac:dyDescent="0.3">
      <c r="A539" s="27" t="s">
        <v>859</v>
      </c>
      <c r="B539" s="27" t="s">
        <v>1938</v>
      </c>
      <c r="C539" s="27"/>
      <c r="D539" s="27" t="s">
        <v>1594</v>
      </c>
      <c r="E539" s="12" t="s">
        <v>1760</v>
      </c>
      <c r="F539" s="3" t="s">
        <v>1552</v>
      </c>
      <c r="G539" s="3" t="s">
        <v>978</v>
      </c>
      <c r="H539" s="3" t="s">
        <v>52</v>
      </c>
      <c r="I539" s="3" t="s">
        <v>52</v>
      </c>
      <c r="J539" s="3" t="s">
        <v>51</v>
      </c>
      <c r="K539" s="3" t="b">
        <v>1</v>
      </c>
      <c r="L539" s="3"/>
      <c r="M539" s="3" t="b">
        <v>1</v>
      </c>
      <c r="N539" s="3" t="b">
        <v>0</v>
      </c>
      <c r="O539" s="3" t="b">
        <v>0</v>
      </c>
    </row>
    <row r="540" spans="1:15" x14ac:dyDescent="0.3">
      <c r="A540" s="27" t="s">
        <v>859</v>
      </c>
      <c r="B540" s="27" t="s">
        <v>1939</v>
      </c>
      <c r="C540" s="27"/>
      <c r="D540" s="27" t="s">
        <v>1594</v>
      </c>
      <c r="E540" s="12" t="s">
        <v>1760</v>
      </c>
      <c r="F540" s="3" t="s">
        <v>1552</v>
      </c>
      <c r="G540" s="3" t="s">
        <v>978</v>
      </c>
      <c r="H540" s="3" t="s">
        <v>52</v>
      </c>
      <c r="I540" s="3" t="s">
        <v>52</v>
      </c>
      <c r="J540" s="3" t="s">
        <v>51</v>
      </c>
      <c r="K540" s="3" t="b">
        <v>1</v>
      </c>
      <c r="L540" s="3"/>
      <c r="M540" s="3" t="b">
        <v>1</v>
      </c>
      <c r="N540" s="3" t="b">
        <v>0</v>
      </c>
      <c r="O540" s="3" t="b">
        <v>0</v>
      </c>
    </row>
    <row r="541" spans="1:15" x14ac:dyDescent="0.3">
      <c r="A541" s="27" t="s">
        <v>859</v>
      </c>
      <c r="B541" s="27"/>
      <c r="C541" s="27"/>
      <c r="D541" s="27"/>
      <c r="E541" s="12" t="s">
        <v>1001</v>
      </c>
      <c r="F541" s="3" t="s">
        <v>1002</v>
      </c>
      <c r="G541" s="3" t="s">
        <v>978</v>
      </c>
      <c r="H541" s="3" t="s">
        <v>52</v>
      </c>
      <c r="I541" s="3" t="s">
        <v>52</v>
      </c>
      <c r="J541" s="3" t="s">
        <v>51</v>
      </c>
      <c r="K541" s="3" t="b">
        <v>1</v>
      </c>
      <c r="L541" s="3"/>
      <c r="M541" s="3" t="b">
        <v>1</v>
      </c>
      <c r="N541" s="3" t="b">
        <v>0</v>
      </c>
      <c r="O541" s="3" t="b">
        <v>0</v>
      </c>
    </row>
    <row r="542" spans="1:15" x14ac:dyDescent="0.3">
      <c r="A542" s="27" t="s">
        <v>859</v>
      </c>
      <c r="B542" s="27"/>
      <c r="C542" s="27"/>
      <c r="D542" s="27"/>
      <c r="E542" s="12" t="s">
        <v>1005</v>
      </c>
      <c r="F542" s="3" t="s">
        <v>1006</v>
      </c>
      <c r="G542" s="3" t="s">
        <v>978</v>
      </c>
      <c r="H542" s="3" t="s">
        <v>52</v>
      </c>
      <c r="I542" s="3" t="s">
        <v>52</v>
      </c>
      <c r="J542" s="3" t="s">
        <v>51</v>
      </c>
      <c r="K542" s="3" t="b">
        <v>1</v>
      </c>
      <c r="L542" s="3"/>
      <c r="M542" s="3" t="b">
        <v>1</v>
      </c>
      <c r="N542" s="3" t="b">
        <v>0</v>
      </c>
      <c r="O542" s="3" t="b">
        <v>0</v>
      </c>
    </row>
    <row r="543" spans="1:15" x14ac:dyDescent="0.3">
      <c r="A543" s="27" t="s">
        <v>859</v>
      </c>
      <c r="B543" s="27" t="s">
        <v>1464</v>
      </c>
      <c r="C543" s="27"/>
      <c r="D543" s="27" t="s">
        <v>1631</v>
      </c>
      <c r="E543" s="1" t="s">
        <v>1761</v>
      </c>
      <c r="F543" s="3" t="s">
        <v>1550</v>
      </c>
      <c r="G543" s="3" t="s">
        <v>978</v>
      </c>
      <c r="H543" s="3" t="s">
        <v>52</v>
      </c>
      <c r="I543" s="3" t="s">
        <v>52</v>
      </c>
      <c r="J543" s="3" t="s">
        <v>51</v>
      </c>
      <c r="K543" s="3" t="b">
        <v>1</v>
      </c>
      <c r="L543" s="3"/>
      <c r="M543" s="3" t="b">
        <v>1</v>
      </c>
      <c r="N543" s="3" t="b">
        <v>0</v>
      </c>
      <c r="O543" s="3" t="b">
        <v>0</v>
      </c>
    </row>
    <row r="544" spans="1:15" x14ac:dyDescent="0.3">
      <c r="A544" s="27" t="s">
        <v>859</v>
      </c>
      <c r="B544" s="27" t="s">
        <v>1466</v>
      </c>
      <c r="C544" s="27"/>
      <c r="D544" s="27" t="s">
        <v>1631</v>
      </c>
      <c r="E544" s="1" t="s">
        <v>1761</v>
      </c>
      <c r="F544" s="3" t="s">
        <v>1550</v>
      </c>
      <c r="G544" s="3" t="s">
        <v>978</v>
      </c>
      <c r="H544" s="3" t="s">
        <v>52</v>
      </c>
      <c r="I544" s="3" t="s">
        <v>52</v>
      </c>
      <c r="J544" s="3" t="s">
        <v>51</v>
      </c>
      <c r="K544" s="3" t="b">
        <v>1</v>
      </c>
      <c r="L544" s="3"/>
      <c r="M544" s="3" t="b">
        <v>1</v>
      </c>
      <c r="N544" s="3" t="b">
        <v>0</v>
      </c>
      <c r="O544" s="3" t="b">
        <v>0</v>
      </c>
    </row>
    <row r="545" spans="1:15" x14ac:dyDescent="0.3">
      <c r="A545" s="27" t="s">
        <v>859</v>
      </c>
      <c r="B545" s="27" t="s">
        <v>1467</v>
      </c>
      <c r="C545" s="27"/>
      <c r="D545" s="27" t="s">
        <v>1631</v>
      </c>
      <c r="E545" s="1" t="s">
        <v>1761</v>
      </c>
      <c r="F545" s="3" t="s">
        <v>1550</v>
      </c>
      <c r="G545" s="3" t="s">
        <v>978</v>
      </c>
      <c r="H545" s="3" t="s">
        <v>52</v>
      </c>
      <c r="I545" s="3" t="s">
        <v>52</v>
      </c>
      <c r="J545" s="3" t="s">
        <v>51</v>
      </c>
      <c r="K545" s="3" t="b">
        <v>1</v>
      </c>
      <c r="L545" s="3"/>
      <c r="M545" s="3" t="b">
        <v>1</v>
      </c>
      <c r="N545" s="3" t="b">
        <v>0</v>
      </c>
      <c r="O545" s="3" t="b">
        <v>0</v>
      </c>
    </row>
    <row r="546" spans="1:15" x14ac:dyDescent="0.3">
      <c r="A546" s="27" t="s">
        <v>859</v>
      </c>
      <c r="B546" s="27" t="s">
        <v>1468</v>
      </c>
      <c r="C546" s="27"/>
      <c r="D546" s="27" t="s">
        <v>1631</v>
      </c>
      <c r="E546" s="1" t="s">
        <v>1761</v>
      </c>
      <c r="F546" s="3" t="s">
        <v>1550</v>
      </c>
      <c r="G546" s="3" t="s">
        <v>978</v>
      </c>
      <c r="H546" s="3" t="s">
        <v>52</v>
      </c>
      <c r="I546" s="3" t="s">
        <v>52</v>
      </c>
      <c r="J546" s="3" t="s">
        <v>51</v>
      </c>
      <c r="K546" s="3" t="b">
        <v>1</v>
      </c>
      <c r="L546" s="3"/>
      <c r="M546" s="3" t="b">
        <v>1</v>
      </c>
      <c r="N546" s="3" t="b">
        <v>0</v>
      </c>
      <c r="O546" s="3" t="b">
        <v>0</v>
      </c>
    </row>
    <row r="547" spans="1:15" x14ac:dyDescent="0.3">
      <c r="A547" s="27" t="s">
        <v>859</v>
      </c>
      <c r="B547" s="27" t="s">
        <v>1469</v>
      </c>
      <c r="C547" s="27"/>
      <c r="D547" s="27" t="s">
        <v>1631</v>
      </c>
      <c r="E547" s="1" t="s">
        <v>1761</v>
      </c>
      <c r="F547" s="3" t="s">
        <v>1550</v>
      </c>
      <c r="G547" s="3" t="s">
        <v>978</v>
      </c>
      <c r="H547" s="3" t="s">
        <v>52</v>
      </c>
      <c r="I547" s="3" t="s">
        <v>52</v>
      </c>
      <c r="J547" s="3" t="s">
        <v>51</v>
      </c>
      <c r="K547" s="3" t="b">
        <v>1</v>
      </c>
      <c r="L547" s="3"/>
      <c r="M547" s="3" t="b">
        <v>1</v>
      </c>
      <c r="N547" s="3" t="b">
        <v>0</v>
      </c>
      <c r="O547" s="3" t="b">
        <v>0</v>
      </c>
    </row>
    <row r="548" spans="1:15" x14ac:dyDescent="0.3">
      <c r="A548" s="27" t="s">
        <v>859</v>
      </c>
      <c r="B548" s="27" t="s">
        <v>1470</v>
      </c>
      <c r="C548" s="27"/>
      <c r="D548" s="27" t="s">
        <v>1631</v>
      </c>
      <c r="E548" s="1" t="s">
        <v>1761</v>
      </c>
      <c r="F548" s="3" t="s">
        <v>1550</v>
      </c>
      <c r="G548" s="3" t="s">
        <v>978</v>
      </c>
      <c r="H548" s="3" t="s">
        <v>52</v>
      </c>
      <c r="I548" s="3" t="s">
        <v>52</v>
      </c>
      <c r="J548" s="3" t="s">
        <v>51</v>
      </c>
      <c r="K548" s="3" t="b">
        <v>1</v>
      </c>
      <c r="L548" s="3"/>
      <c r="M548" s="3" t="b">
        <v>1</v>
      </c>
      <c r="N548" s="3" t="b">
        <v>0</v>
      </c>
      <c r="O548" s="3" t="b">
        <v>0</v>
      </c>
    </row>
    <row r="549" spans="1:15" x14ac:dyDescent="0.3">
      <c r="A549" s="27" t="s">
        <v>859</v>
      </c>
      <c r="B549" s="27" t="s">
        <v>1934</v>
      </c>
      <c r="C549" s="27"/>
      <c r="D549" s="27" t="s">
        <v>1631</v>
      </c>
      <c r="E549" s="12" t="s">
        <v>1761</v>
      </c>
      <c r="F549" s="3" t="s">
        <v>1550</v>
      </c>
      <c r="G549" s="3" t="s">
        <v>978</v>
      </c>
      <c r="H549" s="3" t="s">
        <v>52</v>
      </c>
      <c r="I549" s="3" t="s">
        <v>52</v>
      </c>
      <c r="J549" s="3" t="s">
        <v>51</v>
      </c>
      <c r="K549" s="3" t="b">
        <v>1</v>
      </c>
      <c r="L549" s="3"/>
      <c r="M549" s="3" t="b">
        <v>1</v>
      </c>
      <c r="N549" s="3" t="b">
        <v>0</v>
      </c>
      <c r="O549" s="3" t="b">
        <v>0</v>
      </c>
    </row>
    <row r="550" spans="1:15" x14ac:dyDescent="0.3">
      <c r="A550" s="27" t="s">
        <v>859</v>
      </c>
      <c r="B550" s="27" t="s">
        <v>1935</v>
      </c>
      <c r="C550" s="27"/>
      <c r="D550" s="27" t="s">
        <v>1631</v>
      </c>
      <c r="E550" s="12" t="s">
        <v>1761</v>
      </c>
      <c r="F550" s="3" t="s">
        <v>1550</v>
      </c>
      <c r="G550" s="3" t="s">
        <v>978</v>
      </c>
      <c r="H550" s="3" t="s">
        <v>52</v>
      </c>
      <c r="I550" s="3" t="s">
        <v>52</v>
      </c>
      <c r="J550" s="3" t="s">
        <v>51</v>
      </c>
      <c r="K550" s="3" t="b">
        <v>1</v>
      </c>
      <c r="L550" s="3"/>
      <c r="M550" s="3" t="b">
        <v>1</v>
      </c>
      <c r="N550" s="3" t="b">
        <v>0</v>
      </c>
      <c r="O550" s="3" t="b">
        <v>0</v>
      </c>
    </row>
    <row r="551" spans="1:15" x14ac:dyDescent="0.3">
      <c r="A551" s="27" t="s">
        <v>859</v>
      </c>
      <c r="B551" s="27" t="s">
        <v>1936</v>
      </c>
      <c r="C551" s="27"/>
      <c r="D551" s="27" t="s">
        <v>1631</v>
      </c>
      <c r="E551" s="12" t="s">
        <v>1761</v>
      </c>
      <c r="F551" s="3" t="s">
        <v>1550</v>
      </c>
      <c r="G551" s="3" t="s">
        <v>978</v>
      </c>
      <c r="H551" s="3" t="s">
        <v>52</v>
      </c>
      <c r="I551" s="3" t="s">
        <v>52</v>
      </c>
      <c r="J551" s="3" t="s">
        <v>51</v>
      </c>
      <c r="K551" s="3" t="b">
        <v>1</v>
      </c>
      <c r="L551" s="3"/>
      <c r="M551" s="3" t="b">
        <v>1</v>
      </c>
      <c r="N551" s="3" t="b">
        <v>0</v>
      </c>
      <c r="O551" s="3" t="b">
        <v>0</v>
      </c>
    </row>
    <row r="552" spans="1:15" x14ac:dyDescent="0.3">
      <c r="A552" s="27" t="s">
        <v>859</v>
      </c>
      <c r="B552" s="27" t="s">
        <v>1937</v>
      </c>
      <c r="C552" s="27"/>
      <c r="D552" s="27" t="s">
        <v>1631</v>
      </c>
      <c r="E552" s="12" t="s">
        <v>1761</v>
      </c>
      <c r="F552" s="3" t="s">
        <v>1550</v>
      </c>
      <c r="G552" s="3" t="s">
        <v>978</v>
      </c>
      <c r="H552" s="3" t="s">
        <v>52</v>
      </c>
      <c r="I552" s="3" t="s">
        <v>52</v>
      </c>
      <c r="J552" s="3" t="s">
        <v>51</v>
      </c>
      <c r="K552" s="3" t="b">
        <v>1</v>
      </c>
      <c r="L552" s="3"/>
      <c r="M552" s="3" t="b">
        <v>1</v>
      </c>
      <c r="N552" s="3" t="b">
        <v>0</v>
      </c>
      <c r="O552" s="3" t="b">
        <v>0</v>
      </c>
    </row>
    <row r="553" spans="1:15" x14ac:dyDescent="0.3">
      <c r="A553" s="27" t="s">
        <v>859</v>
      </c>
      <c r="B553" s="27" t="s">
        <v>1938</v>
      </c>
      <c r="C553" s="27"/>
      <c r="D553" s="27" t="s">
        <v>1631</v>
      </c>
      <c r="E553" s="12" t="s">
        <v>1761</v>
      </c>
      <c r="F553" s="3" t="s">
        <v>1550</v>
      </c>
      <c r="G553" s="3" t="s">
        <v>978</v>
      </c>
      <c r="H553" s="3" t="s">
        <v>52</v>
      </c>
      <c r="I553" s="3" t="s">
        <v>52</v>
      </c>
      <c r="J553" s="3" t="s">
        <v>51</v>
      </c>
      <c r="K553" s="3" t="b">
        <v>1</v>
      </c>
      <c r="L553" s="3"/>
      <c r="M553" s="3" t="b">
        <v>1</v>
      </c>
      <c r="N553" s="3" t="b">
        <v>0</v>
      </c>
      <c r="O553" s="3" t="b">
        <v>0</v>
      </c>
    </row>
    <row r="554" spans="1:15" x14ac:dyDescent="0.3">
      <c r="A554" s="27" t="s">
        <v>859</v>
      </c>
      <c r="B554" s="27" t="s">
        <v>1939</v>
      </c>
      <c r="C554" s="27"/>
      <c r="D554" s="27" t="s">
        <v>1631</v>
      </c>
      <c r="E554" s="12" t="s">
        <v>1761</v>
      </c>
      <c r="F554" s="3" t="s">
        <v>1550</v>
      </c>
      <c r="G554" s="3" t="s">
        <v>978</v>
      </c>
      <c r="H554" s="3" t="s">
        <v>52</v>
      </c>
      <c r="I554" s="3" t="s">
        <v>52</v>
      </c>
      <c r="J554" s="3" t="s">
        <v>51</v>
      </c>
      <c r="K554" s="3" t="b">
        <v>1</v>
      </c>
      <c r="L554" s="3"/>
      <c r="M554" s="3" t="b">
        <v>1</v>
      </c>
      <c r="N554" s="3" t="b">
        <v>0</v>
      </c>
      <c r="O554" s="3" t="b">
        <v>0</v>
      </c>
    </row>
    <row r="555" spans="1:15" x14ac:dyDescent="0.3">
      <c r="A555" s="27" t="s">
        <v>859</v>
      </c>
      <c r="B555" s="27"/>
      <c r="C555" s="27" t="s">
        <v>878</v>
      </c>
      <c r="D555" s="27"/>
      <c r="E555" s="12" t="s">
        <v>2017</v>
      </c>
      <c r="F555" s="3" t="s">
        <v>2003</v>
      </c>
      <c r="G555" s="3" t="s">
        <v>978</v>
      </c>
      <c r="H555" s="3" t="s">
        <v>52</v>
      </c>
      <c r="I555" s="3" t="s">
        <v>52</v>
      </c>
      <c r="J555" s="3" t="s">
        <v>51</v>
      </c>
      <c r="K555" s="3" t="b">
        <v>1</v>
      </c>
      <c r="L555" s="3"/>
      <c r="M555" s="3" t="b">
        <v>1</v>
      </c>
      <c r="N555" s="3" t="b">
        <v>0</v>
      </c>
      <c r="O555" s="3" t="b">
        <v>0</v>
      </c>
    </row>
    <row r="556" spans="1:15" x14ac:dyDescent="0.3">
      <c r="A556" s="27" t="s">
        <v>859</v>
      </c>
      <c r="B556" s="27"/>
      <c r="C556" s="27" t="s">
        <v>1014</v>
      </c>
      <c r="D556" s="27"/>
      <c r="E556" s="12" t="s">
        <v>2004</v>
      </c>
      <c r="F556" s="3" t="s">
        <v>2005</v>
      </c>
      <c r="G556" s="3" t="s">
        <v>978</v>
      </c>
      <c r="H556" s="3" t="s">
        <v>52</v>
      </c>
      <c r="I556" s="3" t="s">
        <v>52</v>
      </c>
      <c r="J556" s="3" t="s">
        <v>51</v>
      </c>
      <c r="K556" s="3" t="b">
        <v>1</v>
      </c>
      <c r="L556" s="3"/>
      <c r="M556" s="3" t="b">
        <v>1</v>
      </c>
      <c r="N556" s="3" t="b">
        <v>0</v>
      </c>
      <c r="O556" s="3" t="b">
        <v>0</v>
      </c>
    </row>
    <row r="557" spans="1:15" x14ac:dyDescent="0.3">
      <c r="A557" s="27" t="s">
        <v>859</v>
      </c>
      <c r="B557" s="27"/>
      <c r="C557" s="27" t="s">
        <v>1015</v>
      </c>
      <c r="D557" s="27"/>
      <c r="E557" s="12" t="s">
        <v>2006</v>
      </c>
      <c r="F557" s="3" t="s">
        <v>2007</v>
      </c>
      <c r="G557" s="3" t="s">
        <v>978</v>
      </c>
      <c r="H557" s="3" t="s">
        <v>52</v>
      </c>
      <c r="I557" s="3" t="s">
        <v>52</v>
      </c>
      <c r="J557" s="3" t="s">
        <v>51</v>
      </c>
      <c r="K557" s="3" t="b">
        <v>1</v>
      </c>
      <c r="L557" s="3"/>
      <c r="M557" s="3" t="b">
        <v>1</v>
      </c>
      <c r="N557" s="3" t="b">
        <v>0</v>
      </c>
      <c r="O557" s="3" t="b">
        <v>0</v>
      </c>
    </row>
    <row r="558" spans="1:15" x14ac:dyDescent="0.3">
      <c r="A558" s="27" t="s">
        <v>859</v>
      </c>
      <c r="B558" s="27"/>
      <c r="C558" s="27" t="s">
        <v>1016</v>
      </c>
      <c r="D558" s="27"/>
      <c r="E558" s="12" t="s">
        <v>2008</v>
      </c>
      <c r="F558" s="3" t="s">
        <v>2009</v>
      </c>
      <c r="G558" s="3" t="s">
        <v>978</v>
      </c>
      <c r="H558" s="3" t="s">
        <v>52</v>
      </c>
      <c r="I558" s="3" t="s">
        <v>52</v>
      </c>
      <c r="J558" s="3" t="s">
        <v>51</v>
      </c>
      <c r="K558" s="3" t="b">
        <v>1</v>
      </c>
      <c r="L558" s="3"/>
      <c r="M558" s="3" t="b">
        <v>1</v>
      </c>
      <c r="N558" s="3" t="b">
        <v>0</v>
      </c>
      <c r="O558" s="3" t="b">
        <v>0</v>
      </c>
    </row>
    <row r="559" spans="1:15" x14ac:dyDescent="0.3">
      <c r="A559" s="27" t="s">
        <v>859</v>
      </c>
      <c r="B559" s="27"/>
      <c r="C559" s="27" t="s">
        <v>878</v>
      </c>
      <c r="D559" s="27"/>
      <c r="E559" s="12" t="s">
        <v>2018</v>
      </c>
      <c r="F559" s="3" t="s">
        <v>2010</v>
      </c>
      <c r="G559" s="3" t="s">
        <v>978</v>
      </c>
      <c r="H559" s="3" t="s">
        <v>52</v>
      </c>
      <c r="I559" s="3" t="s">
        <v>52</v>
      </c>
      <c r="J559" s="3" t="s">
        <v>51</v>
      </c>
      <c r="K559" s="3" t="b">
        <v>1</v>
      </c>
      <c r="L559" s="3"/>
      <c r="M559" s="3" t="b">
        <v>1</v>
      </c>
      <c r="N559" s="3" t="b">
        <v>0</v>
      </c>
      <c r="O559" s="3" t="b">
        <v>0</v>
      </c>
    </row>
    <row r="560" spans="1:15" x14ac:dyDescent="0.3">
      <c r="A560" s="27" t="s">
        <v>859</v>
      </c>
      <c r="B560" s="27"/>
      <c r="C560" s="27" t="s">
        <v>1014</v>
      </c>
      <c r="D560" s="27"/>
      <c r="E560" s="12" t="s">
        <v>2011</v>
      </c>
      <c r="F560" s="3" t="s">
        <v>2012</v>
      </c>
      <c r="G560" s="3" t="s">
        <v>978</v>
      </c>
      <c r="H560" s="3" t="s">
        <v>52</v>
      </c>
      <c r="I560" s="3" t="s">
        <v>52</v>
      </c>
      <c r="J560" s="3" t="s">
        <v>51</v>
      </c>
      <c r="K560" s="3" t="b">
        <v>1</v>
      </c>
      <c r="L560" s="3"/>
      <c r="M560" s="3" t="b">
        <v>1</v>
      </c>
      <c r="N560" s="3" t="b">
        <v>0</v>
      </c>
      <c r="O560" s="3" t="b">
        <v>0</v>
      </c>
    </row>
    <row r="561" spans="1:15" x14ac:dyDescent="0.3">
      <c r="A561" s="27" t="s">
        <v>859</v>
      </c>
      <c r="B561" s="27"/>
      <c r="C561" s="27" t="s">
        <v>1015</v>
      </c>
      <c r="D561" s="27"/>
      <c r="E561" s="12" t="s">
        <v>2013</v>
      </c>
      <c r="F561" s="3" t="s">
        <v>2014</v>
      </c>
      <c r="G561" s="3" t="s">
        <v>978</v>
      </c>
      <c r="H561" s="3" t="s">
        <v>52</v>
      </c>
      <c r="I561" s="3" t="s">
        <v>52</v>
      </c>
      <c r="J561" s="3" t="s">
        <v>51</v>
      </c>
      <c r="K561" s="3" t="b">
        <v>1</v>
      </c>
      <c r="L561" s="3"/>
      <c r="M561" s="3" t="b">
        <v>1</v>
      </c>
      <c r="N561" s="3" t="b">
        <v>0</v>
      </c>
      <c r="O561" s="3" t="b">
        <v>0</v>
      </c>
    </row>
    <row r="562" spans="1:15" x14ac:dyDescent="0.3">
      <c r="A562" s="27" t="s">
        <v>859</v>
      </c>
      <c r="B562" s="27"/>
      <c r="C562" s="27" t="s">
        <v>1016</v>
      </c>
      <c r="D562" s="27"/>
      <c r="E562" s="12" t="s">
        <v>2015</v>
      </c>
      <c r="F562" s="3" t="s">
        <v>2016</v>
      </c>
      <c r="G562" s="3" t="s">
        <v>978</v>
      </c>
      <c r="H562" s="3" t="s">
        <v>52</v>
      </c>
      <c r="I562" s="3" t="s">
        <v>52</v>
      </c>
      <c r="J562" s="3" t="s">
        <v>51</v>
      </c>
      <c r="K562" s="3" t="b">
        <v>1</v>
      </c>
      <c r="L562" s="3"/>
      <c r="M562" s="3" t="b">
        <v>1</v>
      </c>
      <c r="N562" s="3" t="b">
        <v>0</v>
      </c>
      <c r="O562" s="3" t="b">
        <v>0</v>
      </c>
    </row>
    <row r="563" spans="1:15" x14ac:dyDescent="0.3">
      <c r="A563" s="27" t="s">
        <v>859</v>
      </c>
      <c r="B563" s="27"/>
      <c r="C563" s="27"/>
      <c r="D563" s="27"/>
      <c r="E563" s="1" t="s">
        <v>1025</v>
      </c>
      <c r="F563" s="3" t="s">
        <v>1026</v>
      </c>
      <c r="G563" s="3" t="s">
        <v>978</v>
      </c>
      <c r="H563" s="3" t="s">
        <v>52</v>
      </c>
      <c r="I563" s="3" t="s">
        <v>52</v>
      </c>
      <c r="J563" s="3" t="s">
        <v>51</v>
      </c>
      <c r="K563" s="3" t="b">
        <v>1</v>
      </c>
      <c r="L563" s="3"/>
      <c r="M563" s="3" t="b">
        <v>1</v>
      </c>
      <c r="N563" s="3" t="b">
        <v>0</v>
      </c>
      <c r="O563" s="3" t="b">
        <v>0</v>
      </c>
    </row>
    <row r="564" spans="1:15" x14ac:dyDescent="0.3">
      <c r="A564" s="27" t="s">
        <v>859</v>
      </c>
      <c r="B564" s="27"/>
      <c r="C564" s="27"/>
      <c r="D564" s="27"/>
      <c r="E564" s="1" t="s">
        <v>1034</v>
      </c>
      <c r="F564" s="3" t="s">
        <v>1035</v>
      </c>
      <c r="G564" s="3" t="s">
        <v>978</v>
      </c>
      <c r="H564" s="3" t="s">
        <v>52</v>
      </c>
      <c r="I564" s="3" t="s">
        <v>52</v>
      </c>
      <c r="J564" s="3" t="s">
        <v>51</v>
      </c>
      <c r="K564" s="3" t="b">
        <v>1</v>
      </c>
      <c r="L564" s="3"/>
      <c r="M564" s="3" t="b">
        <v>1</v>
      </c>
      <c r="N564" s="3" t="b">
        <v>0</v>
      </c>
      <c r="O564" s="3" t="b">
        <v>0</v>
      </c>
    </row>
    <row r="565" spans="1:15" x14ac:dyDescent="0.3">
      <c r="A565" s="27" t="s">
        <v>860</v>
      </c>
      <c r="B565" s="27"/>
      <c r="C565" s="27"/>
      <c r="D565" s="27"/>
      <c r="E565" s="21" t="s">
        <v>914</v>
      </c>
      <c r="F565" s="3" t="s">
        <v>915</v>
      </c>
      <c r="G565" s="3" t="s">
        <v>900</v>
      </c>
      <c r="H565" s="3" t="s">
        <v>52</v>
      </c>
      <c r="I565" s="3" t="s">
        <v>52</v>
      </c>
      <c r="J565" s="3" t="s">
        <v>51</v>
      </c>
      <c r="K565" s="3" t="b">
        <v>1</v>
      </c>
      <c r="L565" s="3"/>
      <c r="M565" s="3" t="b">
        <v>1</v>
      </c>
      <c r="N565" s="3" t="b">
        <v>0</v>
      </c>
      <c r="O565" s="3" t="b">
        <v>0</v>
      </c>
    </row>
    <row r="566" spans="1:15" x14ac:dyDescent="0.3">
      <c r="A566" s="27" t="s">
        <v>860</v>
      </c>
      <c r="B566" s="27"/>
      <c r="C566" s="27"/>
      <c r="D566" s="27"/>
      <c r="E566" s="21" t="s">
        <v>916</v>
      </c>
      <c r="F566" s="3" t="s">
        <v>917</v>
      </c>
      <c r="G566" s="3" t="s">
        <v>900</v>
      </c>
      <c r="H566" s="3" t="s">
        <v>52</v>
      </c>
      <c r="I566" s="3" t="s">
        <v>52</v>
      </c>
      <c r="J566" s="3" t="s">
        <v>51</v>
      </c>
      <c r="K566" s="3" t="b">
        <v>1</v>
      </c>
      <c r="L566" s="3"/>
      <c r="M566" s="3" t="b">
        <v>1</v>
      </c>
      <c r="N566" s="3" t="b">
        <v>0</v>
      </c>
      <c r="O566" s="3" t="b">
        <v>0</v>
      </c>
    </row>
    <row r="567" spans="1:15" x14ac:dyDescent="0.3">
      <c r="A567" s="27" t="s">
        <v>860</v>
      </c>
      <c r="B567" s="27"/>
      <c r="C567" s="27"/>
      <c r="D567" s="27"/>
      <c r="E567" s="1" t="s">
        <v>912</v>
      </c>
      <c r="F567" s="3" t="s">
        <v>913</v>
      </c>
      <c r="G567" s="3" t="s">
        <v>900</v>
      </c>
      <c r="H567" s="3" t="s">
        <v>52</v>
      </c>
      <c r="I567" s="3" t="s">
        <v>52</v>
      </c>
      <c r="J567" s="3" t="s">
        <v>51</v>
      </c>
      <c r="K567" s="3" t="b">
        <v>1</v>
      </c>
      <c r="L567" s="3"/>
      <c r="M567" s="3" t="b">
        <v>1</v>
      </c>
      <c r="N567" s="3" t="b">
        <v>0</v>
      </c>
      <c r="O567" s="3" t="b">
        <v>0</v>
      </c>
    </row>
    <row r="568" spans="1:15" x14ac:dyDescent="0.3">
      <c r="A568" s="27" t="s">
        <v>860</v>
      </c>
      <c r="B568" s="27"/>
      <c r="C568" s="27"/>
      <c r="D568" s="27"/>
      <c r="E568" s="12" t="s">
        <v>1623</v>
      </c>
      <c r="F568" s="3" t="s">
        <v>1624</v>
      </c>
      <c r="G568" s="3" t="s">
        <v>900</v>
      </c>
      <c r="H568" s="3" t="s">
        <v>52</v>
      </c>
      <c r="I568" s="3" t="s">
        <v>52</v>
      </c>
      <c r="J568" s="3" t="s">
        <v>51</v>
      </c>
      <c r="K568" s="3" t="b">
        <v>1</v>
      </c>
      <c r="L568" s="3"/>
      <c r="M568" s="3" t="b">
        <v>1</v>
      </c>
      <c r="N568" s="3" t="b">
        <v>0</v>
      </c>
      <c r="O568" s="3" t="b">
        <v>0</v>
      </c>
    </row>
    <row r="569" spans="1:15" x14ac:dyDescent="0.3">
      <c r="A569" s="27" t="s">
        <v>860</v>
      </c>
      <c r="B569" s="27"/>
      <c r="C569" s="27"/>
      <c r="D569" s="27"/>
      <c r="E569" s="12" t="s">
        <v>1558</v>
      </c>
      <c r="F569" s="3" t="s">
        <v>1559</v>
      </c>
      <c r="G569" s="3" t="s">
        <v>900</v>
      </c>
      <c r="H569" s="3" t="s">
        <v>52</v>
      </c>
      <c r="I569" s="3" t="s">
        <v>52</v>
      </c>
      <c r="J569" s="3" t="s">
        <v>51</v>
      </c>
      <c r="K569" s="3" t="b">
        <v>1</v>
      </c>
      <c r="L569" s="3"/>
      <c r="M569" s="3" t="b">
        <v>1</v>
      </c>
      <c r="N569" s="3" t="b">
        <v>0</v>
      </c>
      <c r="O569" s="3" t="b">
        <v>0</v>
      </c>
    </row>
    <row r="570" spans="1:15" x14ac:dyDescent="0.3">
      <c r="A570" s="27" t="s">
        <v>860</v>
      </c>
      <c r="B570" s="27"/>
      <c r="C570" s="27"/>
      <c r="D570" s="27"/>
      <c r="E570" s="12" t="s">
        <v>1560</v>
      </c>
      <c r="F570" s="3" t="s">
        <v>1561</v>
      </c>
      <c r="G570" s="3" t="s">
        <v>900</v>
      </c>
      <c r="H570" s="3" t="s">
        <v>52</v>
      </c>
      <c r="I570" s="3" t="s">
        <v>52</v>
      </c>
      <c r="J570" s="3" t="s">
        <v>51</v>
      </c>
      <c r="K570" s="3" t="b">
        <v>1</v>
      </c>
      <c r="L570" s="3"/>
      <c r="M570" s="3" t="b">
        <v>1</v>
      </c>
      <c r="N570" s="3" t="b">
        <v>0</v>
      </c>
      <c r="O570" s="3" t="b">
        <v>0</v>
      </c>
    </row>
    <row r="571" spans="1:15" x14ac:dyDescent="0.3">
      <c r="A571" s="27" t="s">
        <v>860</v>
      </c>
      <c r="B571" s="27"/>
      <c r="C571" s="27"/>
      <c r="D571" s="27"/>
      <c r="E571" s="12" t="s">
        <v>1578</v>
      </c>
      <c r="F571" s="3" t="s">
        <v>1579</v>
      </c>
      <c r="G571" s="3" t="s">
        <v>900</v>
      </c>
      <c r="H571" s="3" t="s">
        <v>52</v>
      </c>
      <c r="I571" s="3" t="s">
        <v>52</v>
      </c>
      <c r="J571" s="3" t="s">
        <v>51</v>
      </c>
      <c r="K571" s="3" t="b">
        <v>1</v>
      </c>
      <c r="L571" s="3"/>
      <c r="M571" s="3" t="b">
        <v>1</v>
      </c>
      <c r="N571" s="3" t="b">
        <v>0</v>
      </c>
      <c r="O571" s="3" t="b">
        <v>0</v>
      </c>
    </row>
    <row r="572" spans="1:15" x14ac:dyDescent="0.3">
      <c r="A572" s="27" t="s">
        <v>860</v>
      </c>
      <c r="B572" s="27"/>
      <c r="C572" s="27"/>
      <c r="D572" s="27"/>
      <c r="E572" s="1" t="s">
        <v>937</v>
      </c>
      <c r="F572" s="3" t="s">
        <v>938</v>
      </c>
      <c r="G572" s="3" t="s">
        <v>922</v>
      </c>
      <c r="H572" s="3" t="s">
        <v>52</v>
      </c>
      <c r="I572" s="3" t="s">
        <v>52</v>
      </c>
      <c r="J572" s="3" t="s">
        <v>51</v>
      </c>
      <c r="K572" s="3" t="b">
        <v>1</v>
      </c>
      <c r="L572" s="3"/>
      <c r="M572" s="3" t="b">
        <v>1</v>
      </c>
      <c r="N572" s="3" t="b">
        <v>0</v>
      </c>
      <c r="O572" s="3" t="b">
        <v>0</v>
      </c>
    </row>
    <row r="573" spans="1:15" x14ac:dyDescent="0.3">
      <c r="A573" s="27" t="s">
        <v>860</v>
      </c>
      <c r="B573" s="27"/>
      <c r="C573" s="27"/>
      <c r="D573" s="27"/>
      <c r="E573" s="1" t="s">
        <v>933</v>
      </c>
      <c r="F573" s="3" t="s">
        <v>934</v>
      </c>
      <c r="G573" s="3" t="s">
        <v>922</v>
      </c>
      <c r="H573" s="3" t="s">
        <v>52</v>
      </c>
      <c r="I573" s="3" t="s">
        <v>52</v>
      </c>
      <c r="J573" s="3" t="s">
        <v>51</v>
      </c>
      <c r="K573" s="3" t="b">
        <v>1</v>
      </c>
      <c r="L573" s="3"/>
      <c r="M573" s="3" t="b">
        <v>1</v>
      </c>
      <c r="N573" s="3" t="b">
        <v>0</v>
      </c>
      <c r="O573" s="3" t="b">
        <v>0</v>
      </c>
    </row>
    <row r="574" spans="1:15" x14ac:dyDescent="0.3">
      <c r="A574" s="27" t="s">
        <v>860</v>
      </c>
      <c r="B574" s="27"/>
      <c r="C574" s="27"/>
      <c r="D574" s="27"/>
      <c r="E574" s="1" t="s">
        <v>939</v>
      </c>
      <c r="F574" s="3" t="s">
        <v>940</v>
      </c>
      <c r="G574" s="3" t="s">
        <v>922</v>
      </c>
      <c r="H574" s="3" t="s">
        <v>52</v>
      </c>
      <c r="I574" s="3" t="s">
        <v>52</v>
      </c>
      <c r="J574" s="3" t="s">
        <v>51</v>
      </c>
      <c r="K574" s="3" t="b">
        <v>1</v>
      </c>
      <c r="L574" s="3"/>
      <c r="M574" s="3" t="b">
        <v>1</v>
      </c>
      <c r="N574" s="3" t="b">
        <v>0</v>
      </c>
      <c r="O574" s="3" t="b">
        <v>0</v>
      </c>
    </row>
    <row r="575" spans="1:15" x14ac:dyDescent="0.3">
      <c r="A575" s="27" t="s">
        <v>860</v>
      </c>
      <c r="B575" s="27"/>
      <c r="C575" s="27"/>
      <c r="D575" s="27"/>
      <c r="E575" s="1" t="s">
        <v>935</v>
      </c>
      <c r="F575" s="3" t="s">
        <v>936</v>
      </c>
      <c r="G575" s="3" t="s">
        <v>922</v>
      </c>
      <c r="H575" s="3" t="s">
        <v>52</v>
      </c>
      <c r="I575" s="3" t="s">
        <v>52</v>
      </c>
      <c r="J575" s="3" t="s">
        <v>51</v>
      </c>
      <c r="K575" s="3" t="b">
        <v>1</v>
      </c>
      <c r="L575" s="3"/>
      <c r="M575" s="3" t="b">
        <v>1</v>
      </c>
      <c r="N575" s="3" t="b">
        <v>0</v>
      </c>
      <c r="O575" s="3" t="b">
        <v>0</v>
      </c>
    </row>
    <row r="576" spans="1:15" x14ac:dyDescent="0.3">
      <c r="A576" s="27" t="s">
        <v>860</v>
      </c>
      <c r="B576" s="27"/>
      <c r="C576" s="27"/>
      <c r="D576" s="27"/>
      <c r="E576" s="1" t="s">
        <v>941</v>
      </c>
      <c r="F576" s="3" t="s">
        <v>942</v>
      </c>
      <c r="G576" s="3" t="s">
        <v>922</v>
      </c>
      <c r="H576" s="3" t="s">
        <v>851</v>
      </c>
      <c r="I576" s="3" t="s">
        <v>52</v>
      </c>
      <c r="J576" s="3" t="s">
        <v>51</v>
      </c>
      <c r="K576" s="3" t="b">
        <v>1</v>
      </c>
      <c r="L576" s="3"/>
      <c r="M576" s="3" t="b">
        <v>1</v>
      </c>
      <c r="N576" s="3" t="b">
        <v>0</v>
      </c>
      <c r="O576" s="3" t="b">
        <v>0</v>
      </c>
    </row>
    <row r="577" spans="1:15" x14ac:dyDescent="0.3">
      <c r="A577" s="27" t="s">
        <v>860</v>
      </c>
      <c r="B577" s="27"/>
      <c r="C577" s="27"/>
      <c r="D577" s="27"/>
      <c r="E577" s="1" t="s">
        <v>943</v>
      </c>
      <c r="F577" s="3" t="s">
        <v>944</v>
      </c>
      <c r="G577" s="3" t="s">
        <v>922</v>
      </c>
      <c r="H577" s="3" t="s">
        <v>851</v>
      </c>
      <c r="I577" s="3" t="s">
        <v>52</v>
      </c>
      <c r="J577" s="3" t="s">
        <v>51</v>
      </c>
      <c r="K577" s="3" t="b">
        <v>1</v>
      </c>
      <c r="L577" s="3"/>
      <c r="M577" s="3" t="b">
        <v>1</v>
      </c>
      <c r="N577" s="3" t="b">
        <v>0</v>
      </c>
      <c r="O577" s="3" t="b">
        <v>0</v>
      </c>
    </row>
    <row r="578" spans="1:15" x14ac:dyDescent="0.3">
      <c r="A578" s="27" t="s">
        <v>860</v>
      </c>
      <c r="B578" s="27"/>
      <c r="C578" s="27"/>
      <c r="D578" s="27"/>
      <c r="E578" s="1" t="s">
        <v>945</v>
      </c>
      <c r="F578" s="3" t="s">
        <v>946</v>
      </c>
      <c r="G578" s="3" t="s">
        <v>922</v>
      </c>
      <c r="H578" s="3" t="s">
        <v>851</v>
      </c>
      <c r="I578" s="3" t="s">
        <v>52</v>
      </c>
      <c r="J578" s="3" t="s">
        <v>51</v>
      </c>
      <c r="K578" s="3" t="b">
        <v>1</v>
      </c>
      <c r="L578" s="3"/>
      <c r="M578" s="3" t="b">
        <v>1</v>
      </c>
      <c r="N578" s="3" t="b">
        <v>0</v>
      </c>
      <c r="O578" s="3" t="b">
        <v>0</v>
      </c>
    </row>
    <row r="579" spans="1:15" x14ac:dyDescent="0.3">
      <c r="A579" s="27" t="s">
        <v>860</v>
      </c>
      <c r="B579" s="27"/>
      <c r="C579" s="27"/>
      <c r="D579" s="27"/>
      <c r="E579" s="1" t="s">
        <v>947</v>
      </c>
      <c r="F579" s="3" t="s">
        <v>948</v>
      </c>
      <c r="G579" s="3" t="s">
        <v>922</v>
      </c>
      <c r="H579" s="3" t="s">
        <v>851</v>
      </c>
      <c r="I579" s="3" t="s">
        <v>52</v>
      </c>
      <c r="J579" s="3" t="s">
        <v>51</v>
      </c>
      <c r="K579" s="3" t="b">
        <v>1</v>
      </c>
      <c r="L579" s="3"/>
      <c r="M579" s="3" t="b">
        <v>1</v>
      </c>
      <c r="N579" s="3" t="b">
        <v>0</v>
      </c>
      <c r="O579" s="3" t="b">
        <v>0</v>
      </c>
    </row>
    <row r="580" spans="1:15" x14ac:dyDescent="0.3">
      <c r="A580" s="27" t="s">
        <v>860</v>
      </c>
      <c r="B580" s="27"/>
      <c r="C580" s="27"/>
      <c r="D580" s="27"/>
      <c r="E580" s="1" t="s">
        <v>949</v>
      </c>
      <c r="F580" s="3" t="s">
        <v>950</v>
      </c>
      <c r="G580" s="3" t="s">
        <v>922</v>
      </c>
      <c r="H580" s="3" t="s">
        <v>851</v>
      </c>
      <c r="I580" s="3" t="s">
        <v>52</v>
      </c>
      <c r="J580" s="3" t="s">
        <v>51</v>
      </c>
      <c r="K580" s="3" t="b">
        <v>1</v>
      </c>
      <c r="L580" s="3"/>
      <c r="M580" s="3" t="b">
        <v>1</v>
      </c>
      <c r="N580" s="3" t="b">
        <v>0</v>
      </c>
      <c r="O580" s="3" t="b">
        <v>0</v>
      </c>
    </row>
    <row r="581" spans="1:15" x14ac:dyDescent="0.3">
      <c r="A581" s="27" t="s">
        <v>860</v>
      </c>
      <c r="B581" s="27"/>
      <c r="C581" s="27"/>
      <c r="D581" s="27"/>
      <c r="E581" s="1" t="s">
        <v>951</v>
      </c>
      <c r="F581" s="3" t="s">
        <v>952</v>
      </c>
      <c r="G581" s="3" t="s">
        <v>922</v>
      </c>
      <c r="H581" s="3" t="s">
        <v>851</v>
      </c>
      <c r="I581" s="3" t="s">
        <v>52</v>
      </c>
      <c r="J581" s="3" t="s">
        <v>51</v>
      </c>
      <c r="K581" s="3" t="b">
        <v>1</v>
      </c>
      <c r="L581" s="3"/>
      <c r="M581" s="3" t="b">
        <v>1</v>
      </c>
      <c r="N581" s="3" t="b">
        <v>0</v>
      </c>
      <c r="O581" s="3" t="b">
        <v>0</v>
      </c>
    </row>
    <row r="582" spans="1:15" x14ac:dyDescent="0.3">
      <c r="A582" s="27" t="s">
        <v>860</v>
      </c>
      <c r="B582" s="27"/>
      <c r="C582" s="27"/>
      <c r="D582" s="27"/>
      <c r="E582" s="1" t="s">
        <v>953</v>
      </c>
      <c r="F582" s="3" t="s">
        <v>954</v>
      </c>
      <c r="G582" s="3" t="s">
        <v>922</v>
      </c>
      <c r="H582" s="3" t="s">
        <v>851</v>
      </c>
      <c r="I582" s="3" t="s">
        <v>52</v>
      </c>
      <c r="J582" s="3" t="s">
        <v>51</v>
      </c>
      <c r="K582" s="3" t="b">
        <v>1</v>
      </c>
      <c r="L582" s="3"/>
      <c r="M582" s="3" t="b">
        <v>1</v>
      </c>
      <c r="N582" s="3" t="b">
        <v>0</v>
      </c>
      <c r="O582" s="3" t="b">
        <v>0</v>
      </c>
    </row>
    <row r="583" spans="1:15" x14ac:dyDescent="0.3">
      <c r="A583" s="27" t="s">
        <v>860</v>
      </c>
      <c r="B583" s="27"/>
      <c r="C583" s="27"/>
      <c r="D583" s="27"/>
      <c r="E583" s="1" t="s">
        <v>955</v>
      </c>
      <c r="F583" s="3" t="s">
        <v>956</v>
      </c>
      <c r="G583" s="3" t="s">
        <v>922</v>
      </c>
      <c r="H583" s="3" t="s">
        <v>851</v>
      </c>
      <c r="I583" s="3" t="s">
        <v>52</v>
      </c>
      <c r="J583" s="3" t="s">
        <v>51</v>
      </c>
      <c r="K583" s="3" t="b">
        <v>1</v>
      </c>
      <c r="L583" s="3"/>
      <c r="M583" s="3" t="b">
        <v>1</v>
      </c>
      <c r="N583" s="3" t="b">
        <v>0</v>
      </c>
      <c r="O583" s="3" t="b">
        <v>0</v>
      </c>
    </row>
    <row r="584" spans="1:15" x14ac:dyDescent="0.3">
      <c r="A584" s="27" t="s">
        <v>860</v>
      </c>
      <c r="B584" s="27"/>
      <c r="C584" s="27"/>
      <c r="D584" s="27"/>
      <c r="E584" s="1" t="s">
        <v>957</v>
      </c>
      <c r="F584" s="3" t="s">
        <v>958</v>
      </c>
      <c r="G584" s="3" t="s">
        <v>922</v>
      </c>
      <c r="H584" s="3" t="s">
        <v>851</v>
      </c>
      <c r="I584" s="3" t="s">
        <v>52</v>
      </c>
      <c r="J584" s="3" t="s">
        <v>51</v>
      </c>
      <c r="K584" s="3" t="b">
        <v>1</v>
      </c>
      <c r="L584" s="3"/>
      <c r="M584" s="3" t="b">
        <v>1</v>
      </c>
      <c r="N584" s="3" t="b">
        <v>0</v>
      </c>
      <c r="O584" s="3" t="b">
        <v>0</v>
      </c>
    </row>
    <row r="585" spans="1:15" x14ac:dyDescent="0.3">
      <c r="A585" s="27" t="s">
        <v>860</v>
      </c>
      <c r="B585" s="27"/>
      <c r="C585" s="27"/>
      <c r="D585" s="27"/>
      <c r="E585" s="1" t="s">
        <v>959</v>
      </c>
      <c r="F585" s="3" t="s">
        <v>960</v>
      </c>
      <c r="G585" s="3" t="s">
        <v>922</v>
      </c>
      <c r="H585" s="3" t="s">
        <v>851</v>
      </c>
      <c r="I585" s="3" t="s">
        <v>52</v>
      </c>
      <c r="J585" s="3" t="s">
        <v>51</v>
      </c>
      <c r="K585" s="3" t="b">
        <v>1</v>
      </c>
      <c r="L585" s="3"/>
      <c r="M585" s="3" t="b">
        <v>1</v>
      </c>
      <c r="N585" s="3" t="b">
        <v>0</v>
      </c>
      <c r="O585" s="3" t="b">
        <v>0</v>
      </c>
    </row>
    <row r="586" spans="1:15" x14ac:dyDescent="0.3">
      <c r="A586" s="27" t="s">
        <v>860</v>
      </c>
      <c r="B586" s="27"/>
      <c r="C586" s="27"/>
      <c r="D586" s="27"/>
      <c r="E586" s="1" t="s">
        <v>961</v>
      </c>
      <c r="F586" s="3" t="s">
        <v>962</v>
      </c>
      <c r="G586" s="3" t="s">
        <v>922</v>
      </c>
      <c r="H586" s="3" t="s">
        <v>851</v>
      </c>
      <c r="I586" s="3" t="s">
        <v>52</v>
      </c>
      <c r="J586" s="3" t="s">
        <v>51</v>
      </c>
      <c r="K586" s="3" t="b">
        <v>1</v>
      </c>
      <c r="L586" s="3"/>
      <c r="M586" s="3" t="b">
        <v>1</v>
      </c>
      <c r="N586" s="3" t="b">
        <v>0</v>
      </c>
      <c r="O586" s="3" t="b">
        <v>0</v>
      </c>
    </row>
    <row r="587" spans="1:15" x14ac:dyDescent="0.3">
      <c r="A587" s="27" t="s">
        <v>860</v>
      </c>
      <c r="B587" s="27"/>
      <c r="C587" s="27"/>
      <c r="D587" s="27"/>
      <c r="E587" s="1" t="s">
        <v>963</v>
      </c>
      <c r="F587" s="3" t="s">
        <v>964</v>
      </c>
      <c r="G587" s="3" t="s">
        <v>922</v>
      </c>
      <c r="H587" s="3" t="s">
        <v>851</v>
      </c>
      <c r="I587" s="3" t="s">
        <v>52</v>
      </c>
      <c r="J587" s="3" t="s">
        <v>51</v>
      </c>
      <c r="K587" s="3" t="b">
        <v>1</v>
      </c>
      <c r="L587" s="3"/>
      <c r="M587" s="3" t="b">
        <v>1</v>
      </c>
      <c r="N587" s="3" t="b">
        <v>0</v>
      </c>
      <c r="O587" s="3" t="b">
        <v>0</v>
      </c>
    </row>
    <row r="588" spans="1:15" x14ac:dyDescent="0.3">
      <c r="A588" s="27" t="s">
        <v>860</v>
      </c>
      <c r="B588" s="27"/>
      <c r="C588" s="27"/>
      <c r="D588" s="27"/>
      <c r="E588" s="1" t="s">
        <v>965</v>
      </c>
      <c r="F588" s="3" t="s">
        <v>966</v>
      </c>
      <c r="G588" s="3" t="s">
        <v>922</v>
      </c>
      <c r="H588" s="3" t="s">
        <v>851</v>
      </c>
      <c r="I588" s="3" t="s">
        <v>52</v>
      </c>
      <c r="J588" s="3" t="s">
        <v>51</v>
      </c>
      <c r="K588" s="3" t="b">
        <v>1</v>
      </c>
      <c r="L588" s="3"/>
      <c r="M588" s="3" t="b">
        <v>1</v>
      </c>
      <c r="N588" s="3" t="b">
        <v>0</v>
      </c>
      <c r="O588" s="3" t="b">
        <v>0</v>
      </c>
    </row>
    <row r="589" spans="1:15" x14ac:dyDescent="0.3">
      <c r="A589" s="27" t="s">
        <v>860</v>
      </c>
      <c r="B589" s="27"/>
      <c r="C589" s="27"/>
      <c r="D589" s="27"/>
      <c r="E589" s="1" t="s">
        <v>967</v>
      </c>
      <c r="F589" s="3" t="s">
        <v>968</v>
      </c>
      <c r="G589" s="3" t="s">
        <v>922</v>
      </c>
      <c r="H589" s="3" t="s">
        <v>851</v>
      </c>
      <c r="I589" s="3" t="s">
        <v>52</v>
      </c>
      <c r="J589" s="3" t="s">
        <v>51</v>
      </c>
      <c r="K589" s="3" t="b">
        <v>1</v>
      </c>
      <c r="L589" s="3"/>
      <c r="M589" s="3" t="b">
        <v>1</v>
      </c>
      <c r="N589" s="3" t="b">
        <v>0</v>
      </c>
      <c r="O589" s="3" t="b">
        <v>0</v>
      </c>
    </row>
    <row r="590" spans="1:15" x14ac:dyDescent="0.3">
      <c r="A590" s="27" t="s">
        <v>860</v>
      </c>
      <c r="B590" s="27"/>
      <c r="C590" s="27"/>
      <c r="D590" s="27"/>
      <c r="E590" s="1" t="s">
        <v>969</v>
      </c>
      <c r="F590" s="3" t="s">
        <v>970</v>
      </c>
      <c r="G590" s="3" t="s">
        <v>922</v>
      </c>
      <c r="H590" s="3" t="s">
        <v>851</v>
      </c>
      <c r="I590" s="3" t="s">
        <v>52</v>
      </c>
      <c r="J590" s="3" t="s">
        <v>51</v>
      </c>
      <c r="K590" s="3" t="b">
        <v>1</v>
      </c>
      <c r="L590" s="3"/>
      <c r="M590" s="3" t="b">
        <v>1</v>
      </c>
      <c r="N590" s="3" t="b">
        <v>0</v>
      </c>
      <c r="O590" s="3" t="b">
        <v>0</v>
      </c>
    </row>
    <row r="591" spans="1:15" x14ac:dyDescent="0.3">
      <c r="A591" s="27" t="s">
        <v>860</v>
      </c>
      <c r="B591" s="27"/>
      <c r="C591" s="27"/>
      <c r="D591" s="27"/>
      <c r="E591" s="1" t="s">
        <v>1501</v>
      </c>
      <c r="F591" s="3" t="s">
        <v>1589</v>
      </c>
      <c r="G591" s="3" t="s">
        <v>922</v>
      </c>
      <c r="H591" s="3" t="s">
        <v>851</v>
      </c>
      <c r="I591" s="3" t="s">
        <v>52</v>
      </c>
      <c r="J591" s="3" t="s">
        <v>51</v>
      </c>
      <c r="K591" s="3" t="b">
        <v>1</v>
      </c>
      <c r="L591" s="3"/>
      <c r="M591" s="3" t="b">
        <v>1</v>
      </c>
      <c r="N591" s="3" t="b">
        <v>0</v>
      </c>
      <c r="O591" s="3" t="b">
        <v>0</v>
      </c>
    </row>
    <row r="592" spans="1:15" x14ac:dyDescent="0.3">
      <c r="A592" s="27" t="s">
        <v>860</v>
      </c>
      <c r="B592" s="27"/>
      <c r="C592" s="27"/>
      <c r="D592" s="27"/>
      <c r="E592" s="1" t="s">
        <v>1528</v>
      </c>
      <c r="F592" s="3" t="s">
        <v>1530</v>
      </c>
      <c r="G592" s="3" t="s">
        <v>922</v>
      </c>
      <c r="H592" s="3" t="s">
        <v>52</v>
      </c>
      <c r="I592" s="3" t="s">
        <v>52</v>
      </c>
      <c r="J592" s="3" t="s">
        <v>51</v>
      </c>
      <c r="K592" s="3" t="b">
        <v>1</v>
      </c>
      <c r="L592" s="3"/>
      <c r="M592" s="3" t="b">
        <v>1</v>
      </c>
      <c r="N592" s="3" t="b">
        <v>0</v>
      </c>
      <c r="O592" s="3" t="b">
        <v>0</v>
      </c>
    </row>
    <row r="593" spans="1:15" x14ac:dyDescent="0.3">
      <c r="A593" s="27" t="s">
        <v>860</v>
      </c>
      <c r="B593" s="27"/>
      <c r="C593" s="27"/>
      <c r="D593" s="27"/>
      <c r="E593" s="1" t="s">
        <v>1523</v>
      </c>
      <c r="F593" s="3" t="s">
        <v>1531</v>
      </c>
      <c r="G593" s="3" t="s">
        <v>922</v>
      </c>
      <c r="H593" s="3" t="s">
        <v>52</v>
      </c>
      <c r="I593" s="3" t="s">
        <v>52</v>
      </c>
      <c r="J593" s="3" t="s">
        <v>51</v>
      </c>
      <c r="K593" s="3" t="b">
        <v>1</v>
      </c>
      <c r="L593" s="3"/>
      <c r="M593" s="3" t="b">
        <v>1</v>
      </c>
      <c r="N593" s="3" t="b">
        <v>0</v>
      </c>
      <c r="O593" s="3" t="b">
        <v>0</v>
      </c>
    </row>
    <row r="594" spans="1:15" x14ac:dyDescent="0.3">
      <c r="A594" s="27" t="s">
        <v>860</v>
      </c>
      <c r="B594" s="27"/>
      <c r="C594" s="27"/>
      <c r="D594" s="27"/>
      <c r="E594" s="1" t="s">
        <v>1524</v>
      </c>
      <c r="F594" s="3" t="s">
        <v>1532</v>
      </c>
      <c r="G594" s="3" t="s">
        <v>922</v>
      </c>
      <c r="H594" s="3" t="s">
        <v>52</v>
      </c>
      <c r="I594" s="3" t="s">
        <v>52</v>
      </c>
      <c r="J594" s="3" t="s">
        <v>51</v>
      </c>
      <c r="K594" s="3" t="b">
        <v>1</v>
      </c>
      <c r="L594" s="3"/>
      <c r="M594" s="3" t="b">
        <v>1</v>
      </c>
      <c r="N594" s="3" t="b">
        <v>0</v>
      </c>
      <c r="O594" s="3" t="b">
        <v>0</v>
      </c>
    </row>
    <row r="595" spans="1:15" x14ac:dyDescent="0.3">
      <c r="A595" s="27" t="s">
        <v>860</v>
      </c>
      <c r="B595" s="27"/>
      <c r="C595" s="27"/>
      <c r="D595" s="27"/>
      <c r="E595" s="1" t="s">
        <v>1525</v>
      </c>
      <c r="F595" s="3" t="s">
        <v>1533</v>
      </c>
      <c r="G595" s="3" t="s">
        <v>922</v>
      </c>
      <c r="H595" s="3" t="s">
        <v>52</v>
      </c>
      <c r="I595" s="3" t="s">
        <v>52</v>
      </c>
      <c r="J595" s="3" t="s">
        <v>51</v>
      </c>
      <c r="K595" s="3" t="b">
        <v>1</v>
      </c>
      <c r="L595" s="3"/>
      <c r="M595" s="3" t="b">
        <v>1</v>
      </c>
      <c r="N595" s="3" t="b">
        <v>0</v>
      </c>
      <c r="O595" s="3" t="b">
        <v>0</v>
      </c>
    </row>
    <row r="596" spans="1:15" x14ac:dyDescent="0.3">
      <c r="A596" s="27" t="s">
        <v>860</v>
      </c>
      <c r="B596" s="27"/>
      <c r="C596" s="27"/>
      <c r="D596" s="27"/>
      <c r="E596" s="1" t="s">
        <v>1526</v>
      </c>
      <c r="F596" s="3" t="s">
        <v>1534</v>
      </c>
      <c r="G596" s="3" t="s">
        <v>922</v>
      </c>
      <c r="H596" s="3" t="s">
        <v>52</v>
      </c>
      <c r="I596" s="3" t="s">
        <v>52</v>
      </c>
      <c r="J596" s="3" t="s">
        <v>51</v>
      </c>
      <c r="K596" s="3" t="b">
        <v>1</v>
      </c>
      <c r="L596" s="3"/>
      <c r="M596" s="3" t="b">
        <v>1</v>
      </c>
      <c r="N596" s="3" t="b">
        <v>0</v>
      </c>
      <c r="O596" s="3" t="b">
        <v>0</v>
      </c>
    </row>
    <row r="597" spans="1:15" x14ac:dyDescent="0.3">
      <c r="A597" s="27" t="s">
        <v>860</v>
      </c>
      <c r="B597" s="27"/>
      <c r="C597" s="27"/>
      <c r="D597" s="27"/>
      <c r="E597" s="1" t="s">
        <v>1527</v>
      </c>
      <c r="F597" s="3" t="s">
        <v>1535</v>
      </c>
      <c r="G597" s="3" t="s">
        <v>922</v>
      </c>
      <c r="H597" s="3" t="s">
        <v>52</v>
      </c>
      <c r="I597" s="3" t="s">
        <v>52</v>
      </c>
      <c r="J597" s="3" t="s">
        <v>51</v>
      </c>
      <c r="K597" s="3" t="b">
        <v>1</v>
      </c>
      <c r="L597" s="3"/>
      <c r="M597" s="3" t="b">
        <v>1</v>
      </c>
      <c r="N597" s="3" t="b">
        <v>0</v>
      </c>
      <c r="O597" s="3" t="b">
        <v>0</v>
      </c>
    </row>
    <row r="598" spans="1:15" x14ac:dyDescent="0.3">
      <c r="A598" s="27" t="s">
        <v>860</v>
      </c>
      <c r="B598" s="27"/>
      <c r="C598" s="27"/>
      <c r="D598" s="27"/>
      <c r="E598" s="1" t="s">
        <v>1522</v>
      </c>
      <c r="F598" s="3" t="s">
        <v>1529</v>
      </c>
      <c r="G598" s="3" t="s">
        <v>922</v>
      </c>
      <c r="H598" s="3" t="s">
        <v>52</v>
      </c>
      <c r="I598" s="3" t="s">
        <v>52</v>
      </c>
      <c r="J598" s="3" t="s">
        <v>51</v>
      </c>
      <c r="K598" s="3" t="b">
        <v>1</v>
      </c>
      <c r="L598" s="3"/>
      <c r="M598" s="3" t="b">
        <v>1</v>
      </c>
      <c r="N598" s="3" t="b">
        <v>0</v>
      </c>
      <c r="O598" s="3" t="b">
        <v>0</v>
      </c>
    </row>
    <row r="599" spans="1:15" x14ac:dyDescent="0.3">
      <c r="A599" s="27" t="s">
        <v>860</v>
      </c>
      <c r="B599" s="27"/>
      <c r="C599" s="27"/>
      <c r="D599" s="27"/>
      <c r="E599" s="12" t="s">
        <v>1621</v>
      </c>
      <c r="F599" s="3" t="s">
        <v>1622</v>
      </c>
      <c r="G599" s="3" t="s">
        <v>922</v>
      </c>
      <c r="H599" s="3" t="s">
        <v>852</v>
      </c>
      <c r="I599" s="3" t="s">
        <v>52</v>
      </c>
      <c r="J599" s="3" t="s">
        <v>51</v>
      </c>
      <c r="K599" s="3" t="b">
        <v>1</v>
      </c>
      <c r="L599" s="3"/>
      <c r="M599" s="3" t="b">
        <v>1</v>
      </c>
      <c r="N599" s="3" t="b">
        <v>0</v>
      </c>
      <c r="O599" s="3" t="b">
        <v>0</v>
      </c>
    </row>
    <row r="600" spans="1:15" x14ac:dyDescent="0.3">
      <c r="A600" s="27" t="s">
        <v>860</v>
      </c>
      <c r="B600" s="27"/>
      <c r="C600" s="27"/>
      <c r="D600" s="27"/>
      <c r="E600" s="12" t="s">
        <v>1554</v>
      </c>
      <c r="F600" s="3" t="s">
        <v>1555</v>
      </c>
      <c r="G600" s="3" t="s">
        <v>922</v>
      </c>
      <c r="H600" s="3" t="s">
        <v>852</v>
      </c>
      <c r="I600" s="3" t="s">
        <v>52</v>
      </c>
      <c r="J600" s="3" t="s">
        <v>51</v>
      </c>
      <c r="K600" s="3" t="b">
        <v>1</v>
      </c>
      <c r="L600" s="3"/>
      <c r="M600" s="3" t="b">
        <v>1</v>
      </c>
      <c r="N600" s="3" t="b">
        <v>0</v>
      </c>
      <c r="O600" s="3" t="b">
        <v>0</v>
      </c>
    </row>
    <row r="601" spans="1:15" x14ac:dyDescent="0.3">
      <c r="A601" s="27" t="s">
        <v>860</v>
      </c>
      <c r="B601" s="27"/>
      <c r="C601" s="27"/>
      <c r="D601" s="27"/>
      <c r="E601" s="12" t="s">
        <v>1556</v>
      </c>
      <c r="F601" s="3" t="s">
        <v>1557</v>
      </c>
      <c r="G601" s="3" t="s">
        <v>922</v>
      </c>
      <c r="H601" s="3" t="s">
        <v>852</v>
      </c>
      <c r="I601" s="3" t="s">
        <v>52</v>
      </c>
      <c r="J601" s="3" t="s">
        <v>51</v>
      </c>
      <c r="K601" s="3" t="b">
        <v>1</v>
      </c>
      <c r="L601" s="3"/>
      <c r="M601" s="3" t="b">
        <v>1</v>
      </c>
      <c r="N601" s="3" t="b">
        <v>0</v>
      </c>
      <c r="O601" s="3" t="b">
        <v>0</v>
      </c>
    </row>
    <row r="602" spans="1:15" x14ac:dyDescent="0.3">
      <c r="A602" s="27" t="s">
        <v>860</v>
      </c>
      <c r="B602" s="27"/>
      <c r="C602" s="27"/>
      <c r="D602" s="27"/>
      <c r="E602" s="1" t="s">
        <v>971</v>
      </c>
      <c r="F602" s="3" t="s">
        <v>972</v>
      </c>
      <c r="G602" s="3" t="s">
        <v>922</v>
      </c>
      <c r="H602" s="3" t="s">
        <v>854</v>
      </c>
      <c r="I602" s="3" t="s">
        <v>52</v>
      </c>
      <c r="J602" s="3" t="s">
        <v>51</v>
      </c>
      <c r="K602" s="3" t="b">
        <v>1</v>
      </c>
      <c r="L602" s="3"/>
      <c r="M602" s="3" t="b">
        <v>1</v>
      </c>
      <c r="N602" s="3" t="b">
        <v>0</v>
      </c>
      <c r="O602" s="3" t="b">
        <v>0</v>
      </c>
    </row>
    <row r="603" spans="1:15" x14ac:dyDescent="0.3">
      <c r="A603" s="27" t="s">
        <v>860</v>
      </c>
      <c r="B603" s="27"/>
      <c r="C603" s="27"/>
      <c r="D603" s="27"/>
      <c r="E603" s="1" t="s">
        <v>973</v>
      </c>
      <c r="F603" s="3" t="s">
        <v>974</v>
      </c>
      <c r="G603" s="3" t="s">
        <v>922</v>
      </c>
      <c r="H603" s="3" t="s">
        <v>854</v>
      </c>
      <c r="I603" s="3" t="s">
        <v>52</v>
      </c>
      <c r="J603" s="3" t="s">
        <v>51</v>
      </c>
      <c r="K603" s="3" t="b">
        <v>1</v>
      </c>
      <c r="L603" s="3"/>
      <c r="M603" s="3" t="b">
        <v>1</v>
      </c>
      <c r="N603" s="3" t="b">
        <v>0</v>
      </c>
      <c r="O603" s="3" t="b">
        <v>0</v>
      </c>
    </row>
    <row r="604" spans="1:15" x14ac:dyDescent="0.3">
      <c r="A604" s="27" t="s">
        <v>860</v>
      </c>
      <c r="B604" s="27"/>
      <c r="C604" s="27"/>
      <c r="D604" s="27"/>
      <c r="E604" s="12" t="s">
        <v>1007</v>
      </c>
      <c r="F604" s="3" t="s">
        <v>1008</v>
      </c>
      <c r="G604" s="3" t="s">
        <v>978</v>
      </c>
      <c r="H604" s="3" t="s">
        <v>52</v>
      </c>
      <c r="I604" s="3" t="s">
        <v>52</v>
      </c>
      <c r="J604" s="3" t="s">
        <v>51</v>
      </c>
      <c r="K604" s="3" t="b">
        <v>1</v>
      </c>
      <c r="L604" s="3"/>
      <c r="M604" s="3" t="b">
        <v>1</v>
      </c>
      <c r="N604" s="3" t="b">
        <v>0</v>
      </c>
      <c r="O604" s="3" t="b">
        <v>0</v>
      </c>
    </row>
    <row r="605" spans="1:15" x14ac:dyDescent="0.3">
      <c r="A605" s="27" t="s">
        <v>860</v>
      </c>
      <c r="B605" s="27"/>
      <c r="C605" s="27"/>
      <c r="D605" s="27"/>
      <c r="E605" s="1" t="s">
        <v>1017</v>
      </c>
      <c r="F605" s="3" t="s">
        <v>1018</v>
      </c>
      <c r="G605" s="3" t="s">
        <v>978</v>
      </c>
      <c r="H605" s="3" t="s">
        <v>52</v>
      </c>
      <c r="I605" s="3" t="s">
        <v>52</v>
      </c>
      <c r="J605" s="3" t="s">
        <v>51</v>
      </c>
      <c r="K605" s="3" t="b">
        <v>1</v>
      </c>
      <c r="L605" s="3"/>
      <c r="M605" s="3" t="b">
        <v>1</v>
      </c>
      <c r="N605" s="3" t="b">
        <v>0</v>
      </c>
      <c r="O605" s="3" t="b">
        <v>0</v>
      </c>
    </row>
    <row r="606" spans="1:15" x14ac:dyDescent="0.3">
      <c r="A606" s="27" t="s">
        <v>860</v>
      </c>
      <c r="B606" s="27"/>
      <c r="C606" s="27"/>
      <c r="D606" s="27"/>
      <c r="E606" s="1" t="s">
        <v>1019</v>
      </c>
      <c r="F606" s="3" t="s">
        <v>1020</v>
      </c>
      <c r="G606" s="3" t="s">
        <v>978</v>
      </c>
      <c r="H606" s="3" t="s">
        <v>52</v>
      </c>
      <c r="I606" s="3" t="s">
        <v>52</v>
      </c>
      <c r="J606" s="3" t="s">
        <v>51</v>
      </c>
      <c r="K606" s="3" t="b">
        <v>1</v>
      </c>
      <c r="L606" s="3"/>
      <c r="M606" s="3" t="b">
        <v>1</v>
      </c>
      <c r="N606" s="3" t="b">
        <v>0</v>
      </c>
      <c r="O606" s="3" t="b">
        <v>0</v>
      </c>
    </row>
    <row r="607" spans="1:15" x14ac:dyDescent="0.3">
      <c r="A607" s="27" t="s">
        <v>860</v>
      </c>
      <c r="B607" s="27"/>
      <c r="C607" s="27"/>
      <c r="D607" s="27"/>
      <c r="E607" s="1" t="s">
        <v>1023</v>
      </c>
      <c r="F607" s="3" t="s">
        <v>1024</v>
      </c>
      <c r="G607" s="3" t="s">
        <v>978</v>
      </c>
      <c r="H607" s="3" t="s">
        <v>52</v>
      </c>
      <c r="I607" s="3" t="s">
        <v>52</v>
      </c>
      <c r="J607" s="3" t="s">
        <v>51</v>
      </c>
      <c r="K607" s="3" t="b">
        <v>1</v>
      </c>
      <c r="L607" s="3"/>
      <c r="M607" s="3" t="b">
        <v>1</v>
      </c>
      <c r="N607" s="3" t="b">
        <v>0</v>
      </c>
      <c r="O607" s="3" t="b">
        <v>0</v>
      </c>
    </row>
    <row r="608" spans="1:15" x14ac:dyDescent="0.3">
      <c r="A608" s="27" t="s">
        <v>860</v>
      </c>
      <c r="B608" s="27"/>
      <c r="C608" s="27"/>
      <c r="D608" s="27"/>
      <c r="E608" s="1" t="s">
        <v>1025</v>
      </c>
      <c r="F608" s="3" t="s">
        <v>1026</v>
      </c>
      <c r="G608" s="3" t="s">
        <v>978</v>
      </c>
      <c r="H608" s="3" t="s">
        <v>52</v>
      </c>
      <c r="I608" s="3" t="s">
        <v>52</v>
      </c>
      <c r="J608" s="3" t="s">
        <v>51</v>
      </c>
      <c r="K608" s="3" t="b">
        <v>1</v>
      </c>
      <c r="L608" s="3"/>
      <c r="M608" s="3" t="b">
        <v>1</v>
      </c>
      <c r="N608" s="3" t="b">
        <v>0</v>
      </c>
      <c r="O608" s="3" t="b">
        <v>0</v>
      </c>
    </row>
    <row r="609" spans="1:15" x14ac:dyDescent="0.3">
      <c r="A609" s="27" t="s">
        <v>860</v>
      </c>
      <c r="B609" s="27"/>
      <c r="C609" s="27"/>
      <c r="D609" s="27"/>
      <c r="E609" s="12" t="s">
        <v>1575</v>
      </c>
      <c r="F609" s="3" t="s">
        <v>1576</v>
      </c>
      <c r="G609" s="3" t="s">
        <v>978</v>
      </c>
      <c r="H609" s="3" t="s">
        <v>52</v>
      </c>
      <c r="I609" s="3" t="s">
        <v>52</v>
      </c>
      <c r="J609" s="3" t="s">
        <v>51</v>
      </c>
      <c r="K609" s="3" t="b">
        <v>1</v>
      </c>
      <c r="L609" s="3"/>
      <c r="M609" s="3" t="b">
        <v>1</v>
      </c>
      <c r="N609" s="3" t="b">
        <v>0</v>
      </c>
      <c r="O609" s="3" t="b">
        <v>0</v>
      </c>
    </row>
    <row r="610" spans="1:15" x14ac:dyDescent="0.3">
      <c r="A610" s="27" t="s">
        <v>860</v>
      </c>
      <c r="B610" s="27"/>
      <c r="C610" s="27"/>
      <c r="D610" s="27"/>
      <c r="E610" s="12" t="s">
        <v>1573</v>
      </c>
      <c r="F610" s="3" t="s">
        <v>1574</v>
      </c>
      <c r="G610" s="3" t="s">
        <v>978</v>
      </c>
      <c r="H610" s="3" t="s">
        <v>52</v>
      </c>
      <c r="I610" s="3" t="s">
        <v>52</v>
      </c>
      <c r="J610" s="3" t="s">
        <v>51</v>
      </c>
      <c r="K610" s="3" t="b">
        <v>1</v>
      </c>
      <c r="L610" s="3"/>
      <c r="M610" s="3" t="b">
        <v>1</v>
      </c>
      <c r="N610" s="3" t="b">
        <v>0</v>
      </c>
      <c r="O610" s="3" t="b">
        <v>0</v>
      </c>
    </row>
    <row r="611" spans="1:15" x14ac:dyDescent="0.3">
      <c r="A611" s="27" t="s">
        <v>860</v>
      </c>
      <c r="B611" s="27"/>
      <c r="C611" s="27"/>
      <c r="D611" s="27"/>
      <c r="E611" s="21" t="s">
        <v>1034</v>
      </c>
      <c r="F611" s="3" t="s">
        <v>1035</v>
      </c>
      <c r="G611" s="3" t="s">
        <v>978</v>
      </c>
      <c r="H611" s="3" t="s">
        <v>52</v>
      </c>
      <c r="I611" s="3" t="s">
        <v>52</v>
      </c>
      <c r="J611" s="3" t="s">
        <v>51</v>
      </c>
      <c r="K611" s="3" t="b">
        <v>1</v>
      </c>
      <c r="L611" s="3"/>
      <c r="M611" s="3" t="b">
        <v>1</v>
      </c>
      <c r="N611" s="3" t="b">
        <v>0</v>
      </c>
      <c r="O611" s="3" t="b">
        <v>0</v>
      </c>
    </row>
    <row r="612" spans="1:15" x14ac:dyDescent="0.3">
      <c r="A612" s="27" t="s">
        <v>860</v>
      </c>
      <c r="B612" s="27"/>
      <c r="C612" s="27"/>
      <c r="D612" s="27"/>
      <c r="E612" s="12" t="s">
        <v>2093</v>
      </c>
      <c r="F612" s="3" t="s">
        <v>2095</v>
      </c>
      <c r="G612" s="3" t="s">
        <v>900</v>
      </c>
      <c r="H612" s="3" t="s">
        <v>52</v>
      </c>
      <c r="I612" s="3" t="s">
        <v>52</v>
      </c>
      <c r="J612" s="3" t="s">
        <v>51</v>
      </c>
      <c r="K612" s="3" t="b">
        <v>1</v>
      </c>
      <c r="L612" s="3"/>
      <c r="M612" s="3" t="b">
        <v>1</v>
      </c>
      <c r="N612" s="3" t="b">
        <v>0</v>
      </c>
      <c r="O612" s="3" t="b">
        <v>0</v>
      </c>
    </row>
    <row r="613" spans="1:15" x14ac:dyDescent="0.3">
      <c r="A613" s="27" t="s">
        <v>860</v>
      </c>
      <c r="B613" s="27"/>
      <c r="C613" s="27"/>
      <c r="D613" s="27"/>
      <c r="E613" s="12" t="s">
        <v>904</v>
      </c>
      <c r="F613" s="3" t="s">
        <v>905</v>
      </c>
      <c r="G613" s="3" t="s">
        <v>900</v>
      </c>
      <c r="H613" s="3" t="s">
        <v>52</v>
      </c>
      <c r="I613" s="3" t="s">
        <v>52</v>
      </c>
      <c r="J613" s="3" t="s">
        <v>51</v>
      </c>
      <c r="K613" s="3" t="b">
        <v>1</v>
      </c>
      <c r="L613" s="3"/>
      <c r="M613" s="3" t="b">
        <v>1</v>
      </c>
      <c r="N613" s="3" t="b">
        <v>0</v>
      </c>
      <c r="O613" s="3" t="b">
        <v>0</v>
      </c>
    </row>
    <row r="614" spans="1:15" x14ac:dyDescent="0.3">
      <c r="A614" s="27" t="s">
        <v>860</v>
      </c>
      <c r="B614" s="27"/>
      <c r="C614" s="27"/>
      <c r="D614" s="27"/>
      <c r="E614" s="12" t="s">
        <v>908</v>
      </c>
      <c r="F614" s="3" t="s">
        <v>909</v>
      </c>
      <c r="G614" s="3" t="s">
        <v>900</v>
      </c>
      <c r="H614" s="3" t="s">
        <v>52</v>
      </c>
      <c r="I614" s="3" t="s">
        <v>52</v>
      </c>
      <c r="J614" s="3" t="s">
        <v>51</v>
      </c>
      <c r="K614" s="3" t="b">
        <v>1</v>
      </c>
      <c r="L614" s="3"/>
      <c r="M614" s="3" t="b">
        <v>1</v>
      </c>
      <c r="N614" s="3" t="b">
        <v>0</v>
      </c>
      <c r="O614" s="3" t="b">
        <v>0</v>
      </c>
    </row>
    <row r="615" spans="1:15" x14ac:dyDescent="0.3">
      <c r="A615" s="27" t="s">
        <v>2431</v>
      </c>
      <c r="B615" s="27"/>
      <c r="C615" s="27"/>
      <c r="D615" s="27"/>
      <c r="E615" s="21" t="s">
        <v>916</v>
      </c>
      <c r="F615" s="3" t="s">
        <v>917</v>
      </c>
      <c r="G615" s="3" t="s">
        <v>900</v>
      </c>
      <c r="H615" s="3" t="s">
        <v>52</v>
      </c>
      <c r="I615" s="3" t="s">
        <v>52</v>
      </c>
      <c r="J615" s="3" t="s">
        <v>51</v>
      </c>
      <c r="K615" s="3" t="b">
        <v>1</v>
      </c>
      <c r="L615" s="3"/>
      <c r="M615" s="3" t="b">
        <v>1</v>
      </c>
      <c r="N615" s="3" t="b">
        <v>0</v>
      </c>
      <c r="O615" s="3" t="b">
        <v>0</v>
      </c>
    </row>
    <row r="616" spans="1:15" x14ac:dyDescent="0.3">
      <c r="A616" s="27" t="s">
        <v>2431</v>
      </c>
      <c r="B616" s="27"/>
      <c r="C616" s="27"/>
      <c r="D616" s="27"/>
      <c r="E616" s="21" t="s">
        <v>927</v>
      </c>
      <c r="F616" s="3" t="s">
        <v>928</v>
      </c>
      <c r="G616" s="3" t="s">
        <v>922</v>
      </c>
      <c r="H616" s="3" t="s">
        <v>52</v>
      </c>
      <c r="I616" s="3" t="s">
        <v>52</v>
      </c>
      <c r="J616" s="3" t="s">
        <v>51</v>
      </c>
      <c r="K616" s="3" t="b">
        <v>1</v>
      </c>
      <c r="L616" s="3"/>
      <c r="M616" s="3" t="b">
        <v>1</v>
      </c>
      <c r="N616" s="3" t="b">
        <v>0</v>
      </c>
      <c r="O616" s="3" t="b">
        <v>0</v>
      </c>
    </row>
    <row r="617" spans="1:15" x14ac:dyDescent="0.3">
      <c r="A617" s="27" t="s">
        <v>2431</v>
      </c>
      <c r="B617" s="27"/>
      <c r="C617" s="27"/>
      <c r="D617" s="27"/>
      <c r="E617" s="21" t="s">
        <v>1504</v>
      </c>
      <c r="F617" s="3" t="s">
        <v>1508</v>
      </c>
      <c r="G617" s="3" t="s">
        <v>922</v>
      </c>
      <c r="H617" s="3" t="s">
        <v>52</v>
      </c>
      <c r="I617" s="3" t="s">
        <v>52</v>
      </c>
      <c r="J617" s="3" t="s">
        <v>51</v>
      </c>
      <c r="K617" s="3" t="b">
        <v>1</v>
      </c>
      <c r="L617" s="3"/>
      <c r="M617" s="3" t="b">
        <v>1</v>
      </c>
      <c r="N617" s="3" t="b">
        <v>0</v>
      </c>
      <c r="O617" s="3" t="b">
        <v>0</v>
      </c>
    </row>
    <row r="618" spans="1:15" x14ac:dyDescent="0.3">
      <c r="A618" s="27" t="s">
        <v>2431</v>
      </c>
      <c r="B618" s="27"/>
      <c r="C618" s="27"/>
      <c r="D618" s="27"/>
      <c r="E618" s="21" t="s">
        <v>929</v>
      </c>
      <c r="F618" s="3" t="s">
        <v>930</v>
      </c>
      <c r="G618" s="3" t="s">
        <v>922</v>
      </c>
      <c r="H618" s="3" t="s">
        <v>52</v>
      </c>
      <c r="I618" s="3" t="s">
        <v>52</v>
      </c>
      <c r="J618" s="3" t="s">
        <v>51</v>
      </c>
      <c r="K618" s="3" t="b">
        <v>1</v>
      </c>
      <c r="L618" s="3"/>
      <c r="M618" s="3" t="b">
        <v>1</v>
      </c>
      <c r="N618" s="3" t="b">
        <v>0</v>
      </c>
      <c r="O618" s="3" t="b">
        <v>0</v>
      </c>
    </row>
    <row r="619" spans="1:15" x14ac:dyDescent="0.3">
      <c r="A619" s="27" t="s">
        <v>2431</v>
      </c>
      <c r="B619" s="27"/>
      <c r="C619" s="27"/>
      <c r="D619" s="27"/>
      <c r="E619" s="21" t="s">
        <v>1505</v>
      </c>
      <c r="F619" s="3" t="s">
        <v>1510</v>
      </c>
      <c r="G619" s="3" t="s">
        <v>922</v>
      </c>
      <c r="H619" s="3" t="s">
        <v>52</v>
      </c>
      <c r="I619" s="3" t="s">
        <v>52</v>
      </c>
      <c r="J619" s="3" t="s">
        <v>51</v>
      </c>
      <c r="K619" s="3" t="b">
        <v>1</v>
      </c>
      <c r="L619" s="3"/>
      <c r="M619" s="3" t="b">
        <v>1</v>
      </c>
      <c r="N619" s="3" t="b">
        <v>0</v>
      </c>
      <c r="O619" s="3" t="b">
        <v>0</v>
      </c>
    </row>
    <row r="620" spans="1:15" x14ac:dyDescent="0.3">
      <c r="A620" s="27" t="s">
        <v>2431</v>
      </c>
      <c r="B620" s="27"/>
      <c r="C620" s="27"/>
      <c r="D620" s="27"/>
      <c r="E620" s="21" t="s">
        <v>939</v>
      </c>
      <c r="F620" s="3" t="s">
        <v>940</v>
      </c>
      <c r="G620" s="3" t="s">
        <v>922</v>
      </c>
      <c r="H620" s="3" t="s">
        <v>52</v>
      </c>
      <c r="I620" s="3" t="s">
        <v>52</v>
      </c>
      <c r="J620" s="3" t="s">
        <v>51</v>
      </c>
      <c r="K620" s="3" t="b">
        <v>1</v>
      </c>
      <c r="L620" s="3"/>
      <c r="M620" s="3" t="b">
        <v>1</v>
      </c>
      <c r="N620" s="3" t="b">
        <v>0</v>
      </c>
      <c r="O620" s="3" t="b">
        <v>0</v>
      </c>
    </row>
    <row r="621" spans="1:15" x14ac:dyDescent="0.3">
      <c r="A621" s="27" t="s">
        <v>2431</v>
      </c>
      <c r="B621" s="27"/>
      <c r="C621" s="27"/>
      <c r="D621" s="27"/>
      <c r="E621" s="21" t="s">
        <v>935</v>
      </c>
      <c r="F621" s="3" t="s">
        <v>936</v>
      </c>
      <c r="G621" s="3" t="s">
        <v>922</v>
      </c>
      <c r="H621" s="3" t="s">
        <v>52</v>
      </c>
      <c r="I621" s="3" t="s">
        <v>52</v>
      </c>
      <c r="J621" s="3" t="s">
        <v>51</v>
      </c>
      <c r="K621" s="3" t="b">
        <v>1</v>
      </c>
      <c r="L621" s="3"/>
      <c r="M621" s="3" t="b">
        <v>1</v>
      </c>
      <c r="N621" s="3" t="b">
        <v>0</v>
      </c>
      <c r="O621" s="3" t="b">
        <v>0</v>
      </c>
    </row>
    <row r="622" spans="1:15" x14ac:dyDescent="0.3">
      <c r="A622" s="27" t="s">
        <v>2431</v>
      </c>
      <c r="B622" s="27"/>
      <c r="C622" s="27"/>
      <c r="D622" s="27"/>
      <c r="E622" s="21" t="s">
        <v>957</v>
      </c>
      <c r="F622" s="3" t="s">
        <v>958</v>
      </c>
      <c r="G622" s="3" t="s">
        <v>922</v>
      </c>
      <c r="H622" s="3" t="s">
        <v>851</v>
      </c>
      <c r="I622" s="3" t="s">
        <v>52</v>
      </c>
      <c r="J622" s="3" t="s">
        <v>51</v>
      </c>
      <c r="K622" s="3" t="b">
        <v>1</v>
      </c>
      <c r="L622" s="3"/>
      <c r="M622" s="3" t="b">
        <v>1</v>
      </c>
      <c r="N622" s="3" t="b">
        <v>0</v>
      </c>
      <c r="O622" s="3" t="b">
        <v>0</v>
      </c>
    </row>
    <row r="623" spans="1:15" x14ac:dyDescent="0.3">
      <c r="A623" s="27" t="s">
        <v>2431</v>
      </c>
      <c r="B623" s="27"/>
      <c r="C623" s="27"/>
      <c r="D623" s="27"/>
      <c r="E623" s="21" t="s">
        <v>959</v>
      </c>
      <c r="F623" s="3" t="s">
        <v>960</v>
      </c>
      <c r="G623" s="3" t="s">
        <v>922</v>
      </c>
      <c r="H623" s="3" t="s">
        <v>851</v>
      </c>
      <c r="I623" s="3" t="s">
        <v>52</v>
      </c>
      <c r="J623" s="3" t="s">
        <v>51</v>
      </c>
      <c r="K623" s="3" t="b">
        <v>1</v>
      </c>
      <c r="L623" s="3"/>
      <c r="M623" s="3" t="b">
        <v>1</v>
      </c>
      <c r="N623" s="3" t="b">
        <v>0</v>
      </c>
      <c r="O623" s="3" t="b">
        <v>0</v>
      </c>
    </row>
    <row r="624" spans="1:15" x14ac:dyDescent="0.3">
      <c r="A624" s="27" t="s">
        <v>2431</v>
      </c>
      <c r="B624" s="27"/>
      <c r="C624" s="27"/>
      <c r="D624" s="27"/>
      <c r="E624" s="21" t="s">
        <v>961</v>
      </c>
      <c r="F624" s="3" t="s">
        <v>962</v>
      </c>
      <c r="G624" s="3" t="s">
        <v>922</v>
      </c>
      <c r="H624" s="3" t="s">
        <v>851</v>
      </c>
      <c r="I624" s="3" t="s">
        <v>52</v>
      </c>
      <c r="J624" s="3" t="s">
        <v>51</v>
      </c>
      <c r="K624" s="3" t="b">
        <v>1</v>
      </c>
      <c r="L624" s="3"/>
      <c r="M624" s="3" t="b">
        <v>1</v>
      </c>
      <c r="N624" s="3" t="b">
        <v>0</v>
      </c>
      <c r="O624" s="3" t="b">
        <v>0</v>
      </c>
    </row>
    <row r="625" spans="1:15" x14ac:dyDescent="0.3">
      <c r="A625" s="27" t="s">
        <v>2431</v>
      </c>
      <c r="B625" s="27"/>
      <c r="C625" s="27"/>
      <c r="D625" s="27"/>
      <c r="E625" s="21" t="s">
        <v>963</v>
      </c>
      <c r="F625" s="3" t="s">
        <v>964</v>
      </c>
      <c r="G625" s="3" t="s">
        <v>922</v>
      </c>
      <c r="H625" s="3" t="s">
        <v>851</v>
      </c>
      <c r="I625" s="3" t="s">
        <v>52</v>
      </c>
      <c r="J625" s="3" t="s">
        <v>51</v>
      </c>
      <c r="K625" s="3" t="b">
        <v>1</v>
      </c>
      <c r="L625" s="3"/>
      <c r="M625" s="3" t="b">
        <v>1</v>
      </c>
      <c r="N625" s="3" t="b">
        <v>0</v>
      </c>
      <c r="O625" s="3" t="b">
        <v>0</v>
      </c>
    </row>
    <row r="626" spans="1:15" x14ac:dyDescent="0.3">
      <c r="A626" s="27" t="s">
        <v>2431</v>
      </c>
      <c r="B626" s="27"/>
      <c r="C626" s="27"/>
      <c r="D626" s="27"/>
      <c r="E626" s="21" t="s">
        <v>965</v>
      </c>
      <c r="F626" s="3" t="s">
        <v>966</v>
      </c>
      <c r="G626" s="3" t="s">
        <v>922</v>
      </c>
      <c r="H626" s="3" t="s">
        <v>851</v>
      </c>
      <c r="I626" s="3" t="s">
        <v>52</v>
      </c>
      <c r="J626" s="3" t="s">
        <v>51</v>
      </c>
      <c r="K626" s="3" t="b">
        <v>1</v>
      </c>
      <c r="L626" s="3"/>
      <c r="M626" s="3" t="b">
        <v>1</v>
      </c>
      <c r="N626" s="3" t="b">
        <v>0</v>
      </c>
      <c r="O626" s="3" t="b">
        <v>0</v>
      </c>
    </row>
    <row r="627" spans="1:15" x14ac:dyDescent="0.3">
      <c r="A627" s="27" t="s">
        <v>2431</v>
      </c>
      <c r="B627" s="27"/>
      <c r="C627" s="27"/>
      <c r="D627" s="27"/>
      <c r="E627" s="21" t="s">
        <v>1525</v>
      </c>
      <c r="F627" s="3" t="s">
        <v>1533</v>
      </c>
      <c r="G627" s="3" t="s">
        <v>922</v>
      </c>
      <c r="H627" s="3" t="s">
        <v>52</v>
      </c>
      <c r="I627" s="3" t="s">
        <v>52</v>
      </c>
      <c r="J627" s="3" t="s">
        <v>51</v>
      </c>
      <c r="K627" s="3" t="b">
        <v>1</v>
      </c>
      <c r="L627" s="3"/>
      <c r="M627" s="3" t="b">
        <v>1</v>
      </c>
      <c r="N627" s="3" t="b">
        <v>0</v>
      </c>
      <c r="O627" s="3" t="b">
        <v>0</v>
      </c>
    </row>
    <row r="628" spans="1:15" x14ac:dyDescent="0.3">
      <c r="A628" s="27" t="s">
        <v>2431</v>
      </c>
      <c r="B628" s="27"/>
      <c r="C628" s="27"/>
      <c r="D628" s="27"/>
      <c r="E628" s="21" t="s">
        <v>1526</v>
      </c>
      <c r="F628" s="3" t="s">
        <v>1534</v>
      </c>
      <c r="G628" s="3" t="s">
        <v>922</v>
      </c>
      <c r="H628" s="3" t="s">
        <v>52</v>
      </c>
      <c r="I628" s="3" t="s">
        <v>52</v>
      </c>
      <c r="J628" s="3" t="s">
        <v>51</v>
      </c>
      <c r="K628" s="3" t="b">
        <v>1</v>
      </c>
      <c r="L628" s="3"/>
      <c r="M628" s="3" t="b">
        <v>1</v>
      </c>
      <c r="N628" s="3" t="b">
        <v>0</v>
      </c>
      <c r="O628" s="3" t="b">
        <v>0</v>
      </c>
    </row>
    <row r="629" spans="1:15" x14ac:dyDescent="0.3">
      <c r="A629" s="27" t="s">
        <v>2431</v>
      </c>
      <c r="B629" s="27"/>
      <c r="C629" s="27"/>
      <c r="D629" s="27"/>
      <c r="E629" s="21" t="s">
        <v>973</v>
      </c>
      <c r="F629" s="3" t="s">
        <v>974</v>
      </c>
      <c r="G629" s="3" t="s">
        <v>922</v>
      </c>
      <c r="H629" s="3" t="s">
        <v>854</v>
      </c>
      <c r="I629" s="3" t="s">
        <v>52</v>
      </c>
      <c r="J629" s="3" t="s">
        <v>51</v>
      </c>
      <c r="K629" s="3" t="b">
        <v>1</v>
      </c>
      <c r="L629" s="3"/>
      <c r="M629" s="3" t="b">
        <v>1</v>
      </c>
      <c r="N629" s="3" t="b">
        <v>0</v>
      </c>
      <c r="O629" s="3" t="b">
        <v>0</v>
      </c>
    </row>
    <row r="630" spans="1:15" x14ac:dyDescent="0.3">
      <c r="A630" s="27" t="s">
        <v>2431</v>
      </c>
      <c r="B630" s="27" t="s">
        <v>1464</v>
      </c>
      <c r="C630" s="27"/>
      <c r="D630" s="27" t="s">
        <v>1481</v>
      </c>
      <c r="E630" s="21" t="s">
        <v>1759</v>
      </c>
      <c r="F630" s="3" t="s">
        <v>1551</v>
      </c>
      <c r="G630" s="3" t="s">
        <v>978</v>
      </c>
      <c r="H630" s="3" t="s">
        <v>52</v>
      </c>
      <c r="I630" s="3" t="s">
        <v>52</v>
      </c>
      <c r="J630" s="3" t="s">
        <v>51</v>
      </c>
      <c r="K630" s="3" t="b">
        <v>1</v>
      </c>
      <c r="L630" s="3"/>
      <c r="M630" s="3" t="b">
        <v>1</v>
      </c>
      <c r="N630" s="3" t="b">
        <v>0</v>
      </c>
      <c r="O630" s="3" t="b">
        <v>0</v>
      </c>
    </row>
    <row r="631" spans="1:15" x14ac:dyDescent="0.3">
      <c r="A631" s="27" t="s">
        <v>2431</v>
      </c>
      <c r="B631" s="27" t="s">
        <v>1466</v>
      </c>
      <c r="C631" s="27"/>
      <c r="D631" s="27" t="s">
        <v>1481</v>
      </c>
      <c r="E631" s="21" t="s">
        <v>1759</v>
      </c>
      <c r="F631" s="3" t="s">
        <v>1551</v>
      </c>
      <c r="G631" s="3" t="s">
        <v>978</v>
      </c>
      <c r="H631" s="3" t="s">
        <v>52</v>
      </c>
      <c r="I631" s="3" t="s">
        <v>52</v>
      </c>
      <c r="J631" s="3" t="s">
        <v>51</v>
      </c>
      <c r="K631" s="3" t="b">
        <v>1</v>
      </c>
      <c r="L631" s="3"/>
      <c r="M631" s="3" t="b">
        <v>1</v>
      </c>
      <c r="N631" s="3" t="b">
        <v>0</v>
      </c>
      <c r="O631" s="3" t="b">
        <v>0</v>
      </c>
    </row>
    <row r="632" spans="1:15" x14ac:dyDescent="0.3">
      <c r="A632" s="27" t="s">
        <v>2431</v>
      </c>
      <c r="B632" s="27" t="s">
        <v>1467</v>
      </c>
      <c r="C632" s="27"/>
      <c r="D632" s="27" t="s">
        <v>1481</v>
      </c>
      <c r="E632" s="21" t="s">
        <v>1759</v>
      </c>
      <c r="F632" s="3" t="s">
        <v>1551</v>
      </c>
      <c r="G632" s="3" t="s">
        <v>978</v>
      </c>
      <c r="H632" s="3" t="s">
        <v>52</v>
      </c>
      <c r="I632" s="3" t="s">
        <v>52</v>
      </c>
      <c r="J632" s="3" t="s">
        <v>51</v>
      </c>
      <c r="K632" s="3" t="b">
        <v>1</v>
      </c>
      <c r="L632" s="3"/>
      <c r="M632" s="3" t="b">
        <v>1</v>
      </c>
      <c r="N632" s="3" t="b">
        <v>0</v>
      </c>
      <c r="O632" s="3" t="b">
        <v>0</v>
      </c>
    </row>
    <row r="633" spans="1:15" x14ac:dyDescent="0.3">
      <c r="A633" s="27" t="s">
        <v>2431</v>
      </c>
      <c r="B633" s="27" t="s">
        <v>1468</v>
      </c>
      <c r="C633" s="27"/>
      <c r="D633" s="27" t="s">
        <v>1481</v>
      </c>
      <c r="E633" s="21" t="s">
        <v>1759</v>
      </c>
      <c r="F633" s="3" t="s">
        <v>1551</v>
      </c>
      <c r="G633" s="3" t="s">
        <v>978</v>
      </c>
      <c r="H633" s="3" t="s">
        <v>52</v>
      </c>
      <c r="I633" s="3" t="s">
        <v>52</v>
      </c>
      <c r="J633" s="3" t="s">
        <v>51</v>
      </c>
      <c r="K633" s="3" t="b">
        <v>1</v>
      </c>
      <c r="L633" s="3"/>
      <c r="M633" s="3" t="b">
        <v>1</v>
      </c>
      <c r="N633" s="3" t="b">
        <v>0</v>
      </c>
      <c r="O633" s="3" t="b">
        <v>0</v>
      </c>
    </row>
    <row r="634" spans="1:15" x14ac:dyDescent="0.3">
      <c r="A634" s="27" t="s">
        <v>2431</v>
      </c>
      <c r="B634" s="27" t="s">
        <v>1469</v>
      </c>
      <c r="C634" s="27"/>
      <c r="D634" s="27" t="s">
        <v>1481</v>
      </c>
      <c r="E634" s="21" t="s">
        <v>1759</v>
      </c>
      <c r="F634" s="3" t="s">
        <v>1551</v>
      </c>
      <c r="G634" s="3" t="s">
        <v>978</v>
      </c>
      <c r="H634" s="3" t="s">
        <v>52</v>
      </c>
      <c r="I634" s="3" t="s">
        <v>52</v>
      </c>
      <c r="J634" s="3" t="s">
        <v>51</v>
      </c>
      <c r="K634" s="3" t="b">
        <v>1</v>
      </c>
      <c r="L634" s="3"/>
      <c r="M634" s="3" t="b">
        <v>1</v>
      </c>
      <c r="N634" s="3" t="b">
        <v>0</v>
      </c>
      <c r="O634" s="3" t="b">
        <v>0</v>
      </c>
    </row>
    <row r="635" spans="1:15" x14ac:dyDescent="0.3">
      <c r="A635" s="27" t="s">
        <v>2431</v>
      </c>
      <c r="B635" s="27" t="s">
        <v>1470</v>
      </c>
      <c r="C635" s="27"/>
      <c r="D635" s="27" t="s">
        <v>1481</v>
      </c>
      <c r="E635" s="21" t="s">
        <v>1759</v>
      </c>
      <c r="F635" s="3" t="s">
        <v>1551</v>
      </c>
      <c r="G635" s="3" t="s">
        <v>978</v>
      </c>
      <c r="H635" s="3" t="s">
        <v>52</v>
      </c>
      <c r="I635" s="3" t="s">
        <v>52</v>
      </c>
      <c r="J635" s="3" t="s">
        <v>51</v>
      </c>
      <c r="K635" s="3" t="b">
        <v>1</v>
      </c>
      <c r="L635" s="3"/>
      <c r="M635" s="3" t="b">
        <v>1</v>
      </c>
      <c r="N635" s="3" t="b">
        <v>0</v>
      </c>
      <c r="O635" s="3" t="b">
        <v>0</v>
      </c>
    </row>
    <row r="636" spans="1:15" x14ac:dyDescent="0.3">
      <c r="A636" s="27" t="s">
        <v>2431</v>
      </c>
      <c r="B636" s="27" t="s">
        <v>1934</v>
      </c>
      <c r="C636" s="27"/>
      <c r="D636" s="27" t="s">
        <v>1481</v>
      </c>
      <c r="E636" s="12" t="s">
        <v>1759</v>
      </c>
      <c r="F636" s="3" t="s">
        <v>1551</v>
      </c>
      <c r="G636" s="3" t="s">
        <v>978</v>
      </c>
      <c r="H636" s="3" t="s">
        <v>52</v>
      </c>
      <c r="I636" s="3" t="s">
        <v>52</v>
      </c>
      <c r="J636" s="3" t="s">
        <v>51</v>
      </c>
      <c r="K636" s="3" t="b">
        <v>1</v>
      </c>
      <c r="L636" s="3"/>
      <c r="M636" s="3" t="b">
        <v>1</v>
      </c>
      <c r="N636" s="3" t="b">
        <v>0</v>
      </c>
      <c r="O636" s="3" t="b">
        <v>0</v>
      </c>
    </row>
    <row r="637" spans="1:15" x14ac:dyDescent="0.3">
      <c r="A637" s="27" t="s">
        <v>2431</v>
      </c>
      <c r="B637" s="27" t="s">
        <v>1935</v>
      </c>
      <c r="C637" s="27"/>
      <c r="D637" s="27" t="s">
        <v>1481</v>
      </c>
      <c r="E637" s="12" t="s">
        <v>1759</v>
      </c>
      <c r="F637" s="3" t="s">
        <v>1551</v>
      </c>
      <c r="G637" s="3" t="s">
        <v>978</v>
      </c>
      <c r="H637" s="3" t="s">
        <v>52</v>
      </c>
      <c r="I637" s="3" t="s">
        <v>52</v>
      </c>
      <c r="J637" s="3" t="s">
        <v>51</v>
      </c>
      <c r="K637" s="3" t="b">
        <v>1</v>
      </c>
      <c r="L637" s="3"/>
      <c r="M637" s="3" t="b">
        <v>1</v>
      </c>
      <c r="N637" s="3" t="b">
        <v>0</v>
      </c>
      <c r="O637" s="3" t="b">
        <v>0</v>
      </c>
    </row>
    <row r="638" spans="1:15" x14ac:dyDescent="0.3">
      <c r="A638" s="27" t="s">
        <v>2431</v>
      </c>
      <c r="B638" s="27" t="s">
        <v>1936</v>
      </c>
      <c r="C638" s="27"/>
      <c r="D638" s="27" t="s">
        <v>1481</v>
      </c>
      <c r="E638" s="12" t="s">
        <v>1759</v>
      </c>
      <c r="F638" s="3" t="s">
        <v>1551</v>
      </c>
      <c r="G638" s="3" t="s">
        <v>978</v>
      </c>
      <c r="H638" s="3" t="s">
        <v>52</v>
      </c>
      <c r="I638" s="3" t="s">
        <v>52</v>
      </c>
      <c r="J638" s="3" t="s">
        <v>51</v>
      </c>
      <c r="K638" s="3" t="b">
        <v>1</v>
      </c>
      <c r="L638" s="3"/>
      <c r="M638" s="3" t="b">
        <v>1</v>
      </c>
      <c r="N638" s="3" t="b">
        <v>0</v>
      </c>
      <c r="O638" s="3" t="b">
        <v>0</v>
      </c>
    </row>
    <row r="639" spans="1:15" x14ac:dyDescent="0.3">
      <c r="A639" s="27" t="s">
        <v>2431</v>
      </c>
      <c r="B639" s="27" t="s">
        <v>1937</v>
      </c>
      <c r="C639" s="27"/>
      <c r="D639" s="27" t="s">
        <v>1481</v>
      </c>
      <c r="E639" s="12" t="s">
        <v>1759</v>
      </c>
      <c r="F639" s="3" t="s">
        <v>1551</v>
      </c>
      <c r="G639" s="3" t="s">
        <v>978</v>
      </c>
      <c r="H639" s="3" t="s">
        <v>52</v>
      </c>
      <c r="I639" s="3" t="s">
        <v>52</v>
      </c>
      <c r="J639" s="3" t="s">
        <v>51</v>
      </c>
      <c r="K639" s="3" t="b">
        <v>1</v>
      </c>
      <c r="L639" s="3"/>
      <c r="M639" s="3" t="b">
        <v>1</v>
      </c>
      <c r="N639" s="3" t="b">
        <v>0</v>
      </c>
      <c r="O639" s="3" t="b">
        <v>0</v>
      </c>
    </row>
    <row r="640" spans="1:15" x14ac:dyDescent="0.3">
      <c r="A640" s="27" t="s">
        <v>2431</v>
      </c>
      <c r="B640" s="27" t="s">
        <v>1938</v>
      </c>
      <c r="C640" s="27"/>
      <c r="D640" s="27" t="s">
        <v>1481</v>
      </c>
      <c r="E640" s="12" t="s">
        <v>1759</v>
      </c>
      <c r="F640" s="3" t="s">
        <v>1551</v>
      </c>
      <c r="G640" s="3" t="s">
        <v>978</v>
      </c>
      <c r="H640" s="3" t="s">
        <v>52</v>
      </c>
      <c r="I640" s="3" t="s">
        <v>52</v>
      </c>
      <c r="J640" s="3" t="s">
        <v>51</v>
      </c>
      <c r="K640" s="3" t="b">
        <v>1</v>
      </c>
      <c r="L640" s="3"/>
      <c r="M640" s="3" t="b">
        <v>1</v>
      </c>
      <c r="N640" s="3" t="b">
        <v>0</v>
      </c>
      <c r="O640" s="3" t="b">
        <v>0</v>
      </c>
    </row>
    <row r="641" spans="1:15" x14ac:dyDescent="0.3">
      <c r="A641" s="27" t="s">
        <v>2431</v>
      </c>
      <c r="B641" s="27" t="s">
        <v>1939</v>
      </c>
      <c r="C641" s="27"/>
      <c r="D641" s="27" t="s">
        <v>1481</v>
      </c>
      <c r="E641" s="12" t="s">
        <v>1759</v>
      </c>
      <c r="F641" s="3" t="s">
        <v>1551</v>
      </c>
      <c r="G641" s="3" t="s">
        <v>978</v>
      </c>
      <c r="H641" s="3" t="s">
        <v>52</v>
      </c>
      <c r="I641" s="3" t="s">
        <v>52</v>
      </c>
      <c r="J641" s="3" t="s">
        <v>51</v>
      </c>
      <c r="K641" s="3" t="b">
        <v>1</v>
      </c>
      <c r="L641" s="3"/>
      <c r="M641" s="3" t="b">
        <v>1</v>
      </c>
      <c r="N641" s="3" t="b">
        <v>0</v>
      </c>
      <c r="O641" s="3" t="b">
        <v>0</v>
      </c>
    </row>
    <row r="642" spans="1:15" x14ac:dyDescent="0.3">
      <c r="A642" s="27" t="s">
        <v>2431</v>
      </c>
      <c r="B642" s="27" t="s">
        <v>1464</v>
      </c>
      <c r="C642" s="27"/>
      <c r="D642" s="27" t="s">
        <v>1594</v>
      </c>
      <c r="E642" s="21" t="s">
        <v>1760</v>
      </c>
      <c r="F642" s="3" t="s">
        <v>1552</v>
      </c>
      <c r="G642" s="3" t="s">
        <v>978</v>
      </c>
      <c r="H642" s="3" t="s">
        <v>52</v>
      </c>
      <c r="I642" s="3" t="s">
        <v>52</v>
      </c>
      <c r="J642" s="3" t="s">
        <v>51</v>
      </c>
      <c r="K642" s="3" t="b">
        <v>1</v>
      </c>
      <c r="L642" s="3"/>
      <c r="M642" s="3" t="b">
        <v>1</v>
      </c>
      <c r="N642" s="3" t="b">
        <v>0</v>
      </c>
      <c r="O642" s="3" t="b">
        <v>0</v>
      </c>
    </row>
    <row r="643" spans="1:15" x14ac:dyDescent="0.3">
      <c r="A643" s="27" t="s">
        <v>2431</v>
      </c>
      <c r="B643" s="27" t="s">
        <v>1466</v>
      </c>
      <c r="C643" s="27"/>
      <c r="D643" s="27" t="s">
        <v>1594</v>
      </c>
      <c r="E643" s="21" t="s">
        <v>1760</v>
      </c>
      <c r="F643" s="3" t="s">
        <v>1552</v>
      </c>
      <c r="G643" s="3" t="s">
        <v>978</v>
      </c>
      <c r="H643" s="3" t="s">
        <v>52</v>
      </c>
      <c r="I643" s="3" t="s">
        <v>52</v>
      </c>
      <c r="J643" s="3" t="s">
        <v>51</v>
      </c>
      <c r="K643" s="3" t="b">
        <v>1</v>
      </c>
      <c r="L643" s="3"/>
      <c r="M643" s="3" t="b">
        <v>1</v>
      </c>
      <c r="N643" s="3" t="b">
        <v>0</v>
      </c>
      <c r="O643" s="3" t="b">
        <v>0</v>
      </c>
    </row>
    <row r="644" spans="1:15" x14ac:dyDescent="0.3">
      <c r="A644" s="27" t="s">
        <v>2431</v>
      </c>
      <c r="B644" s="27" t="s">
        <v>1467</v>
      </c>
      <c r="C644" s="27"/>
      <c r="D644" s="27" t="s">
        <v>1594</v>
      </c>
      <c r="E644" s="21" t="s">
        <v>1760</v>
      </c>
      <c r="F644" s="3" t="s">
        <v>1552</v>
      </c>
      <c r="G644" s="3" t="s">
        <v>978</v>
      </c>
      <c r="H644" s="3" t="s">
        <v>52</v>
      </c>
      <c r="I644" s="3" t="s">
        <v>52</v>
      </c>
      <c r="J644" s="3" t="s">
        <v>51</v>
      </c>
      <c r="K644" s="3" t="b">
        <v>1</v>
      </c>
      <c r="L644" s="3"/>
      <c r="M644" s="3" t="b">
        <v>1</v>
      </c>
      <c r="N644" s="3" t="b">
        <v>0</v>
      </c>
      <c r="O644" s="3" t="b">
        <v>0</v>
      </c>
    </row>
    <row r="645" spans="1:15" x14ac:dyDescent="0.3">
      <c r="A645" s="27" t="s">
        <v>2431</v>
      </c>
      <c r="B645" s="27" t="s">
        <v>1468</v>
      </c>
      <c r="C645" s="27"/>
      <c r="D645" s="27" t="s">
        <v>1594</v>
      </c>
      <c r="E645" s="21" t="s">
        <v>1760</v>
      </c>
      <c r="F645" s="3" t="s">
        <v>1552</v>
      </c>
      <c r="G645" s="3" t="s">
        <v>978</v>
      </c>
      <c r="H645" s="3" t="s">
        <v>52</v>
      </c>
      <c r="I645" s="3" t="s">
        <v>52</v>
      </c>
      <c r="J645" s="3" t="s">
        <v>51</v>
      </c>
      <c r="K645" s="3" t="b">
        <v>1</v>
      </c>
      <c r="L645" s="3"/>
      <c r="M645" s="3" t="b">
        <v>1</v>
      </c>
      <c r="N645" s="3" t="b">
        <v>0</v>
      </c>
      <c r="O645" s="3" t="b">
        <v>0</v>
      </c>
    </row>
    <row r="646" spans="1:15" x14ac:dyDescent="0.3">
      <c r="A646" s="27" t="s">
        <v>2431</v>
      </c>
      <c r="B646" s="27" t="s">
        <v>1469</v>
      </c>
      <c r="C646" s="27"/>
      <c r="D646" s="27" t="s">
        <v>1594</v>
      </c>
      <c r="E646" s="21" t="s">
        <v>1760</v>
      </c>
      <c r="F646" s="3" t="s">
        <v>1552</v>
      </c>
      <c r="G646" s="3" t="s">
        <v>978</v>
      </c>
      <c r="H646" s="3" t="s">
        <v>52</v>
      </c>
      <c r="I646" s="3" t="s">
        <v>52</v>
      </c>
      <c r="J646" s="3" t="s">
        <v>51</v>
      </c>
      <c r="K646" s="3" t="b">
        <v>1</v>
      </c>
      <c r="L646" s="3"/>
      <c r="M646" s="3" t="b">
        <v>1</v>
      </c>
      <c r="N646" s="3" t="b">
        <v>0</v>
      </c>
      <c r="O646" s="3" t="b">
        <v>0</v>
      </c>
    </row>
    <row r="647" spans="1:15" x14ac:dyDescent="0.3">
      <c r="A647" s="27" t="s">
        <v>2431</v>
      </c>
      <c r="B647" s="27" t="s">
        <v>1470</v>
      </c>
      <c r="C647" s="27"/>
      <c r="D647" s="27" t="s">
        <v>1594</v>
      </c>
      <c r="E647" s="21" t="s">
        <v>1760</v>
      </c>
      <c r="F647" s="3" t="s">
        <v>1552</v>
      </c>
      <c r="G647" s="3" t="s">
        <v>978</v>
      </c>
      <c r="H647" s="3" t="s">
        <v>52</v>
      </c>
      <c r="I647" s="3" t="s">
        <v>52</v>
      </c>
      <c r="J647" s="3" t="s">
        <v>51</v>
      </c>
      <c r="K647" s="3" t="b">
        <v>1</v>
      </c>
      <c r="L647" s="3"/>
      <c r="M647" s="3" t="b">
        <v>1</v>
      </c>
      <c r="N647" s="3" t="b">
        <v>0</v>
      </c>
      <c r="O647" s="3" t="b">
        <v>0</v>
      </c>
    </row>
    <row r="648" spans="1:15" x14ac:dyDescent="0.3">
      <c r="A648" s="27" t="s">
        <v>2431</v>
      </c>
      <c r="B648" s="27" t="s">
        <v>1934</v>
      </c>
      <c r="C648" s="27"/>
      <c r="D648" s="27" t="s">
        <v>1594</v>
      </c>
      <c r="E648" s="12" t="s">
        <v>1760</v>
      </c>
      <c r="F648" s="3" t="s">
        <v>1552</v>
      </c>
      <c r="G648" s="3" t="s">
        <v>978</v>
      </c>
      <c r="H648" s="3" t="s">
        <v>52</v>
      </c>
      <c r="I648" s="3" t="s">
        <v>52</v>
      </c>
      <c r="J648" s="3" t="s">
        <v>51</v>
      </c>
      <c r="K648" s="3" t="b">
        <v>1</v>
      </c>
      <c r="L648" s="3"/>
      <c r="M648" s="3" t="b">
        <v>1</v>
      </c>
      <c r="N648" s="3" t="b">
        <v>0</v>
      </c>
      <c r="O648" s="3" t="b">
        <v>0</v>
      </c>
    </row>
    <row r="649" spans="1:15" x14ac:dyDescent="0.3">
      <c r="A649" s="27" t="s">
        <v>2431</v>
      </c>
      <c r="B649" s="27" t="s">
        <v>1935</v>
      </c>
      <c r="C649" s="27"/>
      <c r="D649" s="27" t="s">
        <v>1594</v>
      </c>
      <c r="E649" s="12" t="s">
        <v>1760</v>
      </c>
      <c r="F649" s="3" t="s">
        <v>1552</v>
      </c>
      <c r="G649" s="3" t="s">
        <v>978</v>
      </c>
      <c r="H649" s="3" t="s">
        <v>52</v>
      </c>
      <c r="I649" s="3" t="s">
        <v>52</v>
      </c>
      <c r="J649" s="3" t="s">
        <v>51</v>
      </c>
      <c r="K649" s="3" t="b">
        <v>1</v>
      </c>
      <c r="L649" s="3"/>
      <c r="M649" s="3" t="b">
        <v>1</v>
      </c>
      <c r="N649" s="3" t="b">
        <v>0</v>
      </c>
      <c r="O649" s="3" t="b">
        <v>0</v>
      </c>
    </row>
    <row r="650" spans="1:15" x14ac:dyDescent="0.3">
      <c r="A650" s="27" t="s">
        <v>2431</v>
      </c>
      <c r="B650" s="27" t="s">
        <v>1936</v>
      </c>
      <c r="C650" s="27"/>
      <c r="D650" s="27" t="s">
        <v>1594</v>
      </c>
      <c r="E650" s="12" t="s">
        <v>1760</v>
      </c>
      <c r="F650" s="3" t="s">
        <v>1552</v>
      </c>
      <c r="G650" s="3" t="s">
        <v>978</v>
      </c>
      <c r="H650" s="3" t="s">
        <v>52</v>
      </c>
      <c r="I650" s="3" t="s">
        <v>52</v>
      </c>
      <c r="J650" s="3" t="s">
        <v>51</v>
      </c>
      <c r="K650" s="3" t="b">
        <v>1</v>
      </c>
      <c r="L650" s="3"/>
      <c r="M650" s="3" t="b">
        <v>1</v>
      </c>
      <c r="N650" s="3" t="b">
        <v>0</v>
      </c>
      <c r="O650" s="3" t="b">
        <v>0</v>
      </c>
    </row>
    <row r="651" spans="1:15" x14ac:dyDescent="0.3">
      <c r="A651" s="27" t="s">
        <v>2431</v>
      </c>
      <c r="B651" s="27" t="s">
        <v>1937</v>
      </c>
      <c r="C651" s="27"/>
      <c r="D651" s="27" t="s">
        <v>1594</v>
      </c>
      <c r="E651" s="12" t="s">
        <v>1760</v>
      </c>
      <c r="F651" s="3" t="s">
        <v>1552</v>
      </c>
      <c r="G651" s="3" t="s">
        <v>978</v>
      </c>
      <c r="H651" s="3" t="s">
        <v>52</v>
      </c>
      <c r="I651" s="3" t="s">
        <v>52</v>
      </c>
      <c r="J651" s="3" t="s">
        <v>51</v>
      </c>
      <c r="K651" s="3" t="b">
        <v>1</v>
      </c>
      <c r="L651" s="3"/>
      <c r="M651" s="3" t="b">
        <v>1</v>
      </c>
      <c r="N651" s="3" t="b">
        <v>0</v>
      </c>
      <c r="O651" s="3" t="b">
        <v>0</v>
      </c>
    </row>
    <row r="652" spans="1:15" x14ac:dyDescent="0.3">
      <c r="A652" s="27" t="s">
        <v>2431</v>
      </c>
      <c r="B652" s="27" t="s">
        <v>1938</v>
      </c>
      <c r="C652" s="27"/>
      <c r="D652" s="27" t="s">
        <v>1594</v>
      </c>
      <c r="E652" s="12" t="s">
        <v>1760</v>
      </c>
      <c r="F652" s="3" t="s">
        <v>1552</v>
      </c>
      <c r="G652" s="3" t="s">
        <v>978</v>
      </c>
      <c r="H652" s="3" t="s">
        <v>52</v>
      </c>
      <c r="I652" s="3" t="s">
        <v>52</v>
      </c>
      <c r="J652" s="3" t="s">
        <v>51</v>
      </c>
      <c r="K652" s="3" t="b">
        <v>1</v>
      </c>
      <c r="L652" s="3"/>
      <c r="M652" s="3" t="b">
        <v>1</v>
      </c>
      <c r="N652" s="3" t="b">
        <v>0</v>
      </c>
      <c r="O652" s="3" t="b">
        <v>0</v>
      </c>
    </row>
    <row r="653" spans="1:15" x14ac:dyDescent="0.3">
      <c r="A653" s="27" t="s">
        <v>2431</v>
      </c>
      <c r="B653" s="27" t="s">
        <v>1939</v>
      </c>
      <c r="C653" s="27"/>
      <c r="D653" s="27" t="s">
        <v>1594</v>
      </c>
      <c r="E653" s="12" t="s">
        <v>1760</v>
      </c>
      <c r="F653" s="3" t="s">
        <v>1552</v>
      </c>
      <c r="G653" s="3" t="s">
        <v>978</v>
      </c>
      <c r="H653" s="3" t="s">
        <v>52</v>
      </c>
      <c r="I653" s="3" t="s">
        <v>52</v>
      </c>
      <c r="J653" s="3" t="s">
        <v>51</v>
      </c>
      <c r="K653" s="3" t="b">
        <v>1</v>
      </c>
      <c r="L653" s="3"/>
      <c r="M653" s="3" t="b">
        <v>1</v>
      </c>
      <c r="N653" s="3" t="b">
        <v>0</v>
      </c>
      <c r="O653" s="3" t="b">
        <v>0</v>
      </c>
    </row>
    <row r="654" spans="1:15" x14ac:dyDescent="0.3">
      <c r="A654" s="27" t="s">
        <v>2431</v>
      </c>
      <c r="B654" s="27"/>
      <c r="C654" s="27"/>
      <c r="D654" s="27"/>
      <c r="E654" s="12" t="s">
        <v>1005</v>
      </c>
      <c r="F654" s="3" t="s">
        <v>1006</v>
      </c>
      <c r="G654" s="3" t="s">
        <v>978</v>
      </c>
      <c r="H654" s="3" t="s">
        <v>52</v>
      </c>
      <c r="I654" s="3" t="s">
        <v>52</v>
      </c>
      <c r="J654" s="3" t="s">
        <v>51</v>
      </c>
      <c r="K654" s="3" t="b">
        <v>1</v>
      </c>
      <c r="L654" s="3"/>
      <c r="M654" s="3" t="b">
        <v>1</v>
      </c>
      <c r="N654" s="3" t="b">
        <v>0</v>
      </c>
      <c r="O654" s="3" t="b">
        <v>0</v>
      </c>
    </row>
    <row r="655" spans="1:15" x14ac:dyDescent="0.3">
      <c r="A655" s="27" t="s">
        <v>2431</v>
      </c>
      <c r="B655" s="27" t="s">
        <v>1464</v>
      </c>
      <c r="C655" s="27"/>
      <c r="D655" s="27" t="s">
        <v>1631</v>
      </c>
      <c r="E655" s="21" t="s">
        <v>1761</v>
      </c>
      <c r="F655" s="3" t="s">
        <v>1550</v>
      </c>
      <c r="G655" s="3" t="s">
        <v>978</v>
      </c>
      <c r="H655" s="3" t="s">
        <v>52</v>
      </c>
      <c r="I655" s="3" t="s">
        <v>52</v>
      </c>
      <c r="J655" s="3" t="s">
        <v>51</v>
      </c>
      <c r="K655" s="3" t="b">
        <v>1</v>
      </c>
      <c r="L655" s="3"/>
      <c r="M655" s="3" t="b">
        <v>1</v>
      </c>
      <c r="N655" s="3" t="b">
        <v>0</v>
      </c>
      <c r="O655" s="3" t="b">
        <v>0</v>
      </c>
    </row>
    <row r="656" spans="1:15" x14ac:dyDescent="0.3">
      <c r="A656" s="27" t="s">
        <v>2431</v>
      </c>
      <c r="B656" s="27" t="s">
        <v>1466</v>
      </c>
      <c r="C656" s="27"/>
      <c r="D656" s="27" t="s">
        <v>1631</v>
      </c>
      <c r="E656" s="21" t="s">
        <v>1761</v>
      </c>
      <c r="F656" s="3" t="s">
        <v>1550</v>
      </c>
      <c r="G656" s="3" t="s">
        <v>978</v>
      </c>
      <c r="H656" s="3" t="s">
        <v>52</v>
      </c>
      <c r="I656" s="3" t="s">
        <v>52</v>
      </c>
      <c r="J656" s="3" t="s">
        <v>51</v>
      </c>
      <c r="K656" s="3" t="b">
        <v>1</v>
      </c>
      <c r="L656" s="3"/>
      <c r="M656" s="3" t="b">
        <v>1</v>
      </c>
      <c r="N656" s="3" t="b">
        <v>0</v>
      </c>
      <c r="O656" s="3" t="b">
        <v>0</v>
      </c>
    </row>
    <row r="657" spans="1:15" x14ac:dyDescent="0.3">
      <c r="A657" s="27" t="s">
        <v>2431</v>
      </c>
      <c r="B657" s="27" t="s">
        <v>1467</v>
      </c>
      <c r="C657" s="27"/>
      <c r="D657" s="27" t="s">
        <v>1631</v>
      </c>
      <c r="E657" s="21" t="s">
        <v>1761</v>
      </c>
      <c r="F657" s="3" t="s">
        <v>1550</v>
      </c>
      <c r="G657" s="3" t="s">
        <v>978</v>
      </c>
      <c r="H657" s="3" t="s">
        <v>52</v>
      </c>
      <c r="I657" s="3" t="s">
        <v>52</v>
      </c>
      <c r="J657" s="3" t="s">
        <v>51</v>
      </c>
      <c r="K657" s="3" t="b">
        <v>1</v>
      </c>
      <c r="L657" s="3"/>
      <c r="M657" s="3" t="b">
        <v>1</v>
      </c>
      <c r="N657" s="3" t="b">
        <v>0</v>
      </c>
      <c r="O657" s="3" t="b">
        <v>0</v>
      </c>
    </row>
    <row r="658" spans="1:15" x14ac:dyDescent="0.3">
      <c r="A658" s="27" t="s">
        <v>2431</v>
      </c>
      <c r="B658" s="27" t="s">
        <v>1468</v>
      </c>
      <c r="C658" s="27"/>
      <c r="D658" s="27" t="s">
        <v>1631</v>
      </c>
      <c r="E658" s="21" t="s">
        <v>1761</v>
      </c>
      <c r="F658" s="3" t="s">
        <v>1550</v>
      </c>
      <c r="G658" s="3" t="s">
        <v>978</v>
      </c>
      <c r="H658" s="3" t="s">
        <v>52</v>
      </c>
      <c r="I658" s="3" t="s">
        <v>52</v>
      </c>
      <c r="J658" s="3" t="s">
        <v>51</v>
      </c>
      <c r="K658" s="3" t="b">
        <v>1</v>
      </c>
      <c r="L658" s="3"/>
      <c r="M658" s="3" t="b">
        <v>1</v>
      </c>
      <c r="N658" s="3" t="b">
        <v>0</v>
      </c>
      <c r="O658" s="3" t="b">
        <v>0</v>
      </c>
    </row>
    <row r="659" spans="1:15" x14ac:dyDescent="0.3">
      <c r="A659" s="27" t="s">
        <v>2431</v>
      </c>
      <c r="B659" s="27" t="s">
        <v>1469</v>
      </c>
      <c r="C659" s="27"/>
      <c r="D659" s="27" t="s">
        <v>1631</v>
      </c>
      <c r="E659" s="21" t="s">
        <v>1761</v>
      </c>
      <c r="F659" s="3" t="s">
        <v>1550</v>
      </c>
      <c r="G659" s="3" t="s">
        <v>978</v>
      </c>
      <c r="H659" s="3" t="s">
        <v>52</v>
      </c>
      <c r="I659" s="3" t="s">
        <v>52</v>
      </c>
      <c r="J659" s="3" t="s">
        <v>51</v>
      </c>
      <c r="K659" s="3" t="b">
        <v>1</v>
      </c>
      <c r="L659" s="3"/>
      <c r="M659" s="3" t="b">
        <v>1</v>
      </c>
      <c r="N659" s="3" t="b">
        <v>0</v>
      </c>
      <c r="O659" s="3" t="b">
        <v>0</v>
      </c>
    </row>
    <row r="660" spans="1:15" x14ac:dyDescent="0.3">
      <c r="A660" s="27" t="s">
        <v>2431</v>
      </c>
      <c r="B660" s="27" t="s">
        <v>1470</v>
      </c>
      <c r="C660" s="27"/>
      <c r="D660" s="27" t="s">
        <v>1631</v>
      </c>
      <c r="E660" s="21" t="s">
        <v>1761</v>
      </c>
      <c r="F660" s="3" t="s">
        <v>1550</v>
      </c>
      <c r="G660" s="3" t="s">
        <v>978</v>
      </c>
      <c r="H660" s="3" t="s">
        <v>52</v>
      </c>
      <c r="I660" s="3" t="s">
        <v>52</v>
      </c>
      <c r="J660" s="3" t="s">
        <v>51</v>
      </c>
      <c r="K660" s="3" t="b">
        <v>1</v>
      </c>
      <c r="L660" s="3"/>
      <c r="M660" s="3" t="b">
        <v>1</v>
      </c>
      <c r="N660" s="3" t="b">
        <v>0</v>
      </c>
      <c r="O660" s="3" t="b">
        <v>0</v>
      </c>
    </row>
    <row r="661" spans="1:15" x14ac:dyDescent="0.3">
      <c r="A661" s="27" t="s">
        <v>2431</v>
      </c>
      <c r="B661" s="27" t="s">
        <v>1934</v>
      </c>
      <c r="C661" s="27"/>
      <c r="D661" s="27" t="s">
        <v>1631</v>
      </c>
      <c r="E661" s="12" t="s">
        <v>1761</v>
      </c>
      <c r="F661" s="3" t="s">
        <v>1550</v>
      </c>
      <c r="G661" s="3" t="s">
        <v>978</v>
      </c>
      <c r="H661" s="3" t="s">
        <v>52</v>
      </c>
      <c r="I661" s="3" t="s">
        <v>52</v>
      </c>
      <c r="J661" s="3" t="s">
        <v>51</v>
      </c>
      <c r="K661" s="3" t="b">
        <v>1</v>
      </c>
      <c r="L661" s="3"/>
      <c r="M661" s="3" t="b">
        <v>1</v>
      </c>
      <c r="N661" s="3" t="b">
        <v>0</v>
      </c>
      <c r="O661" s="3" t="b">
        <v>0</v>
      </c>
    </row>
    <row r="662" spans="1:15" x14ac:dyDescent="0.3">
      <c r="A662" s="27" t="s">
        <v>2431</v>
      </c>
      <c r="B662" s="27" t="s">
        <v>1935</v>
      </c>
      <c r="C662" s="27"/>
      <c r="D662" s="27" t="s">
        <v>1631</v>
      </c>
      <c r="E662" s="12" t="s">
        <v>1761</v>
      </c>
      <c r="F662" s="3" t="s">
        <v>1550</v>
      </c>
      <c r="G662" s="3" t="s">
        <v>978</v>
      </c>
      <c r="H662" s="3" t="s">
        <v>52</v>
      </c>
      <c r="I662" s="3" t="s">
        <v>52</v>
      </c>
      <c r="J662" s="3" t="s">
        <v>51</v>
      </c>
      <c r="K662" s="3" t="b">
        <v>1</v>
      </c>
      <c r="L662" s="3"/>
      <c r="M662" s="3" t="b">
        <v>1</v>
      </c>
      <c r="N662" s="3" t="b">
        <v>0</v>
      </c>
      <c r="O662" s="3" t="b">
        <v>0</v>
      </c>
    </row>
    <row r="663" spans="1:15" x14ac:dyDescent="0.3">
      <c r="A663" s="27" t="s">
        <v>2431</v>
      </c>
      <c r="B663" s="27" t="s">
        <v>1936</v>
      </c>
      <c r="C663" s="27"/>
      <c r="D663" s="27" t="s">
        <v>1631</v>
      </c>
      <c r="E663" s="12" t="s">
        <v>1761</v>
      </c>
      <c r="F663" s="3" t="s">
        <v>1550</v>
      </c>
      <c r="G663" s="3" t="s">
        <v>978</v>
      </c>
      <c r="H663" s="3" t="s">
        <v>52</v>
      </c>
      <c r="I663" s="3" t="s">
        <v>52</v>
      </c>
      <c r="J663" s="3" t="s">
        <v>51</v>
      </c>
      <c r="K663" s="3" t="b">
        <v>1</v>
      </c>
      <c r="L663" s="3"/>
      <c r="M663" s="3" t="b">
        <v>1</v>
      </c>
      <c r="N663" s="3" t="b">
        <v>0</v>
      </c>
      <c r="O663" s="3" t="b">
        <v>0</v>
      </c>
    </row>
    <row r="664" spans="1:15" x14ac:dyDescent="0.3">
      <c r="A664" s="27" t="s">
        <v>2431</v>
      </c>
      <c r="B664" s="27" t="s">
        <v>1937</v>
      </c>
      <c r="C664" s="27"/>
      <c r="D664" s="27" t="s">
        <v>1631</v>
      </c>
      <c r="E664" s="12" t="s">
        <v>1761</v>
      </c>
      <c r="F664" s="3" t="s">
        <v>1550</v>
      </c>
      <c r="G664" s="3" t="s">
        <v>978</v>
      </c>
      <c r="H664" s="3" t="s">
        <v>52</v>
      </c>
      <c r="I664" s="3" t="s">
        <v>52</v>
      </c>
      <c r="J664" s="3" t="s">
        <v>51</v>
      </c>
      <c r="K664" s="3" t="b">
        <v>1</v>
      </c>
      <c r="L664" s="3"/>
      <c r="M664" s="3" t="b">
        <v>1</v>
      </c>
      <c r="N664" s="3" t="b">
        <v>0</v>
      </c>
      <c r="O664" s="3" t="b">
        <v>0</v>
      </c>
    </row>
    <row r="665" spans="1:15" x14ac:dyDescent="0.3">
      <c r="A665" s="27" t="s">
        <v>2431</v>
      </c>
      <c r="B665" s="27" t="s">
        <v>1938</v>
      </c>
      <c r="C665" s="27"/>
      <c r="D665" s="27" t="s">
        <v>1631</v>
      </c>
      <c r="E665" s="12" t="s">
        <v>1761</v>
      </c>
      <c r="F665" s="3" t="s">
        <v>1550</v>
      </c>
      <c r="G665" s="3" t="s">
        <v>978</v>
      </c>
      <c r="H665" s="3" t="s">
        <v>52</v>
      </c>
      <c r="I665" s="3" t="s">
        <v>52</v>
      </c>
      <c r="J665" s="3" t="s">
        <v>51</v>
      </c>
      <c r="K665" s="3" t="b">
        <v>1</v>
      </c>
      <c r="L665" s="3"/>
      <c r="M665" s="3" t="b">
        <v>1</v>
      </c>
      <c r="N665" s="3" t="b">
        <v>0</v>
      </c>
      <c r="O665" s="3" t="b">
        <v>0</v>
      </c>
    </row>
    <row r="666" spans="1:15" x14ac:dyDescent="0.3">
      <c r="A666" s="27" t="s">
        <v>2431</v>
      </c>
      <c r="B666" s="27" t="s">
        <v>1939</v>
      </c>
      <c r="C666" s="27"/>
      <c r="D666" s="27" t="s">
        <v>1631</v>
      </c>
      <c r="E666" s="12" t="s">
        <v>1761</v>
      </c>
      <c r="F666" s="3" t="s">
        <v>1550</v>
      </c>
      <c r="G666" s="3" t="s">
        <v>978</v>
      </c>
      <c r="H666" s="3" t="s">
        <v>52</v>
      </c>
      <c r="I666" s="3" t="s">
        <v>52</v>
      </c>
      <c r="J666" s="3" t="s">
        <v>51</v>
      </c>
      <c r="K666" s="3" t="b">
        <v>1</v>
      </c>
      <c r="L666" s="3"/>
      <c r="M666" s="3" t="b">
        <v>1</v>
      </c>
      <c r="N666" s="3" t="b">
        <v>0</v>
      </c>
      <c r="O666" s="3" t="b">
        <v>0</v>
      </c>
    </row>
    <row r="667" spans="1:15" x14ac:dyDescent="0.3">
      <c r="A667" s="27" t="s">
        <v>2431</v>
      </c>
      <c r="B667" s="27"/>
      <c r="C667" s="27"/>
      <c r="D667" s="27"/>
      <c r="E667" s="21" t="s">
        <v>1025</v>
      </c>
      <c r="F667" s="3" t="s">
        <v>1026</v>
      </c>
      <c r="G667" s="3" t="s">
        <v>978</v>
      </c>
      <c r="H667" s="3" t="s">
        <v>52</v>
      </c>
      <c r="I667" s="3" t="s">
        <v>52</v>
      </c>
      <c r="J667" s="3" t="s">
        <v>51</v>
      </c>
      <c r="K667" s="3" t="b">
        <v>1</v>
      </c>
      <c r="L667" s="3"/>
      <c r="M667" s="3" t="b">
        <v>1</v>
      </c>
      <c r="N667" s="3" t="b">
        <v>0</v>
      </c>
      <c r="O667" s="3" t="b">
        <v>0</v>
      </c>
    </row>
  </sheetData>
  <sortState xmlns:xlrd2="http://schemas.microsoft.com/office/spreadsheetml/2017/richdata2" ref="A123:F138">
    <sortCondition ref="E123:E138"/>
  </sortState>
  <dataConsolidate/>
  <phoneticPr fontId="2" type="noConversion"/>
  <pageMargins left="0.7" right="0.7" top="0.75" bottom="0.75" header="0.3" footer="0.3"/>
  <pageSetup paperSize="9" orientation="portrait" r:id="rId1"/>
  <legacy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512474DE-F560-4A5D-A6EE-D73C8434E73D}">
          <x14:formula1>
            <xm:f>Validation!$A$10:$A$14</xm:f>
          </x14:formula1>
          <xm:sqref>C212:C221 C548 C534:C545 C364:C522 C224:C283 C2:C210 C660 C615:C635 C647:C657</xm:sqref>
        </x14:dataValidation>
        <x14:dataValidation type="list" allowBlank="1" showInputMessage="1" showErrorMessage="1" xr:uid="{A65DC4CD-62FF-4762-A2AE-1D4827025C59}">
          <x14:formula1>
            <xm:f>'CustGroup'!#REF!</xm:f>
          </x14:formula1>
          <xm:sqref>I212:I221 H374:H389 H413:H430 H522 H534 I548 I534:I545 I364:I522 I224:I283 H169:H181 I2:I210 H635 H647 I660 I615:I635 I647:I657</xm:sqref>
        </x14:dataValidation>
        <x14:dataValidation type="list" allowBlank="1" showInputMessage="1" showErrorMessage="1" xr:uid="{464DE130-5D75-48A1-83C3-FA141E1437D4}">
          <x14:formula1>
            <xm:f>Validation!$G$2:$G$3</xm:f>
          </x14:formula1>
          <xm:sqref>K2:K667 M2:M667</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8F175-7215-4419-B0FE-08313DD17CE6}">
  <sheetPr codeName="Sheet17">
    <tabColor theme="5" tint="0.79998168889431442"/>
  </sheetPr>
  <dimension ref="A1:W3"/>
  <sheetViews>
    <sheetView topLeftCell="M1" workbookViewId="0">
      <pane ySplit="2" topLeftCell="A3" activePane="bottomLeft" state="frozen"/>
      <selection pane="bottomLeft" activeCell="O3" sqref="O3:O741"/>
    </sheetView>
  </sheetViews>
  <sheetFormatPr defaultRowHeight="14.4" outlineLevelCol="1" x14ac:dyDescent="0.3"/>
  <cols>
    <col min="1" max="1" width="13.88671875" hidden="1" customWidth="1" outlineLevel="1"/>
    <col min="2" max="2" width="21" hidden="1" customWidth="1" outlineLevel="1"/>
    <col min="3" max="3" width="13.88671875" hidden="1" customWidth="1" outlineLevel="1"/>
    <col min="4" max="4" width="15.5546875" hidden="1" customWidth="1" outlineLevel="1"/>
    <col min="5" max="5" width="11.44140625" hidden="1" customWidth="1" outlineLevel="1"/>
    <col min="6" max="6" width="11" hidden="1" customWidth="1" outlineLevel="1"/>
    <col min="7" max="7" width="12" hidden="1" customWidth="1" outlineLevel="1"/>
    <col min="8" max="10" width="20" hidden="1" customWidth="1" outlineLevel="1"/>
    <col min="11" max="11" width="19" hidden="1" customWidth="1" outlineLevel="1"/>
    <col min="12" max="12" width="26.109375" hidden="1" customWidth="1" outlineLevel="1"/>
    <col min="13" max="13" width="16.6640625" bestFit="1" customWidth="1" collapsed="1"/>
    <col min="14" max="14" width="14.6640625" bestFit="1" customWidth="1"/>
    <col min="15" max="15" width="48.109375" bestFit="1" customWidth="1"/>
    <col min="16" max="16" width="16.33203125" bestFit="1" customWidth="1"/>
    <col min="17" max="17" width="18.44140625" bestFit="1" customWidth="1"/>
    <col min="18" max="18" width="23.109375" bestFit="1" customWidth="1"/>
    <col min="19" max="19" width="15.5546875" bestFit="1" customWidth="1"/>
    <col min="20" max="20" width="24" bestFit="1" customWidth="1"/>
    <col min="21" max="21" width="14.109375" bestFit="1" customWidth="1"/>
    <col min="22" max="22" width="22.109375" bestFit="1" customWidth="1"/>
    <col min="23" max="23" width="20.109375" bestFit="1" customWidth="1"/>
    <col min="24" max="24" width="20.5546875" bestFit="1" customWidth="1"/>
    <col min="25" max="25" width="15.5546875" bestFit="1" customWidth="1"/>
  </cols>
  <sheetData>
    <row r="1" spans="1:23" x14ac:dyDescent="0.3">
      <c r="N1" s="186" t="s">
        <v>1919</v>
      </c>
      <c r="O1" s="186"/>
      <c r="P1" s="186"/>
      <c r="Q1" s="186"/>
      <c r="R1" s="186"/>
      <c r="S1" s="186"/>
      <c r="T1" s="186"/>
      <c r="U1" s="186"/>
      <c r="V1" s="186"/>
      <c r="W1" s="186"/>
    </row>
    <row r="2" spans="1:23" x14ac:dyDescent="0.3">
      <c r="A2" s="119" t="s">
        <v>883</v>
      </c>
      <c r="B2" s="116" t="s">
        <v>1604</v>
      </c>
      <c r="C2" s="116" t="s">
        <v>887</v>
      </c>
      <c r="D2" s="116" t="s">
        <v>888</v>
      </c>
      <c r="E2" s="116" t="s">
        <v>889</v>
      </c>
      <c r="F2" s="116" t="s">
        <v>890</v>
      </c>
      <c r="G2" s="116" t="s">
        <v>891</v>
      </c>
      <c r="H2" s="83" t="s">
        <v>1714</v>
      </c>
      <c r="I2" s="83" t="s">
        <v>2339</v>
      </c>
      <c r="J2" s="83" t="s">
        <v>2340</v>
      </c>
      <c r="K2" s="83" t="s">
        <v>1715</v>
      </c>
      <c r="L2" s="83" t="s">
        <v>1850</v>
      </c>
      <c r="M2" s="83" t="s">
        <v>867</v>
      </c>
      <c r="N2" t="s">
        <v>893</v>
      </c>
      <c r="O2" t="s">
        <v>50</v>
      </c>
      <c r="P2" t="s">
        <v>1746</v>
      </c>
      <c r="Q2" t="s">
        <v>896</v>
      </c>
      <c r="R2" t="s">
        <v>885</v>
      </c>
      <c r="S2" t="s">
        <v>886</v>
      </c>
      <c r="T2" t="s">
        <v>894</v>
      </c>
      <c r="U2" t="s">
        <v>857</v>
      </c>
      <c r="V2" t="s">
        <v>897</v>
      </c>
      <c r="W2" t="s">
        <v>1849</v>
      </c>
    </row>
    <row r="3" spans="1:23" x14ac:dyDescent="0.3">
      <c r="A3" s="123"/>
      <c r="B3" s="80"/>
      <c r="C3" s="80"/>
      <c r="D3" s="80"/>
      <c r="E3" s="80"/>
      <c r="F3" s="80"/>
      <c r="G3" s="80"/>
      <c r="H3" s="80"/>
      <c r="I3" s="80"/>
      <c r="J3" s="80"/>
      <c r="K3" s="80"/>
      <c r="L3" s="80"/>
      <c r="M3" s="80"/>
    </row>
  </sheetData>
  <mergeCells count="1">
    <mergeCell ref="N1:W1"/>
  </mergeCells>
  <phoneticPr fontId="2" type="noConversion"/>
  <pageMargins left="0.7" right="0.7" top="0.75" bottom="0.75" header="0.3" footer="0.3"/>
  <pageSetup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6EA30-F68A-4E99-AAF2-4097F4CAE9EC}">
  <sheetPr codeName="Sheet25">
    <tabColor theme="0" tint="-0.249977111117893"/>
  </sheetPr>
  <dimension ref="A1:AN751"/>
  <sheetViews>
    <sheetView zoomScale="70" zoomScaleNormal="70" workbookViewId="0">
      <pane xSplit="5" ySplit="1" topLeftCell="F629" activePane="bottomRight" state="frozen"/>
      <selection activeCell="E151" sqref="E151"/>
      <selection pane="topRight" activeCell="E151" sqref="E151"/>
      <selection pane="bottomLeft" activeCell="E151" sqref="E151"/>
      <selection pane="bottomRight" activeCell="E629" sqref="E629"/>
    </sheetView>
  </sheetViews>
  <sheetFormatPr defaultColWidth="8.5546875" defaultRowHeight="14.4" x14ac:dyDescent="0.3"/>
  <cols>
    <col min="1" max="1" width="12.44140625" bestFit="1" customWidth="1"/>
    <col min="2" max="2" width="17" bestFit="1" customWidth="1"/>
    <col min="3" max="3" width="19.88671875" style="20" bestFit="1" customWidth="1"/>
    <col min="4" max="4" width="19.88671875" style="20" customWidth="1"/>
    <col min="5" max="5" width="36.109375" style="18" bestFit="1" customWidth="1"/>
    <col min="6" max="6" width="57.88671875" style="20" bestFit="1" customWidth="1"/>
    <col min="7" max="7" width="7.88671875" style="20" bestFit="1" customWidth="1"/>
    <col min="8" max="8" width="7.88671875" bestFit="1" customWidth="1"/>
    <col min="9" max="27" width="7.88671875" style="20" bestFit="1" customWidth="1"/>
    <col min="28" max="28" width="7.88671875" bestFit="1" customWidth="1"/>
    <col min="29" max="36" width="7.88671875" style="20" bestFit="1" customWidth="1"/>
    <col min="37" max="37" width="7.88671875" bestFit="1" customWidth="1"/>
    <col min="38" max="38" width="7.88671875" style="20" bestFit="1" customWidth="1"/>
    <col min="39" max="39" width="14.6640625" style="20" bestFit="1" customWidth="1"/>
    <col min="40" max="40" width="7.88671875" style="20" bestFit="1" customWidth="1"/>
    <col min="41" max="16384" width="8.5546875" style="20"/>
  </cols>
  <sheetData>
    <row r="1" spans="1:40" s="44" customFormat="1" ht="126.75" customHeight="1" x14ac:dyDescent="0.3">
      <c r="A1" s="42" t="s">
        <v>869</v>
      </c>
      <c r="B1" s="42" t="s">
        <v>892</v>
      </c>
      <c r="C1" s="61" t="s">
        <v>861</v>
      </c>
      <c r="D1" s="61" t="s">
        <v>1763</v>
      </c>
      <c r="E1" s="43" t="s">
        <v>1136</v>
      </c>
      <c r="F1" s="43" t="s">
        <v>50</v>
      </c>
      <c r="G1" s="43" t="s">
        <v>1137</v>
      </c>
      <c r="H1" s="43" t="s">
        <v>1138</v>
      </c>
      <c r="I1" s="43" t="s">
        <v>1139</v>
      </c>
      <c r="J1" s="43" t="s">
        <v>1140</v>
      </c>
      <c r="K1" s="43" t="s">
        <v>1141</v>
      </c>
      <c r="L1" s="43" t="s">
        <v>1142</v>
      </c>
      <c r="M1" s="43" t="s">
        <v>1143</v>
      </c>
      <c r="N1" s="43" t="s">
        <v>1144</v>
      </c>
      <c r="O1" s="43" t="s">
        <v>1145</v>
      </c>
      <c r="P1" s="43" t="s">
        <v>1146</v>
      </c>
      <c r="Q1" s="43" t="s">
        <v>1148</v>
      </c>
      <c r="R1" s="43" t="s">
        <v>1149</v>
      </c>
      <c r="S1" s="43" t="s">
        <v>1150</v>
      </c>
      <c r="T1" s="43" t="s">
        <v>1151</v>
      </c>
      <c r="U1" s="43" t="s">
        <v>1152</v>
      </c>
      <c r="V1" s="43" t="s">
        <v>1153</v>
      </c>
      <c r="W1" s="43" t="s">
        <v>1154</v>
      </c>
      <c r="X1" s="43" t="s">
        <v>1155</v>
      </c>
      <c r="Y1" s="43" t="s">
        <v>1156</v>
      </c>
      <c r="Z1" s="43" t="s">
        <v>1157</v>
      </c>
      <c r="AA1" s="43" t="s">
        <v>1159</v>
      </c>
      <c r="AB1" s="43" t="s">
        <v>1160</v>
      </c>
      <c r="AC1" s="43" t="s">
        <v>1161</v>
      </c>
      <c r="AD1" s="43" t="s">
        <v>1162</v>
      </c>
      <c r="AE1" s="43" t="s">
        <v>1163</v>
      </c>
      <c r="AF1" s="43" t="s">
        <v>1164</v>
      </c>
      <c r="AG1" s="43" t="s">
        <v>1165</v>
      </c>
      <c r="AH1" s="43" t="s">
        <v>1166</v>
      </c>
      <c r="AI1" s="43" t="s">
        <v>1167</v>
      </c>
      <c r="AJ1" s="43" t="s">
        <v>1168</v>
      </c>
      <c r="AK1" s="43" t="s">
        <v>1170</v>
      </c>
      <c r="AL1" s="43" t="s">
        <v>1171</v>
      </c>
      <c r="AM1" s="43" t="s">
        <v>1841</v>
      </c>
      <c r="AN1" s="43" t="s">
        <v>2091</v>
      </c>
    </row>
    <row r="2" spans="1:40" x14ac:dyDescent="0.3">
      <c r="A2" s="62" t="s">
        <v>879</v>
      </c>
      <c r="B2" s="62"/>
      <c r="C2" s="63"/>
      <c r="D2" s="63"/>
      <c r="E2" s="12" t="s">
        <v>1172</v>
      </c>
      <c r="F2" s="12" t="s">
        <v>1173</v>
      </c>
      <c r="G2" s="12" t="b">
        <v>0</v>
      </c>
      <c r="H2" s="12" t="b">
        <v>0</v>
      </c>
      <c r="I2" s="12" t="b">
        <v>0</v>
      </c>
      <c r="J2" s="12" t="b">
        <v>1</v>
      </c>
      <c r="K2" s="12" t="b">
        <v>1</v>
      </c>
      <c r="L2" s="12" t="b">
        <v>1</v>
      </c>
      <c r="M2" s="12" t="b">
        <v>0</v>
      </c>
      <c r="N2" s="12">
        <v>0</v>
      </c>
      <c r="O2" s="12" t="b">
        <v>0</v>
      </c>
      <c r="P2" s="12" t="b">
        <v>0</v>
      </c>
      <c r="Q2" s="12" t="b">
        <v>0</v>
      </c>
      <c r="R2" s="12" t="b">
        <v>0</v>
      </c>
      <c r="S2" s="12" t="b">
        <v>0</v>
      </c>
      <c r="T2" s="12" t="b">
        <v>1</v>
      </c>
      <c r="U2" s="12" t="b">
        <v>0</v>
      </c>
      <c r="V2" s="12" t="b">
        <v>1</v>
      </c>
      <c r="W2" s="12" t="b">
        <v>0</v>
      </c>
      <c r="X2" s="12">
        <v>1</v>
      </c>
      <c r="Y2" s="12" t="b">
        <v>0</v>
      </c>
      <c r="Z2" s="12" t="b">
        <v>0</v>
      </c>
      <c r="AA2" s="12" t="b">
        <v>0</v>
      </c>
      <c r="AB2" s="12" t="b">
        <v>0</v>
      </c>
      <c r="AC2" s="12" t="b">
        <v>0</v>
      </c>
      <c r="AD2" s="12" t="b">
        <v>1</v>
      </c>
      <c r="AE2" s="12" t="b">
        <v>0</v>
      </c>
      <c r="AF2" s="12" t="b">
        <v>1</v>
      </c>
      <c r="AG2" s="12" t="b">
        <v>0</v>
      </c>
      <c r="AH2" s="12">
        <v>1</v>
      </c>
      <c r="AI2" s="12" t="b">
        <v>0</v>
      </c>
      <c r="AJ2" s="12" t="b">
        <v>0</v>
      </c>
      <c r="AK2" s="12" t="b">
        <v>1</v>
      </c>
      <c r="AL2" s="12">
        <v>0</v>
      </c>
      <c r="AM2" s="12" t="s">
        <v>51</v>
      </c>
      <c r="AN2" s="12">
        <v>0</v>
      </c>
    </row>
    <row r="3" spans="1:40" x14ac:dyDescent="0.3">
      <c r="A3" s="62" t="s">
        <v>879</v>
      </c>
      <c r="B3" s="62"/>
      <c r="C3" s="63"/>
      <c r="D3" s="63"/>
      <c r="E3" s="12" t="s">
        <v>1174</v>
      </c>
      <c r="F3" s="12" t="s">
        <v>1175</v>
      </c>
      <c r="G3" s="12" t="b">
        <v>0</v>
      </c>
      <c r="H3" s="12" t="b">
        <v>0</v>
      </c>
      <c r="I3" s="12" t="b">
        <v>0</v>
      </c>
      <c r="J3" s="12" t="b">
        <v>1</v>
      </c>
      <c r="K3" s="12" t="b">
        <v>1</v>
      </c>
      <c r="L3" s="12" t="b">
        <v>1</v>
      </c>
      <c r="M3" s="12" t="b">
        <v>0</v>
      </c>
      <c r="N3" s="12">
        <v>0</v>
      </c>
      <c r="O3" s="12" t="b">
        <v>0</v>
      </c>
      <c r="P3" s="12" t="b">
        <v>0</v>
      </c>
      <c r="Q3" s="12" t="b">
        <v>0</v>
      </c>
      <c r="R3" s="12" t="b">
        <v>0</v>
      </c>
      <c r="S3" s="12" t="b">
        <v>0</v>
      </c>
      <c r="T3" s="12" t="b">
        <v>1</v>
      </c>
      <c r="U3" s="12" t="b">
        <v>0</v>
      </c>
      <c r="V3" s="12" t="b">
        <v>1</v>
      </c>
      <c r="W3" s="12" t="b">
        <v>0</v>
      </c>
      <c r="X3" s="12">
        <v>1</v>
      </c>
      <c r="Y3" s="12" t="b">
        <v>0</v>
      </c>
      <c r="Z3" s="12" t="b">
        <v>0</v>
      </c>
      <c r="AA3" s="12" t="b">
        <v>0</v>
      </c>
      <c r="AB3" s="12" t="b">
        <v>0</v>
      </c>
      <c r="AC3" s="12" t="b">
        <v>0</v>
      </c>
      <c r="AD3" s="12" t="b">
        <v>1</v>
      </c>
      <c r="AE3" s="12" t="b">
        <v>0</v>
      </c>
      <c r="AF3" s="12" t="b">
        <v>1</v>
      </c>
      <c r="AG3" s="12" t="b">
        <v>0</v>
      </c>
      <c r="AH3" s="12">
        <v>1.01</v>
      </c>
      <c r="AI3" s="12" t="b">
        <v>0</v>
      </c>
      <c r="AJ3" s="12" t="b">
        <v>0</v>
      </c>
      <c r="AK3" s="12" t="b">
        <v>1</v>
      </c>
      <c r="AL3" s="12">
        <v>0</v>
      </c>
      <c r="AM3" s="12" t="s">
        <v>51</v>
      </c>
      <c r="AN3" s="12">
        <v>0</v>
      </c>
    </row>
    <row r="4" spans="1:40" x14ac:dyDescent="0.3">
      <c r="A4" s="62" t="s">
        <v>879</v>
      </c>
      <c r="B4" s="62"/>
      <c r="C4" s="63"/>
      <c r="D4" s="63"/>
      <c r="E4" s="12" t="s">
        <v>1176</v>
      </c>
      <c r="F4" s="12" t="s">
        <v>1177</v>
      </c>
      <c r="G4" s="12" t="b">
        <v>0</v>
      </c>
      <c r="H4" s="12" t="b">
        <v>0</v>
      </c>
      <c r="I4" s="12" t="b">
        <v>0</v>
      </c>
      <c r="J4" s="12" t="b">
        <v>1</v>
      </c>
      <c r="K4" s="12" t="b">
        <v>1</v>
      </c>
      <c r="L4" s="12" t="b">
        <v>1</v>
      </c>
      <c r="M4" s="12" t="b">
        <v>0</v>
      </c>
      <c r="N4" s="12">
        <v>0</v>
      </c>
      <c r="O4" s="12" t="b">
        <v>0</v>
      </c>
      <c r="P4" s="12" t="b">
        <v>0</v>
      </c>
      <c r="Q4" s="12" t="b">
        <v>0</v>
      </c>
      <c r="R4" s="12" t="b">
        <v>0</v>
      </c>
      <c r="S4" s="12" t="b">
        <v>0</v>
      </c>
      <c r="T4" s="12" t="b">
        <v>1</v>
      </c>
      <c r="U4" s="12" t="b">
        <v>0</v>
      </c>
      <c r="V4" s="12" t="b">
        <v>1</v>
      </c>
      <c r="W4" s="12" t="b">
        <v>0</v>
      </c>
      <c r="X4" s="12">
        <v>1</v>
      </c>
      <c r="Y4" s="12" t="b">
        <v>0</v>
      </c>
      <c r="Z4" s="12" t="b">
        <v>0</v>
      </c>
      <c r="AA4" s="12" t="b">
        <v>0</v>
      </c>
      <c r="AB4" s="12" t="b">
        <v>0</v>
      </c>
      <c r="AC4" s="12" t="b">
        <v>0</v>
      </c>
      <c r="AD4" s="12" t="b">
        <v>1</v>
      </c>
      <c r="AE4" s="12" t="b">
        <v>0</v>
      </c>
      <c r="AF4" s="12" t="b">
        <v>1</v>
      </c>
      <c r="AG4" s="12" t="b">
        <v>0</v>
      </c>
      <c r="AH4" s="12">
        <v>1.02</v>
      </c>
      <c r="AI4" s="12" t="b">
        <v>0</v>
      </c>
      <c r="AJ4" s="12" t="b">
        <v>0</v>
      </c>
      <c r="AK4" s="12" t="b">
        <v>1</v>
      </c>
      <c r="AL4" s="12">
        <v>0</v>
      </c>
      <c r="AM4" s="12" t="s">
        <v>51</v>
      </c>
      <c r="AN4" s="12">
        <v>0</v>
      </c>
    </row>
    <row r="5" spans="1:40" x14ac:dyDescent="0.3">
      <c r="A5" s="62" t="s">
        <v>879</v>
      </c>
      <c r="B5" s="62"/>
      <c r="C5" s="63"/>
      <c r="D5" s="63"/>
      <c r="E5" s="12" t="s">
        <v>1178</v>
      </c>
      <c r="F5" s="12" t="s">
        <v>1179</v>
      </c>
      <c r="G5" s="12" t="b">
        <v>0</v>
      </c>
      <c r="H5" s="12" t="b">
        <v>0</v>
      </c>
      <c r="I5" s="12" t="b">
        <v>0</v>
      </c>
      <c r="J5" s="12" t="b">
        <v>1</v>
      </c>
      <c r="K5" s="12" t="b">
        <v>1</v>
      </c>
      <c r="L5" s="12" t="b">
        <v>0</v>
      </c>
      <c r="M5" s="12" t="b">
        <v>0</v>
      </c>
      <c r="N5" s="12">
        <v>0</v>
      </c>
      <c r="O5" s="12" t="b">
        <v>0</v>
      </c>
      <c r="P5" s="12" t="b">
        <v>0</v>
      </c>
      <c r="Q5" s="12" t="b">
        <v>0</v>
      </c>
      <c r="R5" s="12" t="b">
        <v>0</v>
      </c>
      <c r="S5" s="12" t="b">
        <v>0</v>
      </c>
      <c r="T5" s="12" t="b">
        <v>1</v>
      </c>
      <c r="U5" s="12" t="b">
        <v>0</v>
      </c>
      <c r="V5" s="12" t="b">
        <v>1</v>
      </c>
      <c r="W5" s="12" t="b">
        <v>0</v>
      </c>
      <c r="X5" s="12">
        <v>1</v>
      </c>
      <c r="Y5" s="12" t="b">
        <v>0</v>
      </c>
      <c r="Z5" s="12" t="b">
        <v>0</v>
      </c>
      <c r="AA5" s="12" t="b">
        <v>0</v>
      </c>
      <c r="AB5" s="12" t="b">
        <v>0</v>
      </c>
      <c r="AC5" s="12" t="b">
        <v>0</v>
      </c>
      <c r="AD5" s="12" t="b">
        <v>1</v>
      </c>
      <c r="AE5" s="12" t="b">
        <v>0</v>
      </c>
      <c r="AF5" s="12" t="b">
        <v>1</v>
      </c>
      <c r="AG5" s="12" t="b">
        <v>0</v>
      </c>
      <c r="AH5" s="12">
        <v>1.03</v>
      </c>
      <c r="AI5" s="12" t="b">
        <v>0</v>
      </c>
      <c r="AJ5" s="12" t="b">
        <v>0</v>
      </c>
      <c r="AK5" s="12" t="b">
        <v>1</v>
      </c>
      <c r="AL5" s="12">
        <v>0</v>
      </c>
      <c r="AM5" s="12" t="s">
        <v>51</v>
      </c>
      <c r="AN5" s="12">
        <v>0</v>
      </c>
    </row>
    <row r="6" spans="1:40" x14ac:dyDescent="0.3">
      <c r="A6" s="62" t="s">
        <v>879</v>
      </c>
      <c r="B6" s="62"/>
      <c r="C6" s="63"/>
      <c r="D6" s="63"/>
      <c r="E6" s="12" t="s">
        <v>1180</v>
      </c>
      <c r="F6" s="12" t="s">
        <v>1181</v>
      </c>
      <c r="G6" s="12" t="b">
        <v>0</v>
      </c>
      <c r="H6" s="12" t="b">
        <v>0</v>
      </c>
      <c r="I6" s="12" t="b">
        <v>0</v>
      </c>
      <c r="J6" s="12" t="b">
        <v>1</v>
      </c>
      <c r="K6" s="12" t="b">
        <v>1</v>
      </c>
      <c r="L6" s="12" t="b">
        <v>1</v>
      </c>
      <c r="M6" s="12" t="b">
        <v>0</v>
      </c>
      <c r="N6" s="12">
        <v>0</v>
      </c>
      <c r="O6" s="12" t="b">
        <v>0</v>
      </c>
      <c r="P6" s="12" t="b">
        <v>0</v>
      </c>
      <c r="Q6" s="12" t="b">
        <v>0</v>
      </c>
      <c r="R6" s="12" t="b">
        <v>0</v>
      </c>
      <c r="S6" s="12" t="b">
        <v>0</v>
      </c>
      <c r="T6" s="12" t="b">
        <v>1</v>
      </c>
      <c r="U6" s="12" t="b">
        <v>0</v>
      </c>
      <c r="V6" s="12" t="b">
        <v>1</v>
      </c>
      <c r="W6" s="12" t="b">
        <v>0</v>
      </c>
      <c r="X6" s="12">
        <v>1</v>
      </c>
      <c r="Y6" s="12" t="b">
        <v>0</v>
      </c>
      <c r="Z6" s="12" t="b">
        <v>0</v>
      </c>
      <c r="AA6" s="12" t="b">
        <v>0</v>
      </c>
      <c r="AB6" s="12" t="b">
        <v>0</v>
      </c>
      <c r="AC6" s="12" t="b">
        <v>0</v>
      </c>
      <c r="AD6" s="12" t="b">
        <v>1</v>
      </c>
      <c r="AE6" s="12" t="b">
        <v>0</v>
      </c>
      <c r="AF6" s="12" t="b">
        <v>1</v>
      </c>
      <c r="AG6" s="12" t="b">
        <v>0</v>
      </c>
      <c r="AH6" s="12">
        <v>1.04</v>
      </c>
      <c r="AI6" s="12" t="b">
        <v>0</v>
      </c>
      <c r="AJ6" s="12" t="b">
        <v>0</v>
      </c>
      <c r="AK6" s="12" t="b">
        <v>1</v>
      </c>
      <c r="AL6" s="12">
        <v>0</v>
      </c>
      <c r="AM6" s="12" t="s">
        <v>51</v>
      </c>
      <c r="AN6" s="12">
        <v>0</v>
      </c>
    </row>
    <row r="7" spans="1:40" x14ac:dyDescent="0.3">
      <c r="A7" s="62" t="s">
        <v>879</v>
      </c>
      <c r="B7" s="62"/>
      <c r="C7" s="63"/>
      <c r="D7" s="63"/>
      <c r="E7" s="12" t="s">
        <v>1182</v>
      </c>
      <c r="F7" s="12" t="s">
        <v>1183</v>
      </c>
      <c r="G7" s="12" t="b">
        <v>0</v>
      </c>
      <c r="H7" s="12" t="b">
        <v>0</v>
      </c>
      <c r="I7" s="12" t="b">
        <v>0</v>
      </c>
      <c r="J7" s="12" t="b">
        <v>1</v>
      </c>
      <c r="K7" s="12" t="b">
        <v>1</v>
      </c>
      <c r="L7" s="12" t="b">
        <v>1</v>
      </c>
      <c r="M7" s="12" t="b">
        <v>0</v>
      </c>
      <c r="N7" s="12">
        <v>0</v>
      </c>
      <c r="O7" s="12" t="b">
        <v>0</v>
      </c>
      <c r="P7" s="12" t="b">
        <v>0</v>
      </c>
      <c r="Q7" s="12" t="b">
        <v>0</v>
      </c>
      <c r="R7" s="12" t="b">
        <v>0</v>
      </c>
      <c r="S7" s="12" t="b">
        <v>0</v>
      </c>
      <c r="T7" s="12" t="b">
        <v>1</v>
      </c>
      <c r="U7" s="12" t="b">
        <v>0</v>
      </c>
      <c r="V7" s="12" t="b">
        <v>1</v>
      </c>
      <c r="W7" s="12" t="b">
        <v>0</v>
      </c>
      <c r="X7" s="12">
        <v>1</v>
      </c>
      <c r="Y7" s="12" t="b">
        <v>0</v>
      </c>
      <c r="Z7" s="12" t="b">
        <v>0</v>
      </c>
      <c r="AA7" s="12" t="b">
        <v>0</v>
      </c>
      <c r="AB7" s="12" t="b">
        <v>0</v>
      </c>
      <c r="AC7" s="12" t="b">
        <v>0</v>
      </c>
      <c r="AD7" s="12" t="b">
        <v>1</v>
      </c>
      <c r="AE7" s="12" t="b">
        <v>0</v>
      </c>
      <c r="AF7" s="12" t="b">
        <v>1</v>
      </c>
      <c r="AG7" s="12" t="b">
        <v>0</v>
      </c>
      <c r="AH7" s="12">
        <v>1.05</v>
      </c>
      <c r="AI7" s="12" t="b">
        <v>0</v>
      </c>
      <c r="AJ7" s="12" t="b">
        <v>0</v>
      </c>
      <c r="AK7" s="12" t="b">
        <v>1</v>
      </c>
      <c r="AL7" s="12">
        <v>0</v>
      </c>
      <c r="AM7" s="12" t="s">
        <v>51</v>
      </c>
      <c r="AN7" s="12">
        <v>0</v>
      </c>
    </row>
    <row r="8" spans="1:40" x14ac:dyDescent="0.3">
      <c r="A8" s="62" t="s">
        <v>879</v>
      </c>
      <c r="B8" s="62"/>
      <c r="C8" s="63"/>
      <c r="D8" s="63"/>
      <c r="E8" s="12" t="s">
        <v>1184</v>
      </c>
      <c r="F8" s="12" t="s">
        <v>1185</v>
      </c>
      <c r="G8" s="12" t="b">
        <v>1</v>
      </c>
      <c r="H8" s="12" t="b">
        <v>1</v>
      </c>
      <c r="I8" s="12" t="b">
        <v>1</v>
      </c>
      <c r="J8" s="12" t="b">
        <v>1</v>
      </c>
      <c r="K8" s="12" t="b">
        <v>0</v>
      </c>
      <c r="L8" s="12" t="b">
        <v>0</v>
      </c>
      <c r="M8" s="12" t="b">
        <v>0</v>
      </c>
      <c r="N8" s="12">
        <v>0</v>
      </c>
      <c r="O8" s="12" t="b">
        <v>0</v>
      </c>
      <c r="P8" s="12" t="b">
        <v>0</v>
      </c>
      <c r="Q8" s="12" t="b">
        <v>0</v>
      </c>
      <c r="R8" s="12" t="b">
        <v>0</v>
      </c>
      <c r="S8" s="12" t="b">
        <v>0</v>
      </c>
      <c r="T8" s="12" t="b">
        <v>1</v>
      </c>
      <c r="U8" s="12" t="b">
        <v>0</v>
      </c>
      <c r="V8" s="12" t="b">
        <v>1</v>
      </c>
      <c r="W8" s="12" t="b">
        <v>0</v>
      </c>
      <c r="X8" s="12">
        <v>1</v>
      </c>
      <c r="Y8" s="12" t="b">
        <v>0</v>
      </c>
      <c r="Z8" s="12" t="b">
        <v>0</v>
      </c>
      <c r="AA8" s="12" t="b">
        <v>1</v>
      </c>
      <c r="AB8" s="12" t="b">
        <v>1</v>
      </c>
      <c r="AC8" s="12" t="b">
        <v>1</v>
      </c>
      <c r="AD8" s="12" t="b">
        <v>1</v>
      </c>
      <c r="AE8" s="12" t="b">
        <v>0</v>
      </c>
      <c r="AF8" s="12" t="b">
        <v>0</v>
      </c>
      <c r="AG8" s="12" t="b">
        <v>0</v>
      </c>
      <c r="AH8" s="12">
        <v>-1</v>
      </c>
      <c r="AI8" s="12" t="b">
        <v>0</v>
      </c>
      <c r="AJ8" s="12" t="b">
        <v>0</v>
      </c>
      <c r="AK8" s="12" t="b">
        <v>1</v>
      </c>
      <c r="AL8" s="12">
        <v>1</v>
      </c>
      <c r="AM8" s="12" t="s">
        <v>1476</v>
      </c>
      <c r="AN8" s="12">
        <v>1</v>
      </c>
    </row>
    <row r="9" spans="1:40" x14ac:dyDescent="0.3">
      <c r="A9" s="62" t="s">
        <v>879</v>
      </c>
      <c r="B9" s="62"/>
      <c r="C9" s="63"/>
      <c r="D9" s="63"/>
      <c r="E9" s="12" t="s">
        <v>1186</v>
      </c>
      <c r="F9" s="12" t="s">
        <v>1187</v>
      </c>
      <c r="G9" s="12" t="b">
        <v>0</v>
      </c>
      <c r="H9" s="12" t="b">
        <v>1</v>
      </c>
      <c r="I9" s="12" t="b">
        <v>1</v>
      </c>
      <c r="J9" s="12" t="b">
        <v>1</v>
      </c>
      <c r="K9" s="12" t="b">
        <v>0</v>
      </c>
      <c r="L9" s="12" t="b">
        <v>0</v>
      </c>
      <c r="M9" s="12" t="b">
        <v>0</v>
      </c>
      <c r="N9" s="12">
        <v>0</v>
      </c>
      <c r="O9" s="12" t="b">
        <v>0</v>
      </c>
      <c r="P9" s="12" t="b">
        <v>0</v>
      </c>
      <c r="Q9" s="12" t="b">
        <v>0</v>
      </c>
      <c r="R9" s="12" t="b">
        <v>0</v>
      </c>
      <c r="S9" s="12" t="b">
        <v>0</v>
      </c>
      <c r="T9" s="12" t="b">
        <v>1</v>
      </c>
      <c r="U9" s="12" t="b">
        <v>0</v>
      </c>
      <c r="V9" s="12" t="b">
        <v>1</v>
      </c>
      <c r="W9" s="12" t="b">
        <v>0</v>
      </c>
      <c r="X9" s="12">
        <v>-100</v>
      </c>
      <c r="Y9" s="12" t="b">
        <v>0</v>
      </c>
      <c r="Z9" s="12" t="b">
        <v>0</v>
      </c>
      <c r="AA9" s="12" t="b">
        <v>1</v>
      </c>
      <c r="AB9" s="12" t="b">
        <v>1</v>
      </c>
      <c r="AC9" s="12" t="b">
        <v>1</v>
      </c>
      <c r="AD9" s="12" t="b">
        <v>1</v>
      </c>
      <c r="AE9" s="12" t="b">
        <v>0</v>
      </c>
      <c r="AF9" s="12" t="b">
        <v>0</v>
      </c>
      <c r="AG9" s="12" t="b">
        <v>0</v>
      </c>
      <c r="AH9" s="12">
        <v>0</v>
      </c>
      <c r="AI9" s="12" t="b">
        <v>0</v>
      </c>
      <c r="AJ9" s="12" t="b">
        <v>0</v>
      </c>
      <c r="AK9" s="12" t="b">
        <v>1</v>
      </c>
      <c r="AL9" s="12">
        <v>1</v>
      </c>
      <c r="AM9" s="12" t="s">
        <v>1476</v>
      </c>
      <c r="AN9" s="12">
        <v>1</v>
      </c>
    </row>
    <row r="10" spans="1:40" x14ac:dyDescent="0.3">
      <c r="A10" s="62" t="s">
        <v>879</v>
      </c>
      <c r="B10" s="62"/>
      <c r="C10" s="63"/>
      <c r="D10" s="63"/>
      <c r="E10" s="12" t="s">
        <v>999</v>
      </c>
      <c r="F10" s="12" t="s">
        <v>1188</v>
      </c>
      <c r="G10" s="12" t="b">
        <v>1</v>
      </c>
      <c r="H10" s="12" t="b">
        <v>1</v>
      </c>
      <c r="I10" s="12" t="b">
        <v>1</v>
      </c>
      <c r="J10" s="12" t="b">
        <v>1</v>
      </c>
      <c r="K10" s="12" t="b">
        <v>0</v>
      </c>
      <c r="L10" s="12" t="b">
        <v>0</v>
      </c>
      <c r="M10" s="12" t="b">
        <v>0</v>
      </c>
      <c r="N10" s="12">
        <v>0</v>
      </c>
      <c r="O10" s="12" t="b">
        <v>0</v>
      </c>
      <c r="P10" s="12" t="b">
        <v>0</v>
      </c>
      <c r="Q10" s="12" t="b">
        <v>0</v>
      </c>
      <c r="R10" s="12" t="b">
        <v>0</v>
      </c>
      <c r="S10" s="12" t="b">
        <v>0</v>
      </c>
      <c r="T10" s="12" t="b">
        <v>1</v>
      </c>
      <c r="U10" s="12" t="b">
        <v>0</v>
      </c>
      <c r="V10" s="12" t="b">
        <v>1</v>
      </c>
      <c r="W10" s="12" t="b">
        <v>0</v>
      </c>
      <c r="X10" s="12">
        <v>1</v>
      </c>
      <c r="Y10" s="12" t="b">
        <v>0</v>
      </c>
      <c r="Z10" s="12" t="b">
        <v>0</v>
      </c>
      <c r="AA10" s="12" t="b">
        <v>0</v>
      </c>
      <c r="AB10" s="12" t="b">
        <v>0</v>
      </c>
      <c r="AC10" s="12" t="b">
        <v>0</v>
      </c>
      <c r="AD10" s="12" t="b">
        <v>1</v>
      </c>
      <c r="AE10" s="12" t="b">
        <v>0</v>
      </c>
      <c r="AF10" s="12" t="b">
        <v>1</v>
      </c>
      <c r="AG10" s="12" t="b">
        <v>0</v>
      </c>
      <c r="AH10" s="12">
        <v>1</v>
      </c>
      <c r="AI10" s="12" t="b">
        <v>0</v>
      </c>
      <c r="AJ10" s="12" t="b">
        <v>0</v>
      </c>
      <c r="AK10" s="12" t="b">
        <v>1</v>
      </c>
      <c r="AL10" s="12">
        <v>1</v>
      </c>
      <c r="AM10" s="12" t="s">
        <v>900</v>
      </c>
      <c r="AN10" s="12">
        <v>1</v>
      </c>
    </row>
    <row r="11" spans="1:40" x14ac:dyDescent="0.3">
      <c r="A11" s="62" t="s">
        <v>879</v>
      </c>
      <c r="B11" s="62"/>
      <c r="C11" s="63"/>
      <c r="D11" s="63"/>
      <c r="E11" s="12" t="s">
        <v>1994</v>
      </c>
      <c r="F11" s="12" t="s">
        <v>1995</v>
      </c>
      <c r="G11" s="12" t="b">
        <v>0</v>
      </c>
      <c r="H11" s="12" t="b">
        <v>1</v>
      </c>
      <c r="I11" s="12" t="b">
        <v>1</v>
      </c>
      <c r="J11" s="12" t="b">
        <v>1</v>
      </c>
      <c r="K11" s="12" t="b">
        <v>0</v>
      </c>
      <c r="L11" s="12" t="b">
        <v>0</v>
      </c>
      <c r="M11" s="12" t="b">
        <v>0</v>
      </c>
      <c r="N11" s="12">
        <v>0</v>
      </c>
      <c r="O11" s="12" t="b">
        <v>0</v>
      </c>
      <c r="P11" s="12" t="b">
        <v>0</v>
      </c>
      <c r="Q11" s="12" t="b">
        <v>0</v>
      </c>
      <c r="R11" s="12" t="b">
        <v>1</v>
      </c>
      <c r="S11" s="12" t="b">
        <v>1</v>
      </c>
      <c r="T11" s="12" t="b">
        <v>1</v>
      </c>
      <c r="U11" s="12" t="b">
        <v>0</v>
      </c>
      <c r="V11" s="12" t="b">
        <v>1</v>
      </c>
      <c r="W11" s="12" t="b">
        <v>0</v>
      </c>
      <c r="X11" s="12">
        <v>1</v>
      </c>
      <c r="Y11" s="12" t="b">
        <v>0</v>
      </c>
      <c r="Z11" s="12" t="b">
        <v>0</v>
      </c>
      <c r="AA11" s="12" t="b">
        <v>1</v>
      </c>
      <c r="AB11" s="12" t="b">
        <v>1</v>
      </c>
      <c r="AC11" s="12" t="b">
        <v>1</v>
      </c>
      <c r="AD11" s="12" t="b">
        <v>1</v>
      </c>
      <c r="AE11" s="12" t="b">
        <v>0</v>
      </c>
      <c r="AF11" s="12" t="b">
        <v>0</v>
      </c>
      <c r="AG11" s="12" t="b">
        <v>0</v>
      </c>
      <c r="AH11" s="12">
        <v>-1</v>
      </c>
      <c r="AI11" s="12" t="b">
        <v>0</v>
      </c>
      <c r="AJ11" s="12" t="b">
        <v>0</v>
      </c>
      <c r="AK11" s="12" t="b">
        <v>1</v>
      </c>
      <c r="AL11" s="12">
        <v>1</v>
      </c>
      <c r="AM11" s="12" t="s">
        <v>1476</v>
      </c>
      <c r="AN11" s="12">
        <v>1</v>
      </c>
    </row>
    <row r="12" spans="1:40" x14ac:dyDescent="0.3">
      <c r="A12" s="62" t="s">
        <v>879</v>
      </c>
      <c r="B12" s="62"/>
      <c r="C12" s="63"/>
      <c r="D12" s="63"/>
      <c r="E12" s="12" t="s">
        <v>2094</v>
      </c>
      <c r="F12" s="12" t="s">
        <v>2098</v>
      </c>
      <c r="G12" s="12" t="b">
        <v>0</v>
      </c>
      <c r="H12" s="12" t="b">
        <v>1</v>
      </c>
      <c r="I12" s="12" t="b">
        <v>1</v>
      </c>
      <c r="J12" s="12" t="b">
        <v>1</v>
      </c>
      <c r="K12" s="12" t="b">
        <v>0</v>
      </c>
      <c r="L12" s="12" t="b">
        <v>0</v>
      </c>
      <c r="M12" s="12" t="b">
        <v>0</v>
      </c>
      <c r="N12" s="12">
        <v>0</v>
      </c>
      <c r="O12" s="12" t="b">
        <v>0</v>
      </c>
      <c r="P12" s="12" t="b">
        <v>0</v>
      </c>
      <c r="Q12" s="12" t="b">
        <v>0</v>
      </c>
      <c r="R12" s="12" t="b">
        <v>1</v>
      </c>
      <c r="S12" s="12" t="b">
        <v>1</v>
      </c>
      <c r="T12" s="12" t="b">
        <v>1</v>
      </c>
      <c r="U12" s="12" t="b">
        <v>0</v>
      </c>
      <c r="V12" s="12" t="b">
        <v>0</v>
      </c>
      <c r="W12" s="12" t="b">
        <v>0</v>
      </c>
      <c r="X12" s="12">
        <v>-1</v>
      </c>
      <c r="Y12" s="12" t="b">
        <v>0</v>
      </c>
      <c r="Z12" s="12" t="b">
        <v>0</v>
      </c>
      <c r="AA12" s="12" t="b">
        <v>0</v>
      </c>
      <c r="AB12" s="12" t="b">
        <v>0</v>
      </c>
      <c r="AC12" s="12" t="b">
        <v>0</v>
      </c>
      <c r="AD12" s="12" t="b">
        <v>1</v>
      </c>
      <c r="AE12" s="12" t="b">
        <v>0</v>
      </c>
      <c r="AF12" s="12" t="b">
        <v>1</v>
      </c>
      <c r="AG12" s="12" t="b">
        <v>0</v>
      </c>
      <c r="AH12" s="12">
        <v>1</v>
      </c>
      <c r="AI12" s="12" t="b">
        <v>0</v>
      </c>
      <c r="AJ12" s="12" t="b">
        <v>0</v>
      </c>
      <c r="AK12" s="12" t="b">
        <v>1</v>
      </c>
      <c r="AL12" s="12">
        <v>1</v>
      </c>
      <c r="AM12" s="12" t="s">
        <v>900</v>
      </c>
      <c r="AN12" s="12">
        <v>1</v>
      </c>
    </row>
    <row r="13" spans="1:40" x14ac:dyDescent="0.3">
      <c r="A13" s="62" t="s">
        <v>879</v>
      </c>
      <c r="B13" s="62"/>
      <c r="C13" s="63"/>
      <c r="D13" s="63"/>
      <c r="E13" s="12" t="s">
        <v>1585</v>
      </c>
      <c r="F13" s="12" t="s">
        <v>2049</v>
      </c>
      <c r="G13" s="12" t="b">
        <v>0</v>
      </c>
      <c r="H13" s="12" t="b">
        <v>1</v>
      </c>
      <c r="I13" s="12" t="b">
        <v>1</v>
      </c>
      <c r="J13" s="12" t="b">
        <v>1</v>
      </c>
      <c r="K13" s="12" t="b">
        <v>0</v>
      </c>
      <c r="L13" s="12" t="b">
        <v>0</v>
      </c>
      <c r="M13" s="12" t="b">
        <v>0</v>
      </c>
      <c r="N13" s="12">
        <v>0</v>
      </c>
      <c r="O13" s="12" t="b">
        <v>0</v>
      </c>
      <c r="P13" s="12" t="b">
        <v>0</v>
      </c>
      <c r="Q13" s="12" t="b">
        <v>0</v>
      </c>
      <c r="R13" s="12" t="b">
        <v>1</v>
      </c>
      <c r="S13" s="12" t="b">
        <v>1</v>
      </c>
      <c r="T13" s="12" t="b">
        <v>1</v>
      </c>
      <c r="U13" s="12" t="b">
        <v>0</v>
      </c>
      <c r="V13" s="12" t="b">
        <v>0</v>
      </c>
      <c r="W13" s="12" t="b">
        <v>0</v>
      </c>
      <c r="X13" s="12">
        <v>1</v>
      </c>
      <c r="Y13" s="12" t="b">
        <v>0</v>
      </c>
      <c r="Z13" s="12" t="b">
        <v>0</v>
      </c>
      <c r="AA13" s="12" t="b">
        <v>0</v>
      </c>
      <c r="AB13" s="12" t="b">
        <v>0</v>
      </c>
      <c r="AC13" s="12" t="b">
        <v>0</v>
      </c>
      <c r="AD13" s="12" t="b">
        <v>1</v>
      </c>
      <c r="AE13" s="12" t="b">
        <v>0</v>
      </c>
      <c r="AF13" s="12" t="b">
        <v>1</v>
      </c>
      <c r="AG13" s="12" t="b">
        <v>0</v>
      </c>
      <c r="AH13" s="12">
        <v>1</v>
      </c>
      <c r="AI13" s="12" t="b">
        <v>0</v>
      </c>
      <c r="AJ13" s="12" t="b">
        <v>0</v>
      </c>
      <c r="AK13" s="12" t="b">
        <v>1</v>
      </c>
      <c r="AL13" s="12">
        <v>1</v>
      </c>
      <c r="AM13" s="12" t="s">
        <v>1476</v>
      </c>
      <c r="AN13" s="12">
        <v>1</v>
      </c>
    </row>
    <row r="14" spans="1:40" x14ac:dyDescent="0.3">
      <c r="A14" s="62" t="s">
        <v>879</v>
      </c>
      <c r="B14" s="62"/>
      <c r="C14" s="63"/>
      <c r="D14" s="63"/>
      <c r="E14" s="12" t="s">
        <v>1945</v>
      </c>
      <c r="F14" s="12" t="s">
        <v>1946</v>
      </c>
      <c r="G14" s="12" t="b">
        <v>0</v>
      </c>
      <c r="H14" s="12" t="b">
        <v>1</v>
      </c>
      <c r="I14" s="12" t="b">
        <v>1</v>
      </c>
      <c r="J14" s="12" t="b">
        <v>1</v>
      </c>
      <c r="K14" s="12" t="b">
        <v>0</v>
      </c>
      <c r="L14" s="12" t="b">
        <v>0</v>
      </c>
      <c r="M14" s="12" t="b">
        <v>0</v>
      </c>
      <c r="N14" s="12">
        <v>0</v>
      </c>
      <c r="O14" s="12" t="b">
        <v>0</v>
      </c>
      <c r="P14" s="12" t="b">
        <v>0</v>
      </c>
      <c r="Q14" s="12" t="b">
        <v>0</v>
      </c>
      <c r="R14" s="12" t="b">
        <v>0</v>
      </c>
      <c r="S14" s="12" t="b">
        <v>0</v>
      </c>
      <c r="T14" s="12" t="b">
        <v>0</v>
      </c>
      <c r="U14" s="12" t="b">
        <v>0</v>
      </c>
      <c r="V14" s="12" t="b">
        <v>0</v>
      </c>
      <c r="W14" s="12" t="b">
        <v>0</v>
      </c>
      <c r="X14" s="12">
        <v>12</v>
      </c>
      <c r="Y14" s="12" t="b">
        <v>0</v>
      </c>
      <c r="Z14" s="12" t="b">
        <v>0</v>
      </c>
      <c r="AA14" s="12" t="b">
        <v>0</v>
      </c>
      <c r="AB14" s="12" t="b">
        <v>0</v>
      </c>
      <c r="AC14" s="12" t="b">
        <v>0</v>
      </c>
      <c r="AD14" s="12" t="b">
        <v>0</v>
      </c>
      <c r="AE14" s="12" t="b">
        <v>0</v>
      </c>
      <c r="AF14" s="12" t="b">
        <v>0</v>
      </c>
      <c r="AG14" s="12" t="b">
        <v>0</v>
      </c>
      <c r="AH14" s="12">
        <v>5</v>
      </c>
      <c r="AI14" s="12" t="b">
        <v>0</v>
      </c>
      <c r="AJ14" s="12" t="b">
        <v>0</v>
      </c>
      <c r="AK14" s="12" t="b">
        <v>1</v>
      </c>
      <c r="AL14" s="12">
        <v>1</v>
      </c>
      <c r="AM14" s="12" t="s">
        <v>1476</v>
      </c>
      <c r="AN14" s="12">
        <v>1</v>
      </c>
    </row>
    <row r="15" spans="1:40" x14ac:dyDescent="0.3">
      <c r="A15" s="62" t="s">
        <v>879</v>
      </c>
      <c r="B15" s="62"/>
      <c r="C15" s="63"/>
      <c r="D15" s="63"/>
      <c r="E15" s="12" t="s">
        <v>1947</v>
      </c>
      <c r="F15" s="12" t="s">
        <v>1948</v>
      </c>
      <c r="G15" s="12" t="b">
        <v>0</v>
      </c>
      <c r="H15" s="12" t="b">
        <v>1</v>
      </c>
      <c r="I15" s="12" t="b">
        <v>1</v>
      </c>
      <c r="J15" s="12" t="b">
        <v>1</v>
      </c>
      <c r="K15" s="12" t="b">
        <v>0</v>
      </c>
      <c r="L15" s="12" t="b">
        <v>1</v>
      </c>
      <c r="M15" s="12" t="b">
        <v>0</v>
      </c>
      <c r="N15" s="12">
        <v>0</v>
      </c>
      <c r="O15" s="12" t="b">
        <v>0</v>
      </c>
      <c r="P15" s="12" t="b">
        <v>0</v>
      </c>
      <c r="Q15" s="12" t="b">
        <v>0</v>
      </c>
      <c r="R15" s="12" t="b">
        <v>0</v>
      </c>
      <c r="S15" s="12" t="b">
        <v>0</v>
      </c>
      <c r="T15" s="12" t="b">
        <v>0</v>
      </c>
      <c r="U15" s="12" t="b">
        <v>0</v>
      </c>
      <c r="V15" s="12" t="b">
        <v>0</v>
      </c>
      <c r="W15" s="12" t="b">
        <v>0</v>
      </c>
      <c r="X15" s="12">
        <v>12</v>
      </c>
      <c r="Y15" s="12" t="b">
        <v>0</v>
      </c>
      <c r="Z15" s="12" t="b">
        <v>0</v>
      </c>
      <c r="AA15" s="12" t="b">
        <v>0</v>
      </c>
      <c r="AB15" s="12" t="b">
        <v>0</v>
      </c>
      <c r="AC15" s="12" t="b">
        <v>0</v>
      </c>
      <c r="AD15" s="12" t="b">
        <v>0</v>
      </c>
      <c r="AE15" s="12" t="b">
        <v>0</v>
      </c>
      <c r="AF15" s="12" t="b">
        <v>0</v>
      </c>
      <c r="AG15" s="12" t="b">
        <v>0</v>
      </c>
      <c r="AH15" s="12">
        <v>7</v>
      </c>
      <c r="AI15" s="12" t="b">
        <v>0</v>
      </c>
      <c r="AJ15" s="12" t="b">
        <v>0</v>
      </c>
      <c r="AK15" s="12" t="b">
        <v>1</v>
      </c>
      <c r="AL15" s="12">
        <v>1</v>
      </c>
      <c r="AM15" s="12" t="s">
        <v>1476</v>
      </c>
      <c r="AN15" s="12">
        <v>1</v>
      </c>
    </row>
    <row r="16" spans="1:40" x14ac:dyDescent="0.3">
      <c r="A16" s="62" t="s">
        <v>879</v>
      </c>
      <c r="B16" s="62"/>
      <c r="C16" s="63"/>
      <c r="D16" s="63"/>
      <c r="E16" s="12" t="s">
        <v>1324</v>
      </c>
      <c r="F16" s="12" t="s">
        <v>1325</v>
      </c>
      <c r="G16" s="12" t="b">
        <v>0</v>
      </c>
      <c r="H16" s="12" t="b">
        <v>1</v>
      </c>
      <c r="I16" s="12" t="b">
        <v>1</v>
      </c>
      <c r="J16" s="12" t="b">
        <v>1</v>
      </c>
      <c r="K16" s="12" t="b">
        <v>0</v>
      </c>
      <c r="L16" s="12" t="b">
        <v>0</v>
      </c>
      <c r="M16" s="12" t="b">
        <v>0</v>
      </c>
      <c r="N16" s="12">
        <v>0</v>
      </c>
      <c r="O16" s="12" t="b">
        <v>0</v>
      </c>
      <c r="P16" s="12" t="b">
        <v>0</v>
      </c>
      <c r="Q16" s="12" t="b">
        <v>0</v>
      </c>
      <c r="R16" s="12" t="b">
        <v>0</v>
      </c>
      <c r="S16" s="12" t="b">
        <v>0</v>
      </c>
      <c r="T16" s="12" t="b">
        <v>0</v>
      </c>
      <c r="U16" s="12" t="b">
        <v>0</v>
      </c>
      <c r="V16" s="12" t="b">
        <v>0</v>
      </c>
      <c r="W16" s="12" t="b">
        <v>0</v>
      </c>
      <c r="X16" s="12">
        <v>12</v>
      </c>
      <c r="Y16" s="12" t="b">
        <v>0</v>
      </c>
      <c r="Z16" s="12" t="b">
        <v>0</v>
      </c>
      <c r="AA16" s="12" t="b">
        <v>0</v>
      </c>
      <c r="AB16" s="12" t="b">
        <v>0</v>
      </c>
      <c r="AC16" s="12" t="b">
        <v>0</v>
      </c>
      <c r="AD16" s="12" t="b">
        <v>0</v>
      </c>
      <c r="AE16" s="12" t="b">
        <v>0</v>
      </c>
      <c r="AF16" s="12" t="b">
        <v>0</v>
      </c>
      <c r="AG16" s="12" t="b">
        <v>0</v>
      </c>
      <c r="AH16" s="12">
        <v>5</v>
      </c>
      <c r="AI16" s="12" t="b">
        <v>0</v>
      </c>
      <c r="AJ16" s="12" t="b">
        <v>0</v>
      </c>
      <c r="AK16" s="12" t="b">
        <v>1</v>
      </c>
      <c r="AL16" s="12">
        <v>1</v>
      </c>
      <c r="AM16" s="12" t="s">
        <v>1476</v>
      </c>
      <c r="AN16" s="12">
        <v>1</v>
      </c>
    </row>
    <row r="17" spans="1:40" x14ac:dyDescent="0.3">
      <c r="A17" s="62" t="s">
        <v>879</v>
      </c>
      <c r="B17" s="62"/>
      <c r="C17" s="63"/>
      <c r="D17" s="63"/>
      <c r="E17" s="12" t="s">
        <v>1326</v>
      </c>
      <c r="F17" s="12" t="s">
        <v>1327</v>
      </c>
      <c r="G17" s="12" t="b">
        <v>0</v>
      </c>
      <c r="H17" s="12" t="b">
        <v>1</v>
      </c>
      <c r="I17" s="12" t="b">
        <v>1</v>
      </c>
      <c r="J17" s="12" t="b">
        <v>1</v>
      </c>
      <c r="K17" s="12" t="b">
        <v>0</v>
      </c>
      <c r="L17" s="12" t="b">
        <v>1</v>
      </c>
      <c r="M17" s="12" t="b">
        <v>0</v>
      </c>
      <c r="N17" s="12">
        <v>0</v>
      </c>
      <c r="O17" s="12" t="b">
        <v>0</v>
      </c>
      <c r="P17" s="12" t="b">
        <v>0</v>
      </c>
      <c r="Q17" s="12" t="b">
        <v>0</v>
      </c>
      <c r="R17" s="12" t="b">
        <v>0</v>
      </c>
      <c r="S17" s="12" t="b">
        <v>0</v>
      </c>
      <c r="T17" s="12" t="b">
        <v>0</v>
      </c>
      <c r="U17" s="12" t="b">
        <v>0</v>
      </c>
      <c r="V17" s="12" t="b">
        <v>0</v>
      </c>
      <c r="W17" s="12" t="b">
        <v>0</v>
      </c>
      <c r="X17" s="12">
        <v>12</v>
      </c>
      <c r="Y17" s="12" t="b">
        <v>0</v>
      </c>
      <c r="Z17" s="12" t="b">
        <v>0</v>
      </c>
      <c r="AA17" s="12" t="b">
        <v>0</v>
      </c>
      <c r="AB17" s="12" t="b">
        <v>0</v>
      </c>
      <c r="AC17" s="12" t="b">
        <v>0</v>
      </c>
      <c r="AD17" s="12" t="b">
        <v>0</v>
      </c>
      <c r="AE17" s="12" t="b">
        <v>0</v>
      </c>
      <c r="AF17" s="12" t="b">
        <v>0</v>
      </c>
      <c r="AG17" s="12" t="b">
        <v>0</v>
      </c>
      <c r="AH17" s="12">
        <v>7</v>
      </c>
      <c r="AI17" s="12" t="b">
        <v>0</v>
      </c>
      <c r="AJ17" s="12" t="b">
        <v>0</v>
      </c>
      <c r="AK17" s="12" t="b">
        <v>1</v>
      </c>
      <c r="AL17" s="12">
        <v>1</v>
      </c>
      <c r="AM17" s="12" t="s">
        <v>1476</v>
      </c>
      <c r="AN17" s="12">
        <v>1</v>
      </c>
    </row>
    <row r="18" spans="1:40" x14ac:dyDescent="0.3">
      <c r="A18" s="62" t="s">
        <v>879</v>
      </c>
      <c r="B18" s="62"/>
      <c r="C18" s="63"/>
      <c r="D18" s="63"/>
      <c r="E18" s="12" t="s">
        <v>1242</v>
      </c>
      <c r="F18" s="12" t="s">
        <v>1243</v>
      </c>
      <c r="G18" s="12" t="b">
        <v>0</v>
      </c>
      <c r="H18" s="12" t="b">
        <v>1</v>
      </c>
      <c r="I18" s="12" t="b">
        <v>1</v>
      </c>
      <c r="J18" s="12" t="b">
        <v>1</v>
      </c>
      <c r="K18" s="12" t="b">
        <v>0</v>
      </c>
      <c r="L18" s="12" t="b">
        <v>0</v>
      </c>
      <c r="M18" s="12" t="b">
        <v>0</v>
      </c>
      <c r="N18" s="12">
        <v>0</v>
      </c>
      <c r="O18" s="12" t="b">
        <v>0</v>
      </c>
      <c r="P18" s="12" t="b">
        <v>0</v>
      </c>
      <c r="Q18" s="12" t="b">
        <v>0</v>
      </c>
      <c r="R18" s="12" t="b">
        <v>1</v>
      </c>
      <c r="S18" s="12" t="b">
        <v>1</v>
      </c>
      <c r="T18" s="12" t="b">
        <v>1</v>
      </c>
      <c r="U18" s="12" t="b">
        <v>0</v>
      </c>
      <c r="V18" s="12" t="b">
        <v>1</v>
      </c>
      <c r="W18" s="12" t="b">
        <v>0</v>
      </c>
      <c r="X18" s="12">
        <v>0</v>
      </c>
      <c r="Y18" s="12" t="b">
        <v>0</v>
      </c>
      <c r="Z18" s="12" t="b">
        <v>0</v>
      </c>
      <c r="AA18" s="12" t="b">
        <v>1</v>
      </c>
      <c r="AB18" s="12" t="b">
        <v>1</v>
      </c>
      <c r="AC18" s="12" t="b">
        <v>1</v>
      </c>
      <c r="AD18" s="12" t="b">
        <v>1</v>
      </c>
      <c r="AE18" s="12" t="b">
        <v>0</v>
      </c>
      <c r="AF18" s="12" t="b">
        <v>0</v>
      </c>
      <c r="AG18" s="12" t="b">
        <v>0</v>
      </c>
      <c r="AH18" s="12">
        <v>100</v>
      </c>
      <c r="AI18" s="12" t="b">
        <v>0</v>
      </c>
      <c r="AJ18" s="12" t="b">
        <v>0</v>
      </c>
      <c r="AK18" s="12" t="b">
        <v>1</v>
      </c>
      <c r="AL18" s="12">
        <v>1</v>
      </c>
      <c r="AM18" s="12" t="s">
        <v>978</v>
      </c>
      <c r="AN18" s="12">
        <v>1</v>
      </c>
    </row>
    <row r="19" spans="1:40" x14ac:dyDescent="0.3">
      <c r="A19" s="62" t="s">
        <v>879</v>
      </c>
      <c r="B19" s="62"/>
      <c r="C19" s="63"/>
      <c r="D19" s="63"/>
      <c r="E19" s="12" t="s">
        <v>1244</v>
      </c>
      <c r="F19" s="12" t="s">
        <v>1245</v>
      </c>
      <c r="G19" s="12" t="b">
        <v>0</v>
      </c>
      <c r="H19" s="12" t="b">
        <v>1</v>
      </c>
      <c r="I19" s="12" t="b">
        <v>1</v>
      </c>
      <c r="J19" s="12" t="b">
        <v>1</v>
      </c>
      <c r="K19" s="12" t="b">
        <v>0</v>
      </c>
      <c r="L19" s="12" t="b">
        <v>0</v>
      </c>
      <c r="M19" s="12" t="b">
        <v>0</v>
      </c>
      <c r="N19" s="12">
        <v>0</v>
      </c>
      <c r="O19" s="12" t="b">
        <v>0</v>
      </c>
      <c r="P19" s="12" t="b">
        <v>0</v>
      </c>
      <c r="Q19" s="12" t="b">
        <v>0</v>
      </c>
      <c r="R19" s="12" t="b">
        <v>1</v>
      </c>
      <c r="S19" s="12" t="b">
        <v>1</v>
      </c>
      <c r="T19" s="12" t="b">
        <v>1</v>
      </c>
      <c r="U19" s="12" t="b">
        <v>0</v>
      </c>
      <c r="V19" s="12" t="b">
        <v>1</v>
      </c>
      <c r="W19" s="12" t="b">
        <v>0</v>
      </c>
      <c r="X19" s="12">
        <v>0</v>
      </c>
      <c r="Y19" s="12" t="b">
        <v>0</v>
      </c>
      <c r="Z19" s="12" t="b">
        <v>0</v>
      </c>
      <c r="AA19" s="12" t="b">
        <v>1</v>
      </c>
      <c r="AB19" s="12" t="b">
        <v>1</v>
      </c>
      <c r="AC19" s="12" t="b">
        <v>1</v>
      </c>
      <c r="AD19" s="12" t="b">
        <v>1</v>
      </c>
      <c r="AE19" s="12" t="b">
        <v>0</v>
      </c>
      <c r="AF19" s="12" t="b">
        <v>0</v>
      </c>
      <c r="AG19" s="12" t="b">
        <v>0</v>
      </c>
      <c r="AH19" s="12">
        <v>100</v>
      </c>
      <c r="AI19" s="12" t="b">
        <v>0</v>
      </c>
      <c r="AJ19" s="12" t="b">
        <v>0</v>
      </c>
      <c r="AK19" s="12" t="b">
        <v>1</v>
      </c>
      <c r="AL19" s="12">
        <v>1</v>
      </c>
      <c r="AM19" s="12" t="s">
        <v>978</v>
      </c>
      <c r="AN19" s="12">
        <v>1</v>
      </c>
    </row>
    <row r="20" spans="1:40" x14ac:dyDescent="0.3">
      <c r="A20" s="62" t="s">
        <v>879</v>
      </c>
      <c r="B20" s="62"/>
      <c r="C20" s="63"/>
      <c r="D20" s="63"/>
      <c r="E20" s="12" t="s">
        <v>1248</v>
      </c>
      <c r="F20" s="12" t="s">
        <v>1249</v>
      </c>
      <c r="G20" s="12" t="b">
        <v>0</v>
      </c>
      <c r="H20" s="12" t="b">
        <v>1</v>
      </c>
      <c r="I20" s="12" t="b">
        <v>1</v>
      </c>
      <c r="J20" s="12" t="b">
        <v>1</v>
      </c>
      <c r="K20" s="12" t="b">
        <v>0</v>
      </c>
      <c r="L20" s="12" t="b">
        <v>0</v>
      </c>
      <c r="M20" s="12" t="b">
        <v>0</v>
      </c>
      <c r="N20" s="12">
        <v>0</v>
      </c>
      <c r="O20" s="12" t="b">
        <v>0</v>
      </c>
      <c r="P20" s="12" t="b">
        <v>0</v>
      </c>
      <c r="Q20" s="12" t="b">
        <v>0</v>
      </c>
      <c r="R20" s="12" t="b">
        <v>1</v>
      </c>
      <c r="S20" s="12" t="b">
        <v>1</v>
      </c>
      <c r="T20" s="12" t="b">
        <v>1</v>
      </c>
      <c r="U20" s="12" t="b">
        <v>0</v>
      </c>
      <c r="V20" s="12" t="b">
        <v>1</v>
      </c>
      <c r="W20" s="12" t="b">
        <v>0</v>
      </c>
      <c r="X20" s="12">
        <v>0</v>
      </c>
      <c r="Y20" s="12" t="b">
        <v>0</v>
      </c>
      <c r="Z20" s="12" t="b">
        <v>0</v>
      </c>
      <c r="AA20" s="12" t="b">
        <v>1</v>
      </c>
      <c r="AB20" s="12" t="b">
        <v>1</v>
      </c>
      <c r="AC20" s="12" t="b">
        <v>1</v>
      </c>
      <c r="AD20" s="12" t="b">
        <v>1</v>
      </c>
      <c r="AE20" s="12" t="b">
        <v>0</v>
      </c>
      <c r="AF20" s="12" t="b">
        <v>0</v>
      </c>
      <c r="AG20" s="12" t="b">
        <v>0</v>
      </c>
      <c r="AH20" s="12">
        <v>100</v>
      </c>
      <c r="AI20" s="12" t="b">
        <v>0</v>
      </c>
      <c r="AJ20" s="12" t="b">
        <v>0</v>
      </c>
      <c r="AK20" s="12" t="b">
        <v>1</v>
      </c>
      <c r="AL20" s="12">
        <v>1</v>
      </c>
      <c r="AM20" s="12" t="s">
        <v>978</v>
      </c>
      <c r="AN20" s="12">
        <v>1</v>
      </c>
    </row>
    <row r="21" spans="1:40" x14ac:dyDescent="0.3">
      <c r="A21" s="62" t="s">
        <v>879</v>
      </c>
      <c r="B21" s="62"/>
      <c r="C21" s="63"/>
      <c r="D21" s="63"/>
      <c r="E21" s="12" t="s">
        <v>1250</v>
      </c>
      <c r="F21" s="12" t="s">
        <v>1251</v>
      </c>
      <c r="G21" s="12" t="b">
        <v>0</v>
      </c>
      <c r="H21" s="12" t="b">
        <v>1</v>
      </c>
      <c r="I21" s="12" t="b">
        <v>1</v>
      </c>
      <c r="J21" s="12" t="b">
        <v>1</v>
      </c>
      <c r="K21" s="12" t="b">
        <v>0</v>
      </c>
      <c r="L21" s="12" t="b">
        <v>0</v>
      </c>
      <c r="M21" s="12" t="b">
        <v>0</v>
      </c>
      <c r="N21" s="12">
        <v>0</v>
      </c>
      <c r="O21" s="12" t="b">
        <v>0</v>
      </c>
      <c r="P21" s="12" t="b">
        <v>0</v>
      </c>
      <c r="Q21" s="12" t="b">
        <v>0</v>
      </c>
      <c r="R21" s="12" t="b">
        <v>1</v>
      </c>
      <c r="S21" s="12" t="b">
        <v>1</v>
      </c>
      <c r="T21" s="12" t="b">
        <v>1</v>
      </c>
      <c r="U21" s="12" t="b">
        <v>0</v>
      </c>
      <c r="V21" s="12" t="b">
        <v>1</v>
      </c>
      <c r="W21" s="12" t="b">
        <v>0</v>
      </c>
      <c r="X21" s="12">
        <v>0</v>
      </c>
      <c r="Y21" s="12" t="b">
        <v>0</v>
      </c>
      <c r="Z21" s="12" t="b">
        <v>0</v>
      </c>
      <c r="AA21" s="12" t="b">
        <v>1</v>
      </c>
      <c r="AB21" s="12" t="b">
        <v>1</v>
      </c>
      <c r="AC21" s="12" t="b">
        <v>1</v>
      </c>
      <c r="AD21" s="12" t="b">
        <v>1</v>
      </c>
      <c r="AE21" s="12" t="b">
        <v>0</v>
      </c>
      <c r="AF21" s="12" t="b">
        <v>0</v>
      </c>
      <c r="AG21" s="12" t="b">
        <v>0</v>
      </c>
      <c r="AH21" s="12">
        <v>100</v>
      </c>
      <c r="AI21" s="12" t="b">
        <v>0</v>
      </c>
      <c r="AJ21" s="12" t="b">
        <v>0</v>
      </c>
      <c r="AK21" s="12" t="b">
        <v>1</v>
      </c>
      <c r="AL21" s="12">
        <v>1</v>
      </c>
      <c r="AM21" s="12" t="s">
        <v>978</v>
      </c>
      <c r="AN21" s="12">
        <v>1</v>
      </c>
    </row>
    <row r="22" spans="1:40" x14ac:dyDescent="0.3">
      <c r="A22" s="62" t="s">
        <v>879</v>
      </c>
      <c r="B22" s="62"/>
      <c r="C22" s="63"/>
      <c r="D22" s="63"/>
      <c r="E22" s="12" t="s">
        <v>1252</v>
      </c>
      <c r="F22" s="12" t="s">
        <v>1253</v>
      </c>
      <c r="G22" s="12" t="b">
        <v>0</v>
      </c>
      <c r="H22" s="12" t="b">
        <v>1</v>
      </c>
      <c r="I22" s="12" t="b">
        <v>1</v>
      </c>
      <c r="J22" s="12" t="b">
        <v>1</v>
      </c>
      <c r="K22" s="12" t="b">
        <v>0</v>
      </c>
      <c r="L22" s="12" t="b">
        <v>0</v>
      </c>
      <c r="M22" s="12" t="b">
        <v>0</v>
      </c>
      <c r="N22" s="12">
        <v>0</v>
      </c>
      <c r="O22" s="12" t="b">
        <v>0</v>
      </c>
      <c r="P22" s="12" t="b">
        <v>0</v>
      </c>
      <c r="Q22" s="12" t="b">
        <v>0</v>
      </c>
      <c r="R22" s="12" t="b">
        <v>1</v>
      </c>
      <c r="S22" s="12" t="b">
        <v>1</v>
      </c>
      <c r="T22" s="12" t="b">
        <v>1</v>
      </c>
      <c r="U22" s="12" t="b">
        <v>0</v>
      </c>
      <c r="V22" s="12" t="b">
        <v>1</v>
      </c>
      <c r="W22" s="12" t="b">
        <v>0</v>
      </c>
      <c r="X22" s="12">
        <v>0</v>
      </c>
      <c r="Y22" s="12" t="b">
        <v>0</v>
      </c>
      <c r="Z22" s="12" t="b">
        <v>0</v>
      </c>
      <c r="AA22" s="12" t="b">
        <v>1</v>
      </c>
      <c r="AB22" s="12" t="b">
        <v>1</v>
      </c>
      <c r="AC22" s="12" t="b">
        <v>1</v>
      </c>
      <c r="AD22" s="12" t="b">
        <v>1</v>
      </c>
      <c r="AE22" s="12" t="b">
        <v>0</v>
      </c>
      <c r="AF22" s="12" t="b">
        <v>0</v>
      </c>
      <c r="AG22" s="12" t="b">
        <v>0</v>
      </c>
      <c r="AH22" s="12">
        <v>100</v>
      </c>
      <c r="AI22" s="12" t="b">
        <v>0</v>
      </c>
      <c r="AJ22" s="12" t="b">
        <v>0</v>
      </c>
      <c r="AK22" s="12" t="b">
        <v>1</v>
      </c>
      <c r="AL22" s="12">
        <v>1</v>
      </c>
      <c r="AM22" s="12" t="s">
        <v>978</v>
      </c>
      <c r="AN22" s="12">
        <v>1</v>
      </c>
    </row>
    <row r="23" spans="1:40" x14ac:dyDescent="0.3">
      <c r="A23" s="62" t="s">
        <v>879</v>
      </c>
      <c r="B23" s="62"/>
      <c r="C23" s="63"/>
      <c r="D23" s="63"/>
      <c r="E23" s="12" t="s">
        <v>1949</v>
      </c>
      <c r="F23" s="12" t="s">
        <v>1950</v>
      </c>
      <c r="G23" s="12" t="b">
        <v>0</v>
      </c>
      <c r="H23" s="12" t="b">
        <v>1</v>
      </c>
      <c r="I23" s="12" t="b">
        <v>1</v>
      </c>
      <c r="J23" s="12" t="b">
        <v>1</v>
      </c>
      <c r="K23" s="12" t="b">
        <v>0</v>
      </c>
      <c r="L23" s="12" t="b">
        <v>0</v>
      </c>
      <c r="M23" s="12" t="b">
        <v>0</v>
      </c>
      <c r="N23" s="12">
        <v>0</v>
      </c>
      <c r="O23" s="12" t="b">
        <v>0</v>
      </c>
      <c r="P23" s="12" t="b">
        <v>0</v>
      </c>
      <c r="Q23" s="12" t="b">
        <v>0</v>
      </c>
      <c r="R23" s="12" t="b">
        <v>0</v>
      </c>
      <c r="S23" s="12" t="b">
        <v>0</v>
      </c>
      <c r="T23" s="12" t="b">
        <v>1</v>
      </c>
      <c r="U23" s="12" t="b">
        <v>0</v>
      </c>
      <c r="V23" s="12" t="b">
        <v>1</v>
      </c>
      <c r="W23" s="12" t="b">
        <v>0</v>
      </c>
      <c r="X23" s="12">
        <v>1</v>
      </c>
      <c r="Y23" s="12" t="b">
        <v>0</v>
      </c>
      <c r="Z23" s="12" t="b">
        <v>0</v>
      </c>
      <c r="AA23" s="12" t="b">
        <v>1</v>
      </c>
      <c r="AB23" s="12" t="b">
        <v>1</v>
      </c>
      <c r="AC23" s="12" t="b">
        <v>1</v>
      </c>
      <c r="AD23" s="12" t="b">
        <v>1</v>
      </c>
      <c r="AE23" s="12" t="b">
        <v>0</v>
      </c>
      <c r="AF23" s="12" t="b">
        <v>0</v>
      </c>
      <c r="AG23" s="12" t="b">
        <v>0</v>
      </c>
      <c r="AH23" s="12">
        <v>0</v>
      </c>
      <c r="AI23" s="12" t="b">
        <v>0</v>
      </c>
      <c r="AJ23" s="12" t="b">
        <v>0</v>
      </c>
      <c r="AK23" s="12" t="b">
        <v>1</v>
      </c>
      <c r="AL23" s="12">
        <v>0</v>
      </c>
      <c r="AM23" s="12" t="s">
        <v>900</v>
      </c>
      <c r="AN23" s="12">
        <v>0</v>
      </c>
    </row>
    <row r="24" spans="1:40" x14ac:dyDescent="0.3">
      <c r="A24" s="62" t="s">
        <v>879</v>
      </c>
      <c r="B24" s="62"/>
      <c r="C24" s="63"/>
      <c r="D24" s="63"/>
      <c r="E24" s="12" t="s">
        <v>1236</v>
      </c>
      <c r="F24" s="12" t="s">
        <v>1237</v>
      </c>
      <c r="G24" s="12" t="b">
        <v>0</v>
      </c>
      <c r="H24" s="12" t="b">
        <v>1</v>
      </c>
      <c r="I24" s="12" t="b">
        <v>1</v>
      </c>
      <c r="J24" s="12" t="b">
        <v>1</v>
      </c>
      <c r="K24" s="12" t="b">
        <v>1</v>
      </c>
      <c r="L24" s="12" t="b">
        <v>1</v>
      </c>
      <c r="M24" s="12" t="b">
        <v>0</v>
      </c>
      <c r="N24" s="12">
        <v>0</v>
      </c>
      <c r="O24" s="12" t="b">
        <v>0</v>
      </c>
      <c r="P24" s="12" t="b">
        <v>0</v>
      </c>
      <c r="Q24" s="12" t="b">
        <v>0</v>
      </c>
      <c r="R24" s="12" t="b">
        <v>1</v>
      </c>
      <c r="S24" s="12" t="b">
        <v>1</v>
      </c>
      <c r="T24" s="12" t="b">
        <v>1</v>
      </c>
      <c r="U24" s="12" t="b">
        <v>0</v>
      </c>
      <c r="V24" s="12" t="b">
        <v>1</v>
      </c>
      <c r="W24" s="12" t="b">
        <v>0</v>
      </c>
      <c r="X24" s="12">
        <v>0</v>
      </c>
      <c r="Y24" s="12" t="b">
        <v>0</v>
      </c>
      <c r="Z24" s="12" t="b">
        <v>0</v>
      </c>
      <c r="AA24" s="12" t="b">
        <v>0</v>
      </c>
      <c r="AB24" s="12" t="b">
        <v>1</v>
      </c>
      <c r="AC24" s="12" t="b">
        <v>1</v>
      </c>
      <c r="AD24" s="12" t="b">
        <v>1</v>
      </c>
      <c r="AE24" s="12" t="b">
        <v>0</v>
      </c>
      <c r="AF24" s="12" t="b">
        <v>0</v>
      </c>
      <c r="AG24" s="12" t="b">
        <v>0</v>
      </c>
      <c r="AH24" s="12">
        <v>0</v>
      </c>
      <c r="AI24" s="12" t="b">
        <v>0</v>
      </c>
      <c r="AJ24" s="12" t="b">
        <v>0</v>
      </c>
      <c r="AK24" s="12" t="b">
        <v>1</v>
      </c>
      <c r="AL24" s="12">
        <v>0</v>
      </c>
      <c r="AM24" s="12" t="s">
        <v>922</v>
      </c>
      <c r="AN24" s="12">
        <v>0</v>
      </c>
    </row>
    <row r="25" spans="1:40" x14ac:dyDescent="0.3">
      <c r="A25" s="62" t="s">
        <v>879</v>
      </c>
      <c r="B25" s="62"/>
      <c r="C25" s="63"/>
      <c r="D25" s="63"/>
      <c r="E25" s="12" t="s">
        <v>1288</v>
      </c>
      <c r="F25" s="12" t="s">
        <v>1289</v>
      </c>
      <c r="G25" s="12" t="b">
        <v>0</v>
      </c>
      <c r="H25" s="12" t="b">
        <v>1</v>
      </c>
      <c r="I25" s="12" t="b">
        <v>1</v>
      </c>
      <c r="J25" s="12" t="b">
        <v>1</v>
      </c>
      <c r="K25" s="12" t="b">
        <v>0</v>
      </c>
      <c r="L25" s="12" t="b">
        <v>0</v>
      </c>
      <c r="M25" s="12" t="b">
        <v>0</v>
      </c>
      <c r="N25" s="12">
        <v>0</v>
      </c>
      <c r="O25" s="12" t="b">
        <v>0</v>
      </c>
      <c r="P25" s="12" t="b">
        <v>0</v>
      </c>
      <c r="Q25" s="12" t="b">
        <v>0</v>
      </c>
      <c r="R25" s="12" t="b">
        <v>0</v>
      </c>
      <c r="S25" s="12" t="b">
        <v>0</v>
      </c>
      <c r="T25" s="12" t="b">
        <v>1</v>
      </c>
      <c r="U25" s="12" t="b">
        <v>0</v>
      </c>
      <c r="V25" s="12" t="b">
        <v>1</v>
      </c>
      <c r="W25" s="12" t="b">
        <v>0</v>
      </c>
      <c r="X25" s="12">
        <v>1</v>
      </c>
      <c r="Y25" s="12" t="b">
        <v>0</v>
      </c>
      <c r="Z25" s="12" t="b">
        <v>0</v>
      </c>
      <c r="AA25" s="12" t="b">
        <v>1</v>
      </c>
      <c r="AB25" s="12" t="b">
        <v>1</v>
      </c>
      <c r="AC25" s="12" t="b">
        <v>1</v>
      </c>
      <c r="AD25" s="12" t="b">
        <v>1</v>
      </c>
      <c r="AE25" s="12" t="b">
        <v>0</v>
      </c>
      <c r="AF25" s="12" t="b">
        <v>0</v>
      </c>
      <c r="AG25" s="12" t="b">
        <v>0</v>
      </c>
      <c r="AH25" s="12">
        <v>0</v>
      </c>
      <c r="AI25" s="12" t="b">
        <v>0</v>
      </c>
      <c r="AJ25" s="12" t="b">
        <v>0</v>
      </c>
      <c r="AK25" s="12" t="b">
        <v>1</v>
      </c>
      <c r="AL25" s="12">
        <v>0</v>
      </c>
      <c r="AM25" s="12" t="s">
        <v>900</v>
      </c>
      <c r="AN25" s="12">
        <v>0</v>
      </c>
    </row>
    <row r="26" spans="1:40" x14ac:dyDescent="0.3">
      <c r="A26" s="62" t="s">
        <v>879</v>
      </c>
      <c r="B26" s="62"/>
      <c r="C26" s="63"/>
      <c r="D26" s="63"/>
      <c r="E26" s="12" t="s">
        <v>1515</v>
      </c>
      <c r="F26" s="12" t="s">
        <v>1516</v>
      </c>
      <c r="G26" s="12" t="b">
        <v>0</v>
      </c>
      <c r="H26" s="12" t="b">
        <v>1</v>
      </c>
      <c r="I26" s="12" t="b">
        <v>0</v>
      </c>
      <c r="J26" s="12" t="b">
        <v>1</v>
      </c>
      <c r="K26" s="12" t="b">
        <v>0</v>
      </c>
      <c r="L26" s="12" t="b">
        <v>0</v>
      </c>
      <c r="M26" s="12" t="b">
        <v>0</v>
      </c>
      <c r="N26" s="12">
        <v>0</v>
      </c>
      <c r="O26" s="12" t="b">
        <v>0</v>
      </c>
      <c r="P26" s="12" t="b">
        <v>0</v>
      </c>
      <c r="Q26" s="12" t="b">
        <v>0</v>
      </c>
      <c r="R26" s="12" t="b">
        <v>0</v>
      </c>
      <c r="S26" s="12" t="b">
        <v>0</v>
      </c>
      <c r="T26" s="12" t="b">
        <v>0</v>
      </c>
      <c r="U26" s="12" t="b">
        <v>0</v>
      </c>
      <c r="V26" s="12" t="b">
        <v>1</v>
      </c>
      <c r="W26" s="12" t="b">
        <v>0</v>
      </c>
      <c r="X26" s="12">
        <v>1</v>
      </c>
      <c r="Y26" s="12" t="b">
        <v>0</v>
      </c>
      <c r="Z26" s="12" t="b">
        <v>0</v>
      </c>
      <c r="AA26" s="12" t="b">
        <v>0</v>
      </c>
      <c r="AB26" s="12" t="b">
        <v>0</v>
      </c>
      <c r="AC26" s="12" t="b">
        <v>0</v>
      </c>
      <c r="AD26" s="12" t="b">
        <v>0</v>
      </c>
      <c r="AE26" s="12" t="b">
        <v>0</v>
      </c>
      <c r="AF26" s="12" t="b">
        <v>1</v>
      </c>
      <c r="AG26" s="12" t="b">
        <v>0</v>
      </c>
      <c r="AH26" s="12">
        <v>-1</v>
      </c>
      <c r="AI26" s="12" t="b">
        <v>0</v>
      </c>
      <c r="AJ26" s="12" t="b">
        <v>0</v>
      </c>
      <c r="AK26" s="12" t="b">
        <v>1</v>
      </c>
      <c r="AL26" s="12">
        <v>0</v>
      </c>
      <c r="AM26" s="12" t="s">
        <v>1476</v>
      </c>
      <c r="AN26" s="12">
        <v>0</v>
      </c>
    </row>
    <row r="27" spans="1:40" x14ac:dyDescent="0.3">
      <c r="A27" s="62" t="s">
        <v>879</v>
      </c>
      <c r="B27" s="62"/>
      <c r="C27" s="63"/>
      <c r="D27" s="63"/>
      <c r="E27" s="12" t="s">
        <v>1290</v>
      </c>
      <c r="F27" s="12" t="s">
        <v>1291</v>
      </c>
      <c r="G27" s="12" t="b">
        <v>0</v>
      </c>
      <c r="H27" s="12" t="b">
        <v>1</v>
      </c>
      <c r="I27" s="12" t="b">
        <v>1</v>
      </c>
      <c r="J27" s="12" t="b">
        <v>1</v>
      </c>
      <c r="K27" s="12" t="b">
        <v>0</v>
      </c>
      <c r="L27" s="12" t="b">
        <v>0</v>
      </c>
      <c r="M27" s="12" t="b">
        <v>0</v>
      </c>
      <c r="N27" s="12">
        <v>0</v>
      </c>
      <c r="O27" s="12" t="b">
        <v>0</v>
      </c>
      <c r="P27" s="12" t="b">
        <v>0</v>
      </c>
      <c r="Q27" s="12" t="b">
        <v>0</v>
      </c>
      <c r="R27" s="12" t="b">
        <v>0</v>
      </c>
      <c r="S27" s="12" t="b">
        <v>0</v>
      </c>
      <c r="T27" s="12" t="b">
        <v>1</v>
      </c>
      <c r="U27" s="12" t="b">
        <v>0</v>
      </c>
      <c r="V27" s="12" t="b">
        <v>1</v>
      </c>
      <c r="W27" s="12" t="b">
        <v>0</v>
      </c>
      <c r="X27" s="12">
        <v>1</v>
      </c>
      <c r="Y27" s="12" t="b">
        <v>0</v>
      </c>
      <c r="Z27" s="12" t="b">
        <v>0</v>
      </c>
      <c r="AA27" s="12" t="b">
        <v>1</v>
      </c>
      <c r="AB27" s="12" t="b">
        <v>1</v>
      </c>
      <c r="AC27" s="12" t="b">
        <v>1</v>
      </c>
      <c r="AD27" s="12" t="b">
        <v>1</v>
      </c>
      <c r="AE27" s="12" t="b">
        <v>0</v>
      </c>
      <c r="AF27" s="12" t="b">
        <v>0</v>
      </c>
      <c r="AG27" s="12" t="b">
        <v>0</v>
      </c>
      <c r="AH27" s="12">
        <v>0</v>
      </c>
      <c r="AI27" s="12" t="b">
        <v>0</v>
      </c>
      <c r="AJ27" s="12" t="b">
        <v>0</v>
      </c>
      <c r="AK27" s="12" t="b">
        <v>1</v>
      </c>
      <c r="AL27" s="12">
        <v>0</v>
      </c>
      <c r="AM27" s="12" t="s">
        <v>1476</v>
      </c>
      <c r="AN27" s="12">
        <v>0</v>
      </c>
    </row>
    <row r="28" spans="1:40" x14ac:dyDescent="0.3">
      <c r="A28" s="62" t="s">
        <v>879</v>
      </c>
      <c r="B28" s="62"/>
      <c r="C28" s="63"/>
      <c r="D28" s="63"/>
      <c r="E28" s="12" t="s">
        <v>1292</v>
      </c>
      <c r="F28" s="12" t="s">
        <v>1293</v>
      </c>
      <c r="G28" s="12" t="b">
        <v>0</v>
      </c>
      <c r="H28" s="12" t="b">
        <v>1</v>
      </c>
      <c r="I28" s="12" t="b">
        <v>1</v>
      </c>
      <c r="J28" s="12" t="b">
        <v>1</v>
      </c>
      <c r="K28" s="12" t="b">
        <v>1</v>
      </c>
      <c r="L28" s="12" t="b">
        <v>1</v>
      </c>
      <c r="M28" s="12" t="b">
        <v>0</v>
      </c>
      <c r="N28" s="12">
        <v>0</v>
      </c>
      <c r="O28" s="12" t="b">
        <v>0</v>
      </c>
      <c r="P28" s="12" t="b">
        <v>0</v>
      </c>
      <c r="Q28" s="12" t="b">
        <v>0</v>
      </c>
      <c r="R28" s="12" t="b">
        <v>1</v>
      </c>
      <c r="S28" s="12" t="b">
        <v>1</v>
      </c>
      <c r="T28" s="12" t="b">
        <v>1</v>
      </c>
      <c r="U28" s="12" t="b">
        <v>0</v>
      </c>
      <c r="V28" s="12" t="b">
        <v>1</v>
      </c>
      <c r="W28" s="12" t="b">
        <v>0</v>
      </c>
      <c r="X28" s="12">
        <v>100</v>
      </c>
      <c r="Y28" s="12" t="b">
        <v>0</v>
      </c>
      <c r="Z28" s="12" t="b">
        <v>0</v>
      </c>
      <c r="AA28" s="12" t="b">
        <v>0</v>
      </c>
      <c r="AB28" s="12" t="b">
        <v>1</v>
      </c>
      <c r="AC28" s="12" t="b">
        <v>1</v>
      </c>
      <c r="AD28" s="12" t="b">
        <v>1</v>
      </c>
      <c r="AE28" s="12" t="b">
        <v>0</v>
      </c>
      <c r="AF28" s="12" t="b">
        <v>0</v>
      </c>
      <c r="AG28" s="12" t="b">
        <v>0</v>
      </c>
      <c r="AH28" s="12">
        <v>0</v>
      </c>
      <c r="AI28" s="12" t="b">
        <v>0</v>
      </c>
      <c r="AJ28" s="12" t="b">
        <v>0</v>
      </c>
      <c r="AK28" s="12" t="b">
        <v>1</v>
      </c>
      <c r="AL28" s="12">
        <v>0</v>
      </c>
      <c r="AM28" s="12" t="s">
        <v>51</v>
      </c>
      <c r="AN28" s="12">
        <v>0</v>
      </c>
    </row>
    <row r="29" spans="1:40" x14ac:dyDescent="0.3">
      <c r="A29" s="62" t="s">
        <v>879</v>
      </c>
      <c r="B29" s="62"/>
      <c r="C29" s="63"/>
      <c r="D29" s="63"/>
      <c r="E29" s="12" t="s">
        <v>1536</v>
      </c>
      <c r="F29" s="12" t="s">
        <v>1538</v>
      </c>
      <c r="G29" s="12" t="b">
        <v>0</v>
      </c>
      <c r="H29" s="12" t="b">
        <v>1</v>
      </c>
      <c r="I29" s="12" t="b">
        <v>1</v>
      </c>
      <c r="J29" s="12" t="b">
        <v>1</v>
      </c>
      <c r="K29" s="12" t="b">
        <v>0</v>
      </c>
      <c r="L29" s="12" t="b">
        <v>0</v>
      </c>
      <c r="M29" s="12" t="b">
        <v>0</v>
      </c>
      <c r="N29" s="12">
        <v>0</v>
      </c>
      <c r="O29" s="12" t="b">
        <v>0</v>
      </c>
      <c r="P29" s="12" t="b">
        <v>0</v>
      </c>
      <c r="Q29" s="12" t="b">
        <v>0</v>
      </c>
      <c r="R29" s="12" t="b">
        <v>0</v>
      </c>
      <c r="S29" s="12" t="b">
        <v>0</v>
      </c>
      <c r="T29" s="12" t="b">
        <v>0</v>
      </c>
      <c r="U29" s="12" t="b">
        <v>0</v>
      </c>
      <c r="V29" s="12" t="b">
        <v>0</v>
      </c>
      <c r="W29" s="12" t="b">
        <v>0</v>
      </c>
      <c r="X29" s="12">
        <v>12</v>
      </c>
      <c r="Y29" s="12" t="b">
        <v>0</v>
      </c>
      <c r="Z29" s="12" t="b">
        <v>0</v>
      </c>
      <c r="AA29" s="12" t="b">
        <v>0</v>
      </c>
      <c r="AB29" s="12" t="b">
        <v>0</v>
      </c>
      <c r="AC29" s="12" t="b">
        <v>0</v>
      </c>
      <c r="AD29" s="12" t="b">
        <v>0</v>
      </c>
      <c r="AE29" s="12" t="b">
        <v>0</v>
      </c>
      <c r="AF29" s="12" t="b">
        <v>0</v>
      </c>
      <c r="AG29" s="12" t="b">
        <v>0</v>
      </c>
      <c r="AH29" s="12">
        <v>5</v>
      </c>
      <c r="AI29" s="12" t="b">
        <v>0</v>
      </c>
      <c r="AJ29" s="12" t="b">
        <v>0</v>
      </c>
      <c r="AK29" s="12" t="b">
        <v>1</v>
      </c>
      <c r="AL29" s="12">
        <v>1</v>
      </c>
      <c r="AM29" s="12" t="s">
        <v>1476</v>
      </c>
      <c r="AN29" s="12">
        <v>1</v>
      </c>
    </row>
    <row r="30" spans="1:40" x14ac:dyDescent="0.3">
      <c r="A30" s="62" t="s">
        <v>879</v>
      </c>
      <c r="B30" s="62"/>
      <c r="C30" s="63"/>
      <c r="D30" s="63"/>
      <c r="E30" s="12" t="s">
        <v>1537</v>
      </c>
      <c r="F30" s="12" t="s">
        <v>1539</v>
      </c>
      <c r="G30" s="12" t="b">
        <v>0</v>
      </c>
      <c r="H30" s="12" t="b">
        <v>1</v>
      </c>
      <c r="I30" s="12" t="b">
        <v>1</v>
      </c>
      <c r="J30" s="12" t="b">
        <v>1</v>
      </c>
      <c r="K30" s="12" t="b">
        <v>0</v>
      </c>
      <c r="L30" s="12" t="b">
        <v>1</v>
      </c>
      <c r="M30" s="12" t="b">
        <v>0</v>
      </c>
      <c r="N30" s="12">
        <v>0</v>
      </c>
      <c r="O30" s="12" t="b">
        <v>0</v>
      </c>
      <c r="P30" s="12" t="b">
        <v>0</v>
      </c>
      <c r="Q30" s="12" t="b">
        <v>0</v>
      </c>
      <c r="R30" s="12" t="b">
        <v>0</v>
      </c>
      <c r="S30" s="12" t="b">
        <v>0</v>
      </c>
      <c r="T30" s="12" t="b">
        <v>0</v>
      </c>
      <c r="U30" s="12" t="b">
        <v>0</v>
      </c>
      <c r="V30" s="12" t="b">
        <v>0</v>
      </c>
      <c r="W30" s="12" t="b">
        <v>0</v>
      </c>
      <c r="X30" s="12">
        <v>12</v>
      </c>
      <c r="Y30" s="12" t="b">
        <v>0</v>
      </c>
      <c r="Z30" s="12" t="b">
        <v>0</v>
      </c>
      <c r="AA30" s="12" t="b">
        <v>0</v>
      </c>
      <c r="AB30" s="12" t="b">
        <v>0</v>
      </c>
      <c r="AC30" s="12" t="b">
        <v>0</v>
      </c>
      <c r="AD30" s="12" t="b">
        <v>0</v>
      </c>
      <c r="AE30" s="12" t="b">
        <v>0</v>
      </c>
      <c r="AF30" s="12" t="b">
        <v>0</v>
      </c>
      <c r="AG30" s="12" t="b">
        <v>0</v>
      </c>
      <c r="AH30" s="12">
        <v>7</v>
      </c>
      <c r="AI30" s="12" t="b">
        <v>0</v>
      </c>
      <c r="AJ30" s="12" t="b">
        <v>0</v>
      </c>
      <c r="AK30" s="12" t="b">
        <v>1</v>
      </c>
      <c r="AL30" s="12">
        <v>1</v>
      </c>
      <c r="AM30" s="12" t="s">
        <v>1476</v>
      </c>
      <c r="AN30" s="12">
        <v>1</v>
      </c>
    </row>
    <row r="31" spans="1:40" x14ac:dyDescent="0.3">
      <c r="A31" s="62" t="s">
        <v>879</v>
      </c>
      <c r="B31" s="62"/>
      <c r="C31" s="52"/>
      <c r="D31" s="52"/>
      <c r="E31" s="12" t="s">
        <v>1309</v>
      </c>
      <c r="F31" s="12" t="s">
        <v>1310</v>
      </c>
      <c r="G31" s="12" t="b">
        <v>0</v>
      </c>
      <c r="H31" s="12" t="b">
        <v>1</v>
      </c>
      <c r="I31" s="12" t="b">
        <v>1</v>
      </c>
      <c r="J31" s="12" t="b">
        <v>1</v>
      </c>
      <c r="K31" s="12" t="b">
        <v>1</v>
      </c>
      <c r="L31" s="12" t="b">
        <v>1</v>
      </c>
      <c r="M31" s="12" t="b">
        <v>0</v>
      </c>
      <c r="N31" s="12">
        <v>0</v>
      </c>
      <c r="O31" s="12" t="b">
        <v>0</v>
      </c>
      <c r="P31" s="12" t="b">
        <v>0</v>
      </c>
      <c r="Q31" s="12" t="b">
        <v>0</v>
      </c>
      <c r="R31" s="12" t="b">
        <v>1</v>
      </c>
      <c r="S31" s="12" t="b">
        <v>1</v>
      </c>
      <c r="T31" s="12" t="b">
        <v>1</v>
      </c>
      <c r="U31" s="12" t="b">
        <v>0</v>
      </c>
      <c r="V31" s="12" t="b">
        <v>1</v>
      </c>
      <c r="W31" s="12" t="b">
        <v>0</v>
      </c>
      <c r="X31" s="12">
        <v>0</v>
      </c>
      <c r="Y31" s="12" t="b">
        <v>0</v>
      </c>
      <c r="Z31" s="12" t="b">
        <v>0</v>
      </c>
      <c r="AA31" s="12" t="b">
        <v>0</v>
      </c>
      <c r="AB31" s="12" t="b">
        <v>1</v>
      </c>
      <c r="AC31" s="12" t="b">
        <v>1</v>
      </c>
      <c r="AD31" s="12" t="b">
        <v>1</v>
      </c>
      <c r="AE31" s="12" t="b">
        <v>0</v>
      </c>
      <c r="AF31" s="12" t="b">
        <v>0</v>
      </c>
      <c r="AG31" s="12" t="b">
        <v>0</v>
      </c>
      <c r="AH31" s="12">
        <v>0</v>
      </c>
      <c r="AI31" s="12" t="b">
        <v>0</v>
      </c>
      <c r="AJ31" s="12" t="b">
        <v>0</v>
      </c>
      <c r="AK31" s="12" t="b">
        <v>1</v>
      </c>
      <c r="AL31" s="12">
        <v>0</v>
      </c>
      <c r="AM31" s="12" t="s">
        <v>922</v>
      </c>
      <c r="AN31" s="12">
        <v>0</v>
      </c>
    </row>
    <row r="32" spans="1:40" x14ac:dyDescent="0.3">
      <c r="A32" s="62" t="s">
        <v>879</v>
      </c>
      <c r="B32" s="62"/>
      <c r="C32" s="63"/>
      <c r="D32" s="63"/>
      <c r="E32" s="12" t="s">
        <v>1030</v>
      </c>
      <c r="F32" s="12" t="s">
        <v>1297</v>
      </c>
      <c r="G32" s="12" t="b">
        <v>0</v>
      </c>
      <c r="H32" s="12" t="b">
        <v>0</v>
      </c>
      <c r="I32" s="12" t="b">
        <v>0</v>
      </c>
      <c r="J32" s="12" t="b">
        <v>0</v>
      </c>
      <c r="K32" s="12" t="b">
        <v>1</v>
      </c>
      <c r="L32" s="12" t="b">
        <v>1</v>
      </c>
      <c r="M32" s="12" t="b">
        <v>0</v>
      </c>
      <c r="N32" s="12">
        <v>0</v>
      </c>
      <c r="O32" s="12" t="b">
        <v>0</v>
      </c>
      <c r="P32" s="12" t="b">
        <v>0</v>
      </c>
      <c r="Q32" s="12" t="b">
        <v>0</v>
      </c>
      <c r="R32" s="12" t="b">
        <v>0</v>
      </c>
      <c r="S32" s="12" t="b">
        <v>0</v>
      </c>
      <c r="T32" s="12" t="b">
        <v>0</v>
      </c>
      <c r="U32" s="12" t="b">
        <v>0</v>
      </c>
      <c r="V32" s="12" t="b">
        <v>0</v>
      </c>
      <c r="W32" s="12" t="b">
        <v>0</v>
      </c>
      <c r="X32" s="12">
        <v>100</v>
      </c>
      <c r="Y32" s="12" t="b">
        <v>0</v>
      </c>
      <c r="Z32" s="12" t="b">
        <v>0</v>
      </c>
      <c r="AA32" s="12" t="b">
        <v>1</v>
      </c>
      <c r="AB32" s="12" t="b">
        <v>1</v>
      </c>
      <c r="AC32" s="12" t="b">
        <v>1</v>
      </c>
      <c r="AD32" s="12" t="b">
        <v>1</v>
      </c>
      <c r="AE32" s="12" t="b">
        <v>0</v>
      </c>
      <c r="AF32" s="12" t="b">
        <v>0</v>
      </c>
      <c r="AG32" s="12" t="b">
        <v>0</v>
      </c>
      <c r="AH32" s="12">
        <v>100</v>
      </c>
      <c r="AI32" s="12" t="b">
        <v>0</v>
      </c>
      <c r="AJ32" s="12" t="b">
        <v>0</v>
      </c>
      <c r="AK32" s="12" t="b">
        <v>1</v>
      </c>
      <c r="AL32" s="12">
        <v>0</v>
      </c>
      <c r="AM32" s="12" t="s">
        <v>1476</v>
      </c>
      <c r="AN32" s="12">
        <v>0</v>
      </c>
    </row>
    <row r="33" spans="1:40" x14ac:dyDescent="0.3">
      <c r="A33" s="62" t="s">
        <v>879</v>
      </c>
      <c r="B33" s="62"/>
      <c r="C33" s="63"/>
      <c r="D33" s="63"/>
      <c r="E33" s="12" t="s">
        <v>1298</v>
      </c>
      <c r="F33" s="12" t="s">
        <v>1299</v>
      </c>
      <c r="G33" s="12" t="b">
        <v>0</v>
      </c>
      <c r="H33" s="12" t="b">
        <v>0</v>
      </c>
      <c r="I33" s="12" t="b">
        <v>0</v>
      </c>
      <c r="J33" s="12" t="b">
        <v>0</v>
      </c>
      <c r="K33" s="12" t="b">
        <v>1</v>
      </c>
      <c r="L33" s="12" t="b">
        <v>1</v>
      </c>
      <c r="M33" s="12" t="b">
        <v>0</v>
      </c>
      <c r="N33" s="12">
        <v>0</v>
      </c>
      <c r="O33" s="12" t="b">
        <v>0</v>
      </c>
      <c r="P33" s="12" t="b">
        <v>0</v>
      </c>
      <c r="Q33" s="12" t="b">
        <v>0</v>
      </c>
      <c r="R33" s="12" t="b">
        <v>0</v>
      </c>
      <c r="S33" s="12" t="b">
        <v>0</v>
      </c>
      <c r="T33" s="12" t="b">
        <v>0</v>
      </c>
      <c r="U33" s="12" t="b">
        <v>0</v>
      </c>
      <c r="V33" s="12" t="b">
        <v>0</v>
      </c>
      <c r="W33" s="12" t="b">
        <v>0</v>
      </c>
      <c r="X33" s="12">
        <v>100</v>
      </c>
      <c r="Y33" s="12" t="b">
        <v>0</v>
      </c>
      <c r="Z33" s="12" t="b">
        <v>0</v>
      </c>
      <c r="AA33" s="12" t="b">
        <v>0</v>
      </c>
      <c r="AB33" s="12" t="b">
        <v>1</v>
      </c>
      <c r="AC33" s="12" t="b">
        <v>1</v>
      </c>
      <c r="AD33" s="12" t="b">
        <v>1</v>
      </c>
      <c r="AE33" s="12" t="b">
        <v>0</v>
      </c>
      <c r="AF33" s="12" t="b">
        <v>0</v>
      </c>
      <c r="AG33" s="12" t="b">
        <v>0</v>
      </c>
      <c r="AH33" s="12">
        <v>0</v>
      </c>
      <c r="AI33" s="12" t="b">
        <v>0</v>
      </c>
      <c r="AJ33" s="12" t="b">
        <v>0</v>
      </c>
      <c r="AK33" s="12" t="b">
        <v>1</v>
      </c>
      <c r="AL33" s="12">
        <v>0</v>
      </c>
      <c r="AM33" s="12" t="s">
        <v>51</v>
      </c>
      <c r="AN33" s="12">
        <v>0</v>
      </c>
    </row>
    <row r="34" spans="1:40" x14ac:dyDescent="0.3">
      <c r="A34" s="62" t="s">
        <v>879</v>
      </c>
      <c r="B34" s="62"/>
      <c r="C34" s="63"/>
      <c r="D34" s="63"/>
      <c r="E34" s="12" t="s">
        <v>1052</v>
      </c>
      <c r="F34" s="12" t="s">
        <v>1307</v>
      </c>
      <c r="G34" s="12" t="b">
        <v>0</v>
      </c>
      <c r="H34" s="12" t="b">
        <v>0</v>
      </c>
      <c r="I34" s="12" t="b">
        <v>0</v>
      </c>
      <c r="J34" s="12" t="b">
        <v>0</v>
      </c>
      <c r="K34" s="12" t="b">
        <v>1</v>
      </c>
      <c r="L34" s="12" t="b">
        <v>1</v>
      </c>
      <c r="M34" s="12" t="b">
        <v>0</v>
      </c>
      <c r="N34" s="12">
        <v>0</v>
      </c>
      <c r="O34" s="12" t="b">
        <v>0</v>
      </c>
      <c r="P34" s="12" t="b">
        <v>0</v>
      </c>
      <c r="Q34" s="12" t="b">
        <v>1</v>
      </c>
      <c r="R34" s="12" t="b">
        <v>1</v>
      </c>
      <c r="S34" s="12" t="b">
        <v>1</v>
      </c>
      <c r="T34" s="12" t="b">
        <v>1</v>
      </c>
      <c r="U34" s="12" t="b">
        <v>0</v>
      </c>
      <c r="V34" s="12" t="b">
        <v>1</v>
      </c>
      <c r="W34" s="12" t="b">
        <v>0</v>
      </c>
      <c r="X34" s="12">
        <v>100</v>
      </c>
      <c r="Y34" s="12" t="b">
        <v>0</v>
      </c>
      <c r="Z34" s="12" t="b">
        <v>0</v>
      </c>
      <c r="AA34" s="12" t="b">
        <v>1</v>
      </c>
      <c r="AB34" s="12" t="b">
        <v>1</v>
      </c>
      <c r="AC34" s="12" t="b">
        <v>1</v>
      </c>
      <c r="AD34" s="12" t="b">
        <v>1</v>
      </c>
      <c r="AE34" s="12" t="b">
        <v>0</v>
      </c>
      <c r="AF34" s="12" t="b">
        <v>0</v>
      </c>
      <c r="AG34" s="12" t="b">
        <v>0</v>
      </c>
      <c r="AH34" s="12">
        <v>100</v>
      </c>
      <c r="AI34" s="12" t="b">
        <v>0</v>
      </c>
      <c r="AJ34" s="12" t="b">
        <v>0</v>
      </c>
      <c r="AK34" s="12" t="b">
        <v>1</v>
      </c>
      <c r="AL34" s="12">
        <v>0</v>
      </c>
      <c r="AM34" s="12" t="s">
        <v>51</v>
      </c>
      <c r="AN34" s="12">
        <v>0</v>
      </c>
    </row>
    <row r="35" spans="1:40" x14ac:dyDescent="0.3">
      <c r="A35" s="62" t="s">
        <v>879</v>
      </c>
      <c r="B35" s="62"/>
      <c r="C35" s="63"/>
      <c r="D35" s="63"/>
      <c r="E35" s="12" t="s">
        <v>1032</v>
      </c>
      <c r="F35" s="12" t="s">
        <v>1033</v>
      </c>
      <c r="G35" s="12" t="b">
        <v>0</v>
      </c>
      <c r="H35" s="12" t="b">
        <v>0</v>
      </c>
      <c r="I35" s="12" t="b">
        <v>0</v>
      </c>
      <c r="J35" s="12" t="b">
        <v>0</v>
      </c>
      <c r="K35" s="12" t="b">
        <v>1</v>
      </c>
      <c r="L35" s="12" t="b">
        <v>1</v>
      </c>
      <c r="M35" s="12" t="b">
        <v>0</v>
      </c>
      <c r="N35" s="12">
        <v>0</v>
      </c>
      <c r="O35" s="12" t="b">
        <v>0</v>
      </c>
      <c r="P35" s="12" t="b">
        <v>0</v>
      </c>
      <c r="Q35" s="12" t="b">
        <v>0</v>
      </c>
      <c r="R35" s="12" t="b">
        <v>0</v>
      </c>
      <c r="S35" s="12" t="b">
        <v>0</v>
      </c>
      <c r="T35" s="12" t="b">
        <v>0</v>
      </c>
      <c r="U35" s="12" t="b">
        <v>0</v>
      </c>
      <c r="V35" s="12" t="b">
        <v>0</v>
      </c>
      <c r="W35" s="12" t="b">
        <v>0</v>
      </c>
      <c r="X35" s="12">
        <v>100</v>
      </c>
      <c r="Y35" s="12" t="b">
        <v>0</v>
      </c>
      <c r="Z35" s="12" t="b">
        <v>0</v>
      </c>
      <c r="AA35" s="12" t="b">
        <v>1</v>
      </c>
      <c r="AB35" s="12" t="b">
        <v>1</v>
      </c>
      <c r="AC35" s="12" t="b">
        <v>1</v>
      </c>
      <c r="AD35" s="12" t="b">
        <v>1</v>
      </c>
      <c r="AE35" s="12" t="b">
        <v>0</v>
      </c>
      <c r="AF35" s="12" t="b">
        <v>0</v>
      </c>
      <c r="AG35" s="12" t="b">
        <v>0</v>
      </c>
      <c r="AH35" s="12">
        <v>100</v>
      </c>
      <c r="AI35" s="12" t="b">
        <v>0</v>
      </c>
      <c r="AJ35" s="12" t="b">
        <v>0</v>
      </c>
      <c r="AK35" s="12" t="b">
        <v>1</v>
      </c>
      <c r="AL35" s="12">
        <v>0</v>
      </c>
      <c r="AM35" s="12" t="s">
        <v>51</v>
      </c>
      <c r="AN35" s="12">
        <v>0</v>
      </c>
    </row>
    <row r="36" spans="1:40" x14ac:dyDescent="0.3">
      <c r="A36" s="62" t="s">
        <v>879</v>
      </c>
      <c r="B36" s="62"/>
      <c r="C36" s="63"/>
      <c r="D36" s="63"/>
      <c r="E36" s="12" t="s">
        <v>1300</v>
      </c>
      <c r="F36" s="12" t="s">
        <v>1301</v>
      </c>
      <c r="G36" s="12" t="b">
        <v>0</v>
      </c>
      <c r="H36" s="12" t="b">
        <v>0</v>
      </c>
      <c r="I36" s="12" t="b">
        <v>0</v>
      </c>
      <c r="J36" s="12" t="b">
        <v>0</v>
      </c>
      <c r="K36" s="12" t="b">
        <v>1</v>
      </c>
      <c r="L36" s="12" t="b">
        <v>1</v>
      </c>
      <c r="M36" s="12" t="b">
        <v>0</v>
      </c>
      <c r="N36" s="12">
        <v>0</v>
      </c>
      <c r="O36" s="12" t="b">
        <v>0</v>
      </c>
      <c r="P36" s="12" t="b">
        <v>0</v>
      </c>
      <c r="Q36" s="12" t="b">
        <v>0</v>
      </c>
      <c r="R36" s="12" t="b">
        <v>0</v>
      </c>
      <c r="S36" s="12" t="b">
        <v>0</v>
      </c>
      <c r="T36" s="12" t="b">
        <v>0</v>
      </c>
      <c r="U36" s="12" t="b">
        <v>0</v>
      </c>
      <c r="V36" s="12" t="b">
        <v>0</v>
      </c>
      <c r="W36" s="12" t="b">
        <v>0</v>
      </c>
      <c r="X36" s="12">
        <v>100</v>
      </c>
      <c r="Y36" s="12" t="b">
        <v>0</v>
      </c>
      <c r="Z36" s="12" t="b">
        <v>0</v>
      </c>
      <c r="AA36" s="12" t="b">
        <v>0</v>
      </c>
      <c r="AB36" s="12" t="b">
        <v>1</v>
      </c>
      <c r="AC36" s="12" t="b">
        <v>1</v>
      </c>
      <c r="AD36" s="12" t="b">
        <v>1</v>
      </c>
      <c r="AE36" s="12" t="b">
        <v>0</v>
      </c>
      <c r="AF36" s="12" t="b">
        <v>0</v>
      </c>
      <c r="AG36" s="12" t="b">
        <v>0</v>
      </c>
      <c r="AH36" s="12">
        <v>0</v>
      </c>
      <c r="AI36" s="12" t="b">
        <v>0</v>
      </c>
      <c r="AJ36" s="12" t="b">
        <v>0</v>
      </c>
      <c r="AK36" s="12" t="b">
        <v>1</v>
      </c>
      <c r="AL36" s="12">
        <v>0</v>
      </c>
      <c r="AM36" s="12" t="s">
        <v>51</v>
      </c>
      <c r="AN36" s="12">
        <v>0</v>
      </c>
    </row>
    <row r="37" spans="1:40" x14ac:dyDescent="0.3">
      <c r="A37" s="62" t="s">
        <v>879</v>
      </c>
      <c r="B37" s="62"/>
      <c r="C37" s="63"/>
      <c r="D37" s="63"/>
      <c r="E37" s="12" t="s">
        <v>1036</v>
      </c>
      <c r="F37" s="12" t="s">
        <v>1302</v>
      </c>
      <c r="G37" s="12" t="b">
        <v>0</v>
      </c>
      <c r="H37" s="12" t="b">
        <v>0</v>
      </c>
      <c r="I37" s="12" t="b">
        <v>0</v>
      </c>
      <c r="J37" s="12" t="b">
        <v>0</v>
      </c>
      <c r="K37" s="12" t="b">
        <v>1</v>
      </c>
      <c r="L37" s="12" t="b">
        <v>1</v>
      </c>
      <c r="M37" s="12" t="b">
        <v>0</v>
      </c>
      <c r="N37" s="12">
        <v>0</v>
      </c>
      <c r="O37" s="12" t="b">
        <v>0</v>
      </c>
      <c r="P37" s="12" t="b">
        <v>0</v>
      </c>
      <c r="Q37" s="12" t="b">
        <v>0</v>
      </c>
      <c r="R37" s="12" t="b">
        <v>0</v>
      </c>
      <c r="S37" s="12" t="b">
        <v>0</v>
      </c>
      <c r="T37" s="12" t="b">
        <v>0</v>
      </c>
      <c r="U37" s="12" t="b">
        <v>0</v>
      </c>
      <c r="V37" s="12" t="b">
        <v>0</v>
      </c>
      <c r="W37" s="12" t="b">
        <v>0</v>
      </c>
      <c r="X37" s="12">
        <v>100</v>
      </c>
      <c r="Y37" s="12" t="b">
        <v>0</v>
      </c>
      <c r="Z37" s="12" t="b">
        <v>0</v>
      </c>
      <c r="AA37" s="12" t="b">
        <v>1</v>
      </c>
      <c r="AB37" s="12" t="b">
        <v>1</v>
      </c>
      <c r="AC37" s="12" t="b">
        <v>1</v>
      </c>
      <c r="AD37" s="12" t="b">
        <v>1</v>
      </c>
      <c r="AE37" s="12" t="b">
        <v>0</v>
      </c>
      <c r="AF37" s="12" t="b">
        <v>0</v>
      </c>
      <c r="AG37" s="12" t="b">
        <v>0</v>
      </c>
      <c r="AH37" s="12">
        <v>100</v>
      </c>
      <c r="AI37" s="12" t="b">
        <v>0</v>
      </c>
      <c r="AJ37" s="12" t="b">
        <v>0</v>
      </c>
      <c r="AK37" s="12" t="b">
        <v>1</v>
      </c>
      <c r="AL37" s="12">
        <v>0</v>
      </c>
      <c r="AM37" s="12" t="s">
        <v>51</v>
      </c>
      <c r="AN37" s="12">
        <v>0</v>
      </c>
    </row>
    <row r="38" spans="1:40" x14ac:dyDescent="0.3">
      <c r="A38" s="62" t="s">
        <v>879</v>
      </c>
      <c r="B38" s="62"/>
      <c r="C38" s="63"/>
      <c r="D38" s="63"/>
      <c r="E38" s="12" t="s">
        <v>1303</v>
      </c>
      <c r="F38" s="12" t="s">
        <v>1304</v>
      </c>
      <c r="G38" s="12" t="b">
        <v>0</v>
      </c>
      <c r="H38" s="12" t="b">
        <v>0</v>
      </c>
      <c r="I38" s="12" t="b">
        <v>0</v>
      </c>
      <c r="J38" s="12" t="b">
        <v>0</v>
      </c>
      <c r="K38" s="12" t="b">
        <v>1</v>
      </c>
      <c r="L38" s="12" t="b">
        <v>1</v>
      </c>
      <c r="M38" s="12" t="b">
        <v>0</v>
      </c>
      <c r="N38" s="12">
        <v>0</v>
      </c>
      <c r="O38" s="12" t="b">
        <v>0</v>
      </c>
      <c r="P38" s="12" t="b">
        <v>0</v>
      </c>
      <c r="Q38" s="12" t="b">
        <v>0</v>
      </c>
      <c r="R38" s="12" t="b">
        <v>0</v>
      </c>
      <c r="S38" s="12" t="b">
        <v>0</v>
      </c>
      <c r="T38" s="12" t="b">
        <v>0</v>
      </c>
      <c r="U38" s="12" t="b">
        <v>0</v>
      </c>
      <c r="V38" s="12" t="b">
        <v>0</v>
      </c>
      <c r="W38" s="12" t="b">
        <v>0</v>
      </c>
      <c r="X38" s="12">
        <v>100</v>
      </c>
      <c r="Y38" s="12" t="b">
        <v>0</v>
      </c>
      <c r="Z38" s="12" t="b">
        <v>0</v>
      </c>
      <c r="AA38" s="12" t="b">
        <v>0</v>
      </c>
      <c r="AB38" s="12" t="b">
        <v>1</v>
      </c>
      <c r="AC38" s="12" t="b">
        <v>1</v>
      </c>
      <c r="AD38" s="12" t="b">
        <v>1</v>
      </c>
      <c r="AE38" s="12" t="b">
        <v>0</v>
      </c>
      <c r="AF38" s="12" t="b">
        <v>0</v>
      </c>
      <c r="AG38" s="12" t="b">
        <v>0</v>
      </c>
      <c r="AH38" s="12">
        <v>0</v>
      </c>
      <c r="AI38" s="12" t="b">
        <v>0</v>
      </c>
      <c r="AJ38" s="12" t="b">
        <v>0</v>
      </c>
      <c r="AK38" s="12" t="b">
        <v>1</v>
      </c>
      <c r="AL38" s="12">
        <v>0</v>
      </c>
      <c r="AM38" s="12" t="s">
        <v>51</v>
      </c>
      <c r="AN38" s="12">
        <v>0</v>
      </c>
    </row>
    <row r="39" spans="1:40" x14ac:dyDescent="0.3">
      <c r="A39" s="62" t="s">
        <v>879</v>
      </c>
      <c r="B39" s="62"/>
      <c r="C39" s="63"/>
      <c r="D39" s="63"/>
      <c r="E39" s="12" t="s">
        <v>1038</v>
      </c>
      <c r="F39" s="12" t="s">
        <v>1039</v>
      </c>
      <c r="G39" s="12" t="b">
        <v>0</v>
      </c>
      <c r="H39" s="12" t="b">
        <v>0</v>
      </c>
      <c r="I39" s="12" t="b">
        <v>0</v>
      </c>
      <c r="J39" s="12" t="b">
        <v>0</v>
      </c>
      <c r="K39" s="12" t="b">
        <v>1</v>
      </c>
      <c r="L39" s="12" t="b">
        <v>1</v>
      </c>
      <c r="M39" s="12" t="b">
        <v>0</v>
      </c>
      <c r="N39" s="12">
        <v>0</v>
      </c>
      <c r="O39" s="12" t="b">
        <v>0</v>
      </c>
      <c r="P39" s="12" t="b">
        <v>0</v>
      </c>
      <c r="Q39" s="12" t="b">
        <v>0</v>
      </c>
      <c r="R39" s="12" t="b">
        <v>0</v>
      </c>
      <c r="S39" s="12" t="b">
        <v>0</v>
      </c>
      <c r="T39" s="12" t="b">
        <v>0</v>
      </c>
      <c r="U39" s="12" t="b">
        <v>0</v>
      </c>
      <c r="V39" s="12" t="b">
        <v>0</v>
      </c>
      <c r="W39" s="12" t="b">
        <v>0</v>
      </c>
      <c r="X39" s="12">
        <v>100</v>
      </c>
      <c r="Y39" s="12" t="b">
        <v>0</v>
      </c>
      <c r="Z39" s="12" t="b">
        <v>0</v>
      </c>
      <c r="AA39" s="12" t="b">
        <v>1</v>
      </c>
      <c r="AB39" s="12" t="b">
        <v>1</v>
      </c>
      <c r="AC39" s="12" t="b">
        <v>1</v>
      </c>
      <c r="AD39" s="12" t="b">
        <v>1</v>
      </c>
      <c r="AE39" s="12" t="b">
        <v>0</v>
      </c>
      <c r="AF39" s="12" t="b">
        <v>0</v>
      </c>
      <c r="AG39" s="12" t="b">
        <v>0</v>
      </c>
      <c r="AH39" s="12">
        <v>100</v>
      </c>
      <c r="AI39" s="12" t="b">
        <v>0</v>
      </c>
      <c r="AJ39" s="12" t="b">
        <v>0</v>
      </c>
      <c r="AK39" s="12" t="b">
        <v>1</v>
      </c>
      <c r="AL39" s="12">
        <v>0</v>
      </c>
      <c r="AM39" s="12" t="s">
        <v>1476</v>
      </c>
      <c r="AN39" s="12">
        <v>0</v>
      </c>
    </row>
    <row r="40" spans="1:40" x14ac:dyDescent="0.3">
      <c r="A40" s="62" t="s">
        <v>879</v>
      </c>
      <c r="B40" s="62"/>
      <c r="C40" s="63"/>
      <c r="D40" s="63"/>
      <c r="E40" s="12" t="s">
        <v>1305</v>
      </c>
      <c r="F40" s="12" t="s">
        <v>1306</v>
      </c>
      <c r="G40" s="12" t="b">
        <v>0</v>
      </c>
      <c r="H40" s="12" t="b">
        <v>0</v>
      </c>
      <c r="I40" s="12" t="b">
        <v>0</v>
      </c>
      <c r="J40" s="12" t="b">
        <v>0</v>
      </c>
      <c r="K40" s="12" t="b">
        <v>1</v>
      </c>
      <c r="L40" s="12" t="b">
        <v>1</v>
      </c>
      <c r="M40" s="12" t="b">
        <v>0</v>
      </c>
      <c r="N40" s="12">
        <v>0</v>
      </c>
      <c r="O40" s="12" t="b">
        <v>0</v>
      </c>
      <c r="P40" s="12" t="b">
        <v>0</v>
      </c>
      <c r="Q40" s="12" t="b">
        <v>0</v>
      </c>
      <c r="R40" s="12" t="b">
        <v>0</v>
      </c>
      <c r="S40" s="12" t="b">
        <v>0</v>
      </c>
      <c r="T40" s="12" t="b">
        <v>0</v>
      </c>
      <c r="U40" s="12" t="b">
        <v>0</v>
      </c>
      <c r="V40" s="12" t="b">
        <v>0</v>
      </c>
      <c r="W40" s="12" t="b">
        <v>0</v>
      </c>
      <c r="X40" s="12">
        <v>100</v>
      </c>
      <c r="Y40" s="12" t="b">
        <v>0</v>
      </c>
      <c r="Z40" s="12" t="b">
        <v>0</v>
      </c>
      <c r="AA40" s="12" t="b">
        <v>0</v>
      </c>
      <c r="AB40" s="12" t="b">
        <v>1</v>
      </c>
      <c r="AC40" s="12" t="b">
        <v>1</v>
      </c>
      <c r="AD40" s="12" t="b">
        <v>1</v>
      </c>
      <c r="AE40" s="12" t="b">
        <v>0</v>
      </c>
      <c r="AF40" s="12" t="b">
        <v>0</v>
      </c>
      <c r="AG40" s="12" t="b">
        <v>0</v>
      </c>
      <c r="AH40" s="12">
        <v>0</v>
      </c>
      <c r="AI40" s="12" t="b">
        <v>0</v>
      </c>
      <c r="AJ40" s="12" t="b">
        <v>0</v>
      </c>
      <c r="AK40" s="12" t="b">
        <v>1</v>
      </c>
      <c r="AL40" s="12">
        <v>0</v>
      </c>
      <c r="AM40" s="12" t="s">
        <v>51</v>
      </c>
      <c r="AN40" s="12">
        <v>0</v>
      </c>
    </row>
    <row r="41" spans="1:40" x14ac:dyDescent="0.3">
      <c r="A41" s="62" t="s">
        <v>879</v>
      </c>
      <c r="B41" s="62"/>
      <c r="C41" s="63"/>
      <c r="D41" s="63"/>
      <c r="E41" s="12" t="s">
        <v>1240</v>
      </c>
      <c r="F41" s="12" t="s">
        <v>1241</v>
      </c>
      <c r="G41" s="12" t="b">
        <v>0</v>
      </c>
      <c r="H41" s="12" t="b">
        <v>1</v>
      </c>
      <c r="I41" s="12" t="b">
        <v>1</v>
      </c>
      <c r="J41" s="12" t="b">
        <v>1</v>
      </c>
      <c r="K41" s="12" t="b">
        <v>1</v>
      </c>
      <c r="L41" s="12" t="b">
        <v>1</v>
      </c>
      <c r="M41" s="12" t="b">
        <v>0</v>
      </c>
      <c r="N41" s="12">
        <v>0</v>
      </c>
      <c r="O41" s="12" t="b">
        <v>0</v>
      </c>
      <c r="P41" s="12" t="b">
        <v>0</v>
      </c>
      <c r="Q41" s="12" t="b">
        <v>0</v>
      </c>
      <c r="R41" s="12" t="b">
        <v>1</v>
      </c>
      <c r="S41" s="12" t="b">
        <v>1</v>
      </c>
      <c r="T41" s="12" t="b">
        <v>1</v>
      </c>
      <c r="U41" s="12" t="b">
        <v>0</v>
      </c>
      <c r="V41" s="12" t="b">
        <v>1</v>
      </c>
      <c r="W41" s="12" t="b">
        <v>0</v>
      </c>
      <c r="X41" s="12">
        <v>0</v>
      </c>
      <c r="Y41" s="12" t="b">
        <v>0</v>
      </c>
      <c r="Z41" s="12" t="b">
        <v>0</v>
      </c>
      <c r="AA41" s="12" t="b">
        <v>0</v>
      </c>
      <c r="AB41" s="12" t="b">
        <v>1</v>
      </c>
      <c r="AC41" s="12" t="b">
        <v>1</v>
      </c>
      <c r="AD41" s="12" t="b">
        <v>1</v>
      </c>
      <c r="AE41" s="12" t="b">
        <v>0</v>
      </c>
      <c r="AF41" s="12" t="b">
        <v>0</v>
      </c>
      <c r="AG41" s="12" t="b">
        <v>0</v>
      </c>
      <c r="AH41" s="12">
        <v>0</v>
      </c>
      <c r="AI41" s="12" t="b">
        <v>0</v>
      </c>
      <c r="AJ41" s="12" t="b">
        <v>0</v>
      </c>
      <c r="AK41" s="12" t="b">
        <v>1</v>
      </c>
      <c r="AL41" s="12">
        <v>0</v>
      </c>
      <c r="AM41" s="12" t="s">
        <v>51</v>
      </c>
      <c r="AN41" s="12">
        <v>0</v>
      </c>
    </row>
    <row r="42" spans="1:40" x14ac:dyDescent="0.3">
      <c r="A42" s="62" t="s">
        <v>879</v>
      </c>
      <c r="B42" s="62"/>
      <c r="C42" s="63"/>
      <c r="D42" s="63"/>
      <c r="E42" s="12" t="s">
        <v>1238</v>
      </c>
      <c r="F42" s="12" t="s">
        <v>1239</v>
      </c>
      <c r="G42" s="12" t="b">
        <v>0</v>
      </c>
      <c r="H42" s="12" t="b">
        <v>1</v>
      </c>
      <c r="I42" s="12" t="b">
        <v>1</v>
      </c>
      <c r="J42" s="12" t="b">
        <v>1</v>
      </c>
      <c r="K42" s="12" t="b">
        <v>1</v>
      </c>
      <c r="L42" s="12" t="b">
        <v>1</v>
      </c>
      <c r="M42" s="12" t="b">
        <v>0</v>
      </c>
      <c r="N42" s="12">
        <v>0</v>
      </c>
      <c r="O42" s="12" t="b">
        <v>0</v>
      </c>
      <c r="P42" s="12" t="b">
        <v>0</v>
      </c>
      <c r="Q42" s="12" t="b">
        <v>0</v>
      </c>
      <c r="R42" s="12" t="b">
        <v>1</v>
      </c>
      <c r="S42" s="12" t="b">
        <v>1</v>
      </c>
      <c r="T42" s="12" t="b">
        <v>1</v>
      </c>
      <c r="U42" s="12" t="b">
        <v>0</v>
      </c>
      <c r="V42" s="12" t="b">
        <v>1</v>
      </c>
      <c r="W42" s="12" t="b">
        <v>0</v>
      </c>
      <c r="X42" s="12">
        <v>0</v>
      </c>
      <c r="Y42" s="12" t="b">
        <v>0</v>
      </c>
      <c r="Z42" s="12" t="b">
        <v>0</v>
      </c>
      <c r="AA42" s="12" t="b">
        <v>0</v>
      </c>
      <c r="AB42" s="12" t="b">
        <v>1</v>
      </c>
      <c r="AC42" s="12" t="b">
        <v>1</v>
      </c>
      <c r="AD42" s="12" t="b">
        <v>1</v>
      </c>
      <c r="AE42" s="12" t="b">
        <v>0</v>
      </c>
      <c r="AF42" s="12" t="b">
        <v>0</v>
      </c>
      <c r="AG42" s="12" t="b">
        <v>0</v>
      </c>
      <c r="AH42" s="12">
        <v>0</v>
      </c>
      <c r="AI42" s="12" t="b">
        <v>0</v>
      </c>
      <c r="AJ42" s="12" t="b">
        <v>0</v>
      </c>
      <c r="AK42" s="12" t="b">
        <v>1</v>
      </c>
      <c r="AL42" s="12">
        <v>0</v>
      </c>
      <c r="AM42" s="12" t="s">
        <v>51</v>
      </c>
      <c r="AN42" s="12">
        <v>0</v>
      </c>
    </row>
    <row r="43" spans="1:40" x14ac:dyDescent="0.3">
      <c r="A43" s="62" t="s">
        <v>879</v>
      </c>
      <c r="B43" s="62"/>
      <c r="C43" s="63"/>
      <c r="D43" s="63"/>
      <c r="E43" s="12" t="s">
        <v>1054</v>
      </c>
      <c r="F43" s="12" t="s">
        <v>1308</v>
      </c>
      <c r="G43" s="12" t="b">
        <v>0</v>
      </c>
      <c r="H43" s="12" t="b">
        <v>0</v>
      </c>
      <c r="I43" s="12" t="b">
        <v>0</v>
      </c>
      <c r="J43" s="12" t="b">
        <v>0</v>
      </c>
      <c r="K43" s="12" t="b">
        <v>1</v>
      </c>
      <c r="L43" s="12" t="b">
        <v>1</v>
      </c>
      <c r="M43" s="12" t="b">
        <v>0</v>
      </c>
      <c r="N43" s="12">
        <v>0</v>
      </c>
      <c r="O43" s="12" t="b">
        <v>0</v>
      </c>
      <c r="P43" s="12" t="b">
        <v>0</v>
      </c>
      <c r="Q43" s="12" t="b">
        <v>1</v>
      </c>
      <c r="R43" s="12" t="b">
        <v>1</v>
      </c>
      <c r="S43" s="12" t="b">
        <v>1</v>
      </c>
      <c r="T43" s="12" t="b">
        <v>1</v>
      </c>
      <c r="U43" s="12" t="b">
        <v>0</v>
      </c>
      <c r="V43" s="12" t="b">
        <v>1</v>
      </c>
      <c r="W43" s="12" t="b">
        <v>0</v>
      </c>
      <c r="X43" s="12">
        <v>100</v>
      </c>
      <c r="Y43" s="12" t="b">
        <v>0</v>
      </c>
      <c r="Z43" s="12" t="b">
        <v>0</v>
      </c>
      <c r="AA43" s="12" t="b">
        <v>1</v>
      </c>
      <c r="AB43" s="12" t="b">
        <v>1</v>
      </c>
      <c r="AC43" s="12" t="b">
        <v>1</v>
      </c>
      <c r="AD43" s="12" t="b">
        <v>1</v>
      </c>
      <c r="AE43" s="12" t="b">
        <v>0</v>
      </c>
      <c r="AF43" s="12" t="b">
        <v>0</v>
      </c>
      <c r="AG43" s="12" t="b">
        <v>0</v>
      </c>
      <c r="AH43" s="12">
        <v>100</v>
      </c>
      <c r="AI43" s="12" t="b">
        <v>0</v>
      </c>
      <c r="AJ43" s="12" t="b">
        <v>0</v>
      </c>
      <c r="AK43" s="12" t="b">
        <v>1</v>
      </c>
      <c r="AL43" s="12">
        <v>0</v>
      </c>
      <c r="AM43" s="12" t="s">
        <v>51</v>
      </c>
      <c r="AN43" s="12">
        <v>0</v>
      </c>
    </row>
    <row r="44" spans="1:40" x14ac:dyDescent="0.3">
      <c r="A44" s="62" t="s">
        <v>879</v>
      </c>
      <c r="B44" s="62"/>
      <c r="C44" s="63"/>
      <c r="D44" s="63"/>
      <c r="E44" s="12" t="s">
        <v>2059</v>
      </c>
      <c r="F44" s="12" t="s">
        <v>2061</v>
      </c>
      <c r="G44" s="12" t="b">
        <v>0</v>
      </c>
      <c r="H44" s="12" t="b">
        <v>0</v>
      </c>
      <c r="I44" s="12" t="b">
        <v>0</v>
      </c>
      <c r="J44" s="12" t="b">
        <v>0</v>
      </c>
      <c r="K44" s="12" t="b">
        <v>1</v>
      </c>
      <c r="L44" s="12" t="b">
        <v>1</v>
      </c>
      <c r="M44" s="12" t="b">
        <v>0</v>
      </c>
      <c r="N44" s="12">
        <v>0</v>
      </c>
      <c r="O44" s="12" t="b">
        <v>0</v>
      </c>
      <c r="P44" s="12" t="b">
        <v>0</v>
      </c>
      <c r="Q44" s="12" t="b">
        <v>0</v>
      </c>
      <c r="R44" s="12" t="b">
        <v>0</v>
      </c>
      <c r="S44" s="12" t="b">
        <v>0</v>
      </c>
      <c r="T44" s="12" t="b">
        <v>0</v>
      </c>
      <c r="U44" s="12" t="b">
        <v>0</v>
      </c>
      <c r="V44" s="12" t="b">
        <v>0</v>
      </c>
      <c r="W44" s="12" t="b">
        <v>0</v>
      </c>
      <c r="X44" s="12">
        <v>100</v>
      </c>
      <c r="Y44" s="12" t="b">
        <v>0</v>
      </c>
      <c r="Z44" s="12" t="b">
        <v>0</v>
      </c>
      <c r="AA44" s="12" t="b">
        <v>1</v>
      </c>
      <c r="AB44" s="12" t="b">
        <v>1</v>
      </c>
      <c r="AC44" s="12" t="b">
        <v>1</v>
      </c>
      <c r="AD44" s="12" t="b">
        <v>1</v>
      </c>
      <c r="AE44" s="12" t="b">
        <v>0</v>
      </c>
      <c r="AF44" s="12" t="b">
        <v>0</v>
      </c>
      <c r="AG44" s="12" t="b">
        <v>0</v>
      </c>
      <c r="AH44" s="12">
        <v>100</v>
      </c>
      <c r="AI44" s="12" t="b">
        <v>0</v>
      </c>
      <c r="AJ44" s="12" t="b">
        <v>0</v>
      </c>
      <c r="AK44" s="12" t="b">
        <v>1</v>
      </c>
      <c r="AL44" s="12">
        <v>0</v>
      </c>
      <c r="AM44" s="12" t="s">
        <v>51</v>
      </c>
      <c r="AN44" s="12">
        <v>0</v>
      </c>
    </row>
    <row r="45" spans="1:40" x14ac:dyDescent="0.3">
      <c r="A45" s="62" t="s">
        <v>879</v>
      </c>
      <c r="B45" s="62"/>
      <c r="C45" s="63"/>
      <c r="D45" s="63"/>
      <c r="E45" s="12" t="s">
        <v>2058</v>
      </c>
      <c r="F45" s="12" t="s">
        <v>2060</v>
      </c>
      <c r="G45" s="12" t="b">
        <v>0</v>
      </c>
      <c r="H45" s="12" t="b">
        <v>0</v>
      </c>
      <c r="I45" s="12" t="b">
        <v>0</v>
      </c>
      <c r="J45" s="12" t="b">
        <v>0</v>
      </c>
      <c r="K45" s="12" t="b">
        <v>1</v>
      </c>
      <c r="L45" s="12" t="b">
        <v>1</v>
      </c>
      <c r="M45" s="12" t="b">
        <v>0</v>
      </c>
      <c r="N45" s="12">
        <v>0</v>
      </c>
      <c r="O45" s="12" t="b">
        <v>0</v>
      </c>
      <c r="P45" s="12" t="b">
        <v>0</v>
      </c>
      <c r="Q45" s="12" t="b">
        <v>0</v>
      </c>
      <c r="R45" s="12" t="b">
        <v>0</v>
      </c>
      <c r="S45" s="12" t="b">
        <v>0</v>
      </c>
      <c r="T45" s="12" t="b">
        <v>0</v>
      </c>
      <c r="U45" s="12" t="b">
        <v>0</v>
      </c>
      <c r="V45" s="12" t="b">
        <v>0</v>
      </c>
      <c r="W45" s="12" t="b">
        <v>0</v>
      </c>
      <c r="X45" s="12">
        <v>100</v>
      </c>
      <c r="Y45" s="12" t="b">
        <v>0</v>
      </c>
      <c r="Z45" s="12" t="b">
        <v>0</v>
      </c>
      <c r="AA45" s="12" t="b">
        <v>1</v>
      </c>
      <c r="AB45" s="12" t="b">
        <v>1</v>
      </c>
      <c r="AC45" s="12" t="b">
        <v>1</v>
      </c>
      <c r="AD45" s="12" t="b">
        <v>1</v>
      </c>
      <c r="AE45" s="12" t="b">
        <v>0</v>
      </c>
      <c r="AF45" s="12" t="b">
        <v>0</v>
      </c>
      <c r="AG45" s="12" t="b">
        <v>0</v>
      </c>
      <c r="AH45" s="12">
        <v>100</v>
      </c>
      <c r="AI45" s="12" t="b">
        <v>0</v>
      </c>
      <c r="AJ45" s="12" t="b">
        <v>0</v>
      </c>
      <c r="AK45" s="12" t="b">
        <v>1</v>
      </c>
      <c r="AL45" s="12">
        <v>0</v>
      </c>
      <c r="AM45" s="12" t="s">
        <v>51</v>
      </c>
      <c r="AN45" s="12">
        <v>0</v>
      </c>
    </row>
    <row r="46" spans="1:40" x14ac:dyDescent="0.3">
      <c r="A46" s="62" t="s">
        <v>879</v>
      </c>
      <c r="B46" s="62"/>
      <c r="C46" s="63"/>
      <c r="D46" s="63"/>
      <c r="E46" s="12" t="s">
        <v>2343</v>
      </c>
      <c r="F46" s="12" t="s">
        <v>2345</v>
      </c>
      <c r="G46" s="12" t="b">
        <v>0</v>
      </c>
      <c r="H46" s="12" t="b">
        <v>1</v>
      </c>
      <c r="I46" s="12" t="b">
        <v>1</v>
      </c>
      <c r="J46" s="12" t="b">
        <v>1</v>
      </c>
      <c r="K46" s="12" t="b">
        <v>0</v>
      </c>
      <c r="L46" s="12" t="b">
        <v>0</v>
      </c>
      <c r="M46" s="12" t="b">
        <v>0</v>
      </c>
      <c r="N46" s="12">
        <v>0</v>
      </c>
      <c r="O46" s="12" t="b">
        <v>0</v>
      </c>
      <c r="P46" s="12" t="b">
        <v>0</v>
      </c>
      <c r="Q46" s="12" t="b">
        <v>0</v>
      </c>
      <c r="R46" s="12" t="b">
        <v>0</v>
      </c>
      <c r="S46" s="12" t="b">
        <v>0</v>
      </c>
      <c r="T46" s="12" t="b">
        <v>1</v>
      </c>
      <c r="U46" s="12" t="b">
        <v>0</v>
      </c>
      <c r="V46" s="12" t="b">
        <v>0</v>
      </c>
      <c r="W46" s="12" t="b">
        <v>0</v>
      </c>
      <c r="X46" s="12">
        <v>100</v>
      </c>
      <c r="Y46" s="12" t="b">
        <v>0</v>
      </c>
      <c r="Z46" s="12" t="b">
        <v>0</v>
      </c>
      <c r="AA46" s="12" t="b">
        <v>1</v>
      </c>
      <c r="AB46" s="12" t="b">
        <v>1</v>
      </c>
      <c r="AC46" s="12" t="b">
        <v>1</v>
      </c>
      <c r="AD46" s="12" t="b">
        <v>1</v>
      </c>
      <c r="AE46" s="12" t="b">
        <v>0</v>
      </c>
      <c r="AF46" s="12" t="b">
        <v>0</v>
      </c>
      <c r="AG46" s="12" t="b">
        <v>0</v>
      </c>
      <c r="AH46" s="12">
        <v>0</v>
      </c>
      <c r="AI46" s="12" t="b">
        <v>0</v>
      </c>
      <c r="AJ46" s="12" t="b">
        <v>0</v>
      </c>
      <c r="AK46" s="12" t="b">
        <v>1</v>
      </c>
      <c r="AL46" s="12">
        <v>1</v>
      </c>
      <c r="AM46" s="12" t="s">
        <v>1476</v>
      </c>
      <c r="AN46" s="12">
        <v>1</v>
      </c>
    </row>
    <row r="47" spans="1:40" x14ac:dyDescent="0.3">
      <c r="A47" s="62" t="s">
        <v>879</v>
      </c>
      <c r="B47" s="62"/>
      <c r="C47" s="63"/>
      <c r="D47" s="63"/>
      <c r="E47" s="12" t="s">
        <v>2342</v>
      </c>
      <c r="F47" s="12" t="s">
        <v>2344</v>
      </c>
      <c r="G47" s="12" t="b">
        <v>0</v>
      </c>
      <c r="H47" s="12" t="b">
        <v>1</v>
      </c>
      <c r="I47" s="12" t="b">
        <v>1</v>
      </c>
      <c r="J47" s="12" t="b">
        <v>1</v>
      </c>
      <c r="K47" s="12" t="b">
        <v>0</v>
      </c>
      <c r="L47" s="12" t="b">
        <v>0</v>
      </c>
      <c r="M47" s="12" t="b">
        <v>0</v>
      </c>
      <c r="N47" s="12">
        <v>0</v>
      </c>
      <c r="O47" s="12" t="b">
        <v>0</v>
      </c>
      <c r="P47" s="12" t="b">
        <v>0</v>
      </c>
      <c r="Q47" s="12" t="b">
        <v>0</v>
      </c>
      <c r="R47" s="12" t="b">
        <v>0</v>
      </c>
      <c r="S47" s="12" t="b">
        <v>0</v>
      </c>
      <c r="T47" s="12" t="b">
        <v>1</v>
      </c>
      <c r="U47" s="12" t="b">
        <v>0</v>
      </c>
      <c r="V47" s="12" t="b">
        <v>0</v>
      </c>
      <c r="W47" s="12" t="b">
        <v>0</v>
      </c>
      <c r="X47" s="12">
        <v>100</v>
      </c>
      <c r="Y47" s="12" t="b">
        <v>0</v>
      </c>
      <c r="Z47" s="12" t="b">
        <v>0</v>
      </c>
      <c r="AA47" s="12" t="b">
        <v>1</v>
      </c>
      <c r="AB47" s="12" t="b">
        <v>1</v>
      </c>
      <c r="AC47" s="12" t="b">
        <v>1</v>
      </c>
      <c r="AD47" s="12" t="b">
        <v>1</v>
      </c>
      <c r="AE47" s="12" t="b">
        <v>0</v>
      </c>
      <c r="AF47" s="12" t="b">
        <v>0</v>
      </c>
      <c r="AG47" s="12" t="b">
        <v>0</v>
      </c>
      <c r="AH47" s="12">
        <v>0</v>
      </c>
      <c r="AI47" s="12" t="b">
        <v>0</v>
      </c>
      <c r="AJ47" s="12" t="b">
        <v>0</v>
      </c>
      <c r="AK47" s="12" t="b">
        <v>1</v>
      </c>
      <c r="AL47" s="12">
        <v>1</v>
      </c>
      <c r="AM47" s="12" t="s">
        <v>1476</v>
      </c>
      <c r="AN47" s="12">
        <v>1</v>
      </c>
    </row>
    <row r="48" spans="1:40" x14ac:dyDescent="0.3">
      <c r="A48" s="62" t="s">
        <v>879</v>
      </c>
      <c r="B48" s="62"/>
      <c r="C48" s="63"/>
      <c r="D48" s="63"/>
      <c r="E48" s="12" t="s">
        <v>2346</v>
      </c>
      <c r="F48" s="12" t="s">
        <v>2348</v>
      </c>
      <c r="G48" s="12" t="b">
        <v>1</v>
      </c>
      <c r="H48" s="12" t="b">
        <v>1</v>
      </c>
      <c r="I48" s="12" t="b">
        <v>1</v>
      </c>
      <c r="J48" s="12" t="b">
        <v>1</v>
      </c>
      <c r="K48" s="12" t="b">
        <v>0</v>
      </c>
      <c r="L48" s="12" t="b">
        <v>0</v>
      </c>
      <c r="M48" s="12" t="b">
        <v>0</v>
      </c>
      <c r="N48" s="12">
        <v>0</v>
      </c>
      <c r="O48" s="12" t="b">
        <v>0</v>
      </c>
      <c r="P48" s="12" t="b">
        <v>0</v>
      </c>
      <c r="Q48" s="12" t="b">
        <v>1</v>
      </c>
      <c r="R48" s="12" t="b">
        <v>1</v>
      </c>
      <c r="S48" s="12" t="b">
        <v>1</v>
      </c>
      <c r="T48" s="12" t="b">
        <v>1</v>
      </c>
      <c r="U48" s="12" t="b">
        <v>0</v>
      </c>
      <c r="V48" s="12" t="b">
        <v>0</v>
      </c>
      <c r="W48" s="12" t="b">
        <v>0</v>
      </c>
      <c r="X48" s="12">
        <v>0</v>
      </c>
      <c r="Y48" s="12" t="b">
        <v>0</v>
      </c>
      <c r="Z48" s="12" t="b">
        <v>0</v>
      </c>
      <c r="AA48" s="12" t="b">
        <v>0</v>
      </c>
      <c r="AB48" s="12" t="b">
        <v>1</v>
      </c>
      <c r="AC48" s="12" t="b">
        <v>1</v>
      </c>
      <c r="AD48" s="12" t="b">
        <v>1</v>
      </c>
      <c r="AE48" s="12" t="b">
        <v>0</v>
      </c>
      <c r="AF48" s="12" t="b">
        <v>0</v>
      </c>
      <c r="AG48" s="12" t="b">
        <v>0</v>
      </c>
      <c r="AH48" s="12">
        <v>0</v>
      </c>
      <c r="AI48" s="12" t="b">
        <v>0</v>
      </c>
      <c r="AJ48" s="12" t="b">
        <v>0</v>
      </c>
      <c r="AK48" s="12" t="b">
        <v>1</v>
      </c>
      <c r="AL48" s="12">
        <v>1</v>
      </c>
      <c r="AM48" s="12" t="s">
        <v>1476</v>
      </c>
      <c r="AN48" s="12">
        <v>1</v>
      </c>
    </row>
    <row r="49" spans="1:40" x14ac:dyDescent="0.3">
      <c r="A49" s="62" t="s">
        <v>879</v>
      </c>
      <c r="B49" s="62"/>
      <c r="C49" s="63"/>
      <c r="D49" s="63"/>
      <c r="E49" s="12" t="s">
        <v>2347</v>
      </c>
      <c r="F49" s="12" t="s">
        <v>2349</v>
      </c>
      <c r="G49" s="12" t="b">
        <v>1</v>
      </c>
      <c r="H49" s="12" t="b">
        <v>1</v>
      </c>
      <c r="I49" s="12" t="b">
        <v>1</v>
      </c>
      <c r="J49" s="12" t="b">
        <v>1</v>
      </c>
      <c r="K49" s="12" t="b">
        <v>0</v>
      </c>
      <c r="L49" s="12" t="b">
        <v>0</v>
      </c>
      <c r="M49" s="12" t="b">
        <v>0</v>
      </c>
      <c r="N49" s="12">
        <v>0</v>
      </c>
      <c r="O49" s="12" t="b">
        <v>0</v>
      </c>
      <c r="P49" s="12" t="b">
        <v>0</v>
      </c>
      <c r="Q49" s="12" t="b">
        <v>1</v>
      </c>
      <c r="R49" s="12" t="b">
        <v>1</v>
      </c>
      <c r="S49" s="12" t="b">
        <v>1</v>
      </c>
      <c r="T49" s="12" t="b">
        <v>1</v>
      </c>
      <c r="U49" s="12" t="b">
        <v>0</v>
      </c>
      <c r="V49" s="12" t="b">
        <v>0</v>
      </c>
      <c r="W49" s="12" t="b">
        <v>0</v>
      </c>
      <c r="X49" s="12">
        <v>0</v>
      </c>
      <c r="Y49" s="12" t="b">
        <v>0</v>
      </c>
      <c r="Z49" s="12" t="b">
        <v>0</v>
      </c>
      <c r="AA49" s="12" t="b">
        <v>0</v>
      </c>
      <c r="AB49" s="12" t="b">
        <v>1</v>
      </c>
      <c r="AC49" s="12" t="b">
        <v>1</v>
      </c>
      <c r="AD49" s="12" t="b">
        <v>1</v>
      </c>
      <c r="AE49" s="12" t="b">
        <v>0</v>
      </c>
      <c r="AF49" s="12" t="b">
        <v>0</v>
      </c>
      <c r="AG49" s="12" t="b">
        <v>0</v>
      </c>
      <c r="AH49" s="12">
        <v>0</v>
      </c>
      <c r="AI49" s="12" t="b">
        <v>0</v>
      </c>
      <c r="AJ49" s="12" t="b">
        <v>0</v>
      </c>
      <c r="AK49" s="12" t="b">
        <v>1</v>
      </c>
      <c r="AL49" s="12">
        <v>1</v>
      </c>
      <c r="AM49" s="12" t="s">
        <v>1476</v>
      </c>
      <c r="AN49" s="12">
        <v>1</v>
      </c>
    </row>
    <row r="50" spans="1:40" x14ac:dyDescent="0.3">
      <c r="A50" s="62" t="s">
        <v>1548</v>
      </c>
      <c r="B50" s="62"/>
      <c r="C50" s="63" t="s">
        <v>1464</v>
      </c>
      <c r="D50" s="52" t="s">
        <v>1630</v>
      </c>
      <c r="E50" s="21" t="s">
        <v>1758</v>
      </c>
      <c r="F50" s="12" t="s">
        <v>1584</v>
      </c>
      <c r="G50" s="12" t="b">
        <v>0</v>
      </c>
      <c r="H50" s="12" t="b">
        <v>1</v>
      </c>
      <c r="I50" s="12" t="b">
        <v>1</v>
      </c>
      <c r="J50" s="12" t="b">
        <v>1</v>
      </c>
      <c r="K50" s="12" t="b">
        <v>0</v>
      </c>
      <c r="L50" s="12" t="b">
        <v>0</v>
      </c>
      <c r="M50" s="12" t="b">
        <v>0</v>
      </c>
      <c r="N50" s="12">
        <v>0</v>
      </c>
      <c r="O50" s="12" t="b">
        <v>0</v>
      </c>
      <c r="P50" s="12" t="b">
        <v>0</v>
      </c>
      <c r="Q50" s="12" t="b">
        <v>0</v>
      </c>
      <c r="R50" s="12" t="b">
        <v>0</v>
      </c>
      <c r="S50" s="12" t="b">
        <v>0</v>
      </c>
      <c r="T50" s="12" t="b">
        <v>1</v>
      </c>
      <c r="U50" s="12" t="b">
        <v>0</v>
      </c>
      <c r="V50" s="12" t="b">
        <v>1</v>
      </c>
      <c r="W50" s="12" t="b">
        <v>0</v>
      </c>
      <c r="X50" s="12">
        <v>1</v>
      </c>
      <c r="Y50" s="12" t="b">
        <v>0</v>
      </c>
      <c r="Z50" s="12" t="b">
        <v>0</v>
      </c>
      <c r="AA50" s="12" t="b">
        <v>1</v>
      </c>
      <c r="AB50" s="12" t="b">
        <v>1</v>
      </c>
      <c r="AC50" s="12" t="b">
        <v>1</v>
      </c>
      <c r="AD50" s="12" t="b">
        <v>1</v>
      </c>
      <c r="AE50" s="12" t="b">
        <v>0</v>
      </c>
      <c r="AF50" s="12" t="b">
        <v>0</v>
      </c>
      <c r="AG50" s="12" t="b">
        <v>0</v>
      </c>
      <c r="AH50" s="12">
        <v>0</v>
      </c>
      <c r="AI50" s="12" t="b">
        <v>0</v>
      </c>
      <c r="AJ50" s="12" t="b">
        <v>0</v>
      </c>
      <c r="AK50" s="12" t="b">
        <v>1</v>
      </c>
      <c r="AL50" s="12">
        <v>1</v>
      </c>
      <c r="AM50" s="12" t="s">
        <v>900</v>
      </c>
      <c r="AN50" s="12">
        <v>1</v>
      </c>
    </row>
    <row r="51" spans="1:40" x14ac:dyDescent="0.3">
      <c r="A51" s="62" t="s">
        <v>1548</v>
      </c>
      <c r="B51" s="62"/>
      <c r="C51" s="63" t="s">
        <v>1466</v>
      </c>
      <c r="D51" s="52" t="s">
        <v>1630</v>
      </c>
      <c r="E51" s="21" t="s">
        <v>1758</v>
      </c>
      <c r="F51" s="12" t="s">
        <v>1584</v>
      </c>
      <c r="G51" s="12" t="b">
        <v>0</v>
      </c>
      <c r="H51" s="12" t="b">
        <v>1</v>
      </c>
      <c r="I51" s="12" t="b">
        <v>1</v>
      </c>
      <c r="J51" s="12" t="b">
        <v>1</v>
      </c>
      <c r="K51" s="12" t="b">
        <v>0</v>
      </c>
      <c r="L51" s="12" t="b">
        <v>0</v>
      </c>
      <c r="M51" s="12" t="b">
        <v>0</v>
      </c>
      <c r="N51" s="12">
        <v>0</v>
      </c>
      <c r="O51" s="12" t="b">
        <v>0</v>
      </c>
      <c r="P51" s="12" t="b">
        <v>0</v>
      </c>
      <c r="Q51" s="12" t="b">
        <v>0</v>
      </c>
      <c r="R51" s="12" t="b">
        <v>0</v>
      </c>
      <c r="S51" s="12" t="b">
        <v>0</v>
      </c>
      <c r="T51" s="12" t="b">
        <v>1</v>
      </c>
      <c r="U51" s="12" t="b">
        <v>0</v>
      </c>
      <c r="V51" s="12" t="b">
        <v>1</v>
      </c>
      <c r="W51" s="12" t="b">
        <v>0</v>
      </c>
      <c r="X51" s="12">
        <v>1</v>
      </c>
      <c r="Y51" s="12" t="b">
        <v>0</v>
      </c>
      <c r="Z51" s="12" t="b">
        <v>0</v>
      </c>
      <c r="AA51" s="12" t="b">
        <v>1</v>
      </c>
      <c r="AB51" s="12" t="b">
        <v>1</v>
      </c>
      <c r="AC51" s="12" t="b">
        <v>1</v>
      </c>
      <c r="AD51" s="12" t="b">
        <v>1</v>
      </c>
      <c r="AE51" s="12" t="b">
        <v>0</v>
      </c>
      <c r="AF51" s="12" t="b">
        <v>0</v>
      </c>
      <c r="AG51" s="12" t="b">
        <v>0</v>
      </c>
      <c r="AH51" s="12">
        <v>0</v>
      </c>
      <c r="AI51" s="12" t="b">
        <v>0</v>
      </c>
      <c r="AJ51" s="12" t="b">
        <v>0</v>
      </c>
      <c r="AK51" s="12" t="b">
        <v>1</v>
      </c>
      <c r="AL51" s="12">
        <v>1</v>
      </c>
      <c r="AM51" s="12" t="s">
        <v>900</v>
      </c>
      <c r="AN51" s="12">
        <v>1</v>
      </c>
    </row>
    <row r="52" spans="1:40" x14ac:dyDescent="0.3">
      <c r="A52" s="62" t="s">
        <v>1548</v>
      </c>
      <c r="B52" s="62"/>
      <c r="C52" s="63" t="s">
        <v>1467</v>
      </c>
      <c r="D52" s="52" t="s">
        <v>1630</v>
      </c>
      <c r="E52" s="21" t="s">
        <v>1758</v>
      </c>
      <c r="F52" s="12" t="s">
        <v>1584</v>
      </c>
      <c r="G52" s="12" t="b">
        <v>0</v>
      </c>
      <c r="H52" s="12" t="b">
        <v>1</v>
      </c>
      <c r="I52" s="12" t="b">
        <v>1</v>
      </c>
      <c r="J52" s="12" t="b">
        <v>1</v>
      </c>
      <c r="K52" s="12" t="b">
        <v>0</v>
      </c>
      <c r="L52" s="12" t="b">
        <v>0</v>
      </c>
      <c r="M52" s="12" t="b">
        <v>0</v>
      </c>
      <c r="N52" s="12">
        <v>0</v>
      </c>
      <c r="O52" s="12" t="b">
        <v>0</v>
      </c>
      <c r="P52" s="12" t="b">
        <v>0</v>
      </c>
      <c r="Q52" s="12" t="b">
        <v>0</v>
      </c>
      <c r="R52" s="12" t="b">
        <v>0</v>
      </c>
      <c r="S52" s="12" t="b">
        <v>0</v>
      </c>
      <c r="T52" s="12" t="b">
        <v>1</v>
      </c>
      <c r="U52" s="12" t="b">
        <v>0</v>
      </c>
      <c r="V52" s="12" t="b">
        <v>1</v>
      </c>
      <c r="W52" s="12" t="b">
        <v>0</v>
      </c>
      <c r="X52" s="12">
        <v>1</v>
      </c>
      <c r="Y52" s="12" t="b">
        <v>0</v>
      </c>
      <c r="Z52" s="12" t="b">
        <v>0</v>
      </c>
      <c r="AA52" s="12" t="b">
        <v>1</v>
      </c>
      <c r="AB52" s="12" t="b">
        <v>1</v>
      </c>
      <c r="AC52" s="12" t="b">
        <v>1</v>
      </c>
      <c r="AD52" s="12" t="b">
        <v>1</v>
      </c>
      <c r="AE52" s="12" t="b">
        <v>0</v>
      </c>
      <c r="AF52" s="12" t="b">
        <v>0</v>
      </c>
      <c r="AG52" s="12" t="b">
        <v>0</v>
      </c>
      <c r="AH52" s="12">
        <v>0</v>
      </c>
      <c r="AI52" s="12" t="b">
        <v>0</v>
      </c>
      <c r="AJ52" s="12" t="b">
        <v>0</v>
      </c>
      <c r="AK52" s="12" t="b">
        <v>1</v>
      </c>
      <c r="AL52" s="12">
        <v>1</v>
      </c>
      <c r="AM52" s="12" t="s">
        <v>900</v>
      </c>
      <c r="AN52" s="12">
        <v>1</v>
      </c>
    </row>
    <row r="53" spans="1:40" x14ac:dyDescent="0.3">
      <c r="A53" s="62" t="s">
        <v>1548</v>
      </c>
      <c r="B53" s="62"/>
      <c r="C53" s="63" t="s">
        <v>1468</v>
      </c>
      <c r="D53" s="52" t="s">
        <v>1630</v>
      </c>
      <c r="E53" s="21" t="s">
        <v>1758</v>
      </c>
      <c r="F53" s="12" t="s">
        <v>1584</v>
      </c>
      <c r="G53" s="12" t="b">
        <v>0</v>
      </c>
      <c r="H53" s="12" t="b">
        <v>1</v>
      </c>
      <c r="I53" s="12" t="b">
        <v>1</v>
      </c>
      <c r="J53" s="12" t="b">
        <v>1</v>
      </c>
      <c r="K53" s="12" t="b">
        <v>0</v>
      </c>
      <c r="L53" s="12" t="b">
        <v>0</v>
      </c>
      <c r="M53" s="12" t="b">
        <v>0</v>
      </c>
      <c r="N53" s="12">
        <v>0</v>
      </c>
      <c r="O53" s="12" t="b">
        <v>0</v>
      </c>
      <c r="P53" s="12" t="b">
        <v>0</v>
      </c>
      <c r="Q53" s="12" t="b">
        <v>0</v>
      </c>
      <c r="R53" s="12" t="b">
        <v>0</v>
      </c>
      <c r="S53" s="12" t="b">
        <v>0</v>
      </c>
      <c r="T53" s="12" t="b">
        <v>1</v>
      </c>
      <c r="U53" s="12" t="b">
        <v>0</v>
      </c>
      <c r="V53" s="12" t="b">
        <v>1</v>
      </c>
      <c r="W53" s="12" t="b">
        <v>0</v>
      </c>
      <c r="X53" s="12">
        <v>1</v>
      </c>
      <c r="Y53" s="12" t="b">
        <v>0</v>
      </c>
      <c r="Z53" s="12" t="b">
        <v>0</v>
      </c>
      <c r="AA53" s="12" t="b">
        <v>1</v>
      </c>
      <c r="AB53" s="12" t="b">
        <v>1</v>
      </c>
      <c r="AC53" s="12" t="b">
        <v>1</v>
      </c>
      <c r="AD53" s="12" t="b">
        <v>1</v>
      </c>
      <c r="AE53" s="12" t="b">
        <v>0</v>
      </c>
      <c r="AF53" s="12" t="b">
        <v>0</v>
      </c>
      <c r="AG53" s="12" t="b">
        <v>0</v>
      </c>
      <c r="AH53" s="12">
        <v>0</v>
      </c>
      <c r="AI53" s="12" t="b">
        <v>0</v>
      </c>
      <c r="AJ53" s="12" t="b">
        <v>0</v>
      </c>
      <c r="AK53" s="12" t="b">
        <v>1</v>
      </c>
      <c r="AL53" s="12">
        <v>1</v>
      </c>
      <c r="AM53" s="12" t="s">
        <v>900</v>
      </c>
      <c r="AN53" s="12">
        <v>1</v>
      </c>
    </row>
    <row r="54" spans="1:40" x14ac:dyDescent="0.3">
      <c r="A54" s="62" t="s">
        <v>1548</v>
      </c>
      <c r="B54" s="62"/>
      <c r="C54" s="63" t="s">
        <v>1469</v>
      </c>
      <c r="D54" s="52" t="s">
        <v>1630</v>
      </c>
      <c r="E54" s="21" t="s">
        <v>1758</v>
      </c>
      <c r="F54" s="12" t="s">
        <v>1584</v>
      </c>
      <c r="G54" s="12" t="b">
        <v>0</v>
      </c>
      <c r="H54" s="12" t="b">
        <v>1</v>
      </c>
      <c r="I54" s="12" t="b">
        <v>1</v>
      </c>
      <c r="J54" s="12" t="b">
        <v>1</v>
      </c>
      <c r="K54" s="12" t="b">
        <v>0</v>
      </c>
      <c r="L54" s="12" t="b">
        <v>0</v>
      </c>
      <c r="M54" s="12" t="b">
        <v>0</v>
      </c>
      <c r="N54" s="12">
        <v>0</v>
      </c>
      <c r="O54" s="12" t="b">
        <v>0</v>
      </c>
      <c r="P54" s="12" t="b">
        <v>0</v>
      </c>
      <c r="Q54" s="12" t="b">
        <v>0</v>
      </c>
      <c r="R54" s="12" t="b">
        <v>0</v>
      </c>
      <c r="S54" s="12" t="b">
        <v>0</v>
      </c>
      <c r="T54" s="12" t="b">
        <v>1</v>
      </c>
      <c r="U54" s="12" t="b">
        <v>0</v>
      </c>
      <c r="V54" s="12" t="b">
        <v>1</v>
      </c>
      <c r="W54" s="12" t="b">
        <v>0</v>
      </c>
      <c r="X54" s="12">
        <v>1</v>
      </c>
      <c r="Y54" s="12" t="b">
        <v>0</v>
      </c>
      <c r="Z54" s="12" t="b">
        <v>0</v>
      </c>
      <c r="AA54" s="12" t="b">
        <v>1</v>
      </c>
      <c r="AB54" s="12" t="b">
        <v>1</v>
      </c>
      <c r="AC54" s="12" t="b">
        <v>1</v>
      </c>
      <c r="AD54" s="12" t="b">
        <v>1</v>
      </c>
      <c r="AE54" s="12" t="b">
        <v>0</v>
      </c>
      <c r="AF54" s="12" t="b">
        <v>0</v>
      </c>
      <c r="AG54" s="12" t="b">
        <v>0</v>
      </c>
      <c r="AH54" s="12">
        <v>0</v>
      </c>
      <c r="AI54" s="12" t="b">
        <v>0</v>
      </c>
      <c r="AJ54" s="12" t="b">
        <v>0</v>
      </c>
      <c r="AK54" s="12" t="b">
        <v>1</v>
      </c>
      <c r="AL54" s="12">
        <v>1</v>
      </c>
      <c r="AM54" s="12" t="s">
        <v>900</v>
      </c>
      <c r="AN54" s="12">
        <v>1</v>
      </c>
    </row>
    <row r="55" spans="1:40" x14ac:dyDescent="0.3">
      <c r="A55" s="62" t="s">
        <v>1548</v>
      </c>
      <c r="B55" s="62"/>
      <c r="C55" s="63" t="s">
        <v>1470</v>
      </c>
      <c r="D55" s="52" t="s">
        <v>1630</v>
      </c>
      <c r="E55" s="21" t="s">
        <v>1758</v>
      </c>
      <c r="F55" s="12" t="s">
        <v>1584</v>
      </c>
      <c r="G55" s="12" t="b">
        <v>0</v>
      </c>
      <c r="H55" s="12" t="b">
        <v>1</v>
      </c>
      <c r="I55" s="12" t="b">
        <v>1</v>
      </c>
      <c r="J55" s="12" t="b">
        <v>1</v>
      </c>
      <c r="K55" s="12" t="b">
        <v>0</v>
      </c>
      <c r="L55" s="12" t="b">
        <v>0</v>
      </c>
      <c r="M55" s="12" t="b">
        <v>0</v>
      </c>
      <c r="N55" s="12">
        <v>0</v>
      </c>
      <c r="O55" s="12" t="b">
        <v>0</v>
      </c>
      <c r="P55" s="12" t="b">
        <v>0</v>
      </c>
      <c r="Q55" s="12" t="b">
        <v>0</v>
      </c>
      <c r="R55" s="12" t="b">
        <v>0</v>
      </c>
      <c r="S55" s="12" t="b">
        <v>0</v>
      </c>
      <c r="T55" s="12" t="b">
        <v>1</v>
      </c>
      <c r="U55" s="12" t="b">
        <v>0</v>
      </c>
      <c r="V55" s="12" t="b">
        <v>1</v>
      </c>
      <c r="W55" s="12" t="b">
        <v>0</v>
      </c>
      <c r="X55" s="12">
        <v>1</v>
      </c>
      <c r="Y55" s="12" t="b">
        <v>0</v>
      </c>
      <c r="Z55" s="12" t="b">
        <v>0</v>
      </c>
      <c r="AA55" s="12" t="b">
        <v>1</v>
      </c>
      <c r="AB55" s="12" t="b">
        <v>1</v>
      </c>
      <c r="AC55" s="12" t="b">
        <v>1</v>
      </c>
      <c r="AD55" s="12" t="b">
        <v>1</v>
      </c>
      <c r="AE55" s="12" t="b">
        <v>0</v>
      </c>
      <c r="AF55" s="12" t="b">
        <v>0</v>
      </c>
      <c r="AG55" s="12" t="b">
        <v>0</v>
      </c>
      <c r="AH55" s="12">
        <v>0</v>
      </c>
      <c r="AI55" s="12" t="b">
        <v>0</v>
      </c>
      <c r="AJ55" s="12" t="b">
        <v>0</v>
      </c>
      <c r="AK55" s="12" t="b">
        <v>1</v>
      </c>
      <c r="AL55" s="12">
        <v>1</v>
      </c>
      <c r="AM55" s="12" t="s">
        <v>900</v>
      </c>
      <c r="AN55" s="12">
        <v>1</v>
      </c>
    </row>
    <row r="56" spans="1:40" x14ac:dyDescent="0.3">
      <c r="A56" s="62" t="s">
        <v>1548</v>
      </c>
      <c r="B56" s="62"/>
      <c r="C56" s="63" t="s">
        <v>1934</v>
      </c>
      <c r="D56" s="63" t="s">
        <v>1630</v>
      </c>
      <c r="E56" s="21" t="s">
        <v>1758</v>
      </c>
      <c r="F56" s="12" t="s">
        <v>1584</v>
      </c>
      <c r="G56" s="12" t="b">
        <v>0</v>
      </c>
      <c r="H56" s="12" t="b">
        <v>1</v>
      </c>
      <c r="I56" s="12" t="b">
        <v>1</v>
      </c>
      <c r="J56" s="12" t="b">
        <v>1</v>
      </c>
      <c r="K56" s="12" t="b">
        <v>0</v>
      </c>
      <c r="L56" s="12" t="b">
        <v>0</v>
      </c>
      <c r="M56" s="12" t="b">
        <v>0</v>
      </c>
      <c r="N56" s="12">
        <v>0</v>
      </c>
      <c r="O56" s="12" t="b">
        <v>0</v>
      </c>
      <c r="P56" s="12" t="b">
        <v>0</v>
      </c>
      <c r="Q56" s="12" t="b">
        <v>0</v>
      </c>
      <c r="R56" s="12" t="b">
        <v>0</v>
      </c>
      <c r="S56" s="12" t="b">
        <v>0</v>
      </c>
      <c r="T56" s="12" t="b">
        <v>1</v>
      </c>
      <c r="U56" s="12" t="b">
        <v>0</v>
      </c>
      <c r="V56" s="12" t="b">
        <v>1</v>
      </c>
      <c r="W56" s="12" t="b">
        <v>0</v>
      </c>
      <c r="X56" s="12">
        <v>1</v>
      </c>
      <c r="Y56" s="12" t="b">
        <v>0</v>
      </c>
      <c r="Z56" s="12" t="b">
        <v>0</v>
      </c>
      <c r="AA56" s="12" t="b">
        <v>1</v>
      </c>
      <c r="AB56" s="12" t="b">
        <v>1</v>
      </c>
      <c r="AC56" s="12" t="b">
        <v>1</v>
      </c>
      <c r="AD56" s="12" t="b">
        <v>1</v>
      </c>
      <c r="AE56" s="12" t="b">
        <v>0</v>
      </c>
      <c r="AF56" s="12" t="b">
        <v>0</v>
      </c>
      <c r="AG56" s="12" t="b">
        <v>0</v>
      </c>
      <c r="AH56" s="12">
        <v>0</v>
      </c>
      <c r="AI56" s="12" t="b">
        <v>0</v>
      </c>
      <c r="AJ56" s="12" t="b">
        <v>0</v>
      </c>
      <c r="AK56" s="12" t="b">
        <v>1</v>
      </c>
      <c r="AL56" s="12">
        <v>1</v>
      </c>
      <c r="AM56" s="12" t="s">
        <v>900</v>
      </c>
      <c r="AN56" s="12">
        <v>1</v>
      </c>
    </row>
    <row r="57" spans="1:40" x14ac:dyDescent="0.3">
      <c r="A57" s="62" t="s">
        <v>1548</v>
      </c>
      <c r="B57" s="62"/>
      <c r="C57" s="63" t="s">
        <v>1935</v>
      </c>
      <c r="D57" s="63" t="s">
        <v>1630</v>
      </c>
      <c r="E57" s="21" t="s">
        <v>1758</v>
      </c>
      <c r="F57" s="12" t="s">
        <v>1584</v>
      </c>
      <c r="G57" s="12" t="b">
        <v>0</v>
      </c>
      <c r="H57" s="12" t="b">
        <v>1</v>
      </c>
      <c r="I57" s="12" t="b">
        <v>1</v>
      </c>
      <c r="J57" s="12" t="b">
        <v>1</v>
      </c>
      <c r="K57" s="12" t="b">
        <v>0</v>
      </c>
      <c r="L57" s="12" t="b">
        <v>0</v>
      </c>
      <c r="M57" s="12" t="b">
        <v>0</v>
      </c>
      <c r="N57" s="12">
        <v>0</v>
      </c>
      <c r="O57" s="12" t="b">
        <v>0</v>
      </c>
      <c r="P57" s="12" t="b">
        <v>0</v>
      </c>
      <c r="Q57" s="12" t="b">
        <v>0</v>
      </c>
      <c r="R57" s="12" t="b">
        <v>0</v>
      </c>
      <c r="S57" s="12" t="b">
        <v>0</v>
      </c>
      <c r="T57" s="12" t="b">
        <v>1</v>
      </c>
      <c r="U57" s="12" t="b">
        <v>0</v>
      </c>
      <c r="V57" s="12" t="b">
        <v>1</v>
      </c>
      <c r="W57" s="12" t="b">
        <v>0</v>
      </c>
      <c r="X57" s="12">
        <v>1</v>
      </c>
      <c r="Y57" s="12" t="b">
        <v>0</v>
      </c>
      <c r="Z57" s="12" t="b">
        <v>0</v>
      </c>
      <c r="AA57" s="12" t="b">
        <v>1</v>
      </c>
      <c r="AB57" s="12" t="b">
        <v>1</v>
      </c>
      <c r="AC57" s="12" t="b">
        <v>1</v>
      </c>
      <c r="AD57" s="12" t="b">
        <v>1</v>
      </c>
      <c r="AE57" s="12" t="b">
        <v>0</v>
      </c>
      <c r="AF57" s="12" t="b">
        <v>0</v>
      </c>
      <c r="AG57" s="12" t="b">
        <v>0</v>
      </c>
      <c r="AH57" s="12">
        <v>0</v>
      </c>
      <c r="AI57" s="12" t="b">
        <v>0</v>
      </c>
      <c r="AJ57" s="12" t="b">
        <v>0</v>
      </c>
      <c r="AK57" s="12" t="b">
        <v>1</v>
      </c>
      <c r="AL57" s="12">
        <v>1</v>
      </c>
      <c r="AM57" s="12" t="s">
        <v>900</v>
      </c>
      <c r="AN57" s="12">
        <v>1</v>
      </c>
    </row>
    <row r="58" spans="1:40" x14ac:dyDescent="0.3">
      <c r="A58" s="62" t="s">
        <v>1548</v>
      </c>
      <c r="B58" s="62"/>
      <c r="C58" s="63" t="s">
        <v>1936</v>
      </c>
      <c r="D58" s="63" t="s">
        <v>1630</v>
      </c>
      <c r="E58" s="21" t="s">
        <v>1758</v>
      </c>
      <c r="F58" s="12" t="s">
        <v>1584</v>
      </c>
      <c r="G58" s="12" t="b">
        <v>0</v>
      </c>
      <c r="H58" s="12" t="b">
        <v>1</v>
      </c>
      <c r="I58" s="12" t="b">
        <v>1</v>
      </c>
      <c r="J58" s="12" t="b">
        <v>1</v>
      </c>
      <c r="K58" s="12" t="b">
        <v>0</v>
      </c>
      <c r="L58" s="12" t="b">
        <v>0</v>
      </c>
      <c r="M58" s="12" t="b">
        <v>0</v>
      </c>
      <c r="N58" s="12">
        <v>0</v>
      </c>
      <c r="O58" s="12" t="b">
        <v>0</v>
      </c>
      <c r="P58" s="12" t="b">
        <v>0</v>
      </c>
      <c r="Q58" s="12" t="b">
        <v>0</v>
      </c>
      <c r="R58" s="12" t="b">
        <v>0</v>
      </c>
      <c r="S58" s="12" t="b">
        <v>0</v>
      </c>
      <c r="T58" s="12" t="b">
        <v>1</v>
      </c>
      <c r="U58" s="12" t="b">
        <v>0</v>
      </c>
      <c r="V58" s="12" t="b">
        <v>1</v>
      </c>
      <c r="W58" s="12" t="b">
        <v>0</v>
      </c>
      <c r="X58" s="12">
        <v>1</v>
      </c>
      <c r="Y58" s="12" t="b">
        <v>0</v>
      </c>
      <c r="Z58" s="12" t="b">
        <v>0</v>
      </c>
      <c r="AA58" s="12" t="b">
        <v>1</v>
      </c>
      <c r="AB58" s="12" t="b">
        <v>1</v>
      </c>
      <c r="AC58" s="12" t="b">
        <v>1</v>
      </c>
      <c r="AD58" s="12" t="b">
        <v>1</v>
      </c>
      <c r="AE58" s="12" t="b">
        <v>0</v>
      </c>
      <c r="AF58" s="12" t="b">
        <v>0</v>
      </c>
      <c r="AG58" s="12" t="b">
        <v>0</v>
      </c>
      <c r="AH58" s="12">
        <v>0</v>
      </c>
      <c r="AI58" s="12" t="b">
        <v>0</v>
      </c>
      <c r="AJ58" s="12" t="b">
        <v>0</v>
      </c>
      <c r="AK58" s="12" t="b">
        <v>1</v>
      </c>
      <c r="AL58" s="12">
        <v>1</v>
      </c>
      <c r="AM58" s="12" t="s">
        <v>900</v>
      </c>
      <c r="AN58" s="12">
        <v>1</v>
      </c>
    </row>
    <row r="59" spans="1:40" x14ac:dyDescent="0.3">
      <c r="A59" s="62" t="s">
        <v>1548</v>
      </c>
      <c r="B59" s="62"/>
      <c r="C59" s="63" t="s">
        <v>1937</v>
      </c>
      <c r="D59" s="63" t="s">
        <v>1630</v>
      </c>
      <c r="E59" s="21" t="s">
        <v>1758</v>
      </c>
      <c r="F59" s="12" t="s">
        <v>1584</v>
      </c>
      <c r="G59" s="12" t="b">
        <v>0</v>
      </c>
      <c r="H59" s="12" t="b">
        <v>1</v>
      </c>
      <c r="I59" s="12" t="b">
        <v>1</v>
      </c>
      <c r="J59" s="12" t="b">
        <v>1</v>
      </c>
      <c r="K59" s="12" t="b">
        <v>0</v>
      </c>
      <c r="L59" s="12" t="b">
        <v>0</v>
      </c>
      <c r="M59" s="12" t="b">
        <v>0</v>
      </c>
      <c r="N59" s="12">
        <v>0</v>
      </c>
      <c r="O59" s="12" t="b">
        <v>0</v>
      </c>
      <c r="P59" s="12" t="b">
        <v>0</v>
      </c>
      <c r="Q59" s="12" t="b">
        <v>0</v>
      </c>
      <c r="R59" s="12" t="b">
        <v>0</v>
      </c>
      <c r="S59" s="12" t="b">
        <v>0</v>
      </c>
      <c r="T59" s="12" t="b">
        <v>1</v>
      </c>
      <c r="U59" s="12" t="b">
        <v>0</v>
      </c>
      <c r="V59" s="12" t="b">
        <v>1</v>
      </c>
      <c r="W59" s="12" t="b">
        <v>0</v>
      </c>
      <c r="X59" s="12">
        <v>1</v>
      </c>
      <c r="Y59" s="12" t="b">
        <v>0</v>
      </c>
      <c r="Z59" s="12" t="b">
        <v>0</v>
      </c>
      <c r="AA59" s="12" t="b">
        <v>1</v>
      </c>
      <c r="AB59" s="12" t="b">
        <v>1</v>
      </c>
      <c r="AC59" s="12" t="b">
        <v>1</v>
      </c>
      <c r="AD59" s="12" t="b">
        <v>1</v>
      </c>
      <c r="AE59" s="12" t="b">
        <v>0</v>
      </c>
      <c r="AF59" s="12" t="b">
        <v>0</v>
      </c>
      <c r="AG59" s="12" t="b">
        <v>0</v>
      </c>
      <c r="AH59" s="12">
        <v>0</v>
      </c>
      <c r="AI59" s="12" t="b">
        <v>0</v>
      </c>
      <c r="AJ59" s="12" t="b">
        <v>0</v>
      </c>
      <c r="AK59" s="12" t="b">
        <v>1</v>
      </c>
      <c r="AL59" s="12">
        <v>1</v>
      </c>
      <c r="AM59" s="12" t="s">
        <v>900</v>
      </c>
      <c r="AN59" s="12">
        <v>1</v>
      </c>
    </row>
    <row r="60" spans="1:40" x14ac:dyDescent="0.3">
      <c r="A60" s="62" t="s">
        <v>1548</v>
      </c>
      <c r="B60" s="62"/>
      <c r="C60" s="63" t="s">
        <v>1938</v>
      </c>
      <c r="D60" s="63" t="s">
        <v>1630</v>
      </c>
      <c r="E60" s="21" t="s">
        <v>1758</v>
      </c>
      <c r="F60" s="12" t="s">
        <v>1584</v>
      </c>
      <c r="G60" s="12" t="b">
        <v>0</v>
      </c>
      <c r="H60" s="12" t="b">
        <v>1</v>
      </c>
      <c r="I60" s="12" t="b">
        <v>1</v>
      </c>
      <c r="J60" s="12" t="b">
        <v>1</v>
      </c>
      <c r="K60" s="12" t="b">
        <v>0</v>
      </c>
      <c r="L60" s="12" t="b">
        <v>0</v>
      </c>
      <c r="M60" s="12" t="b">
        <v>0</v>
      </c>
      <c r="N60" s="12">
        <v>0</v>
      </c>
      <c r="O60" s="12" t="b">
        <v>0</v>
      </c>
      <c r="P60" s="12" t="b">
        <v>0</v>
      </c>
      <c r="Q60" s="12" t="b">
        <v>0</v>
      </c>
      <c r="R60" s="12" t="b">
        <v>0</v>
      </c>
      <c r="S60" s="12" t="b">
        <v>0</v>
      </c>
      <c r="T60" s="12" t="b">
        <v>1</v>
      </c>
      <c r="U60" s="12" t="b">
        <v>0</v>
      </c>
      <c r="V60" s="12" t="b">
        <v>1</v>
      </c>
      <c r="W60" s="12" t="b">
        <v>0</v>
      </c>
      <c r="X60" s="12">
        <v>1</v>
      </c>
      <c r="Y60" s="12" t="b">
        <v>0</v>
      </c>
      <c r="Z60" s="12" t="b">
        <v>0</v>
      </c>
      <c r="AA60" s="12" t="b">
        <v>1</v>
      </c>
      <c r="AB60" s="12" t="b">
        <v>1</v>
      </c>
      <c r="AC60" s="12" t="b">
        <v>1</v>
      </c>
      <c r="AD60" s="12" t="b">
        <v>1</v>
      </c>
      <c r="AE60" s="12" t="b">
        <v>0</v>
      </c>
      <c r="AF60" s="12" t="b">
        <v>0</v>
      </c>
      <c r="AG60" s="12" t="b">
        <v>0</v>
      </c>
      <c r="AH60" s="12">
        <v>0</v>
      </c>
      <c r="AI60" s="12" t="b">
        <v>0</v>
      </c>
      <c r="AJ60" s="12" t="b">
        <v>0</v>
      </c>
      <c r="AK60" s="12" t="b">
        <v>1</v>
      </c>
      <c r="AL60" s="12">
        <v>1</v>
      </c>
      <c r="AM60" s="12" t="s">
        <v>900</v>
      </c>
      <c r="AN60" s="12">
        <v>1</v>
      </c>
    </row>
    <row r="61" spans="1:40" ht="15.6" customHeight="1" x14ac:dyDescent="0.3">
      <c r="A61" s="62" t="s">
        <v>1548</v>
      </c>
      <c r="B61" s="62"/>
      <c r="C61" s="63" t="s">
        <v>1939</v>
      </c>
      <c r="D61" s="63" t="s">
        <v>1630</v>
      </c>
      <c r="E61" s="21" t="s">
        <v>1758</v>
      </c>
      <c r="F61" s="12" t="s">
        <v>1584</v>
      </c>
      <c r="G61" s="12" t="b">
        <v>0</v>
      </c>
      <c r="H61" s="12" t="b">
        <v>1</v>
      </c>
      <c r="I61" s="12" t="b">
        <v>1</v>
      </c>
      <c r="J61" s="12" t="b">
        <v>1</v>
      </c>
      <c r="K61" s="12" t="b">
        <v>0</v>
      </c>
      <c r="L61" s="12" t="b">
        <v>0</v>
      </c>
      <c r="M61" s="12" t="b">
        <v>0</v>
      </c>
      <c r="N61" s="12">
        <v>0</v>
      </c>
      <c r="O61" s="12" t="b">
        <v>0</v>
      </c>
      <c r="P61" s="12" t="b">
        <v>0</v>
      </c>
      <c r="Q61" s="12" t="b">
        <v>0</v>
      </c>
      <c r="R61" s="12" t="b">
        <v>0</v>
      </c>
      <c r="S61" s="12" t="b">
        <v>0</v>
      </c>
      <c r="T61" s="12" t="b">
        <v>1</v>
      </c>
      <c r="U61" s="12" t="b">
        <v>0</v>
      </c>
      <c r="V61" s="12" t="b">
        <v>1</v>
      </c>
      <c r="W61" s="12" t="b">
        <v>0</v>
      </c>
      <c r="X61" s="12">
        <v>1</v>
      </c>
      <c r="Y61" s="12" t="b">
        <v>0</v>
      </c>
      <c r="Z61" s="12" t="b">
        <v>0</v>
      </c>
      <c r="AA61" s="12" t="b">
        <v>1</v>
      </c>
      <c r="AB61" s="12" t="b">
        <v>1</v>
      </c>
      <c r="AC61" s="12" t="b">
        <v>1</v>
      </c>
      <c r="AD61" s="12" t="b">
        <v>1</v>
      </c>
      <c r="AE61" s="12" t="b">
        <v>0</v>
      </c>
      <c r="AF61" s="12" t="b">
        <v>0</v>
      </c>
      <c r="AG61" s="12" t="b">
        <v>0</v>
      </c>
      <c r="AH61" s="12">
        <v>0</v>
      </c>
      <c r="AI61" s="12" t="b">
        <v>0</v>
      </c>
      <c r="AJ61" s="12" t="b">
        <v>0</v>
      </c>
      <c r="AK61" s="12" t="b">
        <v>1</v>
      </c>
      <c r="AL61" s="12">
        <v>1</v>
      </c>
      <c r="AM61" s="12" t="s">
        <v>900</v>
      </c>
      <c r="AN61" s="12">
        <v>1</v>
      </c>
    </row>
    <row r="62" spans="1:40" ht="15.6" customHeight="1" x14ac:dyDescent="0.3">
      <c r="A62" s="62" t="s">
        <v>1548</v>
      </c>
      <c r="B62" s="62"/>
      <c r="C62" s="63" t="s">
        <v>1464</v>
      </c>
      <c r="D62" s="52" t="s">
        <v>1481</v>
      </c>
      <c r="E62" s="21" t="s">
        <v>1759</v>
      </c>
      <c r="F62" s="12" t="s">
        <v>1582</v>
      </c>
      <c r="G62" s="12" t="b">
        <v>0</v>
      </c>
      <c r="H62" s="12" t="b">
        <v>1</v>
      </c>
      <c r="I62" s="12" t="b">
        <v>1</v>
      </c>
      <c r="J62" s="12" t="b">
        <v>1</v>
      </c>
      <c r="K62" s="12" t="b">
        <v>0</v>
      </c>
      <c r="L62" s="12" t="b">
        <v>0</v>
      </c>
      <c r="M62" s="12" t="b">
        <v>0</v>
      </c>
      <c r="N62" s="12">
        <v>0</v>
      </c>
      <c r="O62" s="12" t="b">
        <v>0</v>
      </c>
      <c r="P62" s="12" t="b">
        <v>0</v>
      </c>
      <c r="Q62" s="12" t="b">
        <v>0</v>
      </c>
      <c r="R62" s="12" t="b">
        <v>0</v>
      </c>
      <c r="S62" s="12" t="b">
        <v>0</v>
      </c>
      <c r="T62" s="12" t="b">
        <v>1</v>
      </c>
      <c r="U62" s="12" t="b">
        <v>0</v>
      </c>
      <c r="V62" s="12" t="b">
        <v>1</v>
      </c>
      <c r="W62" s="12" t="b">
        <v>0</v>
      </c>
      <c r="X62" s="12">
        <v>1</v>
      </c>
      <c r="Y62" s="12" t="b">
        <v>0</v>
      </c>
      <c r="Z62" s="12" t="b">
        <v>0</v>
      </c>
      <c r="AA62" s="12" t="b">
        <v>1</v>
      </c>
      <c r="AB62" s="12" t="b">
        <v>1</v>
      </c>
      <c r="AC62" s="12" t="b">
        <v>1</v>
      </c>
      <c r="AD62" s="12" t="b">
        <v>1</v>
      </c>
      <c r="AE62" s="12" t="b">
        <v>0</v>
      </c>
      <c r="AF62" s="12" t="b">
        <v>0</v>
      </c>
      <c r="AG62" s="12" t="b">
        <v>0</v>
      </c>
      <c r="AH62" s="12">
        <v>0</v>
      </c>
      <c r="AI62" s="12" t="b">
        <v>0</v>
      </c>
      <c r="AJ62" s="12" t="b">
        <v>0</v>
      </c>
      <c r="AK62" s="12" t="b">
        <v>1</v>
      </c>
      <c r="AL62" s="12">
        <v>1</v>
      </c>
      <c r="AM62" s="12" t="s">
        <v>900</v>
      </c>
      <c r="AN62" s="12">
        <v>1</v>
      </c>
    </row>
    <row r="63" spans="1:40" ht="15.6" customHeight="1" x14ac:dyDescent="0.3">
      <c r="A63" s="62" t="s">
        <v>1548</v>
      </c>
      <c r="B63" s="62"/>
      <c r="C63" s="63" t="s">
        <v>1466</v>
      </c>
      <c r="D63" s="52" t="s">
        <v>1481</v>
      </c>
      <c r="E63" s="21" t="s">
        <v>1759</v>
      </c>
      <c r="F63" s="12" t="s">
        <v>1582</v>
      </c>
      <c r="G63" s="12" t="b">
        <v>0</v>
      </c>
      <c r="H63" s="12" t="b">
        <v>1</v>
      </c>
      <c r="I63" s="12" t="b">
        <v>1</v>
      </c>
      <c r="J63" s="12" t="b">
        <v>1</v>
      </c>
      <c r="K63" s="12" t="b">
        <v>0</v>
      </c>
      <c r="L63" s="12" t="b">
        <v>0</v>
      </c>
      <c r="M63" s="12" t="b">
        <v>0</v>
      </c>
      <c r="N63" s="12">
        <v>0</v>
      </c>
      <c r="O63" s="12" t="b">
        <v>0</v>
      </c>
      <c r="P63" s="12" t="b">
        <v>0</v>
      </c>
      <c r="Q63" s="12" t="b">
        <v>0</v>
      </c>
      <c r="R63" s="12" t="b">
        <v>0</v>
      </c>
      <c r="S63" s="12" t="b">
        <v>0</v>
      </c>
      <c r="T63" s="12" t="b">
        <v>1</v>
      </c>
      <c r="U63" s="12" t="b">
        <v>0</v>
      </c>
      <c r="V63" s="12" t="b">
        <v>1</v>
      </c>
      <c r="W63" s="12" t="b">
        <v>0</v>
      </c>
      <c r="X63" s="12">
        <v>1</v>
      </c>
      <c r="Y63" s="12" t="b">
        <v>0</v>
      </c>
      <c r="Z63" s="12" t="b">
        <v>0</v>
      </c>
      <c r="AA63" s="12" t="b">
        <v>1</v>
      </c>
      <c r="AB63" s="12" t="b">
        <v>1</v>
      </c>
      <c r="AC63" s="12" t="b">
        <v>1</v>
      </c>
      <c r="AD63" s="12" t="b">
        <v>1</v>
      </c>
      <c r="AE63" s="12" t="b">
        <v>0</v>
      </c>
      <c r="AF63" s="12" t="b">
        <v>0</v>
      </c>
      <c r="AG63" s="12" t="b">
        <v>0</v>
      </c>
      <c r="AH63" s="12">
        <v>0</v>
      </c>
      <c r="AI63" s="12" t="b">
        <v>0</v>
      </c>
      <c r="AJ63" s="12" t="b">
        <v>0</v>
      </c>
      <c r="AK63" s="12" t="b">
        <v>1</v>
      </c>
      <c r="AL63" s="12">
        <v>1</v>
      </c>
      <c r="AM63" s="12" t="s">
        <v>900</v>
      </c>
      <c r="AN63" s="12">
        <v>1</v>
      </c>
    </row>
    <row r="64" spans="1:40" x14ac:dyDescent="0.3">
      <c r="A64" s="62" t="s">
        <v>1548</v>
      </c>
      <c r="B64" s="62"/>
      <c r="C64" s="63" t="s">
        <v>1467</v>
      </c>
      <c r="D64" s="52" t="s">
        <v>1481</v>
      </c>
      <c r="E64" s="21" t="s">
        <v>1759</v>
      </c>
      <c r="F64" s="12" t="s">
        <v>1582</v>
      </c>
      <c r="G64" s="12" t="b">
        <v>0</v>
      </c>
      <c r="H64" s="12" t="b">
        <v>1</v>
      </c>
      <c r="I64" s="12" t="b">
        <v>1</v>
      </c>
      <c r="J64" s="12" t="b">
        <v>1</v>
      </c>
      <c r="K64" s="12" t="b">
        <v>0</v>
      </c>
      <c r="L64" s="12" t="b">
        <v>0</v>
      </c>
      <c r="M64" s="12" t="b">
        <v>0</v>
      </c>
      <c r="N64" s="12">
        <v>0</v>
      </c>
      <c r="O64" s="12" t="b">
        <v>0</v>
      </c>
      <c r="P64" s="12" t="b">
        <v>0</v>
      </c>
      <c r="Q64" s="12" t="b">
        <v>0</v>
      </c>
      <c r="R64" s="12" t="b">
        <v>0</v>
      </c>
      <c r="S64" s="12" t="b">
        <v>0</v>
      </c>
      <c r="T64" s="12" t="b">
        <v>1</v>
      </c>
      <c r="U64" s="12" t="b">
        <v>0</v>
      </c>
      <c r="V64" s="12" t="b">
        <v>1</v>
      </c>
      <c r="W64" s="12" t="b">
        <v>0</v>
      </c>
      <c r="X64" s="12">
        <v>1</v>
      </c>
      <c r="Y64" s="12" t="b">
        <v>0</v>
      </c>
      <c r="Z64" s="12" t="b">
        <v>0</v>
      </c>
      <c r="AA64" s="12" t="b">
        <v>1</v>
      </c>
      <c r="AB64" s="12" t="b">
        <v>1</v>
      </c>
      <c r="AC64" s="12" t="b">
        <v>1</v>
      </c>
      <c r="AD64" s="12" t="b">
        <v>1</v>
      </c>
      <c r="AE64" s="12" t="b">
        <v>0</v>
      </c>
      <c r="AF64" s="12" t="b">
        <v>0</v>
      </c>
      <c r="AG64" s="12" t="b">
        <v>0</v>
      </c>
      <c r="AH64" s="12">
        <v>0</v>
      </c>
      <c r="AI64" s="12" t="b">
        <v>0</v>
      </c>
      <c r="AJ64" s="12" t="b">
        <v>0</v>
      </c>
      <c r="AK64" s="12" t="b">
        <v>1</v>
      </c>
      <c r="AL64" s="12">
        <v>1</v>
      </c>
      <c r="AM64" s="12" t="s">
        <v>900</v>
      </c>
      <c r="AN64" s="12">
        <v>1</v>
      </c>
    </row>
    <row r="65" spans="1:40" x14ac:dyDescent="0.3">
      <c r="A65" s="62" t="s">
        <v>1548</v>
      </c>
      <c r="B65" s="62"/>
      <c r="C65" s="63" t="s">
        <v>1468</v>
      </c>
      <c r="D65" s="52" t="s">
        <v>1481</v>
      </c>
      <c r="E65" s="21" t="s">
        <v>1759</v>
      </c>
      <c r="F65" s="12" t="s">
        <v>1582</v>
      </c>
      <c r="G65" s="12" t="b">
        <v>0</v>
      </c>
      <c r="H65" s="12" t="b">
        <v>1</v>
      </c>
      <c r="I65" s="12" t="b">
        <v>1</v>
      </c>
      <c r="J65" s="12" t="b">
        <v>1</v>
      </c>
      <c r="K65" s="12" t="b">
        <v>0</v>
      </c>
      <c r="L65" s="12" t="b">
        <v>0</v>
      </c>
      <c r="M65" s="12" t="b">
        <v>0</v>
      </c>
      <c r="N65" s="12">
        <v>0</v>
      </c>
      <c r="O65" s="12" t="b">
        <v>0</v>
      </c>
      <c r="P65" s="12" t="b">
        <v>0</v>
      </c>
      <c r="Q65" s="12" t="b">
        <v>0</v>
      </c>
      <c r="R65" s="12" t="b">
        <v>0</v>
      </c>
      <c r="S65" s="12" t="b">
        <v>0</v>
      </c>
      <c r="T65" s="12" t="b">
        <v>1</v>
      </c>
      <c r="U65" s="12" t="b">
        <v>0</v>
      </c>
      <c r="V65" s="12" t="b">
        <v>1</v>
      </c>
      <c r="W65" s="12" t="b">
        <v>0</v>
      </c>
      <c r="X65" s="12">
        <v>1</v>
      </c>
      <c r="Y65" s="12" t="b">
        <v>0</v>
      </c>
      <c r="Z65" s="12" t="b">
        <v>0</v>
      </c>
      <c r="AA65" s="12" t="b">
        <v>1</v>
      </c>
      <c r="AB65" s="12" t="b">
        <v>1</v>
      </c>
      <c r="AC65" s="12" t="b">
        <v>1</v>
      </c>
      <c r="AD65" s="12" t="b">
        <v>1</v>
      </c>
      <c r="AE65" s="12" t="b">
        <v>0</v>
      </c>
      <c r="AF65" s="12" t="b">
        <v>0</v>
      </c>
      <c r="AG65" s="12" t="b">
        <v>0</v>
      </c>
      <c r="AH65" s="12">
        <v>0</v>
      </c>
      <c r="AI65" s="12" t="b">
        <v>0</v>
      </c>
      <c r="AJ65" s="12" t="b">
        <v>0</v>
      </c>
      <c r="AK65" s="12" t="b">
        <v>1</v>
      </c>
      <c r="AL65" s="12">
        <v>1</v>
      </c>
      <c r="AM65" s="12" t="s">
        <v>900</v>
      </c>
      <c r="AN65" s="12">
        <v>1</v>
      </c>
    </row>
    <row r="66" spans="1:40" x14ac:dyDescent="0.3">
      <c r="A66" s="62" t="s">
        <v>1548</v>
      </c>
      <c r="B66" s="62"/>
      <c r="C66" s="63" t="s">
        <v>1469</v>
      </c>
      <c r="D66" s="52" t="s">
        <v>1481</v>
      </c>
      <c r="E66" s="21" t="s">
        <v>1759</v>
      </c>
      <c r="F66" s="12" t="s">
        <v>1582</v>
      </c>
      <c r="G66" s="12" t="b">
        <v>0</v>
      </c>
      <c r="H66" s="12" t="b">
        <v>1</v>
      </c>
      <c r="I66" s="12" t="b">
        <v>1</v>
      </c>
      <c r="J66" s="12" t="b">
        <v>1</v>
      </c>
      <c r="K66" s="12" t="b">
        <v>0</v>
      </c>
      <c r="L66" s="12" t="b">
        <v>0</v>
      </c>
      <c r="M66" s="12" t="b">
        <v>0</v>
      </c>
      <c r="N66" s="12">
        <v>0</v>
      </c>
      <c r="O66" s="12" t="b">
        <v>0</v>
      </c>
      <c r="P66" s="12" t="b">
        <v>0</v>
      </c>
      <c r="Q66" s="12" t="b">
        <v>0</v>
      </c>
      <c r="R66" s="12" t="b">
        <v>0</v>
      </c>
      <c r="S66" s="12" t="b">
        <v>0</v>
      </c>
      <c r="T66" s="12" t="b">
        <v>1</v>
      </c>
      <c r="U66" s="12" t="b">
        <v>0</v>
      </c>
      <c r="V66" s="12" t="b">
        <v>1</v>
      </c>
      <c r="W66" s="12" t="b">
        <v>0</v>
      </c>
      <c r="X66" s="12">
        <v>1</v>
      </c>
      <c r="Y66" s="12" t="b">
        <v>0</v>
      </c>
      <c r="Z66" s="12" t="b">
        <v>0</v>
      </c>
      <c r="AA66" s="12" t="b">
        <v>1</v>
      </c>
      <c r="AB66" s="12" t="b">
        <v>1</v>
      </c>
      <c r="AC66" s="12" t="b">
        <v>1</v>
      </c>
      <c r="AD66" s="12" t="b">
        <v>1</v>
      </c>
      <c r="AE66" s="12" t="b">
        <v>0</v>
      </c>
      <c r="AF66" s="12" t="b">
        <v>0</v>
      </c>
      <c r="AG66" s="12" t="b">
        <v>0</v>
      </c>
      <c r="AH66" s="12">
        <v>0</v>
      </c>
      <c r="AI66" s="12" t="b">
        <v>0</v>
      </c>
      <c r="AJ66" s="12" t="b">
        <v>0</v>
      </c>
      <c r="AK66" s="12" t="b">
        <v>1</v>
      </c>
      <c r="AL66" s="12">
        <v>1</v>
      </c>
      <c r="AM66" s="12" t="s">
        <v>900</v>
      </c>
      <c r="AN66" s="12">
        <v>1</v>
      </c>
    </row>
    <row r="67" spans="1:40" x14ac:dyDescent="0.3">
      <c r="A67" s="62" t="s">
        <v>1548</v>
      </c>
      <c r="B67" s="62"/>
      <c r="C67" s="63" t="s">
        <v>1470</v>
      </c>
      <c r="D67" s="52" t="s">
        <v>1481</v>
      </c>
      <c r="E67" s="21" t="s">
        <v>1759</v>
      </c>
      <c r="F67" s="12" t="s">
        <v>1582</v>
      </c>
      <c r="G67" s="12" t="b">
        <v>0</v>
      </c>
      <c r="H67" s="12" t="b">
        <v>1</v>
      </c>
      <c r="I67" s="12" t="b">
        <v>1</v>
      </c>
      <c r="J67" s="12" t="b">
        <v>1</v>
      </c>
      <c r="K67" s="12" t="b">
        <v>0</v>
      </c>
      <c r="L67" s="12" t="b">
        <v>0</v>
      </c>
      <c r="M67" s="12" t="b">
        <v>0</v>
      </c>
      <c r="N67" s="12">
        <v>0</v>
      </c>
      <c r="O67" s="12" t="b">
        <v>0</v>
      </c>
      <c r="P67" s="12" t="b">
        <v>0</v>
      </c>
      <c r="Q67" s="12" t="b">
        <v>0</v>
      </c>
      <c r="R67" s="12" t="b">
        <v>0</v>
      </c>
      <c r="S67" s="12" t="b">
        <v>0</v>
      </c>
      <c r="T67" s="12" t="b">
        <v>1</v>
      </c>
      <c r="U67" s="12" t="b">
        <v>0</v>
      </c>
      <c r="V67" s="12" t="b">
        <v>1</v>
      </c>
      <c r="W67" s="12" t="b">
        <v>0</v>
      </c>
      <c r="X67" s="12">
        <v>1</v>
      </c>
      <c r="Y67" s="12" t="b">
        <v>0</v>
      </c>
      <c r="Z67" s="12" t="b">
        <v>0</v>
      </c>
      <c r="AA67" s="12" t="b">
        <v>1</v>
      </c>
      <c r="AB67" s="12" t="b">
        <v>1</v>
      </c>
      <c r="AC67" s="12" t="b">
        <v>1</v>
      </c>
      <c r="AD67" s="12" t="b">
        <v>1</v>
      </c>
      <c r="AE67" s="12" t="b">
        <v>0</v>
      </c>
      <c r="AF67" s="12" t="b">
        <v>0</v>
      </c>
      <c r="AG67" s="12" t="b">
        <v>0</v>
      </c>
      <c r="AH67" s="12">
        <v>0</v>
      </c>
      <c r="AI67" s="12" t="b">
        <v>0</v>
      </c>
      <c r="AJ67" s="12" t="b">
        <v>0</v>
      </c>
      <c r="AK67" s="12" t="b">
        <v>1</v>
      </c>
      <c r="AL67" s="12">
        <v>1</v>
      </c>
      <c r="AM67" s="12" t="s">
        <v>900</v>
      </c>
      <c r="AN67" s="12">
        <v>1</v>
      </c>
    </row>
    <row r="68" spans="1:40" ht="15.6" customHeight="1" x14ac:dyDescent="0.3">
      <c r="A68" s="62" t="s">
        <v>1548</v>
      </c>
      <c r="B68" s="62"/>
      <c r="C68" s="63" t="s">
        <v>1934</v>
      </c>
      <c r="D68" s="63" t="s">
        <v>1481</v>
      </c>
      <c r="E68" s="21" t="s">
        <v>1759</v>
      </c>
      <c r="F68" s="12" t="s">
        <v>1582</v>
      </c>
      <c r="G68" s="12" t="b">
        <v>0</v>
      </c>
      <c r="H68" s="12" t="b">
        <v>1</v>
      </c>
      <c r="I68" s="12" t="b">
        <v>1</v>
      </c>
      <c r="J68" s="12" t="b">
        <v>1</v>
      </c>
      <c r="K68" s="12" t="b">
        <v>0</v>
      </c>
      <c r="L68" s="12" t="b">
        <v>0</v>
      </c>
      <c r="M68" s="12" t="b">
        <v>0</v>
      </c>
      <c r="N68" s="12">
        <v>0</v>
      </c>
      <c r="O68" s="12" t="b">
        <v>0</v>
      </c>
      <c r="P68" s="12" t="b">
        <v>0</v>
      </c>
      <c r="Q68" s="12" t="b">
        <v>0</v>
      </c>
      <c r="R68" s="12" t="b">
        <v>0</v>
      </c>
      <c r="S68" s="12" t="b">
        <v>0</v>
      </c>
      <c r="T68" s="12" t="b">
        <v>1</v>
      </c>
      <c r="U68" s="12" t="b">
        <v>0</v>
      </c>
      <c r="V68" s="12" t="b">
        <v>1</v>
      </c>
      <c r="W68" s="12" t="b">
        <v>0</v>
      </c>
      <c r="X68" s="12">
        <v>1</v>
      </c>
      <c r="Y68" s="12" t="b">
        <v>0</v>
      </c>
      <c r="Z68" s="12" t="b">
        <v>0</v>
      </c>
      <c r="AA68" s="12" t="b">
        <v>1</v>
      </c>
      <c r="AB68" s="12" t="b">
        <v>1</v>
      </c>
      <c r="AC68" s="12" t="b">
        <v>1</v>
      </c>
      <c r="AD68" s="12" t="b">
        <v>1</v>
      </c>
      <c r="AE68" s="12" t="b">
        <v>0</v>
      </c>
      <c r="AF68" s="12" t="b">
        <v>0</v>
      </c>
      <c r="AG68" s="12" t="b">
        <v>0</v>
      </c>
      <c r="AH68" s="12">
        <v>0</v>
      </c>
      <c r="AI68" s="12" t="b">
        <v>0</v>
      </c>
      <c r="AJ68" s="12" t="b">
        <v>0</v>
      </c>
      <c r="AK68" s="12" t="b">
        <v>1</v>
      </c>
      <c r="AL68" s="12">
        <v>1</v>
      </c>
      <c r="AM68" s="12" t="s">
        <v>900</v>
      </c>
      <c r="AN68" s="12">
        <v>1</v>
      </c>
    </row>
    <row r="69" spans="1:40" ht="15.6" customHeight="1" x14ac:dyDescent="0.3">
      <c r="A69" s="62" t="s">
        <v>1548</v>
      </c>
      <c r="B69" s="62"/>
      <c r="C69" s="63" t="s">
        <v>1935</v>
      </c>
      <c r="D69" s="63" t="s">
        <v>1481</v>
      </c>
      <c r="E69" s="21" t="s">
        <v>1759</v>
      </c>
      <c r="F69" s="12" t="s">
        <v>1582</v>
      </c>
      <c r="G69" s="12" t="b">
        <v>0</v>
      </c>
      <c r="H69" s="12" t="b">
        <v>1</v>
      </c>
      <c r="I69" s="12" t="b">
        <v>1</v>
      </c>
      <c r="J69" s="12" t="b">
        <v>1</v>
      </c>
      <c r="K69" s="12" t="b">
        <v>0</v>
      </c>
      <c r="L69" s="12" t="b">
        <v>0</v>
      </c>
      <c r="M69" s="12" t="b">
        <v>0</v>
      </c>
      <c r="N69" s="12">
        <v>0</v>
      </c>
      <c r="O69" s="12" t="b">
        <v>0</v>
      </c>
      <c r="P69" s="12" t="b">
        <v>0</v>
      </c>
      <c r="Q69" s="12" t="b">
        <v>0</v>
      </c>
      <c r="R69" s="12" t="b">
        <v>0</v>
      </c>
      <c r="S69" s="12" t="b">
        <v>0</v>
      </c>
      <c r="T69" s="12" t="b">
        <v>1</v>
      </c>
      <c r="U69" s="12" t="b">
        <v>0</v>
      </c>
      <c r="V69" s="12" t="b">
        <v>1</v>
      </c>
      <c r="W69" s="12" t="b">
        <v>0</v>
      </c>
      <c r="X69" s="12">
        <v>1</v>
      </c>
      <c r="Y69" s="12" t="b">
        <v>0</v>
      </c>
      <c r="Z69" s="12" t="b">
        <v>0</v>
      </c>
      <c r="AA69" s="12" t="b">
        <v>1</v>
      </c>
      <c r="AB69" s="12" t="b">
        <v>1</v>
      </c>
      <c r="AC69" s="12" t="b">
        <v>1</v>
      </c>
      <c r="AD69" s="12" t="b">
        <v>1</v>
      </c>
      <c r="AE69" s="12" t="b">
        <v>0</v>
      </c>
      <c r="AF69" s="12" t="b">
        <v>0</v>
      </c>
      <c r="AG69" s="12" t="b">
        <v>0</v>
      </c>
      <c r="AH69" s="12">
        <v>0</v>
      </c>
      <c r="AI69" s="12" t="b">
        <v>0</v>
      </c>
      <c r="AJ69" s="12" t="b">
        <v>0</v>
      </c>
      <c r="AK69" s="12" t="b">
        <v>1</v>
      </c>
      <c r="AL69" s="12">
        <v>1</v>
      </c>
      <c r="AM69" s="12" t="s">
        <v>900</v>
      </c>
      <c r="AN69" s="12">
        <v>1</v>
      </c>
    </row>
    <row r="70" spans="1:40" x14ac:dyDescent="0.3">
      <c r="A70" s="62" t="s">
        <v>1548</v>
      </c>
      <c r="B70" s="62"/>
      <c r="C70" s="63" t="s">
        <v>1936</v>
      </c>
      <c r="D70" s="63" t="s">
        <v>1481</v>
      </c>
      <c r="E70" s="21" t="s">
        <v>1759</v>
      </c>
      <c r="F70" s="12" t="s">
        <v>1582</v>
      </c>
      <c r="G70" s="12" t="b">
        <v>0</v>
      </c>
      <c r="H70" s="12" t="b">
        <v>1</v>
      </c>
      <c r="I70" s="12" t="b">
        <v>1</v>
      </c>
      <c r="J70" s="12" t="b">
        <v>1</v>
      </c>
      <c r="K70" s="12" t="b">
        <v>0</v>
      </c>
      <c r="L70" s="12" t="b">
        <v>0</v>
      </c>
      <c r="M70" s="12" t="b">
        <v>0</v>
      </c>
      <c r="N70" s="12">
        <v>0</v>
      </c>
      <c r="O70" s="12" t="b">
        <v>0</v>
      </c>
      <c r="P70" s="12" t="b">
        <v>0</v>
      </c>
      <c r="Q70" s="12" t="b">
        <v>0</v>
      </c>
      <c r="R70" s="12" t="b">
        <v>0</v>
      </c>
      <c r="S70" s="12" t="b">
        <v>0</v>
      </c>
      <c r="T70" s="12" t="b">
        <v>1</v>
      </c>
      <c r="U70" s="12" t="b">
        <v>0</v>
      </c>
      <c r="V70" s="12" t="b">
        <v>1</v>
      </c>
      <c r="W70" s="12" t="b">
        <v>0</v>
      </c>
      <c r="X70" s="12">
        <v>1</v>
      </c>
      <c r="Y70" s="12" t="b">
        <v>0</v>
      </c>
      <c r="Z70" s="12" t="b">
        <v>0</v>
      </c>
      <c r="AA70" s="12" t="b">
        <v>1</v>
      </c>
      <c r="AB70" s="12" t="b">
        <v>1</v>
      </c>
      <c r="AC70" s="12" t="b">
        <v>1</v>
      </c>
      <c r="AD70" s="12" t="b">
        <v>1</v>
      </c>
      <c r="AE70" s="12" t="b">
        <v>0</v>
      </c>
      <c r="AF70" s="12" t="b">
        <v>0</v>
      </c>
      <c r="AG70" s="12" t="b">
        <v>0</v>
      </c>
      <c r="AH70" s="12">
        <v>0</v>
      </c>
      <c r="AI70" s="12" t="b">
        <v>0</v>
      </c>
      <c r="AJ70" s="12" t="b">
        <v>0</v>
      </c>
      <c r="AK70" s="12" t="b">
        <v>1</v>
      </c>
      <c r="AL70" s="12">
        <v>1</v>
      </c>
      <c r="AM70" s="12" t="s">
        <v>900</v>
      </c>
      <c r="AN70" s="12">
        <v>1</v>
      </c>
    </row>
    <row r="71" spans="1:40" x14ac:dyDescent="0.3">
      <c r="A71" s="62" t="s">
        <v>1548</v>
      </c>
      <c r="B71" s="62"/>
      <c r="C71" s="63" t="s">
        <v>1937</v>
      </c>
      <c r="D71" s="63" t="s">
        <v>1481</v>
      </c>
      <c r="E71" s="21" t="s">
        <v>1759</v>
      </c>
      <c r="F71" s="12" t="s">
        <v>1582</v>
      </c>
      <c r="G71" s="12" t="b">
        <v>0</v>
      </c>
      <c r="H71" s="12" t="b">
        <v>1</v>
      </c>
      <c r="I71" s="12" t="b">
        <v>1</v>
      </c>
      <c r="J71" s="12" t="b">
        <v>1</v>
      </c>
      <c r="K71" s="12" t="b">
        <v>0</v>
      </c>
      <c r="L71" s="12" t="b">
        <v>0</v>
      </c>
      <c r="M71" s="12" t="b">
        <v>0</v>
      </c>
      <c r="N71" s="12">
        <v>0</v>
      </c>
      <c r="O71" s="12" t="b">
        <v>0</v>
      </c>
      <c r="P71" s="12" t="b">
        <v>0</v>
      </c>
      <c r="Q71" s="12" t="b">
        <v>0</v>
      </c>
      <c r="R71" s="12" t="b">
        <v>0</v>
      </c>
      <c r="S71" s="12" t="b">
        <v>0</v>
      </c>
      <c r="T71" s="12" t="b">
        <v>1</v>
      </c>
      <c r="U71" s="12" t="b">
        <v>0</v>
      </c>
      <c r="V71" s="12" t="b">
        <v>1</v>
      </c>
      <c r="W71" s="12" t="b">
        <v>0</v>
      </c>
      <c r="X71" s="12">
        <v>1</v>
      </c>
      <c r="Y71" s="12" t="b">
        <v>0</v>
      </c>
      <c r="Z71" s="12" t="b">
        <v>0</v>
      </c>
      <c r="AA71" s="12" t="b">
        <v>1</v>
      </c>
      <c r="AB71" s="12" t="b">
        <v>1</v>
      </c>
      <c r="AC71" s="12" t="b">
        <v>1</v>
      </c>
      <c r="AD71" s="12" t="b">
        <v>1</v>
      </c>
      <c r="AE71" s="12" t="b">
        <v>0</v>
      </c>
      <c r="AF71" s="12" t="b">
        <v>0</v>
      </c>
      <c r="AG71" s="12" t="b">
        <v>0</v>
      </c>
      <c r="AH71" s="12">
        <v>0</v>
      </c>
      <c r="AI71" s="12" t="b">
        <v>0</v>
      </c>
      <c r="AJ71" s="12" t="b">
        <v>0</v>
      </c>
      <c r="AK71" s="12" t="b">
        <v>1</v>
      </c>
      <c r="AL71" s="12">
        <v>1</v>
      </c>
      <c r="AM71" s="12" t="s">
        <v>900</v>
      </c>
      <c r="AN71" s="12">
        <v>1</v>
      </c>
    </row>
    <row r="72" spans="1:40" x14ac:dyDescent="0.3">
      <c r="A72" s="62" t="s">
        <v>1548</v>
      </c>
      <c r="B72" s="62"/>
      <c r="C72" s="63" t="s">
        <v>1938</v>
      </c>
      <c r="D72" s="63" t="s">
        <v>1481</v>
      </c>
      <c r="E72" s="21" t="s">
        <v>1759</v>
      </c>
      <c r="F72" s="12" t="s">
        <v>1582</v>
      </c>
      <c r="G72" s="12" t="b">
        <v>0</v>
      </c>
      <c r="H72" s="12" t="b">
        <v>1</v>
      </c>
      <c r="I72" s="12" t="b">
        <v>1</v>
      </c>
      <c r="J72" s="12" t="b">
        <v>1</v>
      </c>
      <c r="K72" s="12" t="b">
        <v>0</v>
      </c>
      <c r="L72" s="12" t="b">
        <v>0</v>
      </c>
      <c r="M72" s="12" t="b">
        <v>0</v>
      </c>
      <c r="N72" s="12">
        <v>0</v>
      </c>
      <c r="O72" s="12" t="b">
        <v>0</v>
      </c>
      <c r="P72" s="12" t="b">
        <v>0</v>
      </c>
      <c r="Q72" s="12" t="b">
        <v>0</v>
      </c>
      <c r="R72" s="12" t="b">
        <v>0</v>
      </c>
      <c r="S72" s="12" t="b">
        <v>0</v>
      </c>
      <c r="T72" s="12" t="b">
        <v>1</v>
      </c>
      <c r="U72" s="12" t="b">
        <v>0</v>
      </c>
      <c r="V72" s="12" t="b">
        <v>1</v>
      </c>
      <c r="W72" s="12" t="b">
        <v>0</v>
      </c>
      <c r="X72" s="12">
        <v>1</v>
      </c>
      <c r="Y72" s="12" t="b">
        <v>0</v>
      </c>
      <c r="Z72" s="12" t="b">
        <v>0</v>
      </c>
      <c r="AA72" s="12" t="b">
        <v>1</v>
      </c>
      <c r="AB72" s="12" t="b">
        <v>1</v>
      </c>
      <c r="AC72" s="12" t="b">
        <v>1</v>
      </c>
      <c r="AD72" s="12" t="b">
        <v>1</v>
      </c>
      <c r="AE72" s="12" t="b">
        <v>0</v>
      </c>
      <c r="AF72" s="12" t="b">
        <v>0</v>
      </c>
      <c r="AG72" s="12" t="b">
        <v>0</v>
      </c>
      <c r="AH72" s="12">
        <v>0</v>
      </c>
      <c r="AI72" s="12" t="b">
        <v>0</v>
      </c>
      <c r="AJ72" s="12" t="b">
        <v>0</v>
      </c>
      <c r="AK72" s="12" t="b">
        <v>1</v>
      </c>
      <c r="AL72" s="12">
        <v>1</v>
      </c>
      <c r="AM72" s="12" t="s">
        <v>900</v>
      </c>
      <c r="AN72" s="12">
        <v>1</v>
      </c>
    </row>
    <row r="73" spans="1:40" x14ac:dyDescent="0.3">
      <c r="A73" s="62" t="s">
        <v>1548</v>
      </c>
      <c r="B73" s="62"/>
      <c r="C73" s="63" t="s">
        <v>1939</v>
      </c>
      <c r="D73" s="63" t="s">
        <v>1481</v>
      </c>
      <c r="E73" s="21" t="s">
        <v>1759</v>
      </c>
      <c r="F73" s="12" t="s">
        <v>1582</v>
      </c>
      <c r="G73" s="12" t="b">
        <v>0</v>
      </c>
      <c r="H73" s="12" t="b">
        <v>1</v>
      </c>
      <c r="I73" s="12" t="b">
        <v>1</v>
      </c>
      <c r="J73" s="12" t="b">
        <v>1</v>
      </c>
      <c r="K73" s="12" t="b">
        <v>0</v>
      </c>
      <c r="L73" s="12" t="b">
        <v>0</v>
      </c>
      <c r="M73" s="12" t="b">
        <v>0</v>
      </c>
      <c r="N73" s="12">
        <v>0</v>
      </c>
      <c r="O73" s="12" t="b">
        <v>0</v>
      </c>
      <c r="P73" s="12" t="b">
        <v>0</v>
      </c>
      <c r="Q73" s="12" t="b">
        <v>0</v>
      </c>
      <c r="R73" s="12" t="b">
        <v>0</v>
      </c>
      <c r="S73" s="12" t="b">
        <v>0</v>
      </c>
      <c r="T73" s="12" t="b">
        <v>1</v>
      </c>
      <c r="U73" s="12" t="b">
        <v>0</v>
      </c>
      <c r="V73" s="12" t="b">
        <v>1</v>
      </c>
      <c r="W73" s="12" t="b">
        <v>0</v>
      </c>
      <c r="X73" s="12">
        <v>1</v>
      </c>
      <c r="Y73" s="12" t="b">
        <v>0</v>
      </c>
      <c r="Z73" s="12" t="b">
        <v>0</v>
      </c>
      <c r="AA73" s="12" t="b">
        <v>1</v>
      </c>
      <c r="AB73" s="12" t="b">
        <v>1</v>
      </c>
      <c r="AC73" s="12" t="b">
        <v>1</v>
      </c>
      <c r="AD73" s="12" t="b">
        <v>1</v>
      </c>
      <c r="AE73" s="12" t="b">
        <v>0</v>
      </c>
      <c r="AF73" s="12" t="b">
        <v>0</v>
      </c>
      <c r="AG73" s="12" t="b">
        <v>0</v>
      </c>
      <c r="AH73" s="12">
        <v>0</v>
      </c>
      <c r="AI73" s="12" t="b">
        <v>0</v>
      </c>
      <c r="AJ73" s="12" t="b">
        <v>0</v>
      </c>
      <c r="AK73" s="12" t="b">
        <v>1</v>
      </c>
      <c r="AL73" s="12">
        <v>1</v>
      </c>
      <c r="AM73" s="12" t="s">
        <v>900</v>
      </c>
      <c r="AN73" s="12">
        <v>1</v>
      </c>
    </row>
    <row r="74" spans="1:40" x14ac:dyDescent="0.3">
      <c r="A74" s="62" t="s">
        <v>1548</v>
      </c>
      <c r="B74" s="62"/>
      <c r="C74" s="63" t="s">
        <v>1464</v>
      </c>
      <c r="D74" s="52" t="s">
        <v>1594</v>
      </c>
      <c r="E74" s="21" t="s">
        <v>1760</v>
      </c>
      <c r="F74" s="12" t="s">
        <v>1583</v>
      </c>
      <c r="G74" s="12" t="b">
        <v>0</v>
      </c>
      <c r="H74" s="12" t="b">
        <v>1</v>
      </c>
      <c r="I74" s="12" t="b">
        <v>1</v>
      </c>
      <c r="J74" s="12" t="b">
        <v>1</v>
      </c>
      <c r="K74" s="12" t="b">
        <v>0</v>
      </c>
      <c r="L74" s="12" t="b">
        <v>0</v>
      </c>
      <c r="M74" s="12" t="b">
        <v>0</v>
      </c>
      <c r="N74" s="12">
        <v>0</v>
      </c>
      <c r="O74" s="12" t="b">
        <v>0</v>
      </c>
      <c r="P74" s="12" t="b">
        <v>0</v>
      </c>
      <c r="Q74" s="12" t="b">
        <v>0</v>
      </c>
      <c r="R74" s="12" t="b">
        <v>0</v>
      </c>
      <c r="S74" s="12" t="b">
        <v>0</v>
      </c>
      <c r="T74" s="12" t="b">
        <v>1</v>
      </c>
      <c r="U74" s="12" t="b">
        <v>0</v>
      </c>
      <c r="V74" s="12" t="b">
        <v>1</v>
      </c>
      <c r="W74" s="12" t="b">
        <v>0</v>
      </c>
      <c r="X74" s="12">
        <v>1</v>
      </c>
      <c r="Y74" s="12" t="b">
        <v>0</v>
      </c>
      <c r="Z74" s="12" t="b">
        <v>0</v>
      </c>
      <c r="AA74" s="12" t="b">
        <v>1</v>
      </c>
      <c r="AB74" s="12" t="b">
        <v>1</v>
      </c>
      <c r="AC74" s="12" t="b">
        <v>1</v>
      </c>
      <c r="AD74" s="12" t="b">
        <v>1</v>
      </c>
      <c r="AE74" s="12" t="b">
        <v>0</v>
      </c>
      <c r="AF74" s="12" t="b">
        <v>0</v>
      </c>
      <c r="AG74" s="12" t="b">
        <v>0</v>
      </c>
      <c r="AH74" s="12">
        <v>0</v>
      </c>
      <c r="AI74" s="12" t="b">
        <v>0</v>
      </c>
      <c r="AJ74" s="12" t="b">
        <v>0</v>
      </c>
      <c r="AK74" s="12" t="b">
        <v>1</v>
      </c>
      <c r="AL74" s="12">
        <v>1</v>
      </c>
      <c r="AM74" s="12" t="s">
        <v>900</v>
      </c>
      <c r="AN74" s="12">
        <v>1</v>
      </c>
    </row>
    <row r="75" spans="1:40" x14ac:dyDescent="0.3">
      <c r="A75" s="62" t="s">
        <v>1548</v>
      </c>
      <c r="B75" s="62"/>
      <c r="C75" s="63" t="s">
        <v>1466</v>
      </c>
      <c r="D75" s="52" t="s">
        <v>1594</v>
      </c>
      <c r="E75" s="21" t="s">
        <v>1760</v>
      </c>
      <c r="F75" s="12" t="s">
        <v>1583</v>
      </c>
      <c r="G75" s="12" t="b">
        <v>0</v>
      </c>
      <c r="H75" s="12" t="b">
        <v>1</v>
      </c>
      <c r="I75" s="12" t="b">
        <v>1</v>
      </c>
      <c r="J75" s="12" t="b">
        <v>1</v>
      </c>
      <c r="K75" s="12" t="b">
        <v>0</v>
      </c>
      <c r="L75" s="12" t="b">
        <v>0</v>
      </c>
      <c r="M75" s="12" t="b">
        <v>0</v>
      </c>
      <c r="N75" s="12">
        <v>0</v>
      </c>
      <c r="O75" s="12" t="b">
        <v>0</v>
      </c>
      <c r="P75" s="12" t="b">
        <v>0</v>
      </c>
      <c r="Q75" s="12" t="b">
        <v>0</v>
      </c>
      <c r="R75" s="12" t="b">
        <v>0</v>
      </c>
      <c r="S75" s="12" t="b">
        <v>0</v>
      </c>
      <c r="T75" s="12" t="b">
        <v>1</v>
      </c>
      <c r="U75" s="12" t="b">
        <v>0</v>
      </c>
      <c r="V75" s="12" t="b">
        <v>1</v>
      </c>
      <c r="W75" s="12" t="b">
        <v>0</v>
      </c>
      <c r="X75" s="12">
        <v>1</v>
      </c>
      <c r="Y75" s="12" t="b">
        <v>0</v>
      </c>
      <c r="Z75" s="12" t="b">
        <v>0</v>
      </c>
      <c r="AA75" s="12" t="b">
        <v>1</v>
      </c>
      <c r="AB75" s="12" t="b">
        <v>1</v>
      </c>
      <c r="AC75" s="12" t="b">
        <v>1</v>
      </c>
      <c r="AD75" s="12" t="b">
        <v>1</v>
      </c>
      <c r="AE75" s="12" t="b">
        <v>0</v>
      </c>
      <c r="AF75" s="12" t="b">
        <v>0</v>
      </c>
      <c r="AG75" s="12" t="b">
        <v>0</v>
      </c>
      <c r="AH75" s="12">
        <v>0</v>
      </c>
      <c r="AI75" s="12" t="b">
        <v>0</v>
      </c>
      <c r="AJ75" s="12" t="b">
        <v>0</v>
      </c>
      <c r="AK75" s="12" t="b">
        <v>1</v>
      </c>
      <c r="AL75" s="12">
        <v>1</v>
      </c>
      <c r="AM75" s="12" t="s">
        <v>900</v>
      </c>
      <c r="AN75" s="12">
        <v>1</v>
      </c>
    </row>
    <row r="76" spans="1:40" x14ac:dyDescent="0.3">
      <c r="A76" s="62" t="s">
        <v>1548</v>
      </c>
      <c r="B76" s="62"/>
      <c r="C76" s="63" t="s">
        <v>1467</v>
      </c>
      <c r="D76" s="52" t="s">
        <v>1594</v>
      </c>
      <c r="E76" s="21" t="s">
        <v>1760</v>
      </c>
      <c r="F76" s="12" t="s">
        <v>1583</v>
      </c>
      <c r="G76" s="12" t="b">
        <v>0</v>
      </c>
      <c r="H76" s="12" t="b">
        <v>1</v>
      </c>
      <c r="I76" s="12" t="b">
        <v>1</v>
      </c>
      <c r="J76" s="12" t="b">
        <v>1</v>
      </c>
      <c r="K76" s="12" t="b">
        <v>0</v>
      </c>
      <c r="L76" s="12" t="b">
        <v>0</v>
      </c>
      <c r="M76" s="12" t="b">
        <v>0</v>
      </c>
      <c r="N76" s="12">
        <v>0</v>
      </c>
      <c r="O76" s="12" t="b">
        <v>0</v>
      </c>
      <c r="P76" s="12" t="b">
        <v>0</v>
      </c>
      <c r="Q76" s="12" t="b">
        <v>0</v>
      </c>
      <c r="R76" s="12" t="b">
        <v>0</v>
      </c>
      <c r="S76" s="12" t="b">
        <v>0</v>
      </c>
      <c r="T76" s="12" t="b">
        <v>1</v>
      </c>
      <c r="U76" s="12" t="b">
        <v>0</v>
      </c>
      <c r="V76" s="12" t="b">
        <v>1</v>
      </c>
      <c r="W76" s="12" t="b">
        <v>0</v>
      </c>
      <c r="X76" s="12">
        <v>1</v>
      </c>
      <c r="Y76" s="12" t="b">
        <v>0</v>
      </c>
      <c r="Z76" s="12" t="b">
        <v>0</v>
      </c>
      <c r="AA76" s="12" t="b">
        <v>1</v>
      </c>
      <c r="AB76" s="12" t="b">
        <v>1</v>
      </c>
      <c r="AC76" s="12" t="b">
        <v>1</v>
      </c>
      <c r="AD76" s="12" t="b">
        <v>1</v>
      </c>
      <c r="AE76" s="12" t="b">
        <v>0</v>
      </c>
      <c r="AF76" s="12" t="b">
        <v>0</v>
      </c>
      <c r="AG76" s="12" t="b">
        <v>0</v>
      </c>
      <c r="AH76" s="12">
        <v>0</v>
      </c>
      <c r="AI76" s="12" t="b">
        <v>0</v>
      </c>
      <c r="AJ76" s="12" t="b">
        <v>0</v>
      </c>
      <c r="AK76" s="12" t="b">
        <v>1</v>
      </c>
      <c r="AL76" s="12">
        <v>1</v>
      </c>
      <c r="AM76" s="12" t="s">
        <v>900</v>
      </c>
      <c r="AN76" s="12">
        <v>1</v>
      </c>
    </row>
    <row r="77" spans="1:40" x14ac:dyDescent="0.3">
      <c r="A77" s="62" t="s">
        <v>1548</v>
      </c>
      <c r="B77" s="62"/>
      <c r="C77" s="63" t="s">
        <v>1468</v>
      </c>
      <c r="D77" s="52" t="s">
        <v>1594</v>
      </c>
      <c r="E77" s="21" t="s">
        <v>1760</v>
      </c>
      <c r="F77" s="12" t="s">
        <v>1583</v>
      </c>
      <c r="G77" s="12" t="b">
        <v>0</v>
      </c>
      <c r="H77" s="12" t="b">
        <v>1</v>
      </c>
      <c r="I77" s="12" t="b">
        <v>1</v>
      </c>
      <c r="J77" s="12" t="b">
        <v>1</v>
      </c>
      <c r="K77" s="12" t="b">
        <v>0</v>
      </c>
      <c r="L77" s="12" t="b">
        <v>0</v>
      </c>
      <c r="M77" s="12" t="b">
        <v>0</v>
      </c>
      <c r="N77" s="12">
        <v>0</v>
      </c>
      <c r="O77" s="12" t="b">
        <v>0</v>
      </c>
      <c r="P77" s="12" t="b">
        <v>0</v>
      </c>
      <c r="Q77" s="12" t="b">
        <v>0</v>
      </c>
      <c r="R77" s="12" t="b">
        <v>0</v>
      </c>
      <c r="S77" s="12" t="b">
        <v>0</v>
      </c>
      <c r="T77" s="12" t="b">
        <v>1</v>
      </c>
      <c r="U77" s="12" t="b">
        <v>0</v>
      </c>
      <c r="V77" s="12" t="b">
        <v>1</v>
      </c>
      <c r="W77" s="12" t="b">
        <v>0</v>
      </c>
      <c r="X77" s="12">
        <v>1</v>
      </c>
      <c r="Y77" s="12" t="b">
        <v>0</v>
      </c>
      <c r="Z77" s="12" t="b">
        <v>0</v>
      </c>
      <c r="AA77" s="12" t="b">
        <v>1</v>
      </c>
      <c r="AB77" s="12" t="b">
        <v>1</v>
      </c>
      <c r="AC77" s="12" t="b">
        <v>1</v>
      </c>
      <c r="AD77" s="12" t="b">
        <v>1</v>
      </c>
      <c r="AE77" s="12" t="b">
        <v>0</v>
      </c>
      <c r="AF77" s="12" t="b">
        <v>0</v>
      </c>
      <c r="AG77" s="12" t="b">
        <v>0</v>
      </c>
      <c r="AH77" s="12">
        <v>0</v>
      </c>
      <c r="AI77" s="12" t="b">
        <v>0</v>
      </c>
      <c r="AJ77" s="12" t="b">
        <v>0</v>
      </c>
      <c r="AK77" s="12" t="b">
        <v>1</v>
      </c>
      <c r="AL77" s="12">
        <v>1</v>
      </c>
      <c r="AM77" s="12" t="s">
        <v>900</v>
      </c>
      <c r="AN77" s="12">
        <v>1</v>
      </c>
    </row>
    <row r="78" spans="1:40" x14ac:dyDescent="0.3">
      <c r="A78" s="62" t="s">
        <v>1548</v>
      </c>
      <c r="B78" s="62"/>
      <c r="C78" s="63" t="s">
        <v>1469</v>
      </c>
      <c r="D78" s="52" t="s">
        <v>1594</v>
      </c>
      <c r="E78" s="21" t="s">
        <v>1760</v>
      </c>
      <c r="F78" s="12" t="s">
        <v>1583</v>
      </c>
      <c r="G78" s="12" t="b">
        <v>0</v>
      </c>
      <c r="H78" s="12" t="b">
        <v>1</v>
      </c>
      <c r="I78" s="12" t="b">
        <v>1</v>
      </c>
      <c r="J78" s="12" t="b">
        <v>1</v>
      </c>
      <c r="K78" s="12" t="b">
        <v>0</v>
      </c>
      <c r="L78" s="12" t="b">
        <v>0</v>
      </c>
      <c r="M78" s="12" t="b">
        <v>0</v>
      </c>
      <c r="N78" s="12">
        <v>0</v>
      </c>
      <c r="O78" s="12" t="b">
        <v>0</v>
      </c>
      <c r="P78" s="12" t="b">
        <v>0</v>
      </c>
      <c r="Q78" s="12" t="b">
        <v>0</v>
      </c>
      <c r="R78" s="12" t="b">
        <v>0</v>
      </c>
      <c r="S78" s="12" t="b">
        <v>0</v>
      </c>
      <c r="T78" s="12" t="b">
        <v>1</v>
      </c>
      <c r="U78" s="12" t="b">
        <v>0</v>
      </c>
      <c r="V78" s="12" t="b">
        <v>1</v>
      </c>
      <c r="W78" s="12" t="b">
        <v>0</v>
      </c>
      <c r="X78" s="12">
        <v>1</v>
      </c>
      <c r="Y78" s="12" t="b">
        <v>0</v>
      </c>
      <c r="Z78" s="12" t="b">
        <v>0</v>
      </c>
      <c r="AA78" s="12" t="b">
        <v>1</v>
      </c>
      <c r="AB78" s="12" t="b">
        <v>1</v>
      </c>
      <c r="AC78" s="12" t="b">
        <v>1</v>
      </c>
      <c r="AD78" s="12" t="b">
        <v>1</v>
      </c>
      <c r="AE78" s="12" t="b">
        <v>0</v>
      </c>
      <c r="AF78" s="12" t="b">
        <v>0</v>
      </c>
      <c r="AG78" s="12" t="b">
        <v>0</v>
      </c>
      <c r="AH78" s="12">
        <v>0</v>
      </c>
      <c r="AI78" s="12" t="b">
        <v>0</v>
      </c>
      <c r="AJ78" s="12" t="b">
        <v>0</v>
      </c>
      <c r="AK78" s="12" t="b">
        <v>1</v>
      </c>
      <c r="AL78" s="12">
        <v>1</v>
      </c>
      <c r="AM78" s="12" t="s">
        <v>900</v>
      </c>
      <c r="AN78" s="12">
        <v>1</v>
      </c>
    </row>
    <row r="79" spans="1:40" x14ac:dyDescent="0.3">
      <c r="A79" s="62" t="s">
        <v>1548</v>
      </c>
      <c r="B79" s="62"/>
      <c r="C79" s="63" t="s">
        <v>1470</v>
      </c>
      <c r="D79" s="52" t="s">
        <v>1594</v>
      </c>
      <c r="E79" s="21" t="s">
        <v>1760</v>
      </c>
      <c r="F79" s="12" t="s">
        <v>1583</v>
      </c>
      <c r="G79" s="12" t="b">
        <v>0</v>
      </c>
      <c r="H79" s="12" t="b">
        <v>1</v>
      </c>
      <c r="I79" s="12" t="b">
        <v>1</v>
      </c>
      <c r="J79" s="12" t="b">
        <v>1</v>
      </c>
      <c r="K79" s="12" t="b">
        <v>0</v>
      </c>
      <c r="L79" s="12" t="b">
        <v>0</v>
      </c>
      <c r="M79" s="12" t="b">
        <v>0</v>
      </c>
      <c r="N79" s="12">
        <v>0</v>
      </c>
      <c r="O79" s="12" t="b">
        <v>0</v>
      </c>
      <c r="P79" s="12" t="b">
        <v>0</v>
      </c>
      <c r="Q79" s="12" t="b">
        <v>0</v>
      </c>
      <c r="R79" s="12" t="b">
        <v>0</v>
      </c>
      <c r="S79" s="12" t="b">
        <v>0</v>
      </c>
      <c r="T79" s="12" t="b">
        <v>1</v>
      </c>
      <c r="U79" s="12" t="b">
        <v>0</v>
      </c>
      <c r="V79" s="12" t="b">
        <v>1</v>
      </c>
      <c r="W79" s="12" t="b">
        <v>0</v>
      </c>
      <c r="X79" s="12">
        <v>1</v>
      </c>
      <c r="Y79" s="12" t="b">
        <v>0</v>
      </c>
      <c r="Z79" s="12" t="b">
        <v>0</v>
      </c>
      <c r="AA79" s="12" t="b">
        <v>1</v>
      </c>
      <c r="AB79" s="12" t="b">
        <v>1</v>
      </c>
      <c r="AC79" s="12" t="b">
        <v>1</v>
      </c>
      <c r="AD79" s="12" t="b">
        <v>1</v>
      </c>
      <c r="AE79" s="12" t="b">
        <v>0</v>
      </c>
      <c r="AF79" s="12" t="b">
        <v>0</v>
      </c>
      <c r="AG79" s="12" t="b">
        <v>0</v>
      </c>
      <c r="AH79" s="12">
        <v>0</v>
      </c>
      <c r="AI79" s="12" t="b">
        <v>0</v>
      </c>
      <c r="AJ79" s="12" t="b">
        <v>0</v>
      </c>
      <c r="AK79" s="12" t="b">
        <v>1</v>
      </c>
      <c r="AL79" s="12">
        <v>1</v>
      </c>
      <c r="AM79" s="12" t="s">
        <v>900</v>
      </c>
      <c r="AN79" s="12">
        <v>1</v>
      </c>
    </row>
    <row r="80" spans="1:40" x14ac:dyDescent="0.3">
      <c r="A80" s="62" t="s">
        <v>1548</v>
      </c>
      <c r="B80" s="62"/>
      <c r="C80" s="63" t="s">
        <v>1934</v>
      </c>
      <c r="D80" s="63" t="s">
        <v>1594</v>
      </c>
      <c r="E80" s="21" t="s">
        <v>1760</v>
      </c>
      <c r="F80" s="12" t="s">
        <v>1583</v>
      </c>
      <c r="G80" s="12" t="b">
        <v>0</v>
      </c>
      <c r="H80" s="12" t="b">
        <v>1</v>
      </c>
      <c r="I80" s="12" t="b">
        <v>1</v>
      </c>
      <c r="J80" s="12" t="b">
        <v>1</v>
      </c>
      <c r="K80" s="12" t="b">
        <v>0</v>
      </c>
      <c r="L80" s="12" t="b">
        <v>0</v>
      </c>
      <c r="M80" s="12" t="b">
        <v>0</v>
      </c>
      <c r="N80" s="12">
        <v>0</v>
      </c>
      <c r="O80" s="12" t="b">
        <v>0</v>
      </c>
      <c r="P80" s="12" t="b">
        <v>0</v>
      </c>
      <c r="Q80" s="12" t="b">
        <v>0</v>
      </c>
      <c r="R80" s="12" t="b">
        <v>0</v>
      </c>
      <c r="S80" s="12" t="b">
        <v>0</v>
      </c>
      <c r="T80" s="12" t="b">
        <v>1</v>
      </c>
      <c r="U80" s="12" t="b">
        <v>0</v>
      </c>
      <c r="V80" s="12" t="b">
        <v>1</v>
      </c>
      <c r="W80" s="12" t="b">
        <v>0</v>
      </c>
      <c r="X80" s="12">
        <v>1</v>
      </c>
      <c r="Y80" s="12" t="b">
        <v>0</v>
      </c>
      <c r="Z80" s="12" t="b">
        <v>0</v>
      </c>
      <c r="AA80" s="12" t="b">
        <v>1</v>
      </c>
      <c r="AB80" s="12" t="b">
        <v>1</v>
      </c>
      <c r="AC80" s="12" t="b">
        <v>1</v>
      </c>
      <c r="AD80" s="12" t="b">
        <v>1</v>
      </c>
      <c r="AE80" s="12" t="b">
        <v>0</v>
      </c>
      <c r="AF80" s="12" t="b">
        <v>0</v>
      </c>
      <c r="AG80" s="12" t="b">
        <v>0</v>
      </c>
      <c r="AH80" s="12">
        <v>0</v>
      </c>
      <c r="AI80" s="12" t="b">
        <v>0</v>
      </c>
      <c r="AJ80" s="12" t="b">
        <v>0</v>
      </c>
      <c r="AK80" s="12" t="b">
        <v>1</v>
      </c>
      <c r="AL80" s="12">
        <v>1</v>
      </c>
      <c r="AM80" s="12" t="s">
        <v>900</v>
      </c>
      <c r="AN80" s="12">
        <v>1</v>
      </c>
    </row>
    <row r="81" spans="1:40" x14ac:dyDescent="0.3">
      <c r="A81" s="62" t="s">
        <v>1548</v>
      </c>
      <c r="B81" s="62"/>
      <c r="C81" s="63" t="s">
        <v>1935</v>
      </c>
      <c r="D81" s="63" t="s">
        <v>1594</v>
      </c>
      <c r="E81" s="21" t="s">
        <v>1760</v>
      </c>
      <c r="F81" s="12" t="s">
        <v>1583</v>
      </c>
      <c r="G81" s="12" t="b">
        <v>0</v>
      </c>
      <c r="H81" s="12" t="b">
        <v>1</v>
      </c>
      <c r="I81" s="12" t="b">
        <v>1</v>
      </c>
      <c r="J81" s="12" t="b">
        <v>1</v>
      </c>
      <c r="K81" s="12" t="b">
        <v>0</v>
      </c>
      <c r="L81" s="12" t="b">
        <v>0</v>
      </c>
      <c r="M81" s="12" t="b">
        <v>0</v>
      </c>
      <c r="N81" s="12">
        <v>0</v>
      </c>
      <c r="O81" s="12" t="b">
        <v>0</v>
      </c>
      <c r="P81" s="12" t="b">
        <v>0</v>
      </c>
      <c r="Q81" s="12" t="b">
        <v>0</v>
      </c>
      <c r="R81" s="12" t="b">
        <v>0</v>
      </c>
      <c r="S81" s="12" t="b">
        <v>0</v>
      </c>
      <c r="T81" s="12" t="b">
        <v>1</v>
      </c>
      <c r="U81" s="12" t="b">
        <v>0</v>
      </c>
      <c r="V81" s="12" t="b">
        <v>1</v>
      </c>
      <c r="W81" s="12" t="b">
        <v>0</v>
      </c>
      <c r="X81" s="12">
        <v>1</v>
      </c>
      <c r="Y81" s="12" t="b">
        <v>0</v>
      </c>
      <c r="Z81" s="12" t="b">
        <v>0</v>
      </c>
      <c r="AA81" s="12" t="b">
        <v>1</v>
      </c>
      <c r="AB81" s="12" t="b">
        <v>1</v>
      </c>
      <c r="AC81" s="12" t="b">
        <v>1</v>
      </c>
      <c r="AD81" s="12" t="b">
        <v>1</v>
      </c>
      <c r="AE81" s="12" t="b">
        <v>0</v>
      </c>
      <c r="AF81" s="12" t="b">
        <v>0</v>
      </c>
      <c r="AG81" s="12" t="b">
        <v>0</v>
      </c>
      <c r="AH81" s="12">
        <v>0</v>
      </c>
      <c r="AI81" s="12" t="b">
        <v>0</v>
      </c>
      <c r="AJ81" s="12" t="b">
        <v>0</v>
      </c>
      <c r="AK81" s="12" t="b">
        <v>1</v>
      </c>
      <c r="AL81" s="12">
        <v>1</v>
      </c>
      <c r="AM81" s="12" t="s">
        <v>900</v>
      </c>
      <c r="AN81" s="12">
        <v>1</v>
      </c>
    </row>
    <row r="82" spans="1:40" x14ac:dyDescent="0.3">
      <c r="A82" s="62" t="s">
        <v>1548</v>
      </c>
      <c r="B82" s="62"/>
      <c r="C82" s="63" t="s">
        <v>1936</v>
      </c>
      <c r="D82" s="63" t="s">
        <v>1594</v>
      </c>
      <c r="E82" s="21" t="s">
        <v>1760</v>
      </c>
      <c r="F82" s="12" t="s">
        <v>1583</v>
      </c>
      <c r="G82" s="12" t="b">
        <v>0</v>
      </c>
      <c r="H82" s="12" t="b">
        <v>1</v>
      </c>
      <c r="I82" s="12" t="b">
        <v>1</v>
      </c>
      <c r="J82" s="12" t="b">
        <v>1</v>
      </c>
      <c r="K82" s="12" t="b">
        <v>0</v>
      </c>
      <c r="L82" s="12" t="b">
        <v>0</v>
      </c>
      <c r="M82" s="12" t="b">
        <v>0</v>
      </c>
      <c r="N82" s="12">
        <v>0</v>
      </c>
      <c r="O82" s="12" t="b">
        <v>0</v>
      </c>
      <c r="P82" s="12" t="b">
        <v>0</v>
      </c>
      <c r="Q82" s="12" t="b">
        <v>0</v>
      </c>
      <c r="R82" s="12" t="b">
        <v>0</v>
      </c>
      <c r="S82" s="12" t="b">
        <v>0</v>
      </c>
      <c r="T82" s="12" t="b">
        <v>1</v>
      </c>
      <c r="U82" s="12" t="b">
        <v>0</v>
      </c>
      <c r="V82" s="12" t="b">
        <v>1</v>
      </c>
      <c r="W82" s="12" t="b">
        <v>0</v>
      </c>
      <c r="X82" s="12">
        <v>1</v>
      </c>
      <c r="Y82" s="12" t="b">
        <v>0</v>
      </c>
      <c r="Z82" s="12" t="b">
        <v>0</v>
      </c>
      <c r="AA82" s="12" t="b">
        <v>1</v>
      </c>
      <c r="AB82" s="12" t="b">
        <v>1</v>
      </c>
      <c r="AC82" s="12" t="b">
        <v>1</v>
      </c>
      <c r="AD82" s="12" t="b">
        <v>1</v>
      </c>
      <c r="AE82" s="12" t="b">
        <v>0</v>
      </c>
      <c r="AF82" s="12" t="b">
        <v>0</v>
      </c>
      <c r="AG82" s="12" t="b">
        <v>0</v>
      </c>
      <c r="AH82" s="12">
        <v>0</v>
      </c>
      <c r="AI82" s="12" t="b">
        <v>0</v>
      </c>
      <c r="AJ82" s="12" t="b">
        <v>0</v>
      </c>
      <c r="AK82" s="12" t="b">
        <v>1</v>
      </c>
      <c r="AL82" s="12">
        <v>1</v>
      </c>
      <c r="AM82" s="12" t="s">
        <v>900</v>
      </c>
      <c r="AN82" s="12">
        <v>1</v>
      </c>
    </row>
    <row r="83" spans="1:40" x14ac:dyDescent="0.3">
      <c r="A83" s="62" t="s">
        <v>1548</v>
      </c>
      <c r="B83" s="62"/>
      <c r="C83" s="63" t="s">
        <v>1937</v>
      </c>
      <c r="D83" s="63" t="s">
        <v>1594</v>
      </c>
      <c r="E83" s="21" t="s">
        <v>1760</v>
      </c>
      <c r="F83" s="12" t="s">
        <v>1583</v>
      </c>
      <c r="G83" s="12" t="b">
        <v>0</v>
      </c>
      <c r="H83" s="12" t="b">
        <v>1</v>
      </c>
      <c r="I83" s="12" t="b">
        <v>1</v>
      </c>
      <c r="J83" s="12" t="b">
        <v>1</v>
      </c>
      <c r="K83" s="12" t="b">
        <v>0</v>
      </c>
      <c r="L83" s="12" t="b">
        <v>0</v>
      </c>
      <c r="M83" s="12" t="b">
        <v>0</v>
      </c>
      <c r="N83" s="12">
        <v>0</v>
      </c>
      <c r="O83" s="12" t="b">
        <v>0</v>
      </c>
      <c r="P83" s="12" t="b">
        <v>0</v>
      </c>
      <c r="Q83" s="12" t="b">
        <v>0</v>
      </c>
      <c r="R83" s="12" t="b">
        <v>0</v>
      </c>
      <c r="S83" s="12" t="b">
        <v>0</v>
      </c>
      <c r="T83" s="12" t="b">
        <v>1</v>
      </c>
      <c r="U83" s="12" t="b">
        <v>0</v>
      </c>
      <c r="V83" s="12" t="b">
        <v>1</v>
      </c>
      <c r="W83" s="12" t="b">
        <v>0</v>
      </c>
      <c r="X83" s="12">
        <v>1</v>
      </c>
      <c r="Y83" s="12" t="b">
        <v>0</v>
      </c>
      <c r="Z83" s="12" t="b">
        <v>0</v>
      </c>
      <c r="AA83" s="12" t="b">
        <v>1</v>
      </c>
      <c r="AB83" s="12" t="b">
        <v>1</v>
      </c>
      <c r="AC83" s="12" t="b">
        <v>1</v>
      </c>
      <c r="AD83" s="12" t="b">
        <v>1</v>
      </c>
      <c r="AE83" s="12" t="b">
        <v>0</v>
      </c>
      <c r="AF83" s="12" t="b">
        <v>0</v>
      </c>
      <c r="AG83" s="12" t="b">
        <v>0</v>
      </c>
      <c r="AH83" s="12">
        <v>0</v>
      </c>
      <c r="AI83" s="12" t="b">
        <v>0</v>
      </c>
      <c r="AJ83" s="12" t="b">
        <v>0</v>
      </c>
      <c r="AK83" s="12" t="b">
        <v>1</v>
      </c>
      <c r="AL83" s="12">
        <v>1</v>
      </c>
      <c r="AM83" s="12" t="s">
        <v>900</v>
      </c>
      <c r="AN83" s="12">
        <v>1</v>
      </c>
    </row>
    <row r="84" spans="1:40" x14ac:dyDescent="0.3">
      <c r="A84" s="62" t="s">
        <v>1548</v>
      </c>
      <c r="B84" s="62"/>
      <c r="C84" s="63" t="s">
        <v>1938</v>
      </c>
      <c r="D84" s="63" t="s">
        <v>1594</v>
      </c>
      <c r="E84" s="21" t="s">
        <v>1760</v>
      </c>
      <c r="F84" s="12" t="s">
        <v>1583</v>
      </c>
      <c r="G84" s="12" t="b">
        <v>0</v>
      </c>
      <c r="H84" s="12" t="b">
        <v>1</v>
      </c>
      <c r="I84" s="12" t="b">
        <v>1</v>
      </c>
      <c r="J84" s="12" t="b">
        <v>1</v>
      </c>
      <c r="K84" s="12" t="b">
        <v>0</v>
      </c>
      <c r="L84" s="12" t="b">
        <v>0</v>
      </c>
      <c r="M84" s="12" t="b">
        <v>0</v>
      </c>
      <c r="N84" s="12">
        <v>0</v>
      </c>
      <c r="O84" s="12" t="b">
        <v>0</v>
      </c>
      <c r="P84" s="12" t="b">
        <v>0</v>
      </c>
      <c r="Q84" s="12" t="b">
        <v>0</v>
      </c>
      <c r="R84" s="12" t="b">
        <v>0</v>
      </c>
      <c r="S84" s="12" t="b">
        <v>0</v>
      </c>
      <c r="T84" s="12" t="b">
        <v>1</v>
      </c>
      <c r="U84" s="12" t="b">
        <v>0</v>
      </c>
      <c r="V84" s="12" t="b">
        <v>1</v>
      </c>
      <c r="W84" s="12" t="b">
        <v>0</v>
      </c>
      <c r="X84" s="12">
        <v>1</v>
      </c>
      <c r="Y84" s="12" t="b">
        <v>0</v>
      </c>
      <c r="Z84" s="12" t="b">
        <v>0</v>
      </c>
      <c r="AA84" s="12" t="b">
        <v>1</v>
      </c>
      <c r="AB84" s="12" t="b">
        <v>1</v>
      </c>
      <c r="AC84" s="12" t="b">
        <v>1</v>
      </c>
      <c r="AD84" s="12" t="b">
        <v>1</v>
      </c>
      <c r="AE84" s="12" t="b">
        <v>0</v>
      </c>
      <c r="AF84" s="12" t="b">
        <v>0</v>
      </c>
      <c r="AG84" s="12" t="b">
        <v>0</v>
      </c>
      <c r="AH84" s="12">
        <v>0</v>
      </c>
      <c r="AI84" s="12" t="b">
        <v>0</v>
      </c>
      <c r="AJ84" s="12" t="b">
        <v>0</v>
      </c>
      <c r="AK84" s="12" t="b">
        <v>1</v>
      </c>
      <c r="AL84" s="12">
        <v>1</v>
      </c>
      <c r="AM84" s="12" t="s">
        <v>900</v>
      </c>
      <c r="AN84" s="12">
        <v>1</v>
      </c>
    </row>
    <row r="85" spans="1:40" x14ac:dyDescent="0.3">
      <c r="A85" s="62" t="s">
        <v>1548</v>
      </c>
      <c r="B85" s="62"/>
      <c r="C85" s="63" t="s">
        <v>1939</v>
      </c>
      <c r="D85" s="63" t="s">
        <v>1594</v>
      </c>
      <c r="E85" s="21" t="s">
        <v>1760</v>
      </c>
      <c r="F85" s="12" t="s">
        <v>1583</v>
      </c>
      <c r="G85" s="12" t="b">
        <v>0</v>
      </c>
      <c r="H85" s="12" t="b">
        <v>1</v>
      </c>
      <c r="I85" s="12" t="b">
        <v>1</v>
      </c>
      <c r="J85" s="12" t="b">
        <v>1</v>
      </c>
      <c r="K85" s="12" t="b">
        <v>0</v>
      </c>
      <c r="L85" s="12" t="b">
        <v>0</v>
      </c>
      <c r="M85" s="12" t="b">
        <v>0</v>
      </c>
      <c r="N85" s="12">
        <v>0</v>
      </c>
      <c r="O85" s="12" t="b">
        <v>0</v>
      </c>
      <c r="P85" s="12" t="b">
        <v>0</v>
      </c>
      <c r="Q85" s="12" t="b">
        <v>0</v>
      </c>
      <c r="R85" s="12" t="b">
        <v>0</v>
      </c>
      <c r="S85" s="12" t="b">
        <v>0</v>
      </c>
      <c r="T85" s="12" t="b">
        <v>1</v>
      </c>
      <c r="U85" s="12" t="b">
        <v>0</v>
      </c>
      <c r="V85" s="12" t="b">
        <v>1</v>
      </c>
      <c r="W85" s="12" t="b">
        <v>0</v>
      </c>
      <c r="X85" s="12">
        <v>1</v>
      </c>
      <c r="Y85" s="12" t="b">
        <v>0</v>
      </c>
      <c r="Z85" s="12" t="b">
        <v>0</v>
      </c>
      <c r="AA85" s="12" t="b">
        <v>1</v>
      </c>
      <c r="AB85" s="12" t="b">
        <v>1</v>
      </c>
      <c r="AC85" s="12" t="b">
        <v>1</v>
      </c>
      <c r="AD85" s="12" t="b">
        <v>1</v>
      </c>
      <c r="AE85" s="12" t="b">
        <v>0</v>
      </c>
      <c r="AF85" s="12" t="b">
        <v>0</v>
      </c>
      <c r="AG85" s="12" t="b">
        <v>0</v>
      </c>
      <c r="AH85" s="12">
        <v>0</v>
      </c>
      <c r="AI85" s="12" t="b">
        <v>0</v>
      </c>
      <c r="AJ85" s="12" t="b">
        <v>0</v>
      </c>
      <c r="AK85" s="12" t="b">
        <v>1</v>
      </c>
      <c r="AL85" s="12">
        <v>1</v>
      </c>
      <c r="AM85" s="12" t="s">
        <v>900</v>
      </c>
      <c r="AN85" s="12">
        <v>1</v>
      </c>
    </row>
    <row r="86" spans="1:40" x14ac:dyDescent="0.3">
      <c r="A86" s="62" t="s">
        <v>1548</v>
      </c>
      <c r="B86" s="62"/>
      <c r="C86" s="63"/>
      <c r="D86" s="63"/>
      <c r="E86" s="12" t="s">
        <v>1517</v>
      </c>
      <c r="F86" s="12" t="s">
        <v>1519</v>
      </c>
      <c r="G86" s="12" t="b">
        <v>0</v>
      </c>
      <c r="H86" s="12" t="b">
        <v>1</v>
      </c>
      <c r="I86" s="12" t="b">
        <v>1</v>
      </c>
      <c r="J86" s="12" t="b">
        <v>1</v>
      </c>
      <c r="K86" s="12" t="b">
        <v>0</v>
      </c>
      <c r="L86" s="12" t="b">
        <v>1</v>
      </c>
      <c r="M86" s="12" t="b">
        <v>0</v>
      </c>
      <c r="N86" s="12">
        <v>0</v>
      </c>
      <c r="O86" s="12" t="b">
        <v>0</v>
      </c>
      <c r="P86" s="12" t="b">
        <v>0</v>
      </c>
      <c r="Q86" s="12" t="b">
        <v>0</v>
      </c>
      <c r="R86" s="12" t="b">
        <v>0</v>
      </c>
      <c r="S86" s="12" t="b">
        <v>0</v>
      </c>
      <c r="T86" s="12" t="b">
        <v>1</v>
      </c>
      <c r="U86" s="12" t="b">
        <v>0</v>
      </c>
      <c r="V86" s="12" t="b">
        <v>1</v>
      </c>
      <c r="W86" s="12" t="b">
        <v>0</v>
      </c>
      <c r="X86" s="12">
        <v>1</v>
      </c>
      <c r="Y86" s="12" t="b">
        <v>0</v>
      </c>
      <c r="Z86" s="12" t="b">
        <v>0</v>
      </c>
      <c r="AA86" s="12" t="b">
        <v>1</v>
      </c>
      <c r="AB86" s="12" t="b">
        <v>1</v>
      </c>
      <c r="AC86" s="12" t="b">
        <v>1</v>
      </c>
      <c r="AD86" s="12" t="b">
        <v>1</v>
      </c>
      <c r="AE86" s="12" t="b">
        <v>0</v>
      </c>
      <c r="AF86" s="12" t="b">
        <v>0</v>
      </c>
      <c r="AG86" s="12" t="b">
        <v>0</v>
      </c>
      <c r="AH86" s="12">
        <v>0</v>
      </c>
      <c r="AI86" s="12" t="b">
        <v>0</v>
      </c>
      <c r="AJ86" s="12" t="b">
        <v>0</v>
      </c>
      <c r="AK86" s="12" t="b">
        <v>1</v>
      </c>
      <c r="AL86" s="12">
        <v>0</v>
      </c>
      <c r="AM86" s="12" t="s">
        <v>900</v>
      </c>
      <c r="AN86" s="12">
        <v>0</v>
      </c>
    </row>
    <row r="87" spans="1:40" x14ac:dyDescent="0.3">
      <c r="A87" s="62" t="s">
        <v>1548</v>
      </c>
      <c r="B87" s="62"/>
      <c r="C87" s="63"/>
      <c r="D87" s="63"/>
      <c r="E87" s="12" t="s">
        <v>1001</v>
      </c>
      <c r="F87" s="12" t="s">
        <v>1189</v>
      </c>
      <c r="G87" s="12" t="b">
        <v>0</v>
      </c>
      <c r="H87" s="12" t="b">
        <v>1</v>
      </c>
      <c r="I87" s="12" t="b">
        <v>1</v>
      </c>
      <c r="J87" s="12" t="b">
        <v>1</v>
      </c>
      <c r="K87" s="12" t="b">
        <v>0</v>
      </c>
      <c r="L87" s="12" t="b">
        <v>1</v>
      </c>
      <c r="M87" s="12" t="b">
        <v>0</v>
      </c>
      <c r="N87" s="12">
        <v>0</v>
      </c>
      <c r="O87" s="12" t="b">
        <v>0</v>
      </c>
      <c r="P87" s="12" t="b">
        <v>0</v>
      </c>
      <c r="Q87" s="12" t="b">
        <v>0</v>
      </c>
      <c r="R87" s="12" t="b">
        <v>0</v>
      </c>
      <c r="S87" s="12" t="b">
        <v>0</v>
      </c>
      <c r="T87" s="12" t="b">
        <v>1</v>
      </c>
      <c r="U87" s="12" t="b">
        <v>0</v>
      </c>
      <c r="V87" s="12" t="b">
        <v>1</v>
      </c>
      <c r="W87" s="12" t="b">
        <v>0</v>
      </c>
      <c r="X87" s="12">
        <v>1</v>
      </c>
      <c r="Y87" s="12" t="b">
        <v>0</v>
      </c>
      <c r="Z87" s="12" t="b">
        <v>0</v>
      </c>
      <c r="AA87" s="12" t="b">
        <v>1</v>
      </c>
      <c r="AB87" s="12" t="b">
        <v>1</v>
      </c>
      <c r="AC87" s="12" t="b">
        <v>1</v>
      </c>
      <c r="AD87" s="12" t="b">
        <v>1</v>
      </c>
      <c r="AE87" s="12" t="b">
        <v>0</v>
      </c>
      <c r="AF87" s="12" t="b">
        <v>0</v>
      </c>
      <c r="AG87" s="12" t="b">
        <v>0</v>
      </c>
      <c r="AH87" s="12">
        <v>0</v>
      </c>
      <c r="AI87" s="12" t="b">
        <v>0</v>
      </c>
      <c r="AJ87" s="12" t="b">
        <v>0</v>
      </c>
      <c r="AK87" s="12" t="b">
        <v>1</v>
      </c>
      <c r="AL87" s="12">
        <v>0</v>
      </c>
      <c r="AM87" s="12" t="s">
        <v>900</v>
      </c>
      <c r="AN87" s="12">
        <v>0</v>
      </c>
    </row>
    <row r="88" spans="1:40" x14ac:dyDescent="0.3">
      <c r="A88" s="62" t="s">
        <v>1548</v>
      </c>
      <c r="B88" s="62"/>
      <c r="C88" s="63"/>
      <c r="D88" s="63"/>
      <c r="E88" s="12" t="s">
        <v>1003</v>
      </c>
      <c r="F88" s="12" t="s">
        <v>1190</v>
      </c>
      <c r="G88" s="12" t="b">
        <v>0</v>
      </c>
      <c r="H88" s="12" t="b">
        <v>1</v>
      </c>
      <c r="I88" s="12" t="b">
        <v>1</v>
      </c>
      <c r="J88" s="12" t="b">
        <v>1</v>
      </c>
      <c r="K88" s="12" t="b">
        <v>0</v>
      </c>
      <c r="L88" s="12" t="b">
        <v>1</v>
      </c>
      <c r="M88" s="12" t="b">
        <v>0</v>
      </c>
      <c r="N88" s="12">
        <v>0</v>
      </c>
      <c r="O88" s="12" t="b">
        <v>0</v>
      </c>
      <c r="P88" s="12" t="b">
        <v>0</v>
      </c>
      <c r="Q88" s="12" t="b">
        <v>0</v>
      </c>
      <c r="R88" s="12" t="b">
        <v>0</v>
      </c>
      <c r="S88" s="12" t="b">
        <v>0</v>
      </c>
      <c r="T88" s="12" t="b">
        <v>1</v>
      </c>
      <c r="U88" s="12" t="b">
        <v>0</v>
      </c>
      <c r="V88" s="12" t="b">
        <v>1</v>
      </c>
      <c r="W88" s="12" t="b">
        <v>0</v>
      </c>
      <c r="X88" s="12">
        <v>1</v>
      </c>
      <c r="Y88" s="12" t="b">
        <v>0</v>
      </c>
      <c r="Z88" s="12" t="b">
        <v>0</v>
      </c>
      <c r="AA88" s="12" t="b">
        <v>1</v>
      </c>
      <c r="AB88" s="12" t="b">
        <v>1</v>
      </c>
      <c r="AC88" s="12" t="b">
        <v>1</v>
      </c>
      <c r="AD88" s="12" t="b">
        <v>1</v>
      </c>
      <c r="AE88" s="12" t="b">
        <v>0</v>
      </c>
      <c r="AF88" s="12" t="b">
        <v>0</v>
      </c>
      <c r="AG88" s="12" t="b">
        <v>0</v>
      </c>
      <c r="AH88" s="12">
        <v>0</v>
      </c>
      <c r="AI88" s="12" t="b">
        <v>0</v>
      </c>
      <c r="AJ88" s="12" t="b">
        <v>0</v>
      </c>
      <c r="AK88" s="12" t="b">
        <v>1</v>
      </c>
      <c r="AL88" s="12">
        <v>0</v>
      </c>
      <c r="AM88" s="12" t="s">
        <v>900</v>
      </c>
      <c r="AN88" s="12">
        <v>0</v>
      </c>
    </row>
    <row r="89" spans="1:40" x14ac:dyDescent="0.3">
      <c r="A89" s="62" t="s">
        <v>1548</v>
      </c>
      <c r="B89" s="62"/>
      <c r="C89" s="63"/>
      <c r="D89" s="63"/>
      <c r="E89" s="12" t="s">
        <v>1005</v>
      </c>
      <c r="F89" s="12" t="s">
        <v>1191</v>
      </c>
      <c r="G89" s="12" t="b">
        <v>0</v>
      </c>
      <c r="H89" s="12" t="b">
        <v>1</v>
      </c>
      <c r="I89" s="12" t="b">
        <v>1</v>
      </c>
      <c r="J89" s="12" t="b">
        <v>1</v>
      </c>
      <c r="K89" s="12" t="b">
        <v>0</v>
      </c>
      <c r="L89" s="12" t="b">
        <v>1</v>
      </c>
      <c r="M89" s="12" t="b">
        <v>0</v>
      </c>
      <c r="N89" s="12">
        <v>0</v>
      </c>
      <c r="O89" s="12" t="b">
        <v>0</v>
      </c>
      <c r="P89" s="12" t="b">
        <v>0</v>
      </c>
      <c r="Q89" s="12" t="b">
        <v>0</v>
      </c>
      <c r="R89" s="12" t="b">
        <v>0</v>
      </c>
      <c r="S89" s="12" t="b">
        <v>0</v>
      </c>
      <c r="T89" s="12" t="b">
        <v>1</v>
      </c>
      <c r="U89" s="12" t="b">
        <v>0</v>
      </c>
      <c r="V89" s="12" t="b">
        <v>1</v>
      </c>
      <c r="W89" s="12" t="b">
        <v>0</v>
      </c>
      <c r="X89" s="12">
        <v>1</v>
      </c>
      <c r="Y89" s="12" t="b">
        <v>0</v>
      </c>
      <c r="Z89" s="12" t="b">
        <v>0</v>
      </c>
      <c r="AA89" s="12" t="b">
        <v>1</v>
      </c>
      <c r="AB89" s="12" t="b">
        <v>1</v>
      </c>
      <c r="AC89" s="12" t="b">
        <v>1</v>
      </c>
      <c r="AD89" s="12" t="b">
        <v>1</v>
      </c>
      <c r="AE89" s="12" t="b">
        <v>0</v>
      </c>
      <c r="AF89" s="12" t="b">
        <v>0</v>
      </c>
      <c r="AG89" s="12" t="b">
        <v>0</v>
      </c>
      <c r="AH89" s="12">
        <v>0</v>
      </c>
      <c r="AI89" s="12" t="b">
        <v>0</v>
      </c>
      <c r="AJ89" s="12" t="b">
        <v>0</v>
      </c>
      <c r="AK89" s="12" t="b">
        <v>1</v>
      </c>
      <c r="AL89" s="12">
        <v>0</v>
      </c>
      <c r="AM89" s="12" t="s">
        <v>900</v>
      </c>
      <c r="AN89" s="12">
        <v>0</v>
      </c>
    </row>
    <row r="90" spans="1:40" x14ac:dyDescent="0.3">
      <c r="A90" s="62" t="s">
        <v>1548</v>
      </c>
      <c r="B90" s="62"/>
      <c r="C90" s="63"/>
      <c r="D90" s="63"/>
      <c r="E90" s="12" t="s">
        <v>2001</v>
      </c>
      <c r="F90" s="12" t="s">
        <v>1198</v>
      </c>
      <c r="G90" s="12" t="b">
        <v>0</v>
      </c>
      <c r="H90" s="12" t="b">
        <v>0</v>
      </c>
      <c r="I90" s="12" t="b">
        <v>0</v>
      </c>
      <c r="J90" s="12" t="b">
        <v>1</v>
      </c>
      <c r="K90" s="12" t="b">
        <v>0</v>
      </c>
      <c r="L90" s="12" t="b">
        <v>1</v>
      </c>
      <c r="M90" s="12" t="b">
        <v>0</v>
      </c>
      <c r="N90" s="12">
        <v>0</v>
      </c>
      <c r="O90" s="12" t="b">
        <v>0</v>
      </c>
      <c r="P90" s="12" t="b">
        <v>0</v>
      </c>
      <c r="Q90" s="12" t="b">
        <v>0</v>
      </c>
      <c r="R90" s="12" t="b">
        <v>0</v>
      </c>
      <c r="S90" s="12" t="b">
        <v>0</v>
      </c>
      <c r="T90" s="12" t="b">
        <v>1</v>
      </c>
      <c r="U90" s="12" t="b">
        <v>0</v>
      </c>
      <c r="V90" s="12" t="b">
        <v>1</v>
      </c>
      <c r="W90" s="12" t="b">
        <v>0</v>
      </c>
      <c r="X90" s="12">
        <v>1</v>
      </c>
      <c r="Y90" s="12" t="b">
        <v>0</v>
      </c>
      <c r="Z90" s="12" t="b">
        <v>0</v>
      </c>
      <c r="AA90" s="12" t="b">
        <v>0</v>
      </c>
      <c r="AB90" s="12" t="b">
        <v>0</v>
      </c>
      <c r="AC90" s="12" t="b">
        <v>0</v>
      </c>
      <c r="AD90" s="12" t="b">
        <v>1</v>
      </c>
      <c r="AE90" s="12" t="b">
        <v>0</v>
      </c>
      <c r="AF90" s="12" t="b">
        <v>1</v>
      </c>
      <c r="AG90" s="12" t="b">
        <v>0</v>
      </c>
      <c r="AH90" s="12">
        <v>1</v>
      </c>
      <c r="AI90" s="12" t="b">
        <v>0</v>
      </c>
      <c r="AJ90" s="12" t="b">
        <v>0</v>
      </c>
      <c r="AK90" s="12" t="b">
        <v>1</v>
      </c>
      <c r="AL90" s="12">
        <v>0</v>
      </c>
      <c r="AM90" s="12" t="s">
        <v>922</v>
      </c>
      <c r="AN90" s="12">
        <v>0</v>
      </c>
    </row>
    <row r="91" spans="1:40" x14ac:dyDescent="0.3">
      <c r="A91" s="62" t="s">
        <v>1548</v>
      </c>
      <c r="B91" s="62"/>
      <c r="C91" s="63"/>
      <c r="D91" s="63"/>
      <c r="E91" s="12" t="s">
        <v>2084</v>
      </c>
      <c r="F91" s="12" t="s">
        <v>2086</v>
      </c>
      <c r="G91" s="12" t="b">
        <v>0</v>
      </c>
      <c r="H91" s="12" t="b">
        <v>0</v>
      </c>
      <c r="I91" s="12" t="b">
        <v>0</v>
      </c>
      <c r="J91" s="12" t="b">
        <v>1</v>
      </c>
      <c r="K91" s="12" t="b">
        <v>0</v>
      </c>
      <c r="L91" s="12" t="b">
        <v>1</v>
      </c>
      <c r="M91" s="12" t="b">
        <v>0</v>
      </c>
      <c r="N91" s="12">
        <v>0</v>
      </c>
      <c r="O91" s="12" t="b">
        <v>0</v>
      </c>
      <c r="P91" s="12" t="b">
        <v>0</v>
      </c>
      <c r="Q91" s="12" t="b">
        <v>0</v>
      </c>
      <c r="R91" s="12" t="b">
        <v>0</v>
      </c>
      <c r="S91" s="12" t="b">
        <v>0</v>
      </c>
      <c r="T91" s="12" t="b">
        <v>1</v>
      </c>
      <c r="U91" s="12" t="b">
        <v>0</v>
      </c>
      <c r="V91" s="12" t="b">
        <v>1</v>
      </c>
      <c r="W91" s="12" t="b">
        <v>0</v>
      </c>
      <c r="X91" s="12">
        <v>1</v>
      </c>
      <c r="Y91" s="12" t="b">
        <v>0</v>
      </c>
      <c r="Z91" s="12" t="b">
        <v>0</v>
      </c>
      <c r="AA91" s="12" t="b">
        <v>0</v>
      </c>
      <c r="AB91" s="12" t="b">
        <v>0</v>
      </c>
      <c r="AC91" s="12" t="b">
        <v>0</v>
      </c>
      <c r="AD91" s="12" t="b">
        <v>1</v>
      </c>
      <c r="AE91" s="12" t="b">
        <v>0</v>
      </c>
      <c r="AF91" s="12" t="b">
        <v>1</v>
      </c>
      <c r="AG91" s="12" t="b">
        <v>0</v>
      </c>
      <c r="AH91" s="12">
        <v>1</v>
      </c>
      <c r="AI91" s="12" t="b">
        <v>0</v>
      </c>
      <c r="AJ91" s="12" t="b">
        <v>0</v>
      </c>
      <c r="AK91" s="12" t="b">
        <v>1</v>
      </c>
      <c r="AL91" s="12">
        <v>0</v>
      </c>
      <c r="AM91" s="12" t="s">
        <v>922</v>
      </c>
      <c r="AN91" s="12">
        <v>0</v>
      </c>
    </row>
    <row r="92" spans="1:40" x14ac:dyDescent="0.3">
      <c r="A92" s="62" t="s">
        <v>1548</v>
      </c>
      <c r="B92" s="62"/>
      <c r="C92" s="63"/>
      <c r="D92" s="63"/>
      <c r="E92" s="12" t="s">
        <v>920</v>
      </c>
      <c r="F92" s="12" t="s">
        <v>1193</v>
      </c>
      <c r="G92" s="12" t="b">
        <v>0</v>
      </c>
      <c r="H92" s="12" t="b">
        <v>0</v>
      </c>
      <c r="I92" s="12" t="b">
        <v>0</v>
      </c>
      <c r="J92" s="12" t="b">
        <v>1</v>
      </c>
      <c r="K92" s="12" t="b">
        <v>0</v>
      </c>
      <c r="L92" s="12" t="b">
        <v>1</v>
      </c>
      <c r="M92" s="12" t="b">
        <v>0</v>
      </c>
      <c r="N92" s="12">
        <v>0</v>
      </c>
      <c r="O92" s="12" t="b">
        <v>0</v>
      </c>
      <c r="P92" s="12" t="b">
        <v>0</v>
      </c>
      <c r="Q92" s="12" t="b">
        <v>0</v>
      </c>
      <c r="R92" s="12" t="b">
        <v>0</v>
      </c>
      <c r="S92" s="12" t="b">
        <v>0</v>
      </c>
      <c r="T92" s="12" t="b">
        <v>1</v>
      </c>
      <c r="U92" s="12" t="b">
        <v>0</v>
      </c>
      <c r="V92" s="12" t="b">
        <v>1</v>
      </c>
      <c r="W92" s="12" t="b">
        <v>0</v>
      </c>
      <c r="X92" s="12">
        <v>1</v>
      </c>
      <c r="Y92" s="12" t="b">
        <v>0</v>
      </c>
      <c r="Z92" s="12" t="b">
        <v>0</v>
      </c>
      <c r="AA92" s="12" t="b">
        <v>0</v>
      </c>
      <c r="AB92" s="12" t="b">
        <v>0</v>
      </c>
      <c r="AC92" s="12" t="b">
        <v>0</v>
      </c>
      <c r="AD92" s="12" t="b">
        <v>1</v>
      </c>
      <c r="AE92" s="12" t="b">
        <v>0</v>
      </c>
      <c r="AF92" s="12" t="b">
        <v>1</v>
      </c>
      <c r="AG92" s="12" t="b">
        <v>0</v>
      </c>
      <c r="AH92" s="12">
        <v>1</v>
      </c>
      <c r="AI92" s="12" t="b">
        <v>0</v>
      </c>
      <c r="AJ92" s="12" t="b">
        <v>0</v>
      </c>
      <c r="AK92" s="12" t="b">
        <v>1</v>
      </c>
      <c r="AL92" s="12">
        <v>1</v>
      </c>
      <c r="AM92" s="12" t="s">
        <v>922</v>
      </c>
      <c r="AN92" s="12">
        <v>1</v>
      </c>
    </row>
    <row r="93" spans="1:40" x14ac:dyDescent="0.3">
      <c r="A93" s="62" t="s">
        <v>1548</v>
      </c>
      <c r="B93" s="62"/>
      <c r="C93" s="63"/>
      <c r="D93" s="63"/>
      <c r="E93" s="12" t="s">
        <v>923</v>
      </c>
      <c r="F93" s="12" t="s">
        <v>1194</v>
      </c>
      <c r="G93" s="12" t="b">
        <v>0</v>
      </c>
      <c r="H93" s="12" t="b">
        <v>0</v>
      </c>
      <c r="I93" s="12" t="b">
        <v>0</v>
      </c>
      <c r="J93" s="12" t="b">
        <v>1</v>
      </c>
      <c r="K93" s="12" t="b">
        <v>0</v>
      </c>
      <c r="L93" s="12" t="b">
        <v>1</v>
      </c>
      <c r="M93" s="12" t="b">
        <v>0</v>
      </c>
      <c r="N93" s="12">
        <v>0</v>
      </c>
      <c r="O93" s="12" t="b">
        <v>0</v>
      </c>
      <c r="P93" s="12" t="b">
        <v>0</v>
      </c>
      <c r="Q93" s="12" t="b">
        <v>0</v>
      </c>
      <c r="R93" s="12" t="b">
        <v>0</v>
      </c>
      <c r="S93" s="12" t="b">
        <v>0</v>
      </c>
      <c r="T93" s="12" t="b">
        <v>1</v>
      </c>
      <c r="U93" s="12" t="b">
        <v>0</v>
      </c>
      <c r="V93" s="12" t="b">
        <v>1</v>
      </c>
      <c r="W93" s="12" t="b">
        <v>0</v>
      </c>
      <c r="X93" s="12">
        <v>1</v>
      </c>
      <c r="Y93" s="12" t="b">
        <v>0</v>
      </c>
      <c r="Z93" s="12" t="b">
        <v>0</v>
      </c>
      <c r="AA93" s="12" t="b">
        <v>0</v>
      </c>
      <c r="AB93" s="12" t="b">
        <v>0</v>
      </c>
      <c r="AC93" s="12" t="b">
        <v>0</v>
      </c>
      <c r="AD93" s="12" t="b">
        <v>1</v>
      </c>
      <c r="AE93" s="12" t="b">
        <v>0</v>
      </c>
      <c r="AF93" s="12" t="b">
        <v>1</v>
      </c>
      <c r="AG93" s="12" t="b">
        <v>0</v>
      </c>
      <c r="AH93" s="12">
        <v>1</v>
      </c>
      <c r="AI93" s="12" t="b">
        <v>0</v>
      </c>
      <c r="AJ93" s="12" t="b">
        <v>0</v>
      </c>
      <c r="AK93" s="12" t="b">
        <v>1</v>
      </c>
      <c r="AL93" s="12">
        <v>1</v>
      </c>
      <c r="AM93" s="12" t="s">
        <v>922</v>
      </c>
      <c r="AN93" s="12">
        <v>1</v>
      </c>
    </row>
    <row r="94" spans="1:40" x14ac:dyDescent="0.3">
      <c r="A94" s="62" t="s">
        <v>1548</v>
      </c>
      <c r="B94" s="62"/>
      <c r="C94" s="63"/>
      <c r="D94" s="63"/>
      <c r="E94" s="12" t="s">
        <v>925</v>
      </c>
      <c r="F94" s="12" t="s">
        <v>1195</v>
      </c>
      <c r="G94" s="12" t="b">
        <v>0</v>
      </c>
      <c r="H94" s="12" t="b">
        <v>0</v>
      </c>
      <c r="I94" s="12" t="b">
        <v>0</v>
      </c>
      <c r="J94" s="12" t="b">
        <v>1</v>
      </c>
      <c r="K94" s="12" t="b">
        <v>0</v>
      </c>
      <c r="L94" s="12" t="b">
        <v>1</v>
      </c>
      <c r="M94" s="12" t="b">
        <v>0</v>
      </c>
      <c r="N94" s="12">
        <v>0</v>
      </c>
      <c r="O94" s="12" t="b">
        <v>0</v>
      </c>
      <c r="P94" s="12" t="b">
        <v>0</v>
      </c>
      <c r="Q94" s="12" t="b">
        <v>0</v>
      </c>
      <c r="R94" s="12" t="b">
        <v>0</v>
      </c>
      <c r="S94" s="12" t="b">
        <v>0</v>
      </c>
      <c r="T94" s="12" t="b">
        <v>1</v>
      </c>
      <c r="U94" s="12" t="b">
        <v>0</v>
      </c>
      <c r="V94" s="12" t="b">
        <v>1</v>
      </c>
      <c r="W94" s="12" t="b">
        <v>0</v>
      </c>
      <c r="X94" s="12">
        <v>1</v>
      </c>
      <c r="Y94" s="12" t="b">
        <v>0</v>
      </c>
      <c r="Z94" s="12" t="b">
        <v>0</v>
      </c>
      <c r="AA94" s="12" t="b">
        <v>0</v>
      </c>
      <c r="AB94" s="12" t="b">
        <v>0</v>
      </c>
      <c r="AC94" s="12" t="b">
        <v>0</v>
      </c>
      <c r="AD94" s="12" t="b">
        <v>1</v>
      </c>
      <c r="AE94" s="12" t="b">
        <v>0</v>
      </c>
      <c r="AF94" s="12" t="b">
        <v>1</v>
      </c>
      <c r="AG94" s="12" t="b">
        <v>0</v>
      </c>
      <c r="AH94" s="12">
        <v>1</v>
      </c>
      <c r="AI94" s="12" t="b">
        <v>0</v>
      </c>
      <c r="AJ94" s="12" t="b">
        <v>0</v>
      </c>
      <c r="AK94" s="12" t="b">
        <v>1</v>
      </c>
      <c r="AL94" s="12">
        <v>1</v>
      </c>
      <c r="AM94" s="12" t="s">
        <v>922</v>
      </c>
      <c r="AN94" s="12">
        <v>1</v>
      </c>
    </row>
    <row r="95" spans="1:40" x14ac:dyDescent="0.3">
      <c r="A95" s="62" t="s">
        <v>1548</v>
      </c>
      <c r="B95" s="62"/>
      <c r="C95" s="63"/>
      <c r="D95" s="63"/>
      <c r="E95" s="12" t="s">
        <v>927</v>
      </c>
      <c r="F95" s="12" t="s">
        <v>1196</v>
      </c>
      <c r="G95" s="12" t="b">
        <v>0</v>
      </c>
      <c r="H95" s="12" t="b">
        <v>0</v>
      </c>
      <c r="I95" s="12" t="b">
        <v>0</v>
      </c>
      <c r="J95" s="12" t="b">
        <v>1</v>
      </c>
      <c r="K95" s="12" t="b">
        <v>0</v>
      </c>
      <c r="L95" s="12" t="b">
        <v>1</v>
      </c>
      <c r="M95" s="12" t="b">
        <v>0</v>
      </c>
      <c r="N95" s="12">
        <v>0</v>
      </c>
      <c r="O95" s="12" t="b">
        <v>0</v>
      </c>
      <c r="P95" s="12" t="b">
        <v>0</v>
      </c>
      <c r="Q95" s="12" t="b">
        <v>0</v>
      </c>
      <c r="R95" s="12" t="b">
        <v>0</v>
      </c>
      <c r="S95" s="12" t="b">
        <v>0</v>
      </c>
      <c r="T95" s="12" t="b">
        <v>1</v>
      </c>
      <c r="U95" s="12" t="b">
        <v>0</v>
      </c>
      <c r="V95" s="12" t="b">
        <v>1</v>
      </c>
      <c r="W95" s="12" t="b">
        <v>0</v>
      </c>
      <c r="X95" s="12">
        <v>1</v>
      </c>
      <c r="Y95" s="12" t="b">
        <v>0</v>
      </c>
      <c r="Z95" s="12" t="b">
        <v>0</v>
      </c>
      <c r="AA95" s="12" t="b">
        <v>0</v>
      </c>
      <c r="AB95" s="12" t="b">
        <v>0</v>
      </c>
      <c r="AC95" s="12" t="b">
        <v>0</v>
      </c>
      <c r="AD95" s="12" t="b">
        <v>1</v>
      </c>
      <c r="AE95" s="12" t="b">
        <v>0</v>
      </c>
      <c r="AF95" s="12" t="b">
        <v>1</v>
      </c>
      <c r="AG95" s="12" t="b">
        <v>0</v>
      </c>
      <c r="AH95" s="12">
        <v>1</v>
      </c>
      <c r="AI95" s="12" t="b">
        <v>0</v>
      </c>
      <c r="AJ95" s="12" t="b">
        <v>0</v>
      </c>
      <c r="AK95" s="12" t="b">
        <v>1</v>
      </c>
      <c r="AL95" s="12">
        <v>1</v>
      </c>
      <c r="AM95" s="12" t="s">
        <v>922</v>
      </c>
      <c r="AN95" s="12">
        <v>1</v>
      </c>
    </row>
    <row r="96" spans="1:40" x14ac:dyDescent="0.3">
      <c r="A96" s="62" t="s">
        <v>1548</v>
      </c>
      <c r="B96" s="62"/>
      <c r="C96" s="63"/>
      <c r="D96" s="63"/>
      <c r="E96" s="12" t="s">
        <v>929</v>
      </c>
      <c r="F96" s="12" t="s">
        <v>1197</v>
      </c>
      <c r="G96" s="12" t="b">
        <v>0</v>
      </c>
      <c r="H96" s="12" t="b">
        <v>0</v>
      </c>
      <c r="I96" s="12" t="b">
        <v>0</v>
      </c>
      <c r="J96" s="12" t="b">
        <v>1</v>
      </c>
      <c r="K96" s="12" t="b">
        <v>0</v>
      </c>
      <c r="L96" s="12" t="b">
        <v>1</v>
      </c>
      <c r="M96" s="12" t="b">
        <v>0</v>
      </c>
      <c r="N96" s="12">
        <v>0</v>
      </c>
      <c r="O96" s="12" t="b">
        <v>0</v>
      </c>
      <c r="P96" s="12" t="b">
        <v>0</v>
      </c>
      <c r="Q96" s="12" t="b">
        <v>0</v>
      </c>
      <c r="R96" s="12" t="b">
        <v>0</v>
      </c>
      <c r="S96" s="12" t="b">
        <v>0</v>
      </c>
      <c r="T96" s="12" t="b">
        <v>1</v>
      </c>
      <c r="U96" s="12" t="b">
        <v>0</v>
      </c>
      <c r="V96" s="12" t="b">
        <v>1</v>
      </c>
      <c r="W96" s="12" t="b">
        <v>0</v>
      </c>
      <c r="X96" s="12">
        <v>1</v>
      </c>
      <c r="Y96" s="12" t="b">
        <v>0</v>
      </c>
      <c r="Z96" s="12" t="b">
        <v>0</v>
      </c>
      <c r="AA96" s="12" t="b">
        <v>0</v>
      </c>
      <c r="AB96" s="12" t="b">
        <v>0</v>
      </c>
      <c r="AC96" s="12" t="b">
        <v>0</v>
      </c>
      <c r="AD96" s="12" t="b">
        <v>1</v>
      </c>
      <c r="AE96" s="12" t="b">
        <v>0</v>
      </c>
      <c r="AF96" s="12" t="b">
        <v>1</v>
      </c>
      <c r="AG96" s="12" t="b">
        <v>0</v>
      </c>
      <c r="AH96" s="12">
        <v>1</v>
      </c>
      <c r="AI96" s="12" t="b">
        <v>0</v>
      </c>
      <c r="AJ96" s="12" t="b">
        <v>0</v>
      </c>
      <c r="AK96" s="12" t="b">
        <v>1</v>
      </c>
      <c r="AL96" s="12">
        <v>1</v>
      </c>
      <c r="AM96" s="12" t="s">
        <v>922</v>
      </c>
      <c r="AN96" s="12">
        <v>1</v>
      </c>
    </row>
    <row r="97" spans="1:40" x14ac:dyDescent="0.3">
      <c r="A97" s="62" t="s">
        <v>1548</v>
      </c>
      <c r="B97" s="62"/>
      <c r="C97" s="63"/>
      <c r="D97" s="63"/>
      <c r="E97" s="12" t="s">
        <v>931</v>
      </c>
      <c r="F97" s="12" t="s">
        <v>1198</v>
      </c>
      <c r="G97" s="12" t="b">
        <v>0</v>
      </c>
      <c r="H97" s="12" t="b">
        <v>0</v>
      </c>
      <c r="I97" s="12" t="b">
        <v>0</v>
      </c>
      <c r="J97" s="12" t="b">
        <v>1</v>
      </c>
      <c r="K97" s="12" t="b">
        <v>0</v>
      </c>
      <c r="L97" s="12" t="b">
        <v>1</v>
      </c>
      <c r="M97" s="12" t="b">
        <v>0</v>
      </c>
      <c r="N97" s="12">
        <v>0</v>
      </c>
      <c r="O97" s="12" t="b">
        <v>0</v>
      </c>
      <c r="P97" s="12" t="b">
        <v>0</v>
      </c>
      <c r="Q97" s="12" t="b">
        <v>0</v>
      </c>
      <c r="R97" s="12" t="b">
        <v>0</v>
      </c>
      <c r="S97" s="12" t="b">
        <v>0</v>
      </c>
      <c r="T97" s="12" t="b">
        <v>1</v>
      </c>
      <c r="U97" s="12" t="b">
        <v>0</v>
      </c>
      <c r="V97" s="12" t="b">
        <v>1</v>
      </c>
      <c r="W97" s="12" t="b">
        <v>0</v>
      </c>
      <c r="X97" s="12">
        <v>1</v>
      </c>
      <c r="Y97" s="12" t="b">
        <v>0</v>
      </c>
      <c r="Z97" s="12" t="b">
        <v>0</v>
      </c>
      <c r="AA97" s="12" t="b">
        <v>0</v>
      </c>
      <c r="AB97" s="12" t="b">
        <v>0</v>
      </c>
      <c r="AC97" s="12" t="b">
        <v>0</v>
      </c>
      <c r="AD97" s="12" t="b">
        <v>1</v>
      </c>
      <c r="AE97" s="12" t="b">
        <v>0</v>
      </c>
      <c r="AF97" s="12" t="b">
        <v>1</v>
      </c>
      <c r="AG97" s="12" t="b">
        <v>0</v>
      </c>
      <c r="AH97" s="12">
        <v>1</v>
      </c>
      <c r="AI97" s="12" t="b">
        <v>0</v>
      </c>
      <c r="AJ97" s="12" t="b">
        <v>0</v>
      </c>
      <c r="AK97" s="12" t="b">
        <v>1</v>
      </c>
      <c r="AL97" s="12">
        <v>1</v>
      </c>
      <c r="AM97" s="12" t="s">
        <v>922</v>
      </c>
      <c r="AN97" s="12">
        <v>1</v>
      </c>
    </row>
    <row r="98" spans="1:40" x14ac:dyDescent="0.3">
      <c r="A98" s="62" t="s">
        <v>1548</v>
      </c>
      <c r="B98" s="62"/>
      <c r="C98" s="63"/>
      <c r="D98" s="63"/>
      <c r="E98" s="12" t="s">
        <v>1563</v>
      </c>
      <c r="F98" s="12" t="s">
        <v>1565</v>
      </c>
      <c r="G98" s="12" t="b">
        <v>0</v>
      </c>
      <c r="H98" s="12" t="b">
        <v>0</v>
      </c>
      <c r="I98" s="12" t="b">
        <v>0</v>
      </c>
      <c r="J98" s="12" t="b">
        <v>1</v>
      </c>
      <c r="K98" s="12" t="b">
        <v>0</v>
      </c>
      <c r="L98" s="12" t="b">
        <v>1</v>
      </c>
      <c r="M98" s="12" t="b">
        <v>0</v>
      </c>
      <c r="N98" s="12">
        <v>0</v>
      </c>
      <c r="O98" s="12" t="b">
        <v>0</v>
      </c>
      <c r="P98" s="12" t="b">
        <v>0</v>
      </c>
      <c r="Q98" s="12" t="b">
        <v>0</v>
      </c>
      <c r="R98" s="12" t="b">
        <v>0</v>
      </c>
      <c r="S98" s="12" t="b">
        <v>0</v>
      </c>
      <c r="T98" s="12" t="b">
        <v>1</v>
      </c>
      <c r="U98" s="12" t="b">
        <v>0</v>
      </c>
      <c r="V98" s="12" t="b">
        <v>1</v>
      </c>
      <c r="W98" s="12" t="b">
        <v>0</v>
      </c>
      <c r="X98" s="12">
        <v>1</v>
      </c>
      <c r="Y98" s="12" t="b">
        <v>0</v>
      </c>
      <c r="Z98" s="12" t="b">
        <v>0</v>
      </c>
      <c r="AA98" s="12" t="b">
        <v>0</v>
      </c>
      <c r="AB98" s="12" t="b">
        <v>0</v>
      </c>
      <c r="AC98" s="12" t="b">
        <v>0</v>
      </c>
      <c r="AD98" s="12" t="b">
        <v>1</v>
      </c>
      <c r="AE98" s="12" t="b">
        <v>0</v>
      </c>
      <c r="AF98" s="12" t="b">
        <v>1</v>
      </c>
      <c r="AG98" s="12" t="b">
        <v>0</v>
      </c>
      <c r="AH98" s="12">
        <v>1</v>
      </c>
      <c r="AI98" s="12" t="b">
        <v>0</v>
      </c>
      <c r="AJ98" s="12" t="b">
        <v>0</v>
      </c>
      <c r="AK98" s="12" t="b">
        <v>1</v>
      </c>
      <c r="AL98" s="12">
        <v>1</v>
      </c>
      <c r="AM98" s="12" t="s">
        <v>922</v>
      </c>
      <c r="AN98" s="12">
        <v>1</v>
      </c>
    </row>
    <row r="99" spans="1:40" x14ac:dyDescent="0.3">
      <c r="A99" s="62" t="s">
        <v>1548</v>
      </c>
      <c r="B99" s="62"/>
      <c r="C99" s="63"/>
      <c r="D99" s="63"/>
      <c r="E99" s="12" t="s">
        <v>1586</v>
      </c>
      <c r="F99" s="12" t="s">
        <v>2046</v>
      </c>
      <c r="G99" s="12" t="b">
        <v>0</v>
      </c>
      <c r="H99" s="12" t="b">
        <v>1</v>
      </c>
      <c r="I99" s="12" t="b">
        <v>1</v>
      </c>
      <c r="J99" s="12" t="b">
        <v>1</v>
      </c>
      <c r="K99" s="12" t="b">
        <v>0</v>
      </c>
      <c r="L99" s="12" t="b">
        <v>0</v>
      </c>
      <c r="M99" s="12" t="b">
        <v>0</v>
      </c>
      <c r="N99" s="12">
        <v>0</v>
      </c>
      <c r="O99" s="12" t="b">
        <v>0</v>
      </c>
      <c r="P99" s="12" t="b">
        <v>0</v>
      </c>
      <c r="Q99" s="12" t="b">
        <v>0</v>
      </c>
      <c r="R99" s="12" t="b">
        <v>1</v>
      </c>
      <c r="S99" s="12" t="b">
        <v>1</v>
      </c>
      <c r="T99" s="12" t="b">
        <v>1</v>
      </c>
      <c r="U99" s="12" t="b">
        <v>0</v>
      </c>
      <c r="V99" s="12" t="b">
        <v>0</v>
      </c>
      <c r="W99" s="12" t="b">
        <v>0</v>
      </c>
      <c r="X99" s="12">
        <v>1</v>
      </c>
      <c r="Y99" s="12" t="b">
        <v>0</v>
      </c>
      <c r="Z99" s="12" t="b">
        <v>0</v>
      </c>
      <c r="AA99" s="12" t="b">
        <v>0</v>
      </c>
      <c r="AB99" s="12" t="b">
        <v>0</v>
      </c>
      <c r="AC99" s="12" t="b">
        <v>0</v>
      </c>
      <c r="AD99" s="12" t="b">
        <v>1</v>
      </c>
      <c r="AE99" s="12" t="b">
        <v>0</v>
      </c>
      <c r="AF99" s="12" t="b">
        <v>1</v>
      </c>
      <c r="AG99" s="12" t="b">
        <v>0</v>
      </c>
      <c r="AH99" s="12">
        <v>1</v>
      </c>
      <c r="AI99" s="12" t="b">
        <v>0</v>
      </c>
      <c r="AJ99" s="12" t="b">
        <v>0</v>
      </c>
      <c r="AK99" s="12" t="b">
        <v>1</v>
      </c>
      <c r="AL99" s="12">
        <v>1</v>
      </c>
      <c r="AM99" s="12" t="s">
        <v>1476</v>
      </c>
      <c r="AN99" s="12">
        <v>1</v>
      </c>
    </row>
    <row r="100" spans="1:40" x14ac:dyDescent="0.3">
      <c r="A100" s="62" t="s">
        <v>1548</v>
      </c>
      <c r="B100" s="62"/>
      <c r="C100" s="63"/>
      <c r="D100" s="63"/>
      <c r="E100" s="12" t="s">
        <v>904</v>
      </c>
      <c r="F100" s="12" t="s">
        <v>1201</v>
      </c>
      <c r="G100" s="12" t="b">
        <v>0</v>
      </c>
      <c r="H100" s="12" t="b">
        <v>1</v>
      </c>
      <c r="I100" s="12" t="b">
        <v>1</v>
      </c>
      <c r="J100" s="12" t="b">
        <v>1</v>
      </c>
      <c r="K100" s="12" t="b">
        <v>0</v>
      </c>
      <c r="L100" s="12" t="b">
        <v>0</v>
      </c>
      <c r="M100" s="12" t="b">
        <v>0</v>
      </c>
      <c r="N100" s="12">
        <v>0</v>
      </c>
      <c r="O100" s="12" t="b">
        <v>0</v>
      </c>
      <c r="P100" s="12" t="b">
        <v>0</v>
      </c>
      <c r="Q100" s="12" t="b">
        <v>0</v>
      </c>
      <c r="R100" s="12" t="b">
        <v>1</v>
      </c>
      <c r="S100" s="12" t="b">
        <v>1</v>
      </c>
      <c r="T100" s="12" t="b">
        <v>1</v>
      </c>
      <c r="U100" s="12" t="b">
        <v>0</v>
      </c>
      <c r="V100" s="12" t="b">
        <v>0</v>
      </c>
      <c r="W100" s="12" t="b">
        <v>0</v>
      </c>
      <c r="X100" s="12">
        <v>1</v>
      </c>
      <c r="Y100" s="12" t="b">
        <v>0</v>
      </c>
      <c r="Z100" s="12" t="b">
        <v>0</v>
      </c>
      <c r="AA100" s="12" t="b">
        <v>0</v>
      </c>
      <c r="AB100" s="12" t="b">
        <v>0</v>
      </c>
      <c r="AC100" s="12" t="b">
        <v>0</v>
      </c>
      <c r="AD100" s="12" t="b">
        <v>1</v>
      </c>
      <c r="AE100" s="12" t="b">
        <v>0</v>
      </c>
      <c r="AF100" s="12" t="b">
        <v>1</v>
      </c>
      <c r="AG100" s="12" t="b">
        <v>0</v>
      </c>
      <c r="AH100" s="12">
        <v>1</v>
      </c>
      <c r="AI100" s="12" t="b">
        <v>0</v>
      </c>
      <c r="AJ100" s="12" t="b">
        <v>0</v>
      </c>
      <c r="AK100" s="12" t="b">
        <v>1</v>
      </c>
      <c r="AL100" s="12">
        <v>1</v>
      </c>
      <c r="AM100" s="12" t="s">
        <v>1476</v>
      </c>
      <c r="AN100" s="12">
        <v>1</v>
      </c>
    </row>
    <row r="101" spans="1:40" x14ac:dyDescent="0.3">
      <c r="A101" s="62" t="s">
        <v>1548</v>
      </c>
      <c r="B101" s="62"/>
      <c r="C101" s="63"/>
      <c r="D101" s="63"/>
      <c r="E101" s="12" t="s">
        <v>908</v>
      </c>
      <c r="F101" s="12" t="s">
        <v>1199</v>
      </c>
      <c r="G101" s="12" t="b">
        <v>0</v>
      </c>
      <c r="H101" s="12" t="b">
        <v>1</v>
      </c>
      <c r="I101" s="12" t="b">
        <v>1</v>
      </c>
      <c r="J101" s="12" t="b">
        <v>1</v>
      </c>
      <c r="K101" s="12" t="b">
        <v>0</v>
      </c>
      <c r="L101" s="12" t="b">
        <v>0</v>
      </c>
      <c r="M101" s="12" t="b">
        <v>0</v>
      </c>
      <c r="N101" s="12">
        <v>0</v>
      </c>
      <c r="O101" s="12" t="b">
        <v>0</v>
      </c>
      <c r="P101" s="12" t="b">
        <v>0</v>
      </c>
      <c r="Q101" s="12" t="b">
        <v>0</v>
      </c>
      <c r="R101" s="12" t="b">
        <v>1</v>
      </c>
      <c r="S101" s="12" t="b">
        <v>1</v>
      </c>
      <c r="T101" s="12" t="b">
        <v>1</v>
      </c>
      <c r="U101" s="12" t="b">
        <v>0</v>
      </c>
      <c r="V101" s="12" t="b">
        <v>0</v>
      </c>
      <c r="W101" s="12" t="b">
        <v>0</v>
      </c>
      <c r="X101" s="12">
        <v>1</v>
      </c>
      <c r="Y101" s="12" t="b">
        <v>0</v>
      </c>
      <c r="Z101" s="12" t="b">
        <v>0</v>
      </c>
      <c r="AA101" s="12" t="b">
        <v>0</v>
      </c>
      <c r="AB101" s="12" t="b">
        <v>0</v>
      </c>
      <c r="AC101" s="12" t="b">
        <v>0</v>
      </c>
      <c r="AD101" s="12" t="b">
        <v>1</v>
      </c>
      <c r="AE101" s="12" t="b">
        <v>0</v>
      </c>
      <c r="AF101" s="12" t="b">
        <v>1</v>
      </c>
      <c r="AG101" s="12" t="b">
        <v>0</v>
      </c>
      <c r="AH101" s="12">
        <v>1</v>
      </c>
      <c r="AI101" s="12" t="b">
        <v>0</v>
      </c>
      <c r="AJ101" s="12" t="b">
        <v>0</v>
      </c>
      <c r="AK101" s="12" t="b">
        <v>1</v>
      </c>
      <c r="AL101" s="12">
        <v>1</v>
      </c>
      <c r="AM101" s="12" t="s">
        <v>1476</v>
      </c>
      <c r="AN101" s="12">
        <v>1</v>
      </c>
    </row>
    <row r="102" spans="1:40" x14ac:dyDescent="0.3">
      <c r="A102" s="62" t="s">
        <v>1548</v>
      </c>
      <c r="B102" s="62"/>
      <c r="C102" s="63"/>
      <c r="D102" s="63"/>
      <c r="E102" s="12" t="s">
        <v>906</v>
      </c>
      <c r="F102" s="12" t="s">
        <v>1202</v>
      </c>
      <c r="G102" s="12" t="b">
        <v>0</v>
      </c>
      <c r="H102" s="12" t="b">
        <v>1</v>
      </c>
      <c r="I102" s="12" t="b">
        <v>1</v>
      </c>
      <c r="J102" s="12" t="b">
        <v>1</v>
      </c>
      <c r="K102" s="12" t="b">
        <v>0</v>
      </c>
      <c r="L102" s="12" t="b">
        <v>0</v>
      </c>
      <c r="M102" s="12" t="b">
        <v>0</v>
      </c>
      <c r="N102" s="12">
        <v>0</v>
      </c>
      <c r="O102" s="12" t="b">
        <v>0</v>
      </c>
      <c r="P102" s="12" t="b">
        <v>0</v>
      </c>
      <c r="Q102" s="12" t="b">
        <v>0</v>
      </c>
      <c r="R102" s="12" t="b">
        <v>1</v>
      </c>
      <c r="S102" s="12" t="b">
        <v>1</v>
      </c>
      <c r="T102" s="12" t="b">
        <v>1</v>
      </c>
      <c r="U102" s="12" t="b">
        <v>0</v>
      </c>
      <c r="V102" s="12" t="b">
        <v>0</v>
      </c>
      <c r="W102" s="12" t="b">
        <v>0</v>
      </c>
      <c r="X102" s="12">
        <v>1</v>
      </c>
      <c r="Y102" s="12" t="b">
        <v>0</v>
      </c>
      <c r="Z102" s="12" t="b">
        <v>0</v>
      </c>
      <c r="AA102" s="12" t="b">
        <v>0</v>
      </c>
      <c r="AB102" s="12" t="b">
        <v>0</v>
      </c>
      <c r="AC102" s="12" t="b">
        <v>0</v>
      </c>
      <c r="AD102" s="12" t="b">
        <v>1</v>
      </c>
      <c r="AE102" s="12" t="b">
        <v>0</v>
      </c>
      <c r="AF102" s="12" t="b">
        <v>1</v>
      </c>
      <c r="AG102" s="12" t="b">
        <v>0</v>
      </c>
      <c r="AH102" s="12">
        <v>1</v>
      </c>
      <c r="AI102" s="12" t="b">
        <v>0</v>
      </c>
      <c r="AJ102" s="12" t="b">
        <v>0</v>
      </c>
      <c r="AK102" s="12" t="b">
        <v>1</v>
      </c>
      <c r="AL102" s="12">
        <v>1</v>
      </c>
      <c r="AM102" s="12" t="s">
        <v>1476</v>
      </c>
      <c r="AN102" s="12">
        <v>1</v>
      </c>
    </row>
    <row r="103" spans="1:40" x14ac:dyDescent="0.3">
      <c r="A103" s="62" t="s">
        <v>1548</v>
      </c>
      <c r="B103" s="62"/>
      <c r="C103" s="63"/>
      <c r="D103" s="63"/>
      <c r="E103" s="12" t="s">
        <v>910</v>
      </c>
      <c r="F103" s="12" t="s">
        <v>1200</v>
      </c>
      <c r="G103" s="12" t="b">
        <v>0</v>
      </c>
      <c r="H103" s="12" t="b">
        <v>1</v>
      </c>
      <c r="I103" s="12" t="b">
        <v>1</v>
      </c>
      <c r="J103" s="12" t="b">
        <v>1</v>
      </c>
      <c r="K103" s="12" t="b">
        <v>0</v>
      </c>
      <c r="L103" s="12" t="b">
        <v>0</v>
      </c>
      <c r="M103" s="12" t="b">
        <v>0</v>
      </c>
      <c r="N103" s="12">
        <v>0</v>
      </c>
      <c r="O103" s="12" t="b">
        <v>0</v>
      </c>
      <c r="P103" s="12" t="b">
        <v>0</v>
      </c>
      <c r="Q103" s="12" t="b">
        <v>0</v>
      </c>
      <c r="R103" s="12" t="b">
        <v>1</v>
      </c>
      <c r="S103" s="12" t="b">
        <v>1</v>
      </c>
      <c r="T103" s="12" t="b">
        <v>1</v>
      </c>
      <c r="U103" s="12" t="b">
        <v>0</v>
      </c>
      <c r="V103" s="12" t="b">
        <v>0</v>
      </c>
      <c r="W103" s="12" t="b">
        <v>0</v>
      </c>
      <c r="X103" s="12">
        <v>1</v>
      </c>
      <c r="Y103" s="12" t="b">
        <v>0</v>
      </c>
      <c r="Z103" s="12" t="b">
        <v>0</v>
      </c>
      <c r="AA103" s="12" t="b">
        <v>0</v>
      </c>
      <c r="AB103" s="12" t="b">
        <v>0</v>
      </c>
      <c r="AC103" s="12" t="b">
        <v>0</v>
      </c>
      <c r="AD103" s="12" t="b">
        <v>1</v>
      </c>
      <c r="AE103" s="12" t="b">
        <v>0</v>
      </c>
      <c r="AF103" s="12" t="b">
        <v>1</v>
      </c>
      <c r="AG103" s="12" t="b">
        <v>0</v>
      </c>
      <c r="AH103" s="12">
        <v>1</v>
      </c>
      <c r="AI103" s="12" t="b">
        <v>0</v>
      </c>
      <c r="AJ103" s="12" t="b">
        <v>0</v>
      </c>
      <c r="AK103" s="12" t="b">
        <v>1</v>
      </c>
      <c r="AL103" s="12">
        <v>1</v>
      </c>
      <c r="AM103" s="12" t="s">
        <v>1476</v>
      </c>
      <c r="AN103" s="12">
        <v>1</v>
      </c>
    </row>
    <row r="104" spans="1:40" x14ac:dyDescent="0.3">
      <c r="A104" s="62" t="s">
        <v>1548</v>
      </c>
      <c r="B104" s="62"/>
      <c r="C104" s="63"/>
      <c r="D104" s="63"/>
      <c r="E104" s="12" t="s">
        <v>2047</v>
      </c>
      <c r="F104" s="12" t="s">
        <v>2048</v>
      </c>
      <c r="G104" s="12" t="b">
        <v>0</v>
      </c>
      <c r="H104" s="12" t="b">
        <v>1</v>
      </c>
      <c r="I104" s="12" t="b">
        <v>1</v>
      </c>
      <c r="J104" s="12" t="b">
        <v>1</v>
      </c>
      <c r="K104" s="12" t="b">
        <v>0</v>
      </c>
      <c r="L104" s="12" t="b">
        <v>0</v>
      </c>
      <c r="M104" s="12" t="b">
        <v>0</v>
      </c>
      <c r="N104" s="12">
        <v>0</v>
      </c>
      <c r="O104" s="12" t="b">
        <v>0</v>
      </c>
      <c r="P104" s="12" t="b">
        <v>0</v>
      </c>
      <c r="Q104" s="12" t="b">
        <v>0</v>
      </c>
      <c r="R104" s="12" t="b">
        <v>1</v>
      </c>
      <c r="S104" s="12" t="b">
        <v>1</v>
      </c>
      <c r="T104" s="12" t="b">
        <v>1</v>
      </c>
      <c r="U104" s="12" t="b">
        <v>0</v>
      </c>
      <c r="V104" s="12" t="b">
        <v>0</v>
      </c>
      <c r="W104" s="12" t="b">
        <v>0</v>
      </c>
      <c r="X104" s="12">
        <v>1</v>
      </c>
      <c r="Y104" s="12" t="b">
        <v>0</v>
      </c>
      <c r="Z104" s="12" t="b">
        <v>0</v>
      </c>
      <c r="AA104" s="12" t="b">
        <v>0</v>
      </c>
      <c r="AB104" s="12" t="b">
        <v>0</v>
      </c>
      <c r="AC104" s="12" t="b">
        <v>0</v>
      </c>
      <c r="AD104" s="12" t="b">
        <v>1</v>
      </c>
      <c r="AE104" s="12" t="b">
        <v>0</v>
      </c>
      <c r="AF104" s="12" t="b">
        <v>1</v>
      </c>
      <c r="AG104" s="12" t="b">
        <v>0</v>
      </c>
      <c r="AH104" s="12">
        <v>1</v>
      </c>
      <c r="AI104" s="12" t="b">
        <v>0</v>
      </c>
      <c r="AJ104" s="12" t="b">
        <v>0</v>
      </c>
      <c r="AK104" s="12" t="b">
        <v>1</v>
      </c>
      <c r="AL104" s="12">
        <v>1</v>
      </c>
      <c r="AM104" s="12" t="s">
        <v>1476</v>
      </c>
      <c r="AN104" s="12">
        <v>1</v>
      </c>
    </row>
    <row r="105" spans="1:40" x14ac:dyDescent="0.3">
      <c r="A105" s="62" t="s">
        <v>1548</v>
      </c>
      <c r="B105" s="62"/>
      <c r="C105" s="63"/>
      <c r="D105" s="63"/>
      <c r="E105" s="12" t="s">
        <v>1207</v>
      </c>
      <c r="F105" s="12" t="s">
        <v>1208</v>
      </c>
      <c r="G105" s="12" t="b">
        <v>0</v>
      </c>
      <c r="H105" s="12" t="b">
        <v>1</v>
      </c>
      <c r="I105" s="12" t="b">
        <v>1</v>
      </c>
      <c r="J105" s="12" t="b">
        <v>1</v>
      </c>
      <c r="K105" s="12" t="b">
        <v>0</v>
      </c>
      <c r="L105" s="12" t="b">
        <v>0</v>
      </c>
      <c r="M105" s="12" t="b">
        <v>0</v>
      </c>
      <c r="N105" s="12">
        <v>0</v>
      </c>
      <c r="O105" s="12" t="b">
        <v>0</v>
      </c>
      <c r="P105" s="12" t="b">
        <v>0</v>
      </c>
      <c r="Q105" s="12" t="b">
        <v>0</v>
      </c>
      <c r="R105" s="12" t="b">
        <v>0</v>
      </c>
      <c r="S105" s="12" t="b">
        <v>0</v>
      </c>
      <c r="T105" s="12" t="b">
        <v>1</v>
      </c>
      <c r="U105" s="12" t="b">
        <v>0</v>
      </c>
      <c r="V105" s="12" t="b">
        <v>1</v>
      </c>
      <c r="W105" s="12" t="b">
        <v>0</v>
      </c>
      <c r="X105" s="12">
        <v>1</v>
      </c>
      <c r="Y105" s="12" t="b">
        <v>0</v>
      </c>
      <c r="Z105" s="12" t="b">
        <v>0</v>
      </c>
      <c r="AA105" s="12" t="b">
        <v>1</v>
      </c>
      <c r="AB105" s="12" t="b">
        <v>1</v>
      </c>
      <c r="AC105" s="12" t="b">
        <v>1</v>
      </c>
      <c r="AD105" s="12" t="b">
        <v>1</v>
      </c>
      <c r="AE105" s="12" t="b">
        <v>0</v>
      </c>
      <c r="AF105" s="12" t="b">
        <v>0</v>
      </c>
      <c r="AG105" s="12" t="b">
        <v>0</v>
      </c>
      <c r="AH105" s="12">
        <v>0</v>
      </c>
      <c r="AI105" s="12" t="b">
        <v>0</v>
      </c>
      <c r="AJ105" s="12" t="b">
        <v>0</v>
      </c>
      <c r="AK105" s="12" t="b">
        <v>1</v>
      </c>
      <c r="AL105" s="12">
        <v>1</v>
      </c>
      <c r="AM105" s="12" t="s">
        <v>900</v>
      </c>
      <c r="AN105" s="12">
        <v>1</v>
      </c>
    </row>
    <row r="106" spans="1:40" x14ac:dyDescent="0.3">
      <c r="A106" s="62" t="s">
        <v>1548</v>
      </c>
      <c r="B106" s="62"/>
      <c r="C106" s="63"/>
      <c r="D106" s="63"/>
      <c r="E106" s="12" t="s">
        <v>1203</v>
      </c>
      <c r="F106" s="12" t="s">
        <v>1204</v>
      </c>
      <c r="G106" s="12" t="b">
        <v>0</v>
      </c>
      <c r="H106" s="12" t="b">
        <v>1</v>
      </c>
      <c r="I106" s="12" t="b">
        <v>1</v>
      </c>
      <c r="J106" s="12" t="b">
        <v>1</v>
      </c>
      <c r="K106" s="12" t="b">
        <v>0</v>
      </c>
      <c r="L106" s="12" t="b">
        <v>0</v>
      </c>
      <c r="M106" s="12" t="b">
        <v>0</v>
      </c>
      <c r="N106" s="12">
        <v>0</v>
      </c>
      <c r="O106" s="12" t="b">
        <v>0</v>
      </c>
      <c r="P106" s="12" t="b">
        <v>0</v>
      </c>
      <c r="Q106" s="12" t="b">
        <v>0</v>
      </c>
      <c r="R106" s="12" t="b">
        <v>0</v>
      </c>
      <c r="S106" s="12" t="b">
        <v>0</v>
      </c>
      <c r="T106" s="12" t="b">
        <v>1</v>
      </c>
      <c r="U106" s="12" t="b">
        <v>0</v>
      </c>
      <c r="V106" s="12" t="b">
        <v>1</v>
      </c>
      <c r="W106" s="12" t="b">
        <v>0</v>
      </c>
      <c r="X106" s="12">
        <v>1</v>
      </c>
      <c r="Y106" s="12" t="b">
        <v>0</v>
      </c>
      <c r="Z106" s="12" t="b">
        <v>0</v>
      </c>
      <c r="AA106" s="12" t="b">
        <v>1</v>
      </c>
      <c r="AB106" s="12" t="b">
        <v>1</v>
      </c>
      <c r="AC106" s="12" t="b">
        <v>1</v>
      </c>
      <c r="AD106" s="12" t="b">
        <v>1</v>
      </c>
      <c r="AE106" s="12" t="b">
        <v>0</v>
      </c>
      <c r="AF106" s="12" t="b">
        <v>0</v>
      </c>
      <c r="AG106" s="12" t="b">
        <v>0</v>
      </c>
      <c r="AH106" s="12">
        <v>0</v>
      </c>
      <c r="AI106" s="12" t="b">
        <v>0</v>
      </c>
      <c r="AJ106" s="12" t="b">
        <v>0</v>
      </c>
      <c r="AK106" s="12" t="b">
        <v>1</v>
      </c>
      <c r="AL106" s="12">
        <v>1</v>
      </c>
      <c r="AM106" s="12" t="s">
        <v>900</v>
      </c>
      <c r="AN106" s="12">
        <v>1</v>
      </c>
    </row>
    <row r="107" spans="1:40" x14ac:dyDescent="0.3">
      <c r="A107" s="62" t="s">
        <v>1548</v>
      </c>
      <c r="B107" s="62"/>
      <c r="C107" s="63"/>
      <c r="D107" s="63"/>
      <c r="E107" s="12" t="s">
        <v>1209</v>
      </c>
      <c r="F107" s="12" t="s">
        <v>1210</v>
      </c>
      <c r="G107" s="12" t="b">
        <v>0</v>
      </c>
      <c r="H107" s="12" t="b">
        <v>1</v>
      </c>
      <c r="I107" s="12" t="b">
        <v>1</v>
      </c>
      <c r="J107" s="12" t="b">
        <v>1</v>
      </c>
      <c r="K107" s="12" t="b">
        <v>0</v>
      </c>
      <c r="L107" s="12" t="b">
        <v>0</v>
      </c>
      <c r="M107" s="12" t="b">
        <v>0</v>
      </c>
      <c r="N107" s="12">
        <v>0</v>
      </c>
      <c r="O107" s="12" t="b">
        <v>0</v>
      </c>
      <c r="P107" s="12" t="b">
        <v>0</v>
      </c>
      <c r="Q107" s="12" t="b">
        <v>0</v>
      </c>
      <c r="R107" s="12" t="b">
        <v>0</v>
      </c>
      <c r="S107" s="12" t="b">
        <v>0</v>
      </c>
      <c r="T107" s="12" t="b">
        <v>1</v>
      </c>
      <c r="U107" s="12" t="b">
        <v>0</v>
      </c>
      <c r="V107" s="12" t="b">
        <v>1</v>
      </c>
      <c r="W107" s="12" t="b">
        <v>0</v>
      </c>
      <c r="X107" s="12">
        <v>1</v>
      </c>
      <c r="Y107" s="12" t="b">
        <v>0</v>
      </c>
      <c r="Z107" s="12" t="b">
        <v>0</v>
      </c>
      <c r="AA107" s="12" t="b">
        <v>1</v>
      </c>
      <c r="AB107" s="12" t="b">
        <v>1</v>
      </c>
      <c r="AC107" s="12" t="b">
        <v>1</v>
      </c>
      <c r="AD107" s="12" t="b">
        <v>1</v>
      </c>
      <c r="AE107" s="12" t="b">
        <v>0</v>
      </c>
      <c r="AF107" s="12" t="b">
        <v>0</v>
      </c>
      <c r="AG107" s="12" t="b">
        <v>0</v>
      </c>
      <c r="AH107" s="12">
        <v>0</v>
      </c>
      <c r="AI107" s="12" t="b">
        <v>0</v>
      </c>
      <c r="AJ107" s="12" t="b">
        <v>0</v>
      </c>
      <c r="AK107" s="12" t="b">
        <v>1</v>
      </c>
      <c r="AL107" s="12">
        <v>1</v>
      </c>
      <c r="AM107" s="12" t="s">
        <v>900</v>
      </c>
      <c r="AN107" s="12">
        <v>1</v>
      </c>
    </row>
    <row r="108" spans="1:40" x14ac:dyDescent="0.3">
      <c r="A108" s="62" t="s">
        <v>1548</v>
      </c>
      <c r="B108" s="62"/>
      <c r="C108" s="63"/>
      <c r="D108" s="63"/>
      <c r="E108" s="12" t="s">
        <v>1205</v>
      </c>
      <c r="F108" s="12" t="s">
        <v>1206</v>
      </c>
      <c r="G108" s="12" t="b">
        <v>0</v>
      </c>
      <c r="H108" s="12" t="b">
        <v>1</v>
      </c>
      <c r="I108" s="12" t="b">
        <v>1</v>
      </c>
      <c r="J108" s="12" t="b">
        <v>1</v>
      </c>
      <c r="K108" s="12" t="b">
        <v>0</v>
      </c>
      <c r="L108" s="12" t="b">
        <v>0</v>
      </c>
      <c r="M108" s="12" t="b">
        <v>0</v>
      </c>
      <c r="N108" s="12">
        <v>0</v>
      </c>
      <c r="O108" s="12" t="b">
        <v>0</v>
      </c>
      <c r="P108" s="12" t="b">
        <v>0</v>
      </c>
      <c r="Q108" s="12" t="b">
        <v>0</v>
      </c>
      <c r="R108" s="12" t="b">
        <v>0</v>
      </c>
      <c r="S108" s="12" t="b">
        <v>0</v>
      </c>
      <c r="T108" s="12" t="b">
        <v>1</v>
      </c>
      <c r="U108" s="12" t="b">
        <v>0</v>
      </c>
      <c r="V108" s="12" t="b">
        <v>1</v>
      </c>
      <c r="W108" s="12" t="b">
        <v>0</v>
      </c>
      <c r="X108" s="12">
        <v>1</v>
      </c>
      <c r="Y108" s="12" t="b">
        <v>0</v>
      </c>
      <c r="Z108" s="12" t="b">
        <v>0</v>
      </c>
      <c r="AA108" s="12" t="b">
        <v>1</v>
      </c>
      <c r="AB108" s="12" t="b">
        <v>1</v>
      </c>
      <c r="AC108" s="12" t="b">
        <v>1</v>
      </c>
      <c r="AD108" s="12" t="b">
        <v>1</v>
      </c>
      <c r="AE108" s="12" t="b">
        <v>0</v>
      </c>
      <c r="AF108" s="12" t="b">
        <v>0</v>
      </c>
      <c r="AG108" s="12" t="b">
        <v>0</v>
      </c>
      <c r="AH108" s="12">
        <v>0</v>
      </c>
      <c r="AI108" s="12" t="b">
        <v>0</v>
      </c>
      <c r="AJ108" s="12" t="b">
        <v>0</v>
      </c>
      <c r="AK108" s="12" t="b">
        <v>1</v>
      </c>
      <c r="AL108" s="12">
        <v>1</v>
      </c>
      <c r="AM108" s="12" t="s">
        <v>900</v>
      </c>
      <c r="AN108" s="12">
        <v>1</v>
      </c>
    </row>
    <row r="109" spans="1:40" x14ac:dyDescent="0.3">
      <c r="A109" s="62" t="s">
        <v>1548</v>
      </c>
      <c r="B109" s="62"/>
      <c r="C109" s="63" t="s">
        <v>1464</v>
      </c>
      <c r="D109" s="52" t="s">
        <v>1630</v>
      </c>
      <c r="E109" s="12" t="s">
        <v>1761</v>
      </c>
      <c r="F109" s="12" t="s">
        <v>1549</v>
      </c>
      <c r="G109" s="12" t="b">
        <v>1</v>
      </c>
      <c r="H109" s="12" t="b">
        <v>1</v>
      </c>
      <c r="I109" s="12" t="b">
        <v>1</v>
      </c>
      <c r="J109" s="12" t="b">
        <v>1</v>
      </c>
      <c r="K109" s="12" t="b">
        <v>0</v>
      </c>
      <c r="L109" s="12" t="b">
        <v>0</v>
      </c>
      <c r="M109" s="12" t="b">
        <v>0</v>
      </c>
      <c r="N109" s="12">
        <v>0</v>
      </c>
      <c r="O109" s="12" t="b">
        <v>0</v>
      </c>
      <c r="P109" s="12" t="b">
        <v>0</v>
      </c>
      <c r="Q109" s="12" t="b">
        <v>0</v>
      </c>
      <c r="R109" s="12" t="b">
        <v>0</v>
      </c>
      <c r="S109" s="12" t="b">
        <v>0</v>
      </c>
      <c r="T109" s="12" t="b">
        <v>1</v>
      </c>
      <c r="U109" s="12" t="b">
        <v>0</v>
      </c>
      <c r="V109" s="12" t="b">
        <v>1</v>
      </c>
      <c r="W109" s="12" t="b">
        <v>0</v>
      </c>
      <c r="X109" s="12">
        <v>1</v>
      </c>
      <c r="Y109" s="12" t="b">
        <v>0</v>
      </c>
      <c r="Z109" s="12" t="b">
        <v>0</v>
      </c>
      <c r="AA109" s="12" t="b">
        <v>0</v>
      </c>
      <c r="AB109" s="12" t="b">
        <v>0</v>
      </c>
      <c r="AC109" s="12" t="b">
        <v>0</v>
      </c>
      <c r="AD109" s="12" t="b">
        <v>1</v>
      </c>
      <c r="AE109" s="12" t="b">
        <v>0</v>
      </c>
      <c r="AF109" s="12" t="b">
        <v>1</v>
      </c>
      <c r="AG109" s="12" t="b">
        <v>1</v>
      </c>
      <c r="AH109" s="12">
        <v>1</v>
      </c>
      <c r="AI109" s="12" t="b">
        <v>0</v>
      </c>
      <c r="AJ109" s="12" t="b">
        <v>0</v>
      </c>
      <c r="AK109" s="12" t="b">
        <v>1</v>
      </c>
      <c r="AL109" s="12">
        <v>1</v>
      </c>
      <c r="AM109" s="12" t="s">
        <v>900</v>
      </c>
      <c r="AN109" s="12">
        <v>1</v>
      </c>
    </row>
    <row r="110" spans="1:40" x14ac:dyDescent="0.3">
      <c r="A110" s="62" t="s">
        <v>1548</v>
      </c>
      <c r="B110" s="62"/>
      <c r="C110" s="63" t="s">
        <v>1466</v>
      </c>
      <c r="D110" s="52" t="s">
        <v>1630</v>
      </c>
      <c r="E110" s="12" t="s">
        <v>1761</v>
      </c>
      <c r="F110" s="12" t="s">
        <v>1549</v>
      </c>
      <c r="G110" s="12" t="b">
        <v>1</v>
      </c>
      <c r="H110" s="12" t="b">
        <v>1</v>
      </c>
      <c r="I110" s="12" t="b">
        <v>1</v>
      </c>
      <c r="J110" s="12" t="b">
        <v>1</v>
      </c>
      <c r="K110" s="12" t="b">
        <v>0</v>
      </c>
      <c r="L110" s="12" t="b">
        <v>0</v>
      </c>
      <c r="M110" s="12" t="b">
        <v>0</v>
      </c>
      <c r="N110" s="12">
        <v>0</v>
      </c>
      <c r="O110" s="12" t="b">
        <v>0</v>
      </c>
      <c r="P110" s="12" t="b">
        <v>0</v>
      </c>
      <c r="Q110" s="12" t="b">
        <v>0</v>
      </c>
      <c r="R110" s="12" t="b">
        <v>0</v>
      </c>
      <c r="S110" s="12" t="b">
        <v>0</v>
      </c>
      <c r="T110" s="12" t="b">
        <v>1</v>
      </c>
      <c r="U110" s="12" t="b">
        <v>0</v>
      </c>
      <c r="V110" s="12" t="b">
        <v>1</v>
      </c>
      <c r="W110" s="12" t="b">
        <v>0</v>
      </c>
      <c r="X110" s="12">
        <v>1</v>
      </c>
      <c r="Y110" s="12" t="b">
        <v>0</v>
      </c>
      <c r="Z110" s="12" t="b">
        <v>0</v>
      </c>
      <c r="AA110" s="12" t="b">
        <v>0</v>
      </c>
      <c r="AB110" s="12" t="b">
        <v>0</v>
      </c>
      <c r="AC110" s="12" t="b">
        <v>0</v>
      </c>
      <c r="AD110" s="12" t="b">
        <v>1</v>
      </c>
      <c r="AE110" s="12" t="b">
        <v>0</v>
      </c>
      <c r="AF110" s="12" t="b">
        <v>1</v>
      </c>
      <c r="AG110" s="12" t="b">
        <v>1</v>
      </c>
      <c r="AH110" s="12">
        <v>1</v>
      </c>
      <c r="AI110" s="12" t="b">
        <v>0</v>
      </c>
      <c r="AJ110" s="12" t="b">
        <v>0</v>
      </c>
      <c r="AK110" s="12" t="b">
        <v>1</v>
      </c>
      <c r="AL110" s="12">
        <v>1</v>
      </c>
      <c r="AM110" s="12" t="s">
        <v>900</v>
      </c>
      <c r="AN110" s="12">
        <v>1</v>
      </c>
    </row>
    <row r="111" spans="1:40" x14ac:dyDescent="0.3">
      <c r="A111" s="62" t="s">
        <v>1548</v>
      </c>
      <c r="B111" s="62"/>
      <c r="C111" s="63" t="s">
        <v>1467</v>
      </c>
      <c r="D111" s="52" t="s">
        <v>1630</v>
      </c>
      <c r="E111" s="12" t="s">
        <v>1761</v>
      </c>
      <c r="F111" s="12" t="s">
        <v>1549</v>
      </c>
      <c r="G111" s="12" t="b">
        <v>1</v>
      </c>
      <c r="H111" s="12" t="b">
        <v>1</v>
      </c>
      <c r="I111" s="12" t="b">
        <v>1</v>
      </c>
      <c r="J111" s="12" t="b">
        <v>1</v>
      </c>
      <c r="K111" s="12" t="b">
        <v>0</v>
      </c>
      <c r="L111" s="12" t="b">
        <v>0</v>
      </c>
      <c r="M111" s="12" t="b">
        <v>0</v>
      </c>
      <c r="N111" s="12">
        <v>0</v>
      </c>
      <c r="O111" s="12" t="b">
        <v>0</v>
      </c>
      <c r="P111" s="12" t="b">
        <v>0</v>
      </c>
      <c r="Q111" s="12" t="b">
        <v>0</v>
      </c>
      <c r="R111" s="12" t="b">
        <v>0</v>
      </c>
      <c r="S111" s="12" t="b">
        <v>0</v>
      </c>
      <c r="T111" s="12" t="b">
        <v>1</v>
      </c>
      <c r="U111" s="12" t="b">
        <v>0</v>
      </c>
      <c r="V111" s="12" t="b">
        <v>1</v>
      </c>
      <c r="W111" s="12" t="b">
        <v>0</v>
      </c>
      <c r="X111" s="12">
        <v>1</v>
      </c>
      <c r="Y111" s="12" t="b">
        <v>0</v>
      </c>
      <c r="Z111" s="12" t="b">
        <v>0</v>
      </c>
      <c r="AA111" s="12" t="b">
        <v>0</v>
      </c>
      <c r="AB111" s="12" t="b">
        <v>0</v>
      </c>
      <c r="AC111" s="12" t="b">
        <v>0</v>
      </c>
      <c r="AD111" s="12" t="b">
        <v>1</v>
      </c>
      <c r="AE111" s="12" t="b">
        <v>0</v>
      </c>
      <c r="AF111" s="12" t="b">
        <v>1</v>
      </c>
      <c r="AG111" s="12" t="b">
        <v>1</v>
      </c>
      <c r="AH111" s="12">
        <v>1</v>
      </c>
      <c r="AI111" s="12" t="b">
        <v>0</v>
      </c>
      <c r="AJ111" s="12" t="b">
        <v>0</v>
      </c>
      <c r="AK111" s="12" t="b">
        <v>1</v>
      </c>
      <c r="AL111" s="12">
        <v>1</v>
      </c>
      <c r="AM111" s="12" t="s">
        <v>900</v>
      </c>
      <c r="AN111" s="12">
        <v>1</v>
      </c>
    </row>
    <row r="112" spans="1:40" x14ac:dyDescent="0.3">
      <c r="A112" s="62" t="s">
        <v>1548</v>
      </c>
      <c r="B112" s="62"/>
      <c r="C112" s="63" t="s">
        <v>1468</v>
      </c>
      <c r="D112" s="52" t="s">
        <v>1630</v>
      </c>
      <c r="E112" s="12" t="s">
        <v>1761</v>
      </c>
      <c r="F112" s="12" t="s">
        <v>1549</v>
      </c>
      <c r="G112" s="12" t="b">
        <v>1</v>
      </c>
      <c r="H112" s="12" t="b">
        <v>1</v>
      </c>
      <c r="I112" s="12" t="b">
        <v>1</v>
      </c>
      <c r="J112" s="12" t="b">
        <v>1</v>
      </c>
      <c r="K112" s="12" t="b">
        <v>0</v>
      </c>
      <c r="L112" s="12" t="b">
        <v>0</v>
      </c>
      <c r="M112" s="12" t="b">
        <v>0</v>
      </c>
      <c r="N112" s="12">
        <v>0</v>
      </c>
      <c r="O112" s="12" t="b">
        <v>0</v>
      </c>
      <c r="P112" s="12" t="b">
        <v>0</v>
      </c>
      <c r="Q112" s="12" t="b">
        <v>0</v>
      </c>
      <c r="R112" s="12" t="b">
        <v>0</v>
      </c>
      <c r="S112" s="12" t="b">
        <v>0</v>
      </c>
      <c r="T112" s="12" t="b">
        <v>1</v>
      </c>
      <c r="U112" s="12" t="b">
        <v>0</v>
      </c>
      <c r="V112" s="12" t="b">
        <v>1</v>
      </c>
      <c r="W112" s="12" t="b">
        <v>0</v>
      </c>
      <c r="X112" s="12">
        <v>1</v>
      </c>
      <c r="Y112" s="12" t="b">
        <v>0</v>
      </c>
      <c r="Z112" s="12" t="b">
        <v>0</v>
      </c>
      <c r="AA112" s="12" t="b">
        <v>0</v>
      </c>
      <c r="AB112" s="12" t="b">
        <v>0</v>
      </c>
      <c r="AC112" s="12" t="b">
        <v>0</v>
      </c>
      <c r="AD112" s="12" t="b">
        <v>1</v>
      </c>
      <c r="AE112" s="12" t="b">
        <v>0</v>
      </c>
      <c r="AF112" s="12" t="b">
        <v>1</v>
      </c>
      <c r="AG112" s="12" t="b">
        <v>1</v>
      </c>
      <c r="AH112" s="12">
        <v>1</v>
      </c>
      <c r="AI112" s="12" t="b">
        <v>0</v>
      </c>
      <c r="AJ112" s="12" t="b">
        <v>0</v>
      </c>
      <c r="AK112" s="12" t="b">
        <v>1</v>
      </c>
      <c r="AL112" s="12">
        <v>1</v>
      </c>
      <c r="AM112" s="12" t="s">
        <v>900</v>
      </c>
      <c r="AN112" s="12">
        <v>1</v>
      </c>
    </row>
    <row r="113" spans="1:40" x14ac:dyDescent="0.3">
      <c r="A113" s="62" t="s">
        <v>1548</v>
      </c>
      <c r="B113" s="62"/>
      <c r="C113" s="63" t="s">
        <v>1469</v>
      </c>
      <c r="D113" s="52" t="s">
        <v>1630</v>
      </c>
      <c r="E113" s="12" t="s">
        <v>1761</v>
      </c>
      <c r="F113" s="12" t="s">
        <v>1549</v>
      </c>
      <c r="G113" s="12" t="b">
        <v>1</v>
      </c>
      <c r="H113" s="12" t="b">
        <v>1</v>
      </c>
      <c r="I113" s="12" t="b">
        <v>1</v>
      </c>
      <c r="J113" s="12" t="b">
        <v>1</v>
      </c>
      <c r="K113" s="12" t="b">
        <v>0</v>
      </c>
      <c r="L113" s="12" t="b">
        <v>0</v>
      </c>
      <c r="M113" s="12" t="b">
        <v>0</v>
      </c>
      <c r="N113" s="12">
        <v>0</v>
      </c>
      <c r="O113" s="12" t="b">
        <v>0</v>
      </c>
      <c r="P113" s="12" t="b">
        <v>0</v>
      </c>
      <c r="Q113" s="12" t="b">
        <v>0</v>
      </c>
      <c r="R113" s="12" t="b">
        <v>0</v>
      </c>
      <c r="S113" s="12" t="b">
        <v>0</v>
      </c>
      <c r="T113" s="12" t="b">
        <v>1</v>
      </c>
      <c r="U113" s="12" t="b">
        <v>0</v>
      </c>
      <c r="V113" s="12" t="b">
        <v>1</v>
      </c>
      <c r="W113" s="12" t="b">
        <v>0</v>
      </c>
      <c r="X113" s="12">
        <v>1</v>
      </c>
      <c r="Y113" s="12" t="b">
        <v>0</v>
      </c>
      <c r="Z113" s="12" t="b">
        <v>0</v>
      </c>
      <c r="AA113" s="12" t="b">
        <v>0</v>
      </c>
      <c r="AB113" s="12" t="b">
        <v>0</v>
      </c>
      <c r="AC113" s="12" t="b">
        <v>0</v>
      </c>
      <c r="AD113" s="12" t="b">
        <v>1</v>
      </c>
      <c r="AE113" s="12" t="b">
        <v>0</v>
      </c>
      <c r="AF113" s="12" t="b">
        <v>1</v>
      </c>
      <c r="AG113" s="12" t="b">
        <v>1</v>
      </c>
      <c r="AH113" s="12">
        <v>1</v>
      </c>
      <c r="AI113" s="12" t="b">
        <v>0</v>
      </c>
      <c r="AJ113" s="12" t="b">
        <v>0</v>
      </c>
      <c r="AK113" s="12" t="b">
        <v>1</v>
      </c>
      <c r="AL113" s="12">
        <v>1</v>
      </c>
      <c r="AM113" s="12" t="s">
        <v>900</v>
      </c>
      <c r="AN113" s="12">
        <v>1</v>
      </c>
    </row>
    <row r="114" spans="1:40" x14ac:dyDescent="0.3">
      <c r="A114" s="62" t="s">
        <v>1548</v>
      </c>
      <c r="B114" s="62"/>
      <c r="C114" s="63" t="s">
        <v>1470</v>
      </c>
      <c r="D114" s="52" t="s">
        <v>1630</v>
      </c>
      <c r="E114" s="12" t="s">
        <v>1761</v>
      </c>
      <c r="F114" s="12" t="s">
        <v>1549</v>
      </c>
      <c r="G114" s="12" t="b">
        <v>1</v>
      </c>
      <c r="H114" s="12" t="b">
        <v>1</v>
      </c>
      <c r="I114" s="12" t="b">
        <v>1</v>
      </c>
      <c r="J114" s="12" t="b">
        <v>1</v>
      </c>
      <c r="K114" s="12" t="b">
        <v>0</v>
      </c>
      <c r="L114" s="12" t="b">
        <v>0</v>
      </c>
      <c r="M114" s="12" t="b">
        <v>0</v>
      </c>
      <c r="N114" s="12">
        <v>0</v>
      </c>
      <c r="O114" s="12" t="b">
        <v>0</v>
      </c>
      <c r="P114" s="12" t="b">
        <v>0</v>
      </c>
      <c r="Q114" s="12" t="b">
        <v>0</v>
      </c>
      <c r="R114" s="12" t="b">
        <v>0</v>
      </c>
      <c r="S114" s="12" t="b">
        <v>0</v>
      </c>
      <c r="T114" s="12" t="b">
        <v>1</v>
      </c>
      <c r="U114" s="12" t="b">
        <v>0</v>
      </c>
      <c r="V114" s="12" t="b">
        <v>1</v>
      </c>
      <c r="W114" s="12" t="b">
        <v>0</v>
      </c>
      <c r="X114" s="12">
        <v>1</v>
      </c>
      <c r="Y114" s="12" t="b">
        <v>0</v>
      </c>
      <c r="Z114" s="12" t="b">
        <v>0</v>
      </c>
      <c r="AA114" s="12" t="b">
        <v>0</v>
      </c>
      <c r="AB114" s="12" t="b">
        <v>0</v>
      </c>
      <c r="AC114" s="12" t="b">
        <v>0</v>
      </c>
      <c r="AD114" s="12" t="b">
        <v>1</v>
      </c>
      <c r="AE114" s="12" t="b">
        <v>0</v>
      </c>
      <c r="AF114" s="12" t="b">
        <v>1</v>
      </c>
      <c r="AG114" s="12" t="b">
        <v>1</v>
      </c>
      <c r="AH114" s="12">
        <v>1</v>
      </c>
      <c r="AI114" s="12" t="b">
        <v>0</v>
      </c>
      <c r="AJ114" s="12" t="b">
        <v>0</v>
      </c>
      <c r="AK114" s="12" t="b">
        <v>1</v>
      </c>
      <c r="AL114" s="12">
        <v>1</v>
      </c>
      <c r="AM114" s="12" t="s">
        <v>900</v>
      </c>
      <c r="AN114" s="12">
        <v>1</v>
      </c>
    </row>
    <row r="115" spans="1:40" x14ac:dyDescent="0.3">
      <c r="A115" s="62" t="s">
        <v>1548</v>
      </c>
      <c r="B115" s="62"/>
      <c r="C115" s="63" t="s">
        <v>1464</v>
      </c>
      <c r="D115" s="52" t="s">
        <v>1631</v>
      </c>
      <c r="E115" s="12" t="s">
        <v>1761</v>
      </c>
      <c r="F115" s="12" t="s">
        <v>1550</v>
      </c>
      <c r="G115" s="12" t="b">
        <v>1</v>
      </c>
      <c r="H115" s="12" t="b">
        <v>1</v>
      </c>
      <c r="I115" s="12" t="b">
        <v>1</v>
      </c>
      <c r="J115" s="12" t="b">
        <v>1</v>
      </c>
      <c r="K115" s="12" t="b">
        <v>0</v>
      </c>
      <c r="L115" s="12" t="b">
        <v>0</v>
      </c>
      <c r="M115" s="12" t="b">
        <v>0</v>
      </c>
      <c r="N115" s="12">
        <v>0</v>
      </c>
      <c r="O115" s="12" t="b">
        <v>0</v>
      </c>
      <c r="P115" s="12" t="b">
        <v>0</v>
      </c>
      <c r="Q115" s="12" t="b">
        <v>0</v>
      </c>
      <c r="R115" s="12" t="b">
        <v>0</v>
      </c>
      <c r="S115" s="12" t="b">
        <v>0</v>
      </c>
      <c r="T115" s="12" t="b">
        <v>1</v>
      </c>
      <c r="U115" s="12" t="b">
        <v>0</v>
      </c>
      <c r="V115" s="12" t="b">
        <v>1</v>
      </c>
      <c r="W115" s="12" t="b">
        <v>0</v>
      </c>
      <c r="X115" s="12">
        <v>1</v>
      </c>
      <c r="Y115" s="12" t="b">
        <v>0</v>
      </c>
      <c r="Z115" s="12" t="b">
        <v>0</v>
      </c>
      <c r="AA115" s="12" t="b">
        <v>0</v>
      </c>
      <c r="AB115" s="12" t="b">
        <v>0</v>
      </c>
      <c r="AC115" s="12" t="b">
        <v>0</v>
      </c>
      <c r="AD115" s="12" t="b">
        <v>1</v>
      </c>
      <c r="AE115" s="12" t="b">
        <v>0</v>
      </c>
      <c r="AF115" s="12" t="b">
        <v>1</v>
      </c>
      <c r="AG115" s="12" t="b">
        <v>1</v>
      </c>
      <c r="AH115" s="12">
        <v>1</v>
      </c>
      <c r="AI115" s="12" t="b">
        <v>0</v>
      </c>
      <c r="AJ115" s="12" t="b">
        <v>0</v>
      </c>
      <c r="AK115" s="12" t="b">
        <v>1</v>
      </c>
      <c r="AL115" s="12">
        <v>1</v>
      </c>
      <c r="AM115" s="12" t="s">
        <v>900</v>
      </c>
      <c r="AN115" s="12">
        <v>1</v>
      </c>
    </row>
    <row r="116" spans="1:40" x14ac:dyDescent="0.3">
      <c r="A116" s="62" t="s">
        <v>1548</v>
      </c>
      <c r="B116" s="62"/>
      <c r="C116" s="63" t="s">
        <v>1466</v>
      </c>
      <c r="D116" s="52" t="s">
        <v>1631</v>
      </c>
      <c r="E116" s="12" t="s">
        <v>1761</v>
      </c>
      <c r="F116" s="12" t="s">
        <v>1550</v>
      </c>
      <c r="G116" s="12" t="b">
        <v>1</v>
      </c>
      <c r="H116" s="12" t="b">
        <v>1</v>
      </c>
      <c r="I116" s="12" t="b">
        <v>1</v>
      </c>
      <c r="J116" s="12" t="b">
        <v>1</v>
      </c>
      <c r="K116" s="12" t="b">
        <v>0</v>
      </c>
      <c r="L116" s="12" t="b">
        <v>0</v>
      </c>
      <c r="M116" s="12" t="b">
        <v>0</v>
      </c>
      <c r="N116" s="12">
        <v>0</v>
      </c>
      <c r="O116" s="12" t="b">
        <v>0</v>
      </c>
      <c r="P116" s="12" t="b">
        <v>0</v>
      </c>
      <c r="Q116" s="12" t="b">
        <v>0</v>
      </c>
      <c r="R116" s="12" t="b">
        <v>0</v>
      </c>
      <c r="S116" s="12" t="b">
        <v>0</v>
      </c>
      <c r="T116" s="12" t="b">
        <v>1</v>
      </c>
      <c r="U116" s="12" t="b">
        <v>0</v>
      </c>
      <c r="V116" s="12" t="b">
        <v>1</v>
      </c>
      <c r="W116" s="12" t="b">
        <v>0</v>
      </c>
      <c r="X116" s="12">
        <v>1</v>
      </c>
      <c r="Y116" s="12" t="b">
        <v>0</v>
      </c>
      <c r="Z116" s="12" t="b">
        <v>0</v>
      </c>
      <c r="AA116" s="12" t="b">
        <v>0</v>
      </c>
      <c r="AB116" s="12" t="b">
        <v>0</v>
      </c>
      <c r="AC116" s="12" t="b">
        <v>0</v>
      </c>
      <c r="AD116" s="12" t="b">
        <v>1</v>
      </c>
      <c r="AE116" s="12" t="b">
        <v>0</v>
      </c>
      <c r="AF116" s="12" t="b">
        <v>1</v>
      </c>
      <c r="AG116" s="12" t="b">
        <v>1</v>
      </c>
      <c r="AH116" s="12">
        <v>1</v>
      </c>
      <c r="AI116" s="12" t="b">
        <v>0</v>
      </c>
      <c r="AJ116" s="12" t="b">
        <v>0</v>
      </c>
      <c r="AK116" s="12" t="b">
        <v>1</v>
      </c>
      <c r="AL116" s="12">
        <v>1</v>
      </c>
      <c r="AM116" s="12" t="s">
        <v>900</v>
      </c>
      <c r="AN116" s="12">
        <v>1</v>
      </c>
    </row>
    <row r="117" spans="1:40" x14ac:dyDescent="0.3">
      <c r="A117" s="62" t="s">
        <v>1548</v>
      </c>
      <c r="B117" s="62"/>
      <c r="C117" s="63" t="s">
        <v>1467</v>
      </c>
      <c r="D117" s="52" t="s">
        <v>1631</v>
      </c>
      <c r="E117" s="12" t="s">
        <v>1761</v>
      </c>
      <c r="F117" s="12" t="s">
        <v>1550</v>
      </c>
      <c r="G117" s="12" t="b">
        <v>1</v>
      </c>
      <c r="H117" s="12" t="b">
        <v>1</v>
      </c>
      <c r="I117" s="12" t="b">
        <v>1</v>
      </c>
      <c r="J117" s="12" t="b">
        <v>1</v>
      </c>
      <c r="K117" s="12" t="b">
        <v>0</v>
      </c>
      <c r="L117" s="12" t="b">
        <v>0</v>
      </c>
      <c r="M117" s="12" t="b">
        <v>0</v>
      </c>
      <c r="N117" s="12">
        <v>0</v>
      </c>
      <c r="O117" s="12" t="b">
        <v>0</v>
      </c>
      <c r="P117" s="12" t="b">
        <v>0</v>
      </c>
      <c r="Q117" s="12" t="b">
        <v>0</v>
      </c>
      <c r="R117" s="12" t="b">
        <v>0</v>
      </c>
      <c r="S117" s="12" t="b">
        <v>0</v>
      </c>
      <c r="T117" s="12" t="b">
        <v>1</v>
      </c>
      <c r="U117" s="12" t="b">
        <v>0</v>
      </c>
      <c r="V117" s="12" t="b">
        <v>1</v>
      </c>
      <c r="W117" s="12" t="b">
        <v>0</v>
      </c>
      <c r="X117" s="12">
        <v>1</v>
      </c>
      <c r="Y117" s="12" t="b">
        <v>0</v>
      </c>
      <c r="Z117" s="12" t="b">
        <v>0</v>
      </c>
      <c r="AA117" s="12" t="b">
        <v>0</v>
      </c>
      <c r="AB117" s="12" t="b">
        <v>0</v>
      </c>
      <c r="AC117" s="12" t="b">
        <v>0</v>
      </c>
      <c r="AD117" s="12" t="b">
        <v>1</v>
      </c>
      <c r="AE117" s="12" t="b">
        <v>0</v>
      </c>
      <c r="AF117" s="12" t="b">
        <v>1</v>
      </c>
      <c r="AG117" s="12" t="b">
        <v>1</v>
      </c>
      <c r="AH117" s="12">
        <v>1</v>
      </c>
      <c r="AI117" s="12" t="b">
        <v>0</v>
      </c>
      <c r="AJ117" s="12" t="b">
        <v>0</v>
      </c>
      <c r="AK117" s="12" t="b">
        <v>1</v>
      </c>
      <c r="AL117" s="12">
        <v>1</v>
      </c>
      <c r="AM117" s="12" t="s">
        <v>900</v>
      </c>
      <c r="AN117" s="12">
        <v>1</v>
      </c>
    </row>
    <row r="118" spans="1:40" x14ac:dyDescent="0.3">
      <c r="A118" s="62" t="s">
        <v>1548</v>
      </c>
      <c r="B118" s="62"/>
      <c r="C118" s="63" t="s">
        <v>1468</v>
      </c>
      <c r="D118" s="52" t="s">
        <v>1631</v>
      </c>
      <c r="E118" s="12" t="s">
        <v>1761</v>
      </c>
      <c r="F118" s="12" t="s">
        <v>1550</v>
      </c>
      <c r="G118" s="12" t="b">
        <v>1</v>
      </c>
      <c r="H118" s="12" t="b">
        <v>1</v>
      </c>
      <c r="I118" s="12" t="b">
        <v>1</v>
      </c>
      <c r="J118" s="12" t="b">
        <v>1</v>
      </c>
      <c r="K118" s="12" t="b">
        <v>0</v>
      </c>
      <c r="L118" s="12" t="b">
        <v>0</v>
      </c>
      <c r="M118" s="12" t="b">
        <v>0</v>
      </c>
      <c r="N118" s="12">
        <v>0</v>
      </c>
      <c r="O118" s="12" t="b">
        <v>0</v>
      </c>
      <c r="P118" s="12" t="b">
        <v>0</v>
      </c>
      <c r="Q118" s="12" t="b">
        <v>0</v>
      </c>
      <c r="R118" s="12" t="b">
        <v>0</v>
      </c>
      <c r="S118" s="12" t="b">
        <v>0</v>
      </c>
      <c r="T118" s="12" t="b">
        <v>1</v>
      </c>
      <c r="U118" s="12" t="b">
        <v>0</v>
      </c>
      <c r="V118" s="12" t="b">
        <v>1</v>
      </c>
      <c r="W118" s="12" t="b">
        <v>0</v>
      </c>
      <c r="X118" s="12">
        <v>1</v>
      </c>
      <c r="Y118" s="12" t="b">
        <v>0</v>
      </c>
      <c r="Z118" s="12" t="b">
        <v>0</v>
      </c>
      <c r="AA118" s="12" t="b">
        <v>0</v>
      </c>
      <c r="AB118" s="12" t="b">
        <v>0</v>
      </c>
      <c r="AC118" s="12" t="b">
        <v>0</v>
      </c>
      <c r="AD118" s="12" t="b">
        <v>1</v>
      </c>
      <c r="AE118" s="12" t="b">
        <v>0</v>
      </c>
      <c r="AF118" s="12" t="b">
        <v>1</v>
      </c>
      <c r="AG118" s="12" t="b">
        <v>1</v>
      </c>
      <c r="AH118" s="12">
        <v>1</v>
      </c>
      <c r="AI118" s="12" t="b">
        <v>0</v>
      </c>
      <c r="AJ118" s="12" t="b">
        <v>0</v>
      </c>
      <c r="AK118" s="12" t="b">
        <v>1</v>
      </c>
      <c r="AL118" s="12">
        <v>1</v>
      </c>
      <c r="AM118" s="12" t="s">
        <v>900</v>
      </c>
      <c r="AN118" s="12">
        <v>1</v>
      </c>
    </row>
    <row r="119" spans="1:40" x14ac:dyDescent="0.3">
      <c r="A119" s="62" t="s">
        <v>1548</v>
      </c>
      <c r="B119" s="62"/>
      <c r="C119" s="63" t="s">
        <v>1469</v>
      </c>
      <c r="D119" s="52" t="s">
        <v>1631</v>
      </c>
      <c r="E119" s="12" t="s">
        <v>1761</v>
      </c>
      <c r="F119" s="12" t="s">
        <v>1550</v>
      </c>
      <c r="G119" s="12" t="b">
        <v>1</v>
      </c>
      <c r="H119" s="12" t="b">
        <v>1</v>
      </c>
      <c r="I119" s="12" t="b">
        <v>1</v>
      </c>
      <c r="J119" s="12" t="b">
        <v>1</v>
      </c>
      <c r="K119" s="12" t="b">
        <v>0</v>
      </c>
      <c r="L119" s="12" t="b">
        <v>0</v>
      </c>
      <c r="M119" s="12" t="b">
        <v>0</v>
      </c>
      <c r="N119" s="12">
        <v>0</v>
      </c>
      <c r="O119" s="12" t="b">
        <v>0</v>
      </c>
      <c r="P119" s="12" t="b">
        <v>0</v>
      </c>
      <c r="Q119" s="12" t="b">
        <v>0</v>
      </c>
      <c r="R119" s="12" t="b">
        <v>0</v>
      </c>
      <c r="S119" s="12" t="b">
        <v>0</v>
      </c>
      <c r="T119" s="12" t="b">
        <v>1</v>
      </c>
      <c r="U119" s="12" t="b">
        <v>0</v>
      </c>
      <c r="V119" s="12" t="b">
        <v>1</v>
      </c>
      <c r="W119" s="12" t="b">
        <v>0</v>
      </c>
      <c r="X119" s="12">
        <v>1</v>
      </c>
      <c r="Y119" s="12" t="b">
        <v>0</v>
      </c>
      <c r="Z119" s="12" t="b">
        <v>0</v>
      </c>
      <c r="AA119" s="12" t="b">
        <v>0</v>
      </c>
      <c r="AB119" s="12" t="b">
        <v>0</v>
      </c>
      <c r="AC119" s="12" t="b">
        <v>0</v>
      </c>
      <c r="AD119" s="12" t="b">
        <v>1</v>
      </c>
      <c r="AE119" s="12" t="b">
        <v>0</v>
      </c>
      <c r="AF119" s="12" t="b">
        <v>1</v>
      </c>
      <c r="AG119" s="12" t="b">
        <v>1</v>
      </c>
      <c r="AH119" s="12">
        <v>1</v>
      </c>
      <c r="AI119" s="12" t="b">
        <v>0</v>
      </c>
      <c r="AJ119" s="12" t="b">
        <v>0</v>
      </c>
      <c r="AK119" s="12" t="b">
        <v>1</v>
      </c>
      <c r="AL119" s="12">
        <v>1</v>
      </c>
      <c r="AM119" s="12" t="s">
        <v>900</v>
      </c>
      <c r="AN119" s="12">
        <v>1</v>
      </c>
    </row>
    <row r="120" spans="1:40" x14ac:dyDescent="0.3">
      <c r="A120" s="62" t="s">
        <v>1548</v>
      </c>
      <c r="B120" s="62"/>
      <c r="C120" s="63" t="s">
        <v>1470</v>
      </c>
      <c r="D120" s="52" t="s">
        <v>1631</v>
      </c>
      <c r="E120" s="12" t="s">
        <v>1761</v>
      </c>
      <c r="F120" s="12" t="s">
        <v>1550</v>
      </c>
      <c r="G120" s="12" t="b">
        <v>1</v>
      </c>
      <c r="H120" s="12" t="b">
        <v>1</v>
      </c>
      <c r="I120" s="12" t="b">
        <v>1</v>
      </c>
      <c r="J120" s="12" t="b">
        <v>1</v>
      </c>
      <c r="K120" s="12" t="b">
        <v>0</v>
      </c>
      <c r="L120" s="12" t="b">
        <v>0</v>
      </c>
      <c r="M120" s="12" t="b">
        <v>0</v>
      </c>
      <c r="N120" s="12">
        <v>0</v>
      </c>
      <c r="O120" s="12" t="b">
        <v>0</v>
      </c>
      <c r="P120" s="12" t="b">
        <v>0</v>
      </c>
      <c r="Q120" s="12" t="b">
        <v>0</v>
      </c>
      <c r="R120" s="12" t="b">
        <v>0</v>
      </c>
      <c r="S120" s="12" t="b">
        <v>0</v>
      </c>
      <c r="T120" s="12" t="b">
        <v>1</v>
      </c>
      <c r="U120" s="12" t="b">
        <v>0</v>
      </c>
      <c r="V120" s="12" t="b">
        <v>1</v>
      </c>
      <c r="W120" s="12" t="b">
        <v>0</v>
      </c>
      <c r="X120" s="12">
        <v>1</v>
      </c>
      <c r="Y120" s="12" t="b">
        <v>0</v>
      </c>
      <c r="Z120" s="12" t="b">
        <v>0</v>
      </c>
      <c r="AA120" s="12" t="b">
        <v>0</v>
      </c>
      <c r="AB120" s="12" t="b">
        <v>0</v>
      </c>
      <c r="AC120" s="12" t="b">
        <v>0</v>
      </c>
      <c r="AD120" s="12" t="b">
        <v>1</v>
      </c>
      <c r="AE120" s="12" t="b">
        <v>0</v>
      </c>
      <c r="AF120" s="12" t="b">
        <v>1</v>
      </c>
      <c r="AG120" s="12" t="b">
        <v>1</v>
      </c>
      <c r="AH120" s="12">
        <v>1</v>
      </c>
      <c r="AI120" s="12" t="b">
        <v>0</v>
      </c>
      <c r="AJ120" s="12" t="b">
        <v>0</v>
      </c>
      <c r="AK120" s="12" t="b">
        <v>1</v>
      </c>
      <c r="AL120" s="12">
        <v>1</v>
      </c>
      <c r="AM120" s="12" t="s">
        <v>900</v>
      </c>
      <c r="AN120" s="12">
        <v>1</v>
      </c>
    </row>
    <row r="121" spans="1:40" x14ac:dyDescent="0.3">
      <c r="A121" s="62" t="s">
        <v>1548</v>
      </c>
      <c r="B121" s="62"/>
      <c r="C121" s="63" t="s">
        <v>1934</v>
      </c>
      <c r="D121" s="52" t="s">
        <v>1630</v>
      </c>
      <c r="E121" s="12" t="s">
        <v>1761</v>
      </c>
      <c r="F121" s="12" t="s">
        <v>1549</v>
      </c>
      <c r="G121" s="12" t="b">
        <v>1</v>
      </c>
      <c r="H121" s="12" t="b">
        <v>1</v>
      </c>
      <c r="I121" s="12" t="b">
        <v>1</v>
      </c>
      <c r="J121" s="12" t="b">
        <v>1</v>
      </c>
      <c r="K121" s="12" t="b">
        <v>0</v>
      </c>
      <c r="L121" s="12" t="b">
        <v>0</v>
      </c>
      <c r="M121" s="12" t="b">
        <v>0</v>
      </c>
      <c r="N121" s="12">
        <v>0</v>
      </c>
      <c r="O121" s="12" t="b">
        <v>0</v>
      </c>
      <c r="P121" s="12" t="b">
        <v>0</v>
      </c>
      <c r="Q121" s="12" t="b">
        <v>0</v>
      </c>
      <c r="R121" s="12" t="b">
        <v>0</v>
      </c>
      <c r="S121" s="12" t="b">
        <v>0</v>
      </c>
      <c r="T121" s="12" t="b">
        <v>1</v>
      </c>
      <c r="U121" s="12" t="b">
        <v>0</v>
      </c>
      <c r="V121" s="12" t="b">
        <v>1</v>
      </c>
      <c r="W121" s="12" t="b">
        <v>0</v>
      </c>
      <c r="X121" s="12">
        <v>1</v>
      </c>
      <c r="Y121" s="12" t="b">
        <v>0</v>
      </c>
      <c r="Z121" s="12" t="b">
        <v>0</v>
      </c>
      <c r="AA121" s="12" t="b">
        <v>0</v>
      </c>
      <c r="AB121" s="12" t="b">
        <v>0</v>
      </c>
      <c r="AC121" s="12" t="b">
        <v>0</v>
      </c>
      <c r="AD121" s="12" t="b">
        <v>1</v>
      </c>
      <c r="AE121" s="12" t="b">
        <v>0</v>
      </c>
      <c r="AF121" s="12" t="b">
        <v>1</v>
      </c>
      <c r="AG121" s="12" t="b">
        <v>1</v>
      </c>
      <c r="AH121" s="12">
        <v>1</v>
      </c>
      <c r="AI121" s="12" t="b">
        <v>0</v>
      </c>
      <c r="AJ121" s="12" t="b">
        <v>0</v>
      </c>
      <c r="AK121" s="12" t="b">
        <v>1</v>
      </c>
      <c r="AL121" s="12">
        <v>1</v>
      </c>
      <c r="AM121" s="12" t="s">
        <v>900</v>
      </c>
      <c r="AN121" s="12">
        <v>1</v>
      </c>
    </row>
    <row r="122" spans="1:40" x14ac:dyDescent="0.3">
      <c r="A122" s="62" t="s">
        <v>1548</v>
      </c>
      <c r="B122" s="62"/>
      <c r="C122" s="63" t="s">
        <v>1935</v>
      </c>
      <c r="D122" s="52" t="s">
        <v>1630</v>
      </c>
      <c r="E122" s="12" t="s">
        <v>1761</v>
      </c>
      <c r="F122" s="12" t="s">
        <v>1549</v>
      </c>
      <c r="G122" s="12" t="b">
        <v>1</v>
      </c>
      <c r="H122" s="12" t="b">
        <v>1</v>
      </c>
      <c r="I122" s="12" t="b">
        <v>1</v>
      </c>
      <c r="J122" s="12" t="b">
        <v>1</v>
      </c>
      <c r="K122" s="12" t="b">
        <v>0</v>
      </c>
      <c r="L122" s="12" t="b">
        <v>0</v>
      </c>
      <c r="M122" s="12" t="b">
        <v>0</v>
      </c>
      <c r="N122" s="12">
        <v>0</v>
      </c>
      <c r="O122" s="12" t="b">
        <v>0</v>
      </c>
      <c r="P122" s="12" t="b">
        <v>0</v>
      </c>
      <c r="Q122" s="12" t="b">
        <v>0</v>
      </c>
      <c r="R122" s="12" t="b">
        <v>0</v>
      </c>
      <c r="S122" s="12" t="b">
        <v>0</v>
      </c>
      <c r="T122" s="12" t="b">
        <v>1</v>
      </c>
      <c r="U122" s="12" t="b">
        <v>0</v>
      </c>
      <c r="V122" s="12" t="b">
        <v>1</v>
      </c>
      <c r="W122" s="12" t="b">
        <v>0</v>
      </c>
      <c r="X122" s="12">
        <v>1</v>
      </c>
      <c r="Y122" s="12" t="b">
        <v>0</v>
      </c>
      <c r="Z122" s="12" t="b">
        <v>0</v>
      </c>
      <c r="AA122" s="12" t="b">
        <v>0</v>
      </c>
      <c r="AB122" s="12" t="b">
        <v>0</v>
      </c>
      <c r="AC122" s="12" t="b">
        <v>0</v>
      </c>
      <c r="AD122" s="12" t="b">
        <v>1</v>
      </c>
      <c r="AE122" s="12" t="b">
        <v>0</v>
      </c>
      <c r="AF122" s="12" t="b">
        <v>1</v>
      </c>
      <c r="AG122" s="12" t="b">
        <v>1</v>
      </c>
      <c r="AH122" s="12">
        <v>1</v>
      </c>
      <c r="AI122" s="12" t="b">
        <v>0</v>
      </c>
      <c r="AJ122" s="12" t="b">
        <v>0</v>
      </c>
      <c r="AK122" s="12" t="b">
        <v>1</v>
      </c>
      <c r="AL122" s="12">
        <v>1</v>
      </c>
      <c r="AM122" s="12" t="s">
        <v>900</v>
      </c>
      <c r="AN122" s="12">
        <v>1</v>
      </c>
    </row>
    <row r="123" spans="1:40" x14ac:dyDescent="0.3">
      <c r="A123" s="62" t="s">
        <v>1548</v>
      </c>
      <c r="B123" s="62"/>
      <c r="C123" s="63" t="s">
        <v>1936</v>
      </c>
      <c r="D123" s="52" t="s">
        <v>1630</v>
      </c>
      <c r="E123" s="12" t="s">
        <v>1761</v>
      </c>
      <c r="F123" s="12" t="s">
        <v>1549</v>
      </c>
      <c r="G123" s="12" t="b">
        <v>1</v>
      </c>
      <c r="H123" s="12" t="b">
        <v>1</v>
      </c>
      <c r="I123" s="12" t="b">
        <v>1</v>
      </c>
      <c r="J123" s="12" t="b">
        <v>1</v>
      </c>
      <c r="K123" s="12" t="b">
        <v>0</v>
      </c>
      <c r="L123" s="12" t="b">
        <v>0</v>
      </c>
      <c r="M123" s="12" t="b">
        <v>0</v>
      </c>
      <c r="N123" s="12">
        <v>0</v>
      </c>
      <c r="O123" s="12" t="b">
        <v>0</v>
      </c>
      <c r="P123" s="12" t="b">
        <v>0</v>
      </c>
      <c r="Q123" s="12" t="b">
        <v>0</v>
      </c>
      <c r="R123" s="12" t="b">
        <v>0</v>
      </c>
      <c r="S123" s="12" t="b">
        <v>0</v>
      </c>
      <c r="T123" s="12" t="b">
        <v>1</v>
      </c>
      <c r="U123" s="12" t="b">
        <v>0</v>
      </c>
      <c r="V123" s="12" t="b">
        <v>1</v>
      </c>
      <c r="W123" s="12" t="b">
        <v>0</v>
      </c>
      <c r="X123" s="12">
        <v>1</v>
      </c>
      <c r="Y123" s="12" t="b">
        <v>0</v>
      </c>
      <c r="Z123" s="12" t="b">
        <v>0</v>
      </c>
      <c r="AA123" s="12" t="b">
        <v>0</v>
      </c>
      <c r="AB123" s="12" t="b">
        <v>0</v>
      </c>
      <c r="AC123" s="12" t="b">
        <v>0</v>
      </c>
      <c r="AD123" s="12" t="b">
        <v>1</v>
      </c>
      <c r="AE123" s="12" t="b">
        <v>0</v>
      </c>
      <c r="AF123" s="12" t="b">
        <v>1</v>
      </c>
      <c r="AG123" s="12" t="b">
        <v>1</v>
      </c>
      <c r="AH123" s="12">
        <v>1</v>
      </c>
      <c r="AI123" s="12" t="b">
        <v>0</v>
      </c>
      <c r="AJ123" s="12" t="b">
        <v>0</v>
      </c>
      <c r="AK123" s="12" t="b">
        <v>1</v>
      </c>
      <c r="AL123" s="12">
        <v>1</v>
      </c>
      <c r="AM123" s="12" t="s">
        <v>900</v>
      </c>
      <c r="AN123" s="12">
        <v>1</v>
      </c>
    </row>
    <row r="124" spans="1:40" x14ac:dyDescent="0.3">
      <c r="A124" s="62" t="s">
        <v>1548</v>
      </c>
      <c r="B124" s="62"/>
      <c r="C124" s="63" t="s">
        <v>1937</v>
      </c>
      <c r="D124" s="52" t="s">
        <v>1630</v>
      </c>
      <c r="E124" s="12" t="s">
        <v>1761</v>
      </c>
      <c r="F124" s="12" t="s">
        <v>1549</v>
      </c>
      <c r="G124" s="12" t="b">
        <v>1</v>
      </c>
      <c r="H124" s="12" t="b">
        <v>1</v>
      </c>
      <c r="I124" s="12" t="b">
        <v>1</v>
      </c>
      <c r="J124" s="12" t="b">
        <v>1</v>
      </c>
      <c r="K124" s="12" t="b">
        <v>0</v>
      </c>
      <c r="L124" s="12" t="b">
        <v>0</v>
      </c>
      <c r="M124" s="12" t="b">
        <v>0</v>
      </c>
      <c r="N124" s="12">
        <v>0</v>
      </c>
      <c r="O124" s="12" t="b">
        <v>0</v>
      </c>
      <c r="P124" s="12" t="b">
        <v>0</v>
      </c>
      <c r="Q124" s="12" t="b">
        <v>0</v>
      </c>
      <c r="R124" s="12" t="b">
        <v>0</v>
      </c>
      <c r="S124" s="12" t="b">
        <v>0</v>
      </c>
      <c r="T124" s="12" t="b">
        <v>1</v>
      </c>
      <c r="U124" s="12" t="b">
        <v>0</v>
      </c>
      <c r="V124" s="12" t="b">
        <v>1</v>
      </c>
      <c r="W124" s="12" t="b">
        <v>0</v>
      </c>
      <c r="X124" s="12">
        <v>1</v>
      </c>
      <c r="Y124" s="12" t="b">
        <v>0</v>
      </c>
      <c r="Z124" s="12" t="b">
        <v>0</v>
      </c>
      <c r="AA124" s="12" t="b">
        <v>0</v>
      </c>
      <c r="AB124" s="12" t="b">
        <v>0</v>
      </c>
      <c r="AC124" s="12" t="b">
        <v>0</v>
      </c>
      <c r="AD124" s="12" t="b">
        <v>1</v>
      </c>
      <c r="AE124" s="12" t="b">
        <v>0</v>
      </c>
      <c r="AF124" s="12" t="b">
        <v>1</v>
      </c>
      <c r="AG124" s="12" t="b">
        <v>1</v>
      </c>
      <c r="AH124" s="12">
        <v>1</v>
      </c>
      <c r="AI124" s="12" t="b">
        <v>0</v>
      </c>
      <c r="AJ124" s="12" t="b">
        <v>0</v>
      </c>
      <c r="AK124" s="12" t="b">
        <v>1</v>
      </c>
      <c r="AL124" s="12">
        <v>1</v>
      </c>
      <c r="AM124" s="12" t="s">
        <v>900</v>
      </c>
      <c r="AN124" s="12">
        <v>1</v>
      </c>
    </row>
    <row r="125" spans="1:40" x14ac:dyDescent="0.3">
      <c r="A125" s="62" t="s">
        <v>1548</v>
      </c>
      <c r="B125" s="62"/>
      <c r="C125" s="63" t="s">
        <v>1938</v>
      </c>
      <c r="D125" s="52" t="s">
        <v>1630</v>
      </c>
      <c r="E125" s="12" t="s">
        <v>1761</v>
      </c>
      <c r="F125" s="12" t="s">
        <v>1549</v>
      </c>
      <c r="G125" s="12" t="b">
        <v>1</v>
      </c>
      <c r="H125" s="12" t="b">
        <v>1</v>
      </c>
      <c r="I125" s="12" t="b">
        <v>1</v>
      </c>
      <c r="J125" s="12" t="b">
        <v>1</v>
      </c>
      <c r="K125" s="12" t="b">
        <v>0</v>
      </c>
      <c r="L125" s="12" t="b">
        <v>0</v>
      </c>
      <c r="M125" s="12" t="b">
        <v>0</v>
      </c>
      <c r="N125" s="12">
        <v>0</v>
      </c>
      <c r="O125" s="12" t="b">
        <v>0</v>
      </c>
      <c r="P125" s="12" t="b">
        <v>0</v>
      </c>
      <c r="Q125" s="12" t="b">
        <v>0</v>
      </c>
      <c r="R125" s="12" t="b">
        <v>0</v>
      </c>
      <c r="S125" s="12" t="b">
        <v>0</v>
      </c>
      <c r="T125" s="12" t="b">
        <v>1</v>
      </c>
      <c r="U125" s="12" t="b">
        <v>0</v>
      </c>
      <c r="V125" s="12" t="b">
        <v>1</v>
      </c>
      <c r="W125" s="12" t="b">
        <v>0</v>
      </c>
      <c r="X125" s="12">
        <v>1</v>
      </c>
      <c r="Y125" s="12" t="b">
        <v>0</v>
      </c>
      <c r="Z125" s="12" t="b">
        <v>0</v>
      </c>
      <c r="AA125" s="12" t="b">
        <v>0</v>
      </c>
      <c r="AB125" s="12" t="b">
        <v>0</v>
      </c>
      <c r="AC125" s="12" t="b">
        <v>0</v>
      </c>
      <c r="AD125" s="12" t="b">
        <v>1</v>
      </c>
      <c r="AE125" s="12" t="b">
        <v>0</v>
      </c>
      <c r="AF125" s="12" t="b">
        <v>1</v>
      </c>
      <c r="AG125" s="12" t="b">
        <v>1</v>
      </c>
      <c r="AH125" s="12">
        <v>1</v>
      </c>
      <c r="AI125" s="12" t="b">
        <v>0</v>
      </c>
      <c r="AJ125" s="12" t="b">
        <v>0</v>
      </c>
      <c r="AK125" s="12" t="b">
        <v>1</v>
      </c>
      <c r="AL125" s="12">
        <v>1</v>
      </c>
      <c r="AM125" s="12" t="s">
        <v>900</v>
      </c>
      <c r="AN125" s="12">
        <v>1</v>
      </c>
    </row>
    <row r="126" spans="1:40" x14ac:dyDescent="0.3">
      <c r="A126" s="62" t="s">
        <v>1548</v>
      </c>
      <c r="B126" s="62"/>
      <c r="C126" s="63" t="s">
        <v>1939</v>
      </c>
      <c r="D126" s="52" t="s">
        <v>1630</v>
      </c>
      <c r="E126" s="12" t="s">
        <v>1761</v>
      </c>
      <c r="F126" s="12" t="s">
        <v>1549</v>
      </c>
      <c r="G126" s="12" t="b">
        <v>1</v>
      </c>
      <c r="H126" s="12" t="b">
        <v>1</v>
      </c>
      <c r="I126" s="12" t="b">
        <v>1</v>
      </c>
      <c r="J126" s="12" t="b">
        <v>1</v>
      </c>
      <c r="K126" s="12" t="b">
        <v>0</v>
      </c>
      <c r="L126" s="12" t="b">
        <v>0</v>
      </c>
      <c r="M126" s="12" t="b">
        <v>0</v>
      </c>
      <c r="N126" s="12">
        <v>0</v>
      </c>
      <c r="O126" s="12" t="b">
        <v>0</v>
      </c>
      <c r="P126" s="12" t="b">
        <v>0</v>
      </c>
      <c r="Q126" s="12" t="b">
        <v>0</v>
      </c>
      <c r="R126" s="12" t="b">
        <v>0</v>
      </c>
      <c r="S126" s="12" t="b">
        <v>0</v>
      </c>
      <c r="T126" s="12" t="b">
        <v>1</v>
      </c>
      <c r="U126" s="12" t="b">
        <v>0</v>
      </c>
      <c r="V126" s="12" t="b">
        <v>1</v>
      </c>
      <c r="W126" s="12" t="b">
        <v>0</v>
      </c>
      <c r="X126" s="12">
        <v>1</v>
      </c>
      <c r="Y126" s="12" t="b">
        <v>0</v>
      </c>
      <c r="Z126" s="12" t="b">
        <v>0</v>
      </c>
      <c r="AA126" s="12" t="b">
        <v>0</v>
      </c>
      <c r="AB126" s="12" t="b">
        <v>0</v>
      </c>
      <c r="AC126" s="12" t="b">
        <v>0</v>
      </c>
      <c r="AD126" s="12" t="b">
        <v>1</v>
      </c>
      <c r="AE126" s="12" t="b">
        <v>0</v>
      </c>
      <c r="AF126" s="12" t="b">
        <v>1</v>
      </c>
      <c r="AG126" s="12" t="b">
        <v>1</v>
      </c>
      <c r="AH126" s="12">
        <v>1</v>
      </c>
      <c r="AI126" s="12" t="b">
        <v>0</v>
      </c>
      <c r="AJ126" s="12" t="b">
        <v>0</v>
      </c>
      <c r="AK126" s="12" t="b">
        <v>1</v>
      </c>
      <c r="AL126" s="12">
        <v>1</v>
      </c>
      <c r="AM126" s="12" t="s">
        <v>900</v>
      </c>
      <c r="AN126" s="12">
        <v>1</v>
      </c>
    </row>
    <row r="127" spans="1:40" x14ac:dyDescent="0.3">
      <c r="A127" s="62" t="s">
        <v>1548</v>
      </c>
      <c r="B127" s="62"/>
      <c r="C127" s="63" t="s">
        <v>1934</v>
      </c>
      <c r="D127" s="52" t="s">
        <v>1631</v>
      </c>
      <c r="E127" s="12" t="s">
        <v>1761</v>
      </c>
      <c r="F127" s="12" t="s">
        <v>1550</v>
      </c>
      <c r="G127" s="12" t="b">
        <v>1</v>
      </c>
      <c r="H127" s="12" t="b">
        <v>1</v>
      </c>
      <c r="I127" s="12" t="b">
        <v>1</v>
      </c>
      <c r="J127" s="12" t="b">
        <v>1</v>
      </c>
      <c r="K127" s="12" t="b">
        <v>0</v>
      </c>
      <c r="L127" s="12" t="b">
        <v>0</v>
      </c>
      <c r="M127" s="12" t="b">
        <v>0</v>
      </c>
      <c r="N127" s="12">
        <v>0</v>
      </c>
      <c r="O127" s="12" t="b">
        <v>0</v>
      </c>
      <c r="P127" s="12" t="b">
        <v>0</v>
      </c>
      <c r="Q127" s="12" t="b">
        <v>0</v>
      </c>
      <c r="R127" s="12" t="b">
        <v>0</v>
      </c>
      <c r="S127" s="12" t="b">
        <v>0</v>
      </c>
      <c r="T127" s="12" t="b">
        <v>1</v>
      </c>
      <c r="U127" s="12" t="b">
        <v>0</v>
      </c>
      <c r="V127" s="12" t="b">
        <v>1</v>
      </c>
      <c r="W127" s="12" t="b">
        <v>0</v>
      </c>
      <c r="X127" s="12">
        <v>1</v>
      </c>
      <c r="Y127" s="12" t="b">
        <v>0</v>
      </c>
      <c r="Z127" s="12" t="b">
        <v>0</v>
      </c>
      <c r="AA127" s="12" t="b">
        <v>0</v>
      </c>
      <c r="AB127" s="12" t="b">
        <v>0</v>
      </c>
      <c r="AC127" s="12" t="b">
        <v>0</v>
      </c>
      <c r="AD127" s="12" t="b">
        <v>1</v>
      </c>
      <c r="AE127" s="12" t="b">
        <v>0</v>
      </c>
      <c r="AF127" s="12" t="b">
        <v>1</v>
      </c>
      <c r="AG127" s="12" t="b">
        <v>1</v>
      </c>
      <c r="AH127" s="12">
        <v>1</v>
      </c>
      <c r="AI127" s="12" t="b">
        <v>0</v>
      </c>
      <c r="AJ127" s="12" t="b">
        <v>0</v>
      </c>
      <c r="AK127" s="12" t="b">
        <v>1</v>
      </c>
      <c r="AL127" s="12">
        <v>1</v>
      </c>
      <c r="AM127" s="12" t="s">
        <v>900</v>
      </c>
      <c r="AN127" s="12">
        <v>1</v>
      </c>
    </row>
    <row r="128" spans="1:40" x14ac:dyDescent="0.3">
      <c r="A128" s="62" t="s">
        <v>1548</v>
      </c>
      <c r="B128" s="62"/>
      <c r="C128" s="63" t="s">
        <v>1935</v>
      </c>
      <c r="D128" s="52" t="s">
        <v>1631</v>
      </c>
      <c r="E128" s="12" t="s">
        <v>1761</v>
      </c>
      <c r="F128" s="12" t="s">
        <v>1550</v>
      </c>
      <c r="G128" s="12" t="b">
        <v>1</v>
      </c>
      <c r="H128" s="12" t="b">
        <v>1</v>
      </c>
      <c r="I128" s="12" t="b">
        <v>1</v>
      </c>
      <c r="J128" s="12" t="b">
        <v>1</v>
      </c>
      <c r="K128" s="12" t="b">
        <v>0</v>
      </c>
      <c r="L128" s="12" t="b">
        <v>0</v>
      </c>
      <c r="M128" s="12" t="b">
        <v>0</v>
      </c>
      <c r="N128" s="12">
        <v>0</v>
      </c>
      <c r="O128" s="12" t="b">
        <v>0</v>
      </c>
      <c r="P128" s="12" t="b">
        <v>0</v>
      </c>
      <c r="Q128" s="12" t="b">
        <v>0</v>
      </c>
      <c r="R128" s="12" t="b">
        <v>0</v>
      </c>
      <c r="S128" s="12" t="b">
        <v>0</v>
      </c>
      <c r="T128" s="12" t="b">
        <v>1</v>
      </c>
      <c r="U128" s="12" t="b">
        <v>0</v>
      </c>
      <c r="V128" s="12" t="b">
        <v>1</v>
      </c>
      <c r="W128" s="12" t="b">
        <v>0</v>
      </c>
      <c r="X128" s="12">
        <v>1</v>
      </c>
      <c r="Y128" s="12" t="b">
        <v>0</v>
      </c>
      <c r="Z128" s="12" t="b">
        <v>0</v>
      </c>
      <c r="AA128" s="12" t="b">
        <v>0</v>
      </c>
      <c r="AB128" s="12" t="b">
        <v>0</v>
      </c>
      <c r="AC128" s="12" t="b">
        <v>0</v>
      </c>
      <c r="AD128" s="12" t="b">
        <v>1</v>
      </c>
      <c r="AE128" s="12" t="b">
        <v>0</v>
      </c>
      <c r="AF128" s="12" t="b">
        <v>1</v>
      </c>
      <c r="AG128" s="12" t="b">
        <v>1</v>
      </c>
      <c r="AH128" s="12">
        <v>1</v>
      </c>
      <c r="AI128" s="12" t="b">
        <v>0</v>
      </c>
      <c r="AJ128" s="12" t="b">
        <v>0</v>
      </c>
      <c r="AK128" s="12" t="b">
        <v>1</v>
      </c>
      <c r="AL128" s="12">
        <v>1</v>
      </c>
      <c r="AM128" s="12" t="s">
        <v>900</v>
      </c>
      <c r="AN128" s="12">
        <v>1</v>
      </c>
    </row>
    <row r="129" spans="1:40" x14ac:dyDescent="0.3">
      <c r="A129" s="62" t="s">
        <v>1548</v>
      </c>
      <c r="B129" s="62"/>
      <c r="C129" s="63" t="s">
        <v>1936</v>
      </c>
      <c r="D129" s="52" t="s">
        <v>1631</v>
      </c>
      <c r="E129" s="12" t="s">
        <v>1761</v>
      </c>
      <c r="F129" s="12" t="s">
        <v>1550</v>
      </c>
      <c r="G129" s="12" t="b">
        <v>1</v>
      </c>
      <c r="H129" s="12" t="b">
        <v>1</v>
      </c>
      <c r="I129" s="12" t="b">
        <v>1</v>
      </c>
      <c r="J129" s="12" t="b">
        <v>1</v>
      </c>
      <c r="K129" s="12" t="b">
        <v>0</v>
      </c>
      <c r="L129" s="12" t="b">
        <v>0</v>
      </c>
      <c r="M129" s="12" t="b">
        <v>0</v>
      </c>
      <c r="N129" s="12">
        <v>0</v>
      </c>
      <c r="O129" s="12" t="b">
        <v>0</v>
      </c>
      <c r="P129" s="12" t="b">
        <v>0</v>
      </c>
      <c r="Q129" s="12" t="b">
        <v>0</v>
      </c>
      <c r="R129" s="12" t="b">
        <v>0</v>
      </c>
      <c r="S129" s="12" t="b">
        <v>0</v>
      </c>
      <c r="T129" s="12" t="b">
        <v>1</v>
      </c>
      <c r="U129" s="12" t="b">
        <v>0</v>
      </c>
      <c r="V129" s="12" t="b">
        <v>1</v>
      </c>
      <c r="W129" s="12" t="b">
        <v>0</v>
      </c>
      <c r="X129" s="12">
        <v>1</v>
      </c>
      <c r="Y129" s="12" t="b">
        <v>0</v>
      </c>
      <c r="Z129" s="12" t="b">
        <v>0</v>
      </c>
      <c r="AA129" s="12" t="b">
        <v>0</v>
      </c>
      <c r="AB129" s="12" t="b">
        <v>0</v>
      </c>
      <c r="AC129" s="12" t="b">
        <v>0</v>
      </c>
      <c r="AD129" s="12" t="b">
        <v>1</v>
      </c>
      <c r="AE129" s="12" t="b">
        <v>0</v>
      </c>
      <c r="AF129" s="12" t="b">
        <v>1</v>
      </c>
      <c r="AG129" s="12" t="b">
        <v>1</v>
      </c>
      <c r="AH129" s="12">
        <v>1</v>
      </c>
      <c r="AI129" s="12" t="b">
        <v>0</v>
      </c>
      <c r="AJ129" s="12" t="b">
        <v>0</v>
      </c>
      <c r="AK129" s="12" t="b">
        <v>1</v>
      </c>
      <c r="AL129" s="12">
        <v>1</v>
      </c>
      <c r="AM129" s="12" t="s">
        <v>900</v>
      </c>
      <c r="AN129" s="12">
        <v>1</v>
      </c>
    </row>
    <row r="130" spans="1:40" x14ac:dyDescent="0.3">
      <c r="A130" s="62" t="s">
        <v>1548</v>
      </c>
      <c r="B130" s="62"/>
      <c r="C130" s="63" t="s">
        <v>1937</v>
      </c>
      <c r="D130" s="52" t="s">
        <v>1631</v>
      </c>
      <c r="E130" s="12" t="s">
        <v>1761</v>
      </c>
      <c r="F130" s="12" t="s">
        <v>1550</v>
      </c>
      <c r="G130" s="12" t="b">
        <v>1</v>
      </c>
      <c r="H130" s="12" t="b">
        <v>1</v>
      </c>
      <c r="I130" s="12" t="b">
        <v>1</v>
      </c>
      <c r="J130" s="12" t="b">
        <v>1</v>
      </c>
      <c r="K130" s="12" t="b">
        <v>0</v>
      </c>
      <c r="L130" s="12" t="b">
        <v>0</v>
      </c>
      <c r="M130" s="12" t="b">
        <v>0</v>
      </c>
      <c r="N130" s="12">
        <v>0</v>
      </c>
      <c r="O130" s="12" t="b">
        <v>0</v>
      </c>
      <c r="P130" s="12" t="b">
        <v>0</v>
      </c>
      <c r="Q130" s="12" t="b">
        <v>0</v>
      </c>
      <c r="R130" s="12" t="b">
        <v>0</v>
      </c>
      <c r="S130" s="12" t="b">
        <v>0</v>
      </c>
      <c r="T130" s="12" t="b">
        <v>1</v>
      </c>
      <c r="U130" s="12" t="b">
        <v>0</v>
      </c>
      <c r="V130" s="12" t="b">
        <v>1</v>
      </c>
      <c r="W130" s="12" t="b">
        <v>0</v>
      </c>
      <c r="X130" s="12">
        <v>1</v>
      </c>
      <c r="Y130" s="12" t="b">
        <v>0</v>
      </c>
      <c r="Z130" s="12" t="b">
        <v>0</v>
      </c>
      <c r="AA130" s="12" t="b">
        <v>0</v>
      </c>
      <c r="AB130" s="12" t="b">
        <v>0</v>
      </c>
      <c r="AC130" s="12" t="b">
        <v>0</v>
      </c>
      <c r="AD130" s="12" t="b">
        <v>1</v>
      </c>
      <c r="AE130" s="12" t="b">
        <v>0</v>
      </c>
      <c r="AF130" s="12" t="b">
        <v>1</v>
      </c>
      <c r="AG130" s="12" t="b">
        <v>1</v>
      </c>
      <c r="AH130" s="12">
        <v>1</v>
      </c>
      <c r="AI130" s="12" t="b">
        <v>0</v>
      </c>
      <c r="AJ130" s="12" t="b">
        <v>0</v>
      </c>
      <c r="AK130" s="12" t="b">
        <v>1</v>
      </c>
      <c r="AL130" s="12">
        <v>1</v>
      </c>
      <c r="AM130" s="12" t="s">
        <v>900</v>
      </c>
      <c r="AN130" s="12">
        <v>1</v>
      </c>
    </row>
    <row r="131" spans="1:40" x14ac:dyDescent="0.3">
      <c r="A131" s="62" t="s">
        <v>1548</v>
      </c>
      <c r="B131" s="62"/>
      <c r="C131" s="63" t="s">
        <v>1938</v>
      </c>
      <c r="D131" s="52" t="s">
        <v>1631</v>
      </c>
      <c r="E131" s="12" t="s">
        <v>1761</v>
      </c>
      <c r="F131" s="12" t="s">
        <v>1550</v>
      </c>
      <c r="G131" s="12" t="b">
        <v>1</v>
      </c>
      <c r="H131" s="12" t="b">
        <v>1</v>
      </c>
      <c r="I131" s="12" t="b">
        <v>1</v>
      </c>
      <c r="J131" s="12" t="b">
        <v>1</v>
      </c>
      <c r="K131" s="12" t="b">
        <v>0</v>
      </c>
      <c r="L131" s="12" t="b">
        <v>0</v>
      </c>
      <c r="M131" s="12" t="b">
        <v>0</v>
      </c>
      <c r="N131" s="12">
        <v>0</v>
      </c>
      <c r="O131" s="12" t="b">
        <v>0</v>
      </c>
      <c r="P131" s="12" t="b">
        <v>0</v>
      </c>
      <c r="Q131" s="12" t="b">
        <v>0</v>
      </c>
      <c r="R131" s="12" t="b">
        <v>0</v>
      </c>
      <c r="S131" s="12" t="b">
        <v>0</v>
      </c>
      <c r="T131" s="12" t="b">
        <v>1</v>
      </c>
      <c r="U131" s="12" t="b">
        <v>0</v>
      </c>
      <c r="V131" s="12" t="b">
        <v>1</v>
      </c>
      <c r="W131" s="12" t="b">
        <v>0</v>
      </c>
      <c r="X131" s="12">
        <v>1</v>
      </c>
      <c r="Y131" s="12" t="b">
        <v>0</v>
      </c>
      <c r="Z131" s="12" t="b">
        <v>0</v>
      </c>
      <c r="AA131" s="12" t="b">
        <v>0</v>
      </c>
      <c r="AB131" s="12" t="b">
        <v>0</v>
      </c>
      <c r="AC131" s="12" t="b">
        <v>0</v>
      </c>
      <c r="AD131" s="12" t="b">
        <v>1</v>
      </c>
      <c r="AE131" s="12" t="b">
        <v>0</v>
      </c>
      <c r="AF131" s="12" t="b">
        <v>1</v>
      </c>
      <c r="AG131" s="12" t="b">
        <v>1</v>
      </c>
      <c r="AH131" s="12">
        <v>1</v>
      </c>
      <c r="AI131" s="12" t="b">
        <v>0</v>
      </c>
      <c r="AJ131" s="12" t="b">
        <v>0</v>
      </c>
      <c r="AK131" s="12" t="b">
        <v>1</v>
      </c>
      <c r="AL131" s="12">
        <v>1</v>
      </c>
      <c r="AM131" s="12" t="s">
        <v>900</v>
      </c>
      <c r="AN131" s="12">
        <v>1</v>
      </c>
    </row>
    <row r="132" spans="1:40" x14ac:dyDescent="0.3">
      <c r="A132" s="62" t="s">
        <v>1548</v>
      </c>
      <c r="B132" s="62"/>
      <c r="C132" s="63" t="s">
        <v>1939</v>
      </c>
      <c r="D132" s="52" t="s">
        <v>1631</v>
      </c>
      <c r="E132" s="12" t="s">
        <v>1761</v>
      </c>
      <c r="F132" s="12" t="s">
        <v>1550</v>
      </c>
      <c r="G132" s="12" t="b">
        <v>1</v>
      </c>
      <c r="H132" s="12" t="b">
        <v>1</v>
      </c>
      <c r="I132" s="12" t="b">
        <v>1</v>
      </c>
      <c r="J132" s="12" t="b">
        <v>1</v>
      </c>
      <c r="K132" s="12" t="b">
        <v>0</v>
      </c>
      <c r="L132" s="12" t="b">
        <v>0</v>
      </c>
      <c r="M132" s="12" t="b">
        <v>0</v>
      </c>
      <c r="N132" s="12">
        <v>0</v>
      </c>
      <c r="O132" s="12" t="b">
        <v>0</v>
      </c>
      <c r="P132" s="12" t="b">
        <v>0</v>
      </c>
      <c r="Q132" s="12" t="b">
        <v>0</v>
      </c>
      <c r="R132" s="12" t="b">
        <v>0</v>
      </c>
      <c r="S132" s="12" t="b">
        <v>0</v>
      </c>
      <c r="T132" s="12" t="b">
        <v>1</v>
      </c>
      <c r="U132" s="12" t="b">
        <v>0</v>
      </c>
      <c r="V132" s="12" t="b">
        <v>1</v>
      </c>
      <c r="W132" s="12" t="b">
        <v>0</v>
      </c>
      <c r="X132" s="12">
        <v>1</v>
      </c>
      <c r="Y132" s="12" t="b">
        <v>0</v>
      </c>
      <c r="Z132" s="12" t="b">
        <v>0</v>
      </c>
      <c r="AA132" s="12" t="b">
        <v>0</v>
      </c>
      <c r="AB132" s="12" t="b">
        <v>0</v>
      </c>
      <c r="AC132" s="12" t="b">
        <v>0</v>
      </c>
      <c r="AD132" s="12" t="b">
        <v>1</v>
      </c>
      <c r="AE132" s="12" t="b">
        <v>0</v>
      </c>
      <c r="AF132" s="12" t="b">
        <v>1</v>
      </c>
      <c r="AG132" s="12" t="b">
        <v>1</v>
      </c>
      <c r="AH132" s="12">
        <v>1</v>
      </c>
      <c r="AI132" s="12" t="b">
        <v>0</v>
      </c>
      <c r="AJ132" s="12" t="b">
        <v>0</v>
      </c>
      <c r="AK132" s="12" t="b">
        <v>1</v>
      </c>
      <c r="AL132" s="12">
        <v>1</v>
      </c>
      <c r="AM132" s="12" t="s">
        <v>900</v>
      </c>
      <c r="AN132" s="12">
        <v>1</v>
      </c>
    </row>
    <row r="133" spans="1:40" x14ac:dyDescent="0.3">
      <c r="A133" s="62" t="s">
        <v>1548</v>
      </c>
      <c r="B133" s="62"/>
      <c r="C133" s="63"/>
      <c r="D133" s="63"/>
      <c r="E133" s="12" t="s">
        <v>1017</v>
      </c>
      <c r="F133" s="12" t="s">
        <v>1233</v>
      </c>
      <c r="G133" s="12" t="b">
        <v>1</v>
      </c>
      <c r="H133" s="12" t="b">
        <v>1</v>
      </c>
      <c r="I133" s="12" t="b">
        <v>1</v>
      </c>
      <c r="J133" s="12" t="b">
        <v>1</v>
      </c>
      <c r="K133" s="12" t="b">
        <v>0</v>
      </c>
      <c r="L133" s="12" t="b">
        <v>0</v>
      </c>
      <c r="M133" s="12" t="b">
        <v>0</v>
      </c>
      <c r="N133" s="12">
        <v>0</v>
      </c>
      <c r="O133" s="12" t="b">
        <v>0</v>
      </c>
      <c r="P133" s="12" t="b">
        <v>0</v>
      </c>
      <c r="Q133" s="12" t="b">
        <v>0</v>
      </c>
      <c r="R133" s="12" t="b">
        <v>0</v>
      </c>
      <c r="S133" s="12" t="b">
        <v>0</v>
      </c>
      <c r="T133" s="12" t="b">
        <v>1</v>
      </c>
      <c r="U133" s="12" t="b">
        <v>0</v>
      </c>
      <c r="V133" s="12" t="b">
        <v>1</v>
      </c>
      <c r="W133" s="12" t="b">
        <v>0</v>
      </c>
      <c r="X133" s="12">
        <v>1</v>
      </c>
      <c r="Y133" s="12" t="b">
        <v>0</v>
      </c>
      <c r="Z133" s="12" t="b">
        <v>0</v>
      </c>
      <c r="AA133" s="12" t="b">
        <v>0</v>
      </c>
      <c r="AB133" s="12" t="b">
        <v>0</v>
      </c>
      <c r="AC133" s="12" t="b">
        <v>0</v>
      </c>
      <c r="AD133" s="12" t="b">
        <v>1</v>
      </c>
      <c r="AE133" s="12" t="b">
        <v>0</v>
      </c>
      <c r="AF133" s="12" t="b">
        <v>1</v>
      </c>
      <c r="AG133" s="12" t="b">
        <v>0</v>
      </c>
      <c r="AH133" s="12">
        <v>1</v>
      </c>
      <c r="AI133" s="12" t="b">
        <v>0</v>
      </c>
      <c r="AJ133" s="12" t="b">
        <v>0</v>
      </c>
      <c r="AK133" s="12" t="b">
        <v>1</v>
      </c>
      <c r="AL133" s="12">
        <v>1</v>
      </c>
      <c r="AM133" s="12" t="s">
        <v>900</v>
      </c>
      <c r="AN133" s="12">
        <v>1</v>
      </c>
    </row>
    <row r="134" spans="1:40" x14ac:dyDescent="0.3">
      <c r="A134" s="62" t="s">
        <v>1548</v>
      </c>
      <c r="B134" s="62"/>
      <c r="C134" s="63"/>
      <c r="D134" s="63"/>
      <c r="E134" s="12" t="s">
        <v>1019</v>
      </c>
      <c r="F134" s="12" t="s">
        <v>1234</v>
      </c>
      <c r="G134" s="12" t="b">
        <v>0</v>
      </c>
      <c r="H134" s="12" t="b">
        <v>1</v>
      </c>
      <c r="I134" s="12" t="b">
        <v>1</v>
      </c>
      <c r="J134" s="12" t="b">
        <v>1</v>
      </c>
      <c r="K134" s="12" t="b">
        <v>0</v>
      </c>
      <c r="L134" s="12" t="b">
        <v>1</v>
      </c>
      <c r="M134" s="12" t="b">
        <v>0</v>
      </c>
      <c r="N134" s="12">
        <v>0</v>
      </c>
      <c r="O134" s="12" t="b">
        <v>0</v>
      </c>
      <c r="P134" s="12" t="b">
        <v>0</v>
      </c>
      <c r="Q134" s="12" t="b">
        <v>0</v>
      </c>
      <c r="R134" s="12" t="b">
        <v>0</v>
      </c>
      <c r="S134" s="12" t="b">
        <v>0</v>
      </c>
      <c r="T134" s="12" t="b">
        <v>1</v>
      </c>
      <c r="U134" s="12" t="b">
        <v>0</v>
      </c>
      <c r="V134" s="12" t="b">
        <v>1</v>
      </c>
      <c r="W134" s="12" t="b">
        <v>0</v>
      </c>
      <c r="X134" s="12">
        <v>1</v>
      </c>
      <c r="Y134" s="12" t="b">
        <v>0</v>
      </c>
      <c r="Z134" s="12" t="b">
        <v>0</v>
      </c>
      <c r="AA134" s="12" t="b">
        <v>1</v>
      </c>
      <c r="AB134" s="12" t="b">
        <v>1</v>
      </c>
      <c r="AC134" s="12" t="b">
        <v>1</v>
      </c>
      <c r="AD134" s="12" t="b">
        <v>1</v>
      </c>
      <c r="AE134" s="12" t="b">
        <v>0</v>
      </c>
      <c r="AF134" s="12" t="b">
        <v>0</v>
      </c>
      <c r="AG134" s="12" t="b">
        <v>0</v>
      </c>
      <c r="AH134" s="12">
        <v>0</v>
      </c>
      <c r="AI134" s="12" t="b">
        <v>0</v>
      </c>
      <c r="AJ134" s="12" t="b">
        <v>0</v>
      </c>
      <c r="AK134" s="12" t="b">
        <v>1</v>
      </c>
      <c r="AL134" s="12">
        <v>1</v>
      </c>
      <c r="AM134" s="12" t="s">
        <v>900</v>
      </c>
      <c r="AN134" s="12">
        <v>1</v>
      </c>
    </row>
    <row r="135" spans="1:40" x14ac:dyDescent="0.3">
      <c r="A135" s="62" t="s">
        <v>1548</v>
      </c>
      <c r="B135" s="132" t="s">
        <v>878</v>
      </c>
      <c r="C135" s="63"/>
      <c r="D135" s="63"/>
      <c r="E135" s="12" t="s">
        <v>2019</v>
      </c>
      <c r="F135" s="12" t="s">
        <v>2020</v>
      </c>
      <c r="G135" s="12" t="b">
        <v>0</v>
      </c>
      <c r="H135" s="12" t="b">
        <v>1</v>
      </c>
      <c r="I135" s="12" t="b">
        <v>1</v>
      </c>
      <c r="J135" s="12" t="b">
        <v>1</v>
      </c>
      <c r="K135" s="12" t="b">
        <v>0</v>
      </c>
      <c r="L135" s="12" t="b">
        <v>0</v>
      </c>
      <c r="M135" s="12" t="b">
        <v>0</v>
      </c>
      <c r="N135" s="12">
        <v>0</v>
      </c>
      <c r="O135" s="12" t="b">
        <v>0</v>
      </c>
      <c r="P135" s="12" t="b">
        <v>0</v>
      </c>
      <c r="Q135" s="12" t="b">
        <v>0</v>
      </c>
      <c r="R135" s="12" t="b">
        <v>0</v>
      </c>
      <c r="S135" s="12" t="b">
        <v>0</v>
      </c>
      <c r="T135" s="12" t="b">
        <v>0</v>
      </c>
      <c r="U135" s="12" t="b">
        <v>0</v>
      </c>
      <c r="V135" s="12" t="b">
        <v>0</v>
      </c>
      <c r="W135" s="12" t="b">
        <v>0</v>
      </c>
      <c r="X135" s="12">
        <v>1</v>
      </c>
      <c r="Y135" s="12" t="b">
        <v>0</v>
      </c>
      <c r="Z135" s="12" t="b">
        <v>0</v>
      </c>
      <c r="AA135" s="12" t="b">
        <v>1</v>
      </c>
      <c r="AB135" s="12" t="b">
        <v>1</v>
      </c>
      <c r="AC135" s="12" t="b">
        <v>1</v>
      </c>
      <c r="AD135" s="12" t="b">
        <v>1</v>
      </c>
      <c r="AE135" s="12" t="b">
        <v>0</v>
      </c>
      <c r="AF135" s="12" t="b">
        <v>0</v>
      </c>
      <c r="AG135" s="12" t="b">
        <v>0</v>
      </c>
      <c r="AH135" s="12">
        <v>0</v>
      </c>
      <c r="AI135" s="12" t="b">
        <v>0</v>
      </c>
      <c r="AJ135" s="12" t="b">
        <v>0</v>
      </c>
      <c r="AK135" s="12" t="b">
        <v>1</v>
      </c>
      <c r="AL135" s="12">
        <v>1</v>
      </c>
      <c r="AM135" s="12" t="s">
        <v>1476</v>
      </c>
      <c r="AN135" s="12">
        <v>1</v>
      </c>
    </row>
    <row r="136" spans="1:40" x14ac:dyDescent="0.3">
      <c r="A136" s="62" t="s">
        <v>1548</v>
      </c>
      <c r="B136" s="132" t="s">
        <v>878</v>
      </c>
      <c r="C136" s="63"/>
      <c r="D136" s="63"/>
      <c r="E136" s="12" t="s">
        <v>2021</v>
      </c>
      <c r="F136" s="12" t="s">
        <v>2022</v>
      </c>
      <c r="G136" s="12" t="b">
        <v>0</v>
      </c>
      <c r="H136" s="12" t="b">
        <v>1</v>
      </c>
      <c r="I136" s="12" t="b">
        <v>1</v>
      </c>
      <c r="J136" s="12" t="b">
        <v>1</v>
      </c>
      <c r="K136" s="12" t="b">
        <v>0</v>
      </c>
      <c r="L136" s="12" t="b">
        <v>0</v>
      </c>
      <c r="M136" s="12" t="b">
        <v>0</v>
      </c>
      <c r="N136" s="12">
        <v>0</v>
      </c>
      <c r="O136" s="12" t="b">
        <v>0</v>
      </c>
      <c r="P136" s="12" t="b">
        <v>0</v>
      </c>
      <c r="Q136" s="12" t="b">
        <v>0</v>
      </c>
      <c r="R136" s="12" t="b">
        <v>0</v>
      </c>
      <c r="S136" s="12" t="b">
        <v>0</v>
      </c>
      <c r="T136" s="12" t="b">
        <v>0</v>
      </c>
      <c r="U136" s="12" t="b">
        <v>0</v>
      </c>
      <c r="V136" s="12" t="b">
        <v>0</v>
      </c>
      <c r="W136" s="12" t="b">
        <v>0</v>
      </c>
      <c r="X136" s="12">
        <v>1</v>
      </c>
      <c r="Y136" s="12" t="b">
        <v>0</v>
      </c>
      <c r="Z136" s="12" t="b">
        <v>0</v>
      </c>
      <c r="AA136" s="12" t="b">
        <v>1</v>
      </c>
      <c r="AB136" s="12" t="b">
        <v>1</v>
      </c>
      <c r="AC136" s="12" t="b">
        <v>1</v>
      </c>
      <c r="AD136" s="12" t="b">
        <v>1</v>
      </c>
      <c r="AE136" s="12" t="b">
        <v>0</v>
      </c>
      <c r="AF136" s="12" t="b">
        <v>0</v>
      </c>
      <c r="AG136" s="12" t="b">
        <v>0</v>
      </c>
      <c r="AH136" s="12">
        <v>0</v>
      </c>
      <c r="AI136" s="12" t="b">
        <v>0</v>
      </c>
      <c r="AJ136" s="12" t="b">
        <v>0</v>
      </c>
      <c r="AK136" s="12" t="b">
        <v>1</v>
      </c>
      <c r="AL136" s="12">
        <v>1</v>
      </c>
      <c r="AM136" s="12" t="s">
        <v>1476</v>
      </c>
      <c r="AN136" s="12">
        <v>1</v>
      </c>
    </row>
    <row r="137" spans="1:40" x14ac:dyDescent="0.3">
      <c r="A137" s="62" t="s">
        <v>1548</v>
      </c>
      <c r="B137" s="132" t="s">
        <v>1014</v>
      </c>
      <c r="C137" s="63"/>
      <c r="D137" s="63"/>
      <c r="E137" s="12" t="s">
        <v>2023</v>
      </c>
      <c r="F137" s="12" t="s">
        <v>2024</v>
      </c>
      <c r="G137" s="12" t="b">
        <v>0</v>
      </c>
      <c r="H137" s="12" t="b">
        <v>1</v>
      </c>
      <c r="I137" s="12" t="b">
        <v>1</v>
      </c>
      <c r="J137" s="12" t="b">
        <v>1</v>
      </c>
      <c r="K137" s="12" t="b">
        <v>0</v>
      </c>
      <c r="L137" s="12" t="b">
        <v>0</v>
      </c>
      <c r="M137" s="12" t="b">
        <v>0</v>
      </c>
      <c r="N137" s="12">
        <v>0</v>
      </c>
      <c r="O137" s="12" t="b">
        <v>0</v>
      </c>
      <c r="P137" s="12" t="b">
        <v>0</v>
      </c>
      <c r="Q137" s="12" t="b">
        <v>0</v>
      </c>
      <c r="R137" s="12" t="b">
        <v>0</v>
      </c>
      <c r="S137" s="12" t="b">
        <v>0</v>
      </c>
      <c r="T137" s="12" t="b">
        <v>0</v>
      </c>
      <c r="U137" s="12" t="b">
        <v>0</v>
      </c>
      <c r="V137" s="12" t="b">
        <v>0</v>
      </c>
      <c r="W137" s="12" t="b">
        <v>0</v>
      </c>
      <c r="X137" s="12">
        <v>1</v>
      </c>
      <c r="Y137" s="12" t="b">
        <v>0</v>
      </c>
      <c r="Z137" s="12" t="b">
        <v>0</v>
      </c>
      <c r="AA137" s="12" t="b">
        <v>1</v>
      </c>
      <c r="AB137" s="12" t="b">
        <v>1</v>
      </c>
      <c r="AC137" s="12" t="b">
        <v>1</v>
      </c>
      <c r="AD137" s="12" t="b">
        <v>1</v>
      </c>
      <c r="AE137" s="12" t="b">
        <v>0</v>
      </c>
      <c r="AF137" s="12" t="b">
        <v>0</v>
      </c>
      <c r="AG137" s="12" t="b">
        <v>0</v>
      </c>
      <c r="AH137" s="12">
        <v>0</v>
      </c>
      <c r="AI137" s="12" t="b">
        <v>0</v>
      </c>
      <c r="AJ137" s="12" t="b">
        <v>0</v>
      </c>
      <c r="AK137" s="12" t="b">
        <v>1</v>
      </c>
      <c r="AL137" s="12">
        <v>1</v>
      </c>
      <c r="AM137" s="12" t="s">
        <v>1476</v>
      </c>
      <c r="AN137" s="12">
        <v>1</v>
      </c>
    </row>
    <row r="138" spans="1:40" x14ac:dyDescent="0.3">
      <c r="A138" s="62" t="s">
        <v>1548</v>
      </c>
      <c r="B138" s="132" t="s">
        <v>1014</v>
      </c>
      <c r="C138" s="63"/>
      <c r="D138" s="63"/>
      <c r="E138" s="12" t="s">
        <v>2025</v>
      </c>
      <c r="F138" s="12" t="s">
        <v>2026</v>
      </c>
      <c r="G138" s="12" t="b">
        <v>0</v>
      </c>
      <c r="H138" s="12" t="b">
        <v>1</v>
      </c>
      <c r="I138" s="12" t="b">
        <v>1</v>
      </c>
      <c r="J138" s="12" t="b">
        <v>1</v>
      </c>
      <c r="K138" s="12" t="b">
        <v>0</v>
      </c>
      <c r="L138" s="12" t="b">
        <v>0</v>
      </c>
      <c r="M138" s="12" t="b">
        <v>0</v>
      </c>
      <c r="N138" s="12">
        <v>0</v>
      </c>
      <c r="O138" s="12" t="b">
        <v>0</v>
      </c>
      <c r="P138" s="12" t="b">
        <v>0</v>
      </c>
      <c r="Q138" s="12" t="b">
        <v>0</v>
      </c>
      <c r="R138" s="12" t="b">
        <v>0</v>
      </c>
      <c r="S138" s="12" t="b">
        <v>0</v>
      </c>
      <c r="T138" s="12" t="b">
        <v>0</v>
      </c>
      <c r="U138" s="12" t="b">
        <v>0</v>
      </c>
      <c r="V138" s="12" t="b">
        <v>0</v>
      </c>
      <c r="W138" s="12" t="b">
        <v>0</v>
      </c>
      <c r="X138" s="12">
        <v>1</v>
      </c>
      <c r="Y138" s="12" t="b">
        <v>0</v>
      </c>
      <c r="Z138" s="12" t="b">
        <v>0</v>
      </c>
      <c r="AA138" s="12" t="b">
        <v>1</v>
      </c>
      <c r="AB138" s="12" t="b">
        <v>1</v>
      </c>
      <c r="AC138" s="12" t="b">
        <v>1</v>
      </c>
      <c r="AD138" s="12" t="b">
        <v>1</v>
      </c>
      <c r="AE138" s="12" t="b">
        <v>0</v>
      </c>
      <c r="AF138" s="12" t="b">
        <v>0</v>
      </c>
      <c r="AG138" s="12" t="b">
        <v>0</v>
      </c>
      <c r="AH138" s="12">
        <v>0</v>
      </c>
      <c r="AI138" s="12" t="b">
        <v>0</v>
      </c>
      <c r="AJ138" s="12" t="b">
        <v>0</v>
      </c>
      <c r="AK138" s="12" t="b">
        <v>1</v>
      </c>
      <c r="AL138" s="12">
        <v>1</v>
      </c>
      <c r="AM138" s="12" t="s">
        <v>1476</v>
      </c>
      <c r="AN138" s="12">
        <v>1</v>
      </c>
    </row>
    <row r="139" spans="1:40" x14ac:dyDescent="0.3">
      <c r="A139" s="62" t="s">
        <v>1548</v>
      </c>
      <c r="B139" s="132" t="s">
        <v>1015</v>
      </c>
      <c r="C139" s="63"/>
      <c r="D139" s="63"/>
      <c r="E139" s="12" t="s">
        <v>2027</v>
      </c>
      <c r="F139" s="12" t="s">
        <v>2028</v>
      </c>
      <c r="G139" s="12" t="b">
        <v>0</v>
      </c>
      <c r="H139" s="12" t="b">
        <v>1</v>
      </c>
      <c r="I139" s="12" t="b">
        <v>1</v>
      </c>
      <c r="J139" s="12" t="b">
        <v>1</v>
      </c>
      <c r="K139" s="12" t="b">
        <v>0</v>
      </c>
      <c r="L139" s="12" t="b">
        <v>0</v>
      </c>
      <c r="M139" s="12" t="b">
        <v>0</v>
      </c>
      <c r="N139" s="12">
        <v>0</v>
      </c>
      <c r="O139" s="12" t="b">
        <v>0</v>
      </c>
      <c r="P139" s="12" t="b">
        <v>0</v>
      </c>
      <c r="Q139" s="12" t="b">
        <v>0</v>
      </c>
      <c r="R139" s="12" t="b">
        <v>0</v>
      </c>
      <c r="S139" s="12" t="b">
        <v>0</v>
      </c>
      <c r="T139" s="12" t="b">
        <v>0</v>
      </c>
      <c r="U139" s="12" t="b">
        <v>0</v>
      </c>
      <c r="V139" s="12" t="b">
        <v>0</v>
      </c>
      <c r="W139" s="12" t="b">
        <v>0</v>
      </c>
      <c r="X139" s="12">
        <v>1</v>
      </c>
      <c r="Y139" s="12" t="b">
        <v>0</v>
      </c>
      <c r="Z139" s="12" t="b">
        <v>0</v>
      </c>
      <c r="AA139" s="12" t="b">
        <v>1</v>
      </c>
      <c r="AB139" s="12" t="b">
        <v>1</v>
      </c>
      <c r="AC139" s="12" t="b">
        <v>1</v>
      </c>
      <c r="AD139" s="12" t="b">
        <v>1</v>
      </c>
      <c r="AE139" s="12" t="b">
        <v>0</v>
      </c>
      <c r="AF139" s="12" t="b">
        <v>0</v>
      </c>
      <c r="AG139" s="12" t="b">
        <v>0</v>
      </c>
      <c r="AH139" s="12">
        <v>0</v>
      </c>
      <c r="AI139" s="12" t="b">
        <v>0</v>
      </c>
      <c r="AJ139" s="12" t="b">
        <v>0</v>
      </c>
      <c r="AK139" s="12" t="b">
        <v>1</v>
      </c>
      <c r="AL139" s="12">
        <v>1</v>
      </c>
      <c r="AM139" s="12" t="s">
        <v>1476</v>
      </c>
      <c r="AN139" s="12">
        <v>1</v>
      </c>
    </row>
    <row r="140" spans="1:40" x14ac:dyDescent="0.3">
      <c r="A140" s="62" t="s">
        <v>1548</v>
      </c>
      <c r="B140" s="132" t="s">
        <v>1015</v>
      </c>
      <c r="C140" s="63"/>
      <c r="D140" s="63"/>
      <c r="E140" s="12" t="s">
        <v>2029</v>
      </c>
      <c r="F140" s="12" t="s">
        <v>2030</v>
      </c>
      <c r="G140" s="12" t="b">
        <v>0</v>
      </c>
      <c r="H140" s="12" t="b">
        <v>1</v>
      </c>
      <c r="I140" s="12" t="b">
        <v>1</v>
      </c>
      <c r="J140" s="12" t="b">
        <v>1</v>
      </c>
      <c r="K140" s="12" t="b">
        <v>0</v>
      </c>
      <c r="L140" s="12" t="b">
        <v>0</v>
      </c>
      <c r="M140" s="12" t="b">
        <v>0</v>
      </c>
      <c r="N140" s="12">
        <v>0</v>
      </c>
      <c r="O140" s="12" t="b">
        <v>0</v>
      </c>
      <c r="P140" s="12" t="b">
        <v>0</v>
      </c>
      <c r="Q140" s="12" t="b">
        <v>0</v>
      </c>
      <c r="R140" s="12" t="b">
        <v>0</v>
      </c>
      <c r="S140" s="12" t="b">
        <v>0</v>
      </c>
      <c r="T140" s="12" t="b">
        <v>0</v>
      </c>
      <c r="U140" s="12" t="b">
        <v>0</v>
      </c>
      <c r="V140" s="12" t="b">
        <v>0</v>
      </c>
      <c r="W140" s="12" t="b">
        <v>0</v>
      </c>
      <c r="X140" s="12">
        <v>1</v>
      </c>
      <c r="Y140" s="12" t="b">
        <v>0</v>
      </c>
      <c r="Z140" s="12" t="b">
        <v>0</v>
      </c>
      <c r="AA140" s="12" t="b">
        <v>1</v>
      </c>
      <c r="AB140" s="12" t="b">
        <v>1</v>
      </c>
      <c r="AC140" s="12" t="b">
        <v>1</v>
      </c>
      <c r="AD140" s="12" t="b">
        <v>1</v>
      </c>
      <c r="AE140" s="12" t="b">
        <v>0</v>
      </c>
      <c r="AF140" s="12" t="b">
        <v>0</v>
      </c>
      <c r="AG140" s="12" t="b">
        <v>0</v>
      </c>
      <c r="AH140" s="12">
        <v>0</v>
      </c>
      <c r="AI140" s="12" t="b">
        <v>0</v>
      </c>
      <c r="AJ140" s="12" t="b">
        <v>0</v>
      </c>
      <c r="AK140" s="12" t="b">
        <v>1</v>
      </c>
      <c r="AL140" s="12">
        <v>1</v>
      </c>
      <c r="AM140" s="12" t="s">
        <v>1476</v>
      </c>
      <c r="AN140" s="12">
        <v>1</v>
      </c>
    </row>
    <row r="141" spans="1:40" x14ac:dyDescent="0.3">
      <c r="A141" s="62" t="s">
        <v>1548</v>
      </c>
      <c r="B141" s="132" t="s">
        <v>1016</v>
      </c>
      <c r="C141" s="63"/>
      <c r="D141" s="63"/>
      <c r="E141" s="12" t="s">
        <v>2031</v>
      </c>
      <c r="F141" s="12" t="s">
        <v>2032</v>
      </c>
      <c r="G141" s="12" t="b">
        <v>0</v>
      </c>
      <c r="H141" s="12" t="b">
        <v>1</v>
      </c>
      <c r="I141" s="12" t="b">
        <v>1</v>
      </c>
      <c r="J141" s="12" t="b">
        <v>1</v>
      </c>
      <c r="K141" s="12" t="b">
        <v>0</v>
      </c>
      <c r="L141" s="12" t="b">
        <v>0</v>
      </c>
      <c r="M141" s="12" t="b">
        <v>0</v>
      </c>
      <c r="N141" s="12">
        <v>0</v>
      </c>
      <c r="O141" s="12" t="b">
        <v>0</v>
      </c>
      <c r="P141" s="12" t="b">
        <v>0</v>
      </c>
      <c r="Q141" s="12" t="b">
        <v>0</v>
      </c>
      <c r="R141" s="12" t="b">
        <v>0</v>
      </c>
      <c r="S141" s="12" t="b">
        <v>0</v>
      </c>
      <c r="T141" s="12" t="b">
        <v>0</v>
      </c>
      <c r="U141" s="12" t="b">
        <v>0</v>
      </c>
      <c r="V141" s="12" t="b">
        <v>0</v>
      </c>
      <c r="W141" s="12" t="b">
        <v>0</v>
      </c>
      <c r="X141" s="12">
        <v>1</v>
      </c>
      <c r="Y141" s="12" t="b">
        <v>0</v>
      </c>
      <c r="Z141" s="12" t="b">
        <v>0</v>
      </c>
      <c r="AA141" s="12" t="b">
        <v>1</v>
      </c>
      <c r="AB141" s="12" t="b">
        <v>1</v>
      </c>
      <c r="AC141" s="12" t="b">
        <v>1</v>
      </c>
      <c r="AD141" s="12" t="b">
        <v>1</v>
      </c>
      <c r="AE141" s="12" t="b">
        <v>0</v>
      </c>
      <c r="AF141" s="12" t="b">
        <v>0</v>
      </c>
      <c r="AG141" s="12" t="b">
        <v>0</v>
      </c>
      <c r="AH141" s="12">
        <v>0</v>
      </c>
      <c r="AI141" s="12" t="b">
        <v>0</v>
      </c>
      <c r="AJ141" s="12" t="b">
        <v>0</v>
      </c>
      <c r="AK141" s="12" t="b">
        <v>1</v>
      </c>
      <c r="AL141" s="12">
        <v>1</v>
      </c>
      <c r="AM141" s="12" t="s">
        <v>1476</v>
      </c>
      <c r="AN141" s="12">
        <v>1</v>
      </c>
    </row>
    <row r="142" spans="1:40" x14ac:dyDescent="0.3">
      <c r="A142" s="62" t="s">
        <v>1548</v>
      </c>
      <c r="B142" s="132" t="s">
        <v>1016</v>
      </c>
      <c r="C142" s="63"/>
      <c r="D142" s="63"/>
      <c r="E142" s="12" t="s">
        <v>2033</v>
      </c>
      <c r="F142" s="12" t="s">
        <v>2034</v>
      </c>
      <c r="G142" s="12" t="b">
        <v>0</v>
      </c>
      <c r="H142" s="12" t="b">
        <v>1</v>
      </c>
      <c r="I142" s="12" t="b">
        <v>1</v>
      </c>
      <c r="J142" s="12" t="b">
        <v>1</v>
      </c>
      <c r="K142" s="12" t="b">
        <v>0</v>
      </c>
      <c r="L142" s="12" t="b">
        <v>0</v>
      </c>
      <c r="M142" s="12" t="b">
        <v>0</v>
      </c>
      <c r="N142" s="12">
        <v>0</v>
      </c>
      <c r="O142" s="12" t="b">
        <v>0</v>
      </c>
      <c r="P142" s="12" t="b">
        <v>0</v>
      </c>
      <c r="Q142" s="12" t="b">
        <v>0</v>
      </c>
      <c r="R142" s="12" t="b">
        <v>0</v>
      </c>
      <c r="S142" s="12" t="b">
        <v>0</v>
      </c>
      <c r="T142" s="12" t="b">
        <v>0</v>
      </c>
      <c r="U142" s="12" t="b">
        <v>0</v>
      </c>
      <c r="V142" s="12" t="b">
        <v>0</v>
      </c>
      <c r="W142" s="12" t="b">
        <v>0</v>
      </c>
      <c r="X142" s="12">
        <v>1</v>
      </c>
      <c r="Y142" s="12" t="b">
        <v>0</v>
      </c>
      <c r="Z142" s="12" t="b">
        <v>0</v>
      </c>
      <c r="AA142" s="12" t="b">
        <v>1</v>
      </c>
      <c r="AB142" s="12" t="b">
        <v>1</v>
      </c>
      <c r="AC142" s="12" t="b">
        <v>1</v>
      </c>
      <c r="AD142" s="12" t="b">
        <v>1</v>
      </c>
      <c r="AE142" s="12" t="b">
        <v>0</v>
      </c>
      <c r="AF142" s="12" t="b">
        <v>0</v>
      </c>
      <c r="AG142" s="12" t="b">
        <v>0</v>
      </c>
      <c r="AH142" s="12">
        <v>0</v>
      </c>
      <c r="AI142" s="12" t="b">
        <v>0</v>
      </c>
      <c r="AJ142" s="12" t="b">
        <v>0</v>
      </c>
      <c r="AK142" s="12" t="b">
        <v>1</v>
      </c>
      <c r="AL142" s="12">
        <v>1</v>
      </c>
      <c r="AM142" s="12" t="s">
        <v>1476</v>
      </c>
      <c r="AN142" s="12">
        <v>1</v>
      </c>
    </row>
    <row r="143" spans="1:40" x14ac:dyDescent="0.3">
      <c r="A143" s="62" t="s">
        <v>1548</v>
      </c>
      <c r="B143" s="62"/>
      <c r="C143" s="63"/>
      <c r="D143" s="63"/>
      <c r="E143" s="12" t="s">
        <v>1314</v>
      </c>
      <c r="F143" s="12" t="s">
        <v>1315</v>
      </c>
      <c r="G143" s="12" t="b">
        <v>0</v>
      </c>
      <c r="H143" s="12" t="b">
        <v>1</v>
      </c>
      <c r="I143" s="12" t="b">
        <v>1</v>
      </c>
      <c r="J143" s="12" t="b">
        <v>1</v>
      </c>
      <c r="K143" s="12" t="b">
        <v>0</v>
      </c>
      <c r="L143" s="12" t="b">
        <v>0</v>
      </c>
      <c r="M143" s="12" t="b">
        <v>0</v>
      </c>
      <c r="N143" s="12">
        <v>0</v>
      </c>
      <c r="O143" s="12" t="b">
        <v>0</v>
      </c>
      <c r="P143" s="12" t="b">
        <v>0</v>
      </c>
      <c r="Q143" s="12" t="b">
        <v>0</v>
      </c>
      <c r="R143" s="12" t="b">
        <v>0</v>
      </c>
      <c r="S143" s="12" t="b">
        <v>0</v>
      </c>
      <c r="T143" s="12" t="b">
        <v>0</v>
      </c>
      <c r="U143" s="12" t="b">
        <v>0</v>
      </c>
      <c r="V143" s="12" t="b">
        <v>0</v>
      </c>
      <c r="W143" s="12" t="b">
        <v>0</v>
      </c>
      <c r="X143" s="12">
        <v>12</v>
      </c>
      <c r="Y143" s="12" t="b">
        <v>0</v>
      </c>
      <c r="Z143" s="12" t="b">
        <v>0</v>
      </c>
      <c r="AA143" s="12" t="b">
        <v>0</v>
      </c>
      <c r="AB143" s="12" t="b">
        <v>0</v>
      </c>
      <c r="AC143" s="12" t="b">
        <v>0</v>
      </c>
      <c r="AD143" s="12" t="b">
        <v>0</v>
      </c>
      <c r="AE143" s="12" t="b">
        <v>0</v>
      </c>
      <c r="AF143" s="12" t="b">
        <v>0</v>
      </c>
      <c r="AG143" s="12" t="b">
        <v>0</v>
      </c>
      <c r="AH143" s="12">
        <v>5</v>
      </c>
      <c r="AI143" s="12" t="b">
        <v>0</v>
      </c>
      <c r="AJ143" s="12" t="b">
        <v>0</v>
      </c>
      <c r="AK143" s="12" t="b">
        <v>1</v>
      </c>
      <c r="AL143" s="12">
        <v>1</v>
      </c>
      <c r="AM143" s="12" t="s">
        <v>1476</v>
      </c>
      <c r="AN143" s="12">
        <v>1</v>
      </c>
    </row>
    <row r="144" spans="1:40" x14ac:dyDescent="0.3">
      <c r="A144" s="62" t="s">
        <v>1548</v>
      </c>
      <c r="B144" s="62"/>
      <c r="C144" s="63"/>
      <c r="D144" s="63"/>
      <c r="E144" s="12" t="s">
        <v>1316</v>
      </c>
      <c r="F144" s="12" t="s">
        <v>1317</v>
      </c>
      <c r="G144" s="12" t="b">
        <v>0</v>
      </c>
      <c r="H144" s="12" t="b">
        <v>1</v>
      </c>
      <c r="I144" s="12" t="b">
        <v>1</v>
      </c>
      <c r="J144" s="12" t="b">
        <v>1</v>
      </c>
      <c r="K144" s="12" t="b">
        <v>0</v>
      </c>
      <c r="L144" s="12" t="b">
        <v>1</v>
      </c>
      <c r="M144" s="12" t="b">
        <v>0</v>
      </c>
      <c r="N144" s="12">
        <v>0</v>
      </c>
      <c r="O144" s="12" t="b">
        <v>0</v>
      </c>
      <c r="P144" s="12" t="b">
        <v>0</v>
      </c>
      <c r="Q144" s="12" t="b">
        <v>0</v>
      </c>
      <c r="R144" s="12" t="b">
        <v>0</v>
      </c>
      <c r="S144" s="12" t="b">
        <v>0</v>
      </c>
      <c r="T144" s="12" t="b">
        <v>0</v>
      </c>
      <c r="U144" s="12" t="b">
        <v>0</v>
      </c>
      <c r="V144" s="12" t="b">
        <v>0</v>
      </c>
      <c r="W144" s="12" t="b">
        <v>0</v>
      </c>
      <c r="X144" s="12">
        <v>12</v>
      </c>
      <c r="Y144" s="12" t="b">
        <v>0</v>
      </c>
      <c r="Z144" s="12" t="b">
        <v>0</v>
      </c>
      <c r="AA144" s="12" t="b">
        <v>0</v>
      </c>
      <c r="AB144" s="12" t="b">
        <v>0</v>
      </c>
      <c r="AC144" s="12" t="b">
        <v>0</v>
      </c>
      <c r="AD144" s="12" t="b">
        <v>0</v>
      </c>
      <c r="AE144" s="12" t="b">
        <v>0</v>
      </c>
      <c r="AF144" s="12" t="b">
        <v>0</v>
      </c>
      <c r="AG144" s="12" t="b">
        <v>0</v>
      </c>
      <c r="AH144" s="12">
        <v>7</v>
      </c>
      <c r="AI144" s="12" t="b">
        <v>0</v>
      </c>
      <c r="AJ144" s="12" t="b">
        <v>0</v>
      </c>
      <c r="AK144" s="12" t="b">
        <v>1</v>
      </c>
      <c r="AL144" s="12">
        <v>1</v>
      </c>
      <c r="AM144" s="12" t="s">
        <v>1476</v>
      </c>
      <c r="AN144" s="12">
        <v>1</v>
      </c>
    </row>
    <row r="145" spans="1:40" x14ac:dyDescent="0.3">
      <c r="A145" s="62" t="s">
        <v>1548</v>
      </c>
      <c r="B145" s="62"/>
      <c r="C145" s="63"/>
      <c r="D145" s="63"/>
      <c r="E145" s="12" t="s">
        <v>1318</v>
      </c>
      <c r="F145" s="12" t="s">
        <v>1319</v>
      </c>
      <c r="G145" s="12" t="b">
        <v>0</v>
      </c>
      <c r="H145" s="12" t="b">
        <v>1</v>
      </c>
      <c r="I145" s="12" t="b">
        <v>1</v>
      </c>
      <c r="J145" s="12" t="b">
        <v>1</v>
      </c>
      <c r="K145" s="12" t="b">
        <v>0</v>
      </c>
      <c r="L145" s="12" t="b">
        <v>0</v>
      </c>
      <c r="M145" s="12" t="b">
        <v>0</v>
      </c>
      <c r="N145" s="12">
        <v>0</v>
      </c>
      <c r="O145" s="12" t="b">
        <v>0</v>
      </c>
      <c r="P145" s="12" t="b">
        <v>0</v>
      </c>
      <c r="Q145" s="12" t="b">
        <v>0</v>
      </c>
      <c r="R145" s="12" t="b">
        <v>0</v>
      </c>
      <c r="S145" s="12" t="b">
        <v>0</v>
      </c>
      <c r="T145" s="12" t="b">
        <v>0</v>
      </c>
      <c r="U145" s="12" t="b">
        <v>0</v>
      </c>
      <c r="V145" s="12" t="b">
        <v>0</v>
      </c>
      <c r="W145" s="12" t="b">
        <v>0</v>
      </c>
      <c r="X145" s="12">
        <v>12</v>
      </c>
      <c r="Y145" s="12" t="b">
        <v>0</v>
      </c>
      <c r="Z145" s="12" t="b">
        <v>0</v>
      </c>
      <c r="AA145" s="12" t="b">
        <v>0</v>
      </c>
      <c r="AB145" s="12" t="b">
        <v>0</v>
      </c>
      <c r="AC145" s="12" t="b">
        <v>0</v>
      </c>
      <c r="AD145" s="12" t="b">
        <v>0</v>
      </c>
      <c r="AE145" s="12" t="b">
        <v>0</v>
      </c>
      <c r="AF145" s="12" t="b">
        <v>0</v>
      </c>
      <c r="AG145" s="12" t="b">
        <v>0</v>
      </c>
      <c r="AH145" s="12">
        <v>5</v>
      </c>
      <c r="AI145" s="12" t="b">
        <v>0</v>
      </c>
      <c r="AJ145" s="12" t="b">
        <v>0</v>
      </c>
      <c r="AK145" s="12" t="b">
        <v>1</v>
      </c>
      <c r="AL145" s="12">
        <v>1</v>
      </c>
      <c r="AM145" s="12" t="s">
        <v>1476</v>
      </c>
      <c r="AN145" s="12">
        <v>1</v>
      </c>
    </row>
    <row r="146" spans="1:40" x14ac:dyDescent="0.3">
      <c r="A146" s="62" t="s">
        <v>1548</v>
      </c>
      <c r="B146" s="62"/>
      <c r="C146" s="63"/>
      <c r="D146" s="63"/>
      <c r="E146" s="12" t="s">
        <v>1320</v>
      </c>
      <c r="F146" s="12" t="s">
        <v>1321</v>
      </c>
      <c r="G146" s="12" t="b">
        <v>0</v>
      </c>
      <c r="H146" s="12" t="b">
        <v>1</v>
      </c>
      <c r="I146" s="12" t="b">
        <v>1</v>
      </c>
      <c r="J146" s="12" t="b">
        <v>1</v>
      </c>
      <c r="K146" s="12" t="b">
        <v>0</v>
      </c>
      <c r="L146" s="12" t="b">
        <v>1</v>
      </c>
      <c r="M146" s="12" t="b">
        <v>0</v>
      </c>
      <c r="N146" s="12">
        <v>0</v>
      </c>
      <c r="O146" s="12" t="b">
        <v>0</v>
      </c>
      <c r="P146" s="12" t="b">
        <v>0</v>
      </c>
      <c r="Q146" s="12" t="b">
        <v>0</v>
      </c>
      <c r="R146" s="12" t="b">
        <v>0</v>
      </c>
      <c r="S146" s="12" t="b">
        <v>0</v>
      </c>
      <c r="T146" s="12" t="b">
        <v>0</v>
      </c>
      <c r="U146" s="12" t="b">
        <v>0</v>
      </c>
      <c r="V146" s="12" t="b">
        <v>0</v>
      </c>
      <c r="W146" s="12" t="b">
        <v>0</v>
      </c>
      <c r="X146" s="12">
        <v>12</v>
      </c>
      <c r="Y146" s="12" t="b">
        <v>0</v>
      </c>
      <c r="Z146" s="12" t="b">
        <v>0</v>
      </c>
      <c r="AA146" s="12" t="b">
        <v>0</v>
      </c>
      <c r="AB146" s="12" t="b">
        <v>0</v>
      </c>
      <c r="AC146" s="12" t="b">
        <v>0</v>
      </c>
      <c r="AD146" s="12" t="b">
        <v>0</v>
      </c>
      <c r="AE146" s="12" t="b">
        <v>0</v>
      </c>
      <c r="AF146" s="12" t="b">
        <v>0</v>
      </c>
      <c r="AG146" s="12" t="b">
        <v>0</v>
      </c>
      <c r="AH146" s="12">
        <v>7</v>
      </c>
      <c r="AI146" s="12" t="b">
        <v>0</v>
      </c>
      <c r="AJ146" s="12" t="b">
        <v>0</v>
      </c>
      <c r="AK146" s="12" t="b">
        <v>1</v>
      </c>
      <c r="AL146" s="12">
        <v>1</v>
      </c>
      <c r="AM146" s="12" t="s">
        <v>1476</v>
      </c>
      <c r="AN146" s="12">
        <v>1</v>
      </c>
    </row>
    <row r="147" spans="1:40" x14ac:dyDescent="0.3">
      <c r="A147" s="62" t="s">
        <v>1548</v>
      </c>
      <c r="B147" s="62"/>
      <c r="C147" s="63"/>
      <c r="D147" s="63"/>
      <c r="E147" s="12" t="s">
        <v>1528</v>
      </c>
      <c r="F147" s="12" t="s">
        <v>1566</v>
      </c>
      <c r="G147" s="12" t="b">
        <v>0</v>
      </c>
      <c r="H147" s="12" t="b">
        <v>1</v>
      </c>
      <c r="I147" s="12" t="b">
        <v>1</v>
      </c>
      <c r="J147" s="12" t="b">
        <v>1</v>
      </c>
      <c r="K147" s="12" t="b">
        <v>0</v>
      </c>
      <c r="L147" s="12" t="b">
        <v>0</v>
      </c>
      <c r="M147" s="12" t="b">
        <v>0</v>
      </c>
      <c r="N147" s="12">
        <v>0</v>
      </c>
      <c r="O147" s="12" t="b">
        <v>0</v>
      </c>
      <c r="P147" s="12" t="b">
        <v>0</v>
      </c>
      <c r="Q147" s="12" t="b">
        <v>0</v>
      </c>
      <c r="R147" s="12" t="b">
        <v>0</v>
      </c>
      <c r="S147" s="12" t="b">
        <v>0</v>
      </c>
      <c r="T147" s="12" t="b">
        <v>0</v>
      </c>
      <c r="U147" s="12" t="b">
        <v>0</v>
      </c>
      <c r="V147" s="12" t="b">
        <v>0</v>
      </c>
      <c r="W147" s="12" t="b">
        <v>0</v>
      </c>
      <c r="X147" s="12">
        <v>1</v>
      </c>
      <c r="Y147" s="12" t="b">
        <v>0</v>
      </c>
      <c r="Z147" s="12" t="b">
        <v>0</v>
      </c>
      <c r="AA147" s="12" t="b">
        <v>1</v>
      </c>
      <c r="AB147" s="12" t="b">
        <v>1</v>
      </c>
      <c r="AC147" s="12" t="b">
        <v>1</v>
      </c>
      <c r="AD147" s="12" t="b">
        <v>1</v>
      </c>
      <c r="AE147" s="12" t="b">
        <v>0</v>
      </c>
      <c r="AF147" s="12" t="b">
        <v>0</v>
      </c>
      <c r="AG147" s="12" t="b">
        <v>0</v>
      </c>
      <c r="AH147" s="12">
        <v>1</v>
      </c>
      <c r="AI147" s="12" t="b">
        <v>0</v>
      </c>
      <c r="AJ147" s="12" t="b">
        <v>0</v>
      </c>
      <c r="AK147" s="12" t="b">
        <v>1</v>
      </c>
      <c r="AL147" s="12">
        <v>0</v>
      </c>
      <c r="AM147" s="12" t="s">
        <v>922</v>
      </c>
      <c r="AN147" s="12">
        <v>0</v>
      </c>
    </row>
    <row r="148" spans="1:40" x14ac:dyDescent="0.3">
      <c r="A148" s="62" t="s">
        <v>1548</v>
      </c>
      <c r="B148" s="62"/>
      <c r="C148" s="63"/>
      <c r="D148" s="63"/>
      <c r="E148" s="12" t="s">
        <v>1523</v>
      </c>
      <c r="F148" s="12" t="s">
        <v>1567</v>
      </c>
      <c r="G148" s="12" t="b">
        <v>0</v>
      </c>
      <c r="H148" s="12" t="b">
        <v>1</v>
      </c>
      <c r="I148" s="12" t="b">
        <v>1</v>
      </c>
      <c r="J148" s="12" t="b">
        <v>1</v>
      </c>
      <c r="K148" s="12" t="b">
        <v>0</v>
      </c>
      <c r="L148" s="12" t="b">
        <v>0</v>
      </c>
      <c r="M148" s="12" t="b">
        <v>0</v>
      </c>
      <c r="N148" s="12">
        <v>0</v>
      </c>
      <c r="O148" s="12" t="b">
        <v>0</v>
      </c>
      <c r="P148" s="12" t="b">
        <v>0</v>
      </c>
      <c r="Q148" s="12" t="b">
        <v>0</v>
      </c>
      <c r="R148" s="12" t="b">
        <v>0</v>
      </c>
      <c r="S148" s="12" t="b">
        <v>0</v>
      </c>
      <c r="T148" s="12" t="b">
        <v>0</v>
      </c>
      <c r="U148" s="12" t="b">
        <v>0</v>
      </c>
      <c r="V148" s="12" t="b">
        <v>0</v>
      </c>
      <c r="W148" s="12" t="b">
        <v>0</v>
      </c>
      <c r="X148" s="12">
        <v>1</v>
      </c>
      <c r="Y148" s="12" t="b">
        <v>0</v>
      </c>
      <c r="Z148" s="12" t="b">
        <v>0</v>
      </c>
      <c r="AA148" s="12" t="b">
        <v>1</v>
      </c>
      <c r="AB148" s="12" t="b">
        <v>1</v>
      </c>
      <c r="AC148" s="12" t="b">
        <v>1</v>
      </c>
      <c r="AD148" s="12" t="b">
        <v>1</v>
      </c>
      <c r="AE148" s="12" t="b">
        <v>0</v>
      </c>
      <c r="AF148" s="12" t="b">
        <v>0</v>
      </c>
      <c r="AG148" s="12" t="b">
        <v>0</v>
      </c>
      <c r="AH148" s="12">
        <v>1</v>
      </c>
      <c r="AI148" s="12" t="b">
        <v>0</v>
      </c>
      <c r="AJ148" s="12" t="b">
        <v>0</v>
      </c>
      <c r="AK148" s="12" t="b">
        <v>1</v>
      </c>
      <c r="AL148" s="12">
        <v>0</v>
      </c>
      <c r="AM148" s="12" t="s">
        <v>922</v>
      </c>
      <c r="AN148" s="12">
        <v>0</v>
      </c>
    </row>
    <row r="149" spans="1:40" x14ac:dyDescent="0.3">
      <c r="A149" s="62" t="s">
        <v>1548</v>
      </c>
      <c r="B149" s="62"/>
      <c r="C149" s="63"/>
      <c r="D149" s="63"/>
      <c r="E149" s="12" t="s">
        <v>1524</v>
      </c>
      <c r="F149" s="12" t="s">
        <v>1568</v>
      </c>
      <c r="G149" s="12" t="b">
        <v>0</v>
      </c>
      <c r="H149" s="12" t="b">
        <v>1</v>
      </c>
      <c r="I149" s="12" t="b">
        <v>1</v>
      </c>
      <c r="J149" s="12" t="b">
        <v>1</v>
      </c>
      <c r="K149" s="12" t="b">
        <v>0</v>
      </c>
      <c r="L149" s="12" t="b">
        <v>0</v>
      </c>
      <c r="M149" s="12" t="b">
        <v>0</v>
      </c>
      <c r="N149" s="12">
        <v>0</v>
      </c>
      <c r="O149" s="12" t="b">
        <v>0</v>
      </c>
      <c r="P149" s="12" t="b">
        <v>0</v>
      </c>
      <c r="Q149" s="12" t="b">
        <v>0</v>
      </c>
      <c r="R149" s="12" t="b">
        <v>0</v>
      </c>
      <c r="S149" s="12" t="b">
        <v>0</v>
      </c>
      <c r="T149" s="12" t="b">
        <v>0</v>
      </c>
      <c r="U149" s="12" t="b">
        <v>0</v>
      </c>
      <c r="V149" s="12" t="b">
        <v>0</v>
      </c>
      <c r="W149" s="12" t="b">
        <v>0</v>
      </c>
      <c r="X149" s="12">
        <v>1</v>
      </c>
      <c r="Y149" s="12" t="b">
        <v>0</v>
      </c>
      <c r="Z149" s="12" t="b">
        <v>0</v>
      </c>
      <c r="AA149" s="12" t="b">
        <v>1</v>
      </c>
      <c r="AB149" s="12" t="b">
        <v>1</v>
      </c>
      <c r="AC149" s="12" t="b">
        <v>1</v>
      </c>
      <c r="AD149" s="12" t="b">
        <v>1</v>
      </c>
      <c r="AE149" s="12" t="b">
        <v>0</v>
      </c>
      <c r="AF149" s="12" t="b">
        <v>0</v>
      </c>
      <c r="AG149" s="12" t="b">
        <v>0</v>
      </c>
      <c r="AH149" s="12">
        <v>1</v>
      </c>
      <c r="AI149" s="12" t="b">
        <v>0</v>
      </c>
      <c r="AJ149" s="12" t="b">
        <v>0</v>
      </c>
      <c r="AK149" s="12" t="b">
        <v>1</v>
      </c>
      <c r="AL149" s="12">
        <v>0</v>
      </c>
      <c r="AM149" s="12" t="s">
        <v>922</v>
      </c>
      <c r="AN149" s="12">
        <v>0</v>
      </c>
    </row>
    <row r="150" spans="1:40" x14ac:dyDescent="0.3">
      <c r="A150" s="62" t="s">
        <v>1548</v>
      </c>
      <c r="B150" s="62"/>
      <c r="C150" s="63"/>
      <c r="D150" s="63"/>
      <c r="E150" s="12" t="s">
        <v>1525</v>
      </c>
      <c r="F150" s="12" t="s">
        <v>1569</v>
      </c>
      <c r="G150" s="12" t="b">
        <v>0</v>
      </c>
      <c r="H150" s="12" t="b">
        <v>1</v>
      </c>
      <c r="I150" s="12" t="b">
        <v>1</v>
      </c>
      <c r="J150" s="12" t="b">
        <v>1</v>
      </c>
      <c r="K150" s="12" t="b">
        <v>0</v>
      </c>
      <c r="L150" s="12" t="b">
        <v>0</v>
      </c>
      <c r="M150" s="12" t="b">
        <v>0</v>
      </c>
      <c r="N150" s="12">
        <v>0</v>
      </c>
      <c r="O150" s="12" t="b">
        <v>0</v>
      </c>
      <c r="P150" s="12" t="b">
        <v>0</v>
      </c>
      <c r="Q150" s="12" t="b">
        <v>0</v>
      </c>
      <c r="R150" s="12" t="b">
        <v>0</v>
      </c>
      <c r="S150" s="12" t="b">
        <v>0</v>
      </c>
      <c r="T150" s="12" t="b">
        <v>0</v>
      </c>
      <c r="U150" s="12" t="b">
        <v>0</v>
      </c>
      <c r="V150" s="12" t="b">
        <v>0</v>
      </c>
      <c r="W150" s="12" t="b">
        <v>0</v>
      </c>
      <c r="X150" s="12">
        <v>1</v>
      </c>
      <c r="Y150" s="12" t="b">
        <v>0</v>
      </c>
      <c r="Z150" s="12" t="b">
        <v>0</v>
      </c>
      <c r="AA150" s="12" t="b">
        <v>1</v>
      </c>
      <c r="AB150" s="12" t="b">
        <v>1</v>
      </c>
      <c r="AC150" s="12" t="b">
        <v>1</v>
      </c>
      <c r="AD150" s="12" t="b">
        <v>1</v>
      </c>
      <c r="AE150" s="12" t="b">
        <v>0</v>
      </c>
      <c r="AF150" s="12" t="b">
        <v>0</v>
      </c>
      <c r="AG150" s="12" t="b">
        <v>0</v>
      </c>
      <c r="AH150" s="12">
        <v>1</v>
      </c>
      <c r="AI150" s="12" t="b">
        <v>0</v>
      </c>
      <c r="AJ150" s="12" t="b">
        <v>0</v>
      </c>
      <c r="AK150" s="12" t="b">
        <v>1</v>
      </c>
      <c r="AL150" s="12">
        <v>0</v>
      </c>
      <c r="AM150" s="12" t="s">
        <v>922</v>
      </c>
      <c r="AN150" s="12">
        <v>0</v>
      </c>
    </row>
    <row r="151" spans="1:40" x14ac:dyDescent="0.3">
      <c r="A151" s="62" t="s">
        <v>1548</v>
      </c>
      <c r="B151" s="62"/>
      <c r="C151" s="63"/>
      <c r="D151" s="63"/>
      <c r="E151" s="12" t="s">
        <v>1526</v>
      </c>
      <c r="F151" s="12" t="s">
        <v>1570</v>
      </c>
      <c r="G151" s="12" t="b">
        <v>0</v>
      </c>
      <c r="H151" s="12" t="b">
        <v>1</v>
      </c>
      <c r="I151" s="12" t="b">
        <v>1</v>
      </c>
      <c r="J151" s="12" t="b">
        <v>1</v>
      </c>
      <c r="K151" s="12" t="b">
        <v>0</v>
      </c>
      <c r="L151" s="12" t="b">
        <v>0</v>
      </c>
      <c r="M151" s="12" t="b">
        <v>0</v>
      </c>
      <c r="N151" s="12">
        <v>0</v>
      </c>
      <c r="O151" s="12" t="b">
        <v>0</v>
      </c>
      <c r="P151" s="12" t="b">
        <v>0</v>
      </c>
      <c r="Q151" s="12" t="b">
        <v>0</v>
      </c>
      <c r="R151" s="12" t="b">
        <v>0</v>
      </c>
      <c r="S151" s="12" t="b">
        <v>0</v>
      </c>
      <c r="T151" s="12" t="b">
        <v>0</v>
      </c>
      <c r="U151" s="12" t="b">
        <v>0</v>
      </c>
      <c r="V151" s="12" t="b">
        <v>0</v>
      </c>
      <c r="W151" s="12" t="b">
        <v>0</v>
      </c>
      <c r="X151" s="12">
        <v>1</v>
      </c>
      <c r="Y151" s="12" t="b">
        <v>0</v>
      </c>
      <c r="Z151" s="12" t="b">
        <v>0</v>
      </c>
      <c r="AA151" s="12" t="b">
        <v>1</v>
      </c>
      <c r="AB151" s="12" t="b">
        <v>1</v>
      </c>
      <c r="AC151" s="12" t="b">
        <v>1</v>
      </c>
      <c r="AD151" s="12" t="b">
        <v>1</v>
      </c>
      <c r="AE151" s="12" t="b">
        <v>0</v>
      </c>
      <c r="AF151" s="12" t="b">
        <v>0</v>
      </c>
      <c r="AG151" s="12" t="b">
        <v>0</v>
      </c>
      <c r="AH151" s="12">
        <v>1</v>
      </c>
      <c r="AI151" s="12" t="b">
        <v>0</v>
      </c>
      <c r="AJ151" s="12" t="b">
        <v>0</v>
      </c>
      <c r="AK151" s="12" t="b">
        <v>1</v>
      </c>
      <c r="AL151" s="12">
        <v>0</v>
      </c>
      <c r="AM151" s="12" t="s">
        <v>922</v>
      </c>
      <c r="AN151" s="12">
        <v>0</v>
      </c>
    </row>
    <row r="152" spans="1:40" x14ac:dyDescent="0.3">
      <c r="A152" s="62" t="s">
        <v>1548</v>
      </c>
      <c r="B152" s="62"/>
      <c r="C152" s="63"/>
      <c r="D152" s="63"/>
      <c r="E152" s="12" t="s">
        <v>1527</v>
      </c>
      <c r="F152" s="12" t="s">
        <v>1571</v>
      </c>
      <c r="G152" s="12" t="b">
        <v>0</v>
      </c>
      <c r="H152" s="12" t="b">
        <v>1</v>
      </c>
      <c r="I152" s="12" t="b">
        <v>1</v>
      </c>
      <c r="J152" s="12" t="b">
        <v>1</v>
      </c>
      <c r="K152" s="12" t="b">
        <v>0</v>
      </c>
      <c r="L152" s="12" t="b">
        <v>0</v>
      </c>
      <c r="M152" s="12" t="b">
        <v>0</v>
      </c>
      <c r="N152" s="12">
        <v>0</v>
      </c>
      <c r="O152" s="12" t="b">
        <v>0</v>
      </c>
      <c r="P152" s="12" t="b">
        <v>0</v>
      </c>
      <c r="Q152" s="12" t="b">
        <v>0</v>
      </c>
      <c r="R152" s="12" t="b">
        <v>0</v>
      </c>
      <c r="S152" s="12" t="b">
        <v>0</v>
      </c>
      <c r="T152" s="12" t="b">
        <v>0</v>
      </c>
      <c r="U152" s="12" t="b">
        <v>0</v>
      </c>
      <c r="V152" s="12" t="b">
        <v>0</v>
      </c>
      <c r="W152" s="12" t="b">
        <v>0</v>
      </c>
      <c r="X152" s="12">
        <v>1</v>
      </c>
      <c r="Y152" s="12" t="b">
        <v>0</v>
      </c>
      <c r="Z152" s="12" t="b">
        <v>0</v>
      </c>
      <c r="AA152" s="12" t="b">
        <v>1</v>
      </c>
      <c r="AB152" s="12" t="b">
        <v>1</v>
      </c>
      <c r="AC152" s="12" t="b">
        <v>1</v>
      </c>
      <c r="AD152" s="12" t="b">
        <v>1</v>
      </c>
      <c r="AE152" s="12" t="b">
        <v>0</v>
      </c>
      <c r="AF152" s="12" t="b">
        <v>0</v>
      </c>
      <c r="AG152" s="12" t="b">
        <v>0</v>
      </c>
      <c r="AH152" s="12">
        <v>1</v>
      </c>
      <c r="AI152" s="12" t="b">
        <v>0</v>
      </c>
      <c r="AJ152" s="12" t="b">
        <v>0</v>
      </c>
      <c r="AK152" s="12" t="b">
        <v>1</v>
      </c>
      <c r="AL152" s="12">
        <v>0</v>
      </c>
      <c r="AM152" s="12" t="s">
        <v>922</v>
      </c>
      <c r="AN152" s="12">
        <v>0</v>
      </c>
    </row>
    <row r="153" spans="1:40" x14ac:dyDescent="0.3">
      <c r="A153" s="62" t="s">
        <v>1548</v>
      </c>
      <c r="B153" s="62"/>
      <c r="C153" s="63"/>
      <c r="D153" s="63"/>
      <c r="E153" s="12" t="s">
        <v>1522</v>
      </c>
      <c r="F153" s="12" t="s">
        <v>1572</v>
      </c>
      <c r="G153" s="12" t="b">
        <v>0</v>
      </c>
      <c r="H153" s="12" t="b">
        <v>1</v>
      </c>
      <c r="I153" s="12" t="b">
        <v>1</v>
      </c>
      <c r="J153" s="12" t="b">
        <v>1</v>
      </c>
      <c r="K153" s="12" t="b">
        <v>0</v>
      </c>
      <c r="L153" s="12" t="b">
        <v>0</v>
      </c>
      <c r="M153" s="12" t="b">
        <v>0</v>
      </c>
      <c r="N153" s="12">
        <v>0</v>
      </c>
      <c r="O153" s="12" t="b">
        <v>0</v>
      </c>
      <c r="P153" s="12" t="b">
        <v>0</v>
      </c>
      <c r="Q153" s="12" t="b">
        <v>0</v>
      </c>
      <c r="R153" s="12" t="b">
        <v>0</v>
      </c>
      <c r="S153" s="12" t="b">
        <v>0</v>
      </c>
      <c r="T153" s="12" t="b">
        <v>0</v>
      </c>
      <c r="U153" s="12" t="b">
        <v>0</v>
      </c>
      <c r="V153" s="12" t="b">
        <v>0</v>
      </c>
      <c r="W153" s="12" t="b">
        <v>0</v>
      </c>
      <c r="X153" s="12">
        <v>1</v>
      </c>
      <c r="Y153" s="12" t="b">
        <v>0</v>
      </c>
      <c r="Z153" s="12" t="b">
        <v>0</v>
      </c>
      <c r="AA153" s="12" t="b">
        <v>1</v>
      </c>
      <c r="AB153" s="12" t="b">
        <v>1</v>
      </c>
      <c r="AC153" s="12" t="b">
        <v>1</v>
      </c>
      <c r="AD153" s="12" t="b">
        <v>1</v>
      </c>
      <c r="AE153" s="12" t="b">
        <v>0</v>
      </c>
      <c r="AF153" s="12" t="b">
        <v>0</v>
      </c>
      <c r="AG153" s="12" t="b">
        <v>0</v>
      </c>
      <c r="AH153" s="12">
        <v>1</v>
      </c>
      <c r="AI153" s="12" t="b">
        <v>0</v>
      </c>
      <c r="AJ153" s="12" t="b">
        <v>0</v>
      </c>
      <c r="AK153" s="12" t="b">
        <v>1</v>
      </c>
      <c r="AL153" s="12">
        <v>0</v>
      </c>
      <c r="AM153" s="12" t="s">
        <v>922</v>
      </c>
      <c r="AN153" s="12">
        <v>0</v>
      </c>
    </row>
    <row r="154" spans="1:40" x14ac:dyDescent="0.3">
      <c r="A154" s="62" t="s">
        <v>1548</v>
      </c>
      <c r="B154" s="62"/>
      <c r="C154" s="63"/>
      <c r="D154" s="63"/>
      <c r="E154" s="12" t="s">
        <v>1254</v>
      </c>
      <c r="F154" s="12" t="s">
        <v>1255</v>
      </c>
      <c r="G154" s="12" t="b">
        <v>0</v>
      </c>
      <c r="H154" s="12" t="b">
        <v>0</v>
      </c>
      <c r="I154" s="12" t="b">
        <v>0</v>
      </c>
      <c r="J154" s="12" t="b">
        <v>1</v>
      </c>
      <c r="K154" s="12" t="b">
        <v>0</v>
      </c>
      <c r="L154" s="12" t="b">
        <v>1</v>
      </c>
      <c r="M154" s="12" t="b">
        <v>0</v>
      </c>
      <c r="N154" s="12">
        <v>0</v>
      </c>
      <c r="O154" s="12" t="b">
        <v>0</v>
      </c>
      <c r="P154" s="12" t="b">
        <v>0</v>
      </c>
      <c r="Q154" s="12" t="b">
        <v>0</v>
      </c>
      <c r="R154" s="12" t="b">
        <v>0</v>
      </c>
      <c r="S154" s="12" t="b">
        <v>0</v>
      </c>
      <c r="T154" s="12" t="b">
        <v>1</v>
      </c>
      <c r="U154" s="12" t="b">
        <v>0</v>
      </c>
      <c r="V154" s="12" t="b">
        <v>1</v>
      </c>
      <c r="W154" s="12" t="b">
        <v>0</v>
      </c>
      <c r="X154" s="12">
        <v>1</v>
      </c>
      <c r="Y154" s="12" t="b">
        <v>0</v>
      </c>
      <c r="Z154" s="12" t="b">
        <v>0</v>
      </c>
      <c r="AA154" s="12" t="b">
        <v>0</v>
      </c>
      <c r="AB154" s="12" t="b">
        <v>0</v>
      </c>
      <c r="AC154" s="12" t="b">
        <v>0</v>
      </c>
      <c r="AD154" s="12" t="b">
        <v>1</v>
      </c>
      <c r="AE154" s="12" t="b">
        <v>0</v>
      </c>
      <c r="AF154" s="12" t="b">
        <v>1</v>
      </c>
      <c r="AG154" s="12" t="b">
        <v>0</v>
      </c>
      <c r="AH154" s="12">
        <v>1</v>
      </c>
      <c r="AI154" s="12" t="b">
        <v>0</v>
      </c>
      <c r="AJ154" s="12" t="b">
        <v>0</v>
      </c>
      <c r="AK154" s="12" t="b">
        <v>1</v>
      </c>
      <c r="AL154" s="12">
        <v>0</v>
      </c>
      <c r="AM154" s="12" t="s">
        <v>922</v>
      </c>
      <c r="AN154" s="12">
        <v>0</v>
      </c>
    </row>
    <row r="155" spans="1:40" x14ac:dyDescent="0.3">
      <c r="A155" s="62" t="s">
        <v>1548</v>
      </c>
      <c r="B155" s="62"/>
      <c r="C155" s="63"/>
      <c r="D155" s="63"/>
      <c r="E155" s="12" t="s">
        <v>1256</v>
      </c>
      <c r="F155" s="12" t="s">
        <v>1257</v>
      </c>
      <c r="G155" s="12" t="b">
        <v>0</v>
      </c>
      <c r="H155" s="12" t="b">
        <v>0</v>
      </c>
      <c r="I155" s="12" t="b">
        <v>0</v>
      </c>
      <c r="J155" s="12" t="b">
        <v>1</v>
      </c>
      <c r="K155" s="12" t="b">
        <v>0</v>
      </c>
      <c r="L155" s="12" t="b">
        <v>1</v>
      </c>
      <c r="M155" s="12" t="b">
        <v>0</v>
      </c>
      <c r="N155" s="12">
        <v>0</v>
      </c>
      <c r="O155" s="12" t="b">
        <v>0</v>
      </c>
      <c r="P155" s="12" t="b">
        <v>0</v>
      </c>
      <c r="Q155" s="12" t="b">
        <v>0</v>
      </c>
      <c r="R155" s="12" t="b">
        <v>0</v>
      </c>
      <c r="S155" s="12" t="b">
        <v>0</v>
      </c>
      <c r="T155" s="12" t="b">
        <v>1</v>
      </c>
      <c r="U155" s="12" t="b">
        <v>0</v>
      </c>
      <c r="V155" s="12" t="b">
        <v>1</v>
      </c>
      <c r="W155" s="12" t="b">
        <v>0</v>
      </c>
      <c r="X155" s="12">
        <v>1</v>
      </c>
      <c r="Y155" s="12" t="b">
        <v>0</v>
      </c>
      <c r="Z155" s="12" t="b">
        <v>0</v>
      </c>
      <c r="AA155" s="12" t="b">
        <v>0</v>
      </c>
      <c r="AB155" s="12" t="b">
        <v>0</v>
      </c>
      <c r="AC155" s="12" t="b">
        <v>0</v>
      </c>
      <c r="AD155" s="12" t="b">
        <v>1</v>
      </c>
      <c r="AE155" s="12" t="b">
        <v>0</v>
      </c>
      <c r="AF155" s="12" t="b">
        <v>1</v>
      </c>
      <c r="AG155" s="12" t="b">
        <v>0</v>
      </c>
      <c r="AH155" s="12">
        <v>1</v>
      </c>
      <c r="AI155" s="12" t="b">
        <v>0</v>
      </c>
      <c r="AJ155" s="12" t="b">
        <v>0</v>
      </c>
      <c r="AK155" s="12" t="b">
        <v>1</v>
      </c>
      <c r="AL155" s="12">
        <v>0</v>
      </c>
      <c r="AM155" s="12" t="s">
        <v>922</v>
      </c>
      <c r="AN155" s="12">
        <v>0</v>
      </c>
    </row>
    <row r="156" spans="1:40" x14ac:dyDescent="0.3">
      <c r="A156" s="62" t="s">
        <v>1548</v>
      </c>
      <c r="B156" s="62"/>
      <c r="C156" s="63"/>
      <c r="D156" s="63"/>
      <c r="E156" s="12" t="s">
        <v>1258</v>
      </c>
      <c r="F156" s="12" t="s">
        <v>1259</v>
      </c>
      <c r="G156" s="12" t="b">
        <v>0</v>
      </c>
      <c r="H156" s="12" t="b">
        <v>0</v>
      </c>
      <c r="I156" s="12" t="b">
        <v>0</v>
      </c>
      <c r="J156" s="12" t="b">
        <v>1</v>
      </c>
      <c r="K156" s="12" t="b">
        <v>0</v>
      </c>
      <c r="L156" s="12" t="b">
        <v>1</v>
      </c>
      <c r="M156" s="12" t="b">
        <v>0</v>
      </c>
      <c r="N156" s="12">
        <v>0</v>
      </c>
      <c r="O156" s="12" t="b">
        <v>0</v>
      </c>
      <c r="P156" s="12" t="b">
        <v>0</v>
      </c>
      <c r="Q156" s="12" t="b">
        <v>0</v>
      </c>
      <c r="R156" s="12" t="b">
        <v>0</v>
      </c>
      <c r="S156" s="12" t="b">
        <v>0</v>
      </c>
      <c r="T156" s="12" t="b">
        <v>1</v>
      </c>
      <c r="U156" s="12" t="b">
        <v>0</v>
      </c>
      <c r="V156" s="12" t="b">
        <v>1</v>
      </c>
      <c r="W156" s="12" t="b">
        <v>0</v>
      </c>
      <c r="X156" s="12">
        <v>1</v>
      </c>
      <c r="Y156" s="12" t="b">
        <v>0</v>
      </c>
      <c r="Z156" s="12" t="b">
        <v>0</v>
      </c>
      <c r="AA156" s="12" t="b">
        <v>0</v>
      </c>
      <c r="AB156" s="12" t="b">
        <v>0</v>
      </c>
      <c r="AC156" s="12" t="b">
        <v>0</v>
      </c>
      <c r="AD156" s="12" t="b">
        <v>1</v>
      </c>
      <c r="AE156" s="12" t="b">
        <v>0</v>
      </c>
      <c r="AF156" s="12" t="b">
        <v>1</v>
      </c>
      <c r="AG156" s="12" t="b">
        <v>0</v>
      </c>
      <c r="AH156" s="12">
        <v>1</v>
      </c>
      <c r="AI156" s="12" t="b">
        <v>0</v>
      </c>
      <c r="AJ156" s="12" t="b">
        <v>0</v>
      </c>
      <c r="AK156" s="12" t="b">
        <v>1</v>
      </c>
      <c r="AL156" s="12">
        <v>0</v>
      </c>
      <c r="AM156" s="12" t="s">
        <v>922</v>
      </c>
      <c r="AN156" s="12">
        <v>0</v>
      </c>
    </row>
    <row r="157" spans="1:40" x14ac:dyDescent="0.3">
      <c r="A157" s="62" t="s">
        <v>1548</v>
      </c>
      <c r="B157" s="62"/>
      <c r="C157" s="63"/>
      <c r="D157" s="63"/>
      <c r="E157" s="12" t="s">
        <v>1260</v>
      </c>
      <c r="F157" s="12" t="s">
        <v>1261</v>
      </c>
      <c r="G157" s="12" t="b">
        <v>0</v>
      </c>
      <c r="H157" s="12" t="b">
        <v>0</v>
      </c>
      <c r="I157" s="12" t="b">
        <v>0</v>
      </c>
      <c r="J157" s="12" t="b">
        <v>1</v>
      </c>
      <c r="K157" s="12" t="b">
        <v>0</v>
      </c>
      <c r="L157" s="12" t="b">
        <v>1</v>
      </c>
      <c r="M157" s="12" t="b">
        <v>0</v>
      </c>
      <c r="N157" s="12">
        <v>0</v>
      </c>
      <c r="O157" s="12" t="b">
        <v>0</v>
      </c>
      <c r="P157" s="12" t="b">
        <v>0</v>
      </c>
      <c r="Q157" s="12" t="b">
        <v>0</v>
      </c>
      <c r="R157" s="12" t="b">
        <v>0</v>
      </c>
      <c r="S157" s="12" t="b">
        <v>0</v>
      </c>
      <c r="T157" s="12" t="b">
        <v>1</v>
      </c>
      <c r="U157" s="12" t="b">
        <v>0</v>
      </c>
      <c r="V157" s="12" t="b">
        <v>1</v>
      </c>
      <c r="W157" s="12" t="b">
        <v>0</v>
      </c>
      <c r="X157" s="12">
        <v>1</v>
      </c>
      <c r="Y157" s="12" t="b">
        <v>0</v>
      </c>
      <c r="Z157" s="12" t="b">
        <v>0</v>
      </c>
      <c r="AA157" s="12" t="b">
        <v>0</v>
      </c>
      <c r="AB157" s="12" t="b">
        <v>0</v>
      </c>
      <c r="AC157" s="12" t="b">
        <v>0</v>
      </c>
      <c r="AD157" s="12" t="b">
        <v>1</v>
      </c>
      <c r="AE157" s="12" t="b">
        <v>0</v>
      </c>
      <c r="AF157" s="12" t="b">
        <v>1</v>
      </c>
      <c r="AG157" s="12" t="b">
        <v>0</v>
      </c>
      <c r="AH157" s="12">
        <v>1</v>
      </c>
      <c r="AI157" s="12" t="b">
        <v>0</v>
      </c>
      <c r="AJ157" s="12" t="b">
        <v>0</v>
      </c>
      <c r="AK157" s="12" t="b">
        <v>1</v>
      </c>
      <c r="AL157" s="12">
        <v>0</v>
      </c>
      <c r="AM157" s="12" t="s">
        <v>922</v>
      </c>
      <c r="AN157" s="12">
        <v>0</v>
      </c>
    </row>
    <row r="158" spans="1:40" x14ac:dyDescent="0.3">
      <c r="A158" s="62" t="s">
        <v>1548</v>
      </c>
      <c r="B158" s="62"/>
      <c r="C158" s="63"/>
      <c r="D158" s="63"/>
      <c r="E158" s="12" t="s">
        <v>1262</v>
      </c>
      <c r="F158" s="12" t="s">
        <v>1263</v>
      </c>
      <c r="G158" s="12" t="b">
        <v>0</v>
      </c>
      <c r="H158" s="12" t="b">
        <v>0</v>
      </c>
      <c r="I158" s="12" t="b">
        <v>0</v>
      </c>
      <c r="J158" s="12" t="b">
        <v>1</v>
      </c>
      <c r="K158" s="12" t="b">
        <v>0</v>
      </c>
      <c r="L158" s="12" t="b">
        <v>1</v>
      </c>
      <c r="M158" s="12" t="b">
        <v>0</v>
      </c>
      <c r="N158" s="12">
        <v>0</v>
      </c>
      <c r="O158" s="12" t="b">
        <v>0</v>
      </c>
      <c r="P158" s="12" t="b">
        <v>0</v>
      </c>
      <c r="Q158" s="12" t="b">
        <v>0</v>
      </c>
      <c r="R158" s="12" t="b">
        <v>0</v>
      </c>
      <c r="S158" s="12" t="b">
        <v>0</v>
      </c>
      <c r="T158" s="12" t="b">
        <v>1</v>
      </c>
      <c r="U158" s="12" t="b">
        <v>0</v>
      </c>
      <c r="V158" s="12" t="b">
        <v>1</v>
      </c>
      <c r="W158" s="12" t="b">
        <v>0</v>
      </c>
      <c r="X158" s="12">
        <v>1</v>
      </c>
      <c r="Y158" s="12" t="b">
        <v>0</v>
      </c>
      <c r="Z158" s="12" t="b">
        <v>0</v>
      </c>
      <c r="AA158" s="12" t="b">
        <v>0</v>
      </c>
      <c r="AB158" s="12" t="b">
        <v>0</v>
      </c>
      <c r="AC158" s="12" t="b">
        <v>0</v>
      </c>
      <c r="AD158" s="12" t="b">
        <v>1</v>
      </c>
      <c r="AE158" s="12" t="b">
        <v>0</v>
      </c>
      <c r="AF158" s="12" t="b">
        <v>1</v>
      </c>
      <c r="AG158" s="12" t="b">
        <v>0</v>
      </c>
      <c r="AH158" s="12">
        <v>1</v>
      </c>
      <c r="AI158" s="12" t="b">
        <v>0</v>
      </c>
      <c r="AJ158" s="12" t="b">
        <v>0</v>
      </c>
      <c r="AK158" s="12" t="b">
        <v>1</v>
      </c>
      <c r="AL158" s="12">
        <v>0</v>
      </c>
      <c r="AM158" s="12" t="s">
        <v>922</v>
      </c>
      <c r="AN158" s="12">
        <v>0</v>
      </c>
    </row>
    <row r="159" spans="1:40" x14ac:dyDescent="0.3">
      <c r="A159" s="62" t="s">
        <v>1548</v>
      </c>
      <c r="B159" s="62"/>
      <c r="C159" s="63"/>
      <c r="D159" s="63"/>
      <c r="E159" s="12" t="s">
        <v>1264</v>
      </c>
      <c r="F159" s="12" t="s">
        <v>1265</v>
      </c>
      <c r="G159" s="12" t="b">
        <v>0</v>
      </c>
      <c r="H159" s="12" t="b">
        <v>0</v>
      </c>
      <c r="I159" s="12" t="b">
        <v>0</v>
      </c>
      <c r="J159" s="12" t="b">
        <v>1</v>
      </c>
      <c r="K159" s="12" t="b">
        <v>0</v>
      </c>
      <c r="L159" s="12" t="b">
        <v>1</v>
      </c>
      <c r="M159" s="12" t="b">
        <v>0</v>
      </c>
      <c r="N159" s="12">
        <v>0</v>
      </c>
      <c r="O159" s="12" t="b">
        <v>0</v>
      </c>
      <c r="P159" s="12" t="b">
        <v>0</v>
      </c>
      <c r="Q159" s="12" t="b">
        <v>0</v>
      </c>
      <c r="R159" s="12" t="b">
        <v>0</v>
      </c>
      <c r="S159" s="12" t="b">
        <v>0</v>
      </c>
      <c r="T159" s="12" t="b">
        <v>1</v>
      </c>
      <c r="U159" s="12" t="b">
        <v>0</v>
      </c>
      <c r="V159" s="12" t="b">
        <v>1</v>
      </c>
      <c r="W159" s="12" t="b">
        <v>0</v>
      </c>
      <c r="X159" s="12">
        <v>1</v>
      </c>
      <c r="Y159" s="12" t="b">
        <v>0</v>
      </c>
      <c r="Z159" s="12" t="b">
        <v>0</v>
      </c>
      <c r="AA159" s="12" t="b">
        <v>0</v>
      </c>
      <c r="AB159" s="12" t="b">
        <v>0</v>
      </c>
      <c r="AC159" s="12" t="b">
        <v>0</v>
      </c>
      <c r="AD159" s="12" t="b">
        <v>1</v>
      </c>
      <c r="AE159" s="12" t="b">
        <v>0</v>
      </c>
      <c r="AF159" s="12" t="b">
        <v>1</v>
      </c>
      <c r="AG159" s="12" t="b">
        <v>0</v>
      </c>
      <c r="AH159" s="12">
        <v>1</v>
      </c>
      <c r="AI159" s="12" t="b">
        <v>0</v>
      </c>
      <c r="AJ159" s="12" t="b">
        <v>0</v>
      </c>
      <c r="AK159" s="12" t="b">
        <v>1</v>
      </c>
      <c r="AL159" s="12">
        <v>0</v>
      </c>
      <c r="AM159" s="12" t="s">
        <v>922</v>
      </c>
      <c r="AN159" s="12">
        <v>0</v>
      </c>
    </row>
    <row r="160" spans="1:40" x14ac:dyDescent="0.3">
      <c r="A160" s="62" t="s">
        <v>1548</v>
      </c>
      <c r="B160" s="62"/>
      <c r="C160" s="63"/>
      <c r="D160" s="63"/>
      <c r="E160" s="12" t="s">
        <v>1266</v>
      </c>
      <c r="F160" s="12" t="s">
        <v>1267</v>
      </c>
      <c r="G160" s="12" t="b">
        <v>0</v>
      </c>
      <c r="H160" s="12" t="b">
        <v>0</v>
      </c>
      <c r="I160" s="12" t="b">
        <v>0</v>
      </c>
      <c r="J160" s="12" t="b">
        <v>1</v>
      </c>
      <c r="K160" s="12" t="b">
        <v>0</v>
      </c>
      <c r="L160" s="12" t="b">
        <v>1</v>
      </c>
      <c r="M160" s="12" t="b">
        <v>0</v>
      </c>
      <c r="N160" s="12">
        <v>0</v>
      </c>
      <c r="O160" s="12" t="b">
        <v>0</v>
      </c>
      <c r="P160" s="12" t="b">
        <v>0</v>
      </c>
      <c r="Q160" s="12" t="b">
        <v>0</v>
      </c>
      <c r="R160" s="12" t="b">
        <v>0</v>
      </c>
      <c r="S160" s="12" t="b">
        <v>0</v>
      </c>
      <c r="T160" s="12" t="b">
        <v>1</v>
      </c>
      <c r="U160" s="12" t="b">
        <v>0</v>
      </c>
      <c r="V160" s="12" t="b">
        <v>1</v>
      </c>
      <c r="W160" s="12" t="b">
        <v>0</v>
      </c>
      <c r="X160" s="12">
        <v>1</v>
      </c>
      <c r="Y160" s="12" t="b">
        <v>0</v>
      </c>
      <c r="Z160" s="12" t="b">
        <v>0</v>
      </c>
      <c r="AA160" s="12" t="b">
        <v>0</v>
      </c>
      <c r="AB160" s="12" t="b">
        <v>0</v>
      </c>
      <c r="AC160" s="12" t="b">
        <v>0</v>
      </c>
      <c r="AD160" s="12" t="b">
        <v>1</v>
      </c>
      <c r="AE160" s="12" t="b">
        <v>0</v>
      </c>
      <c r="AF160" s="12" t="b">
        <v>1</v>
      </c>
      <c r="AG160" s="12" t="b">
        <v>0</v>
      </c>
      <c r="AH160" s="12">
        <v>1</v>
      </c>
      <c r="AI160" s="12" t="b">
        <v>0</v>
      </c>
      <c r="AJ160" s="12" t="b">
        <v>0</v>
      </c>
      <c r="AK160" s="12" t="b">
        <v>1</v>
      </c>
      <c r="AL160" s="12">
        <v>0</v>
      </c>
      <c r="AM160" s="12" t="s">
        <v>922</v>
      </c>
      <c r="AN160" s="12">
        <v>0</v>
      </c>
    </row>
    <row r="161" spans="1:40" x14ac:dyDescent="0.3">
      <c r="A161" s="62" t="s">
        <v>1548</v>
      </c>
      <c r="B161" s="62"/>
      <c r="C161" s="63"/>
      <c r="D161" s="63"/>
      <c r="E161" s="12" t="s">
        <v>1268</v>
      </c>
      <c r="F161" s="12" t="s">
        <v>1269</v>
      </c>
      <c r="G161" s="12" t="b">
        <v>0</v>
      </c>
      <c r="H161" s="12" t="b">
        <v>0</v>
      </c>
      <c r="I161" s="12" t="b">
        <v>0</v>
      </c>
      <c r="J161" s="12" t="b">
        <v>1</v>
      </c>
      <c r="K161" s="12" t="b">
        <v>0</v>
      </c>
      <c r="L161" s="12" t="b">
        <v>1</v>
      </c>
      <c r="M161" s="12" t="b">
        <v>0</v>
      </c>
      <c r="N161" s="12">
        <v>0</v>
      </c>
      <c r="O161" s="12" t="b">
        <v>0</v>
      </c>
      <c r="P161" s="12" t="b">
        <v>0</v>
      </c>
      <c r="Q161" s="12" t="b">
        <v>0</v>
      </c>
      <c r="R161" s="12" t="b">
        <v>0</v>
      </c>
      <c r="S161" s="12" t="b">
        <v>0</v>
      </c>
      <c r="T161" s="12" t="b">
        <v>1</v>
      </c>
      <c r="U161" s="12" t="b">
        <v>0</v>
      </c>
      <c r="V161" s="12" t="b">
        <v>1</v>
      </c>
      <c r="W161" s="12" t="b">
        <v>0</v>
      </c>
      <c r="X161" s="12">
        <v>1</v>
      </c>
      <c r="Y161" s="12" t="b">
        <v>0</v>
      </c>
      <c r="Z161" s="12" t="b">
        <v>0</v>
      </c>
      <c r="AA161" s="12" t="b">
        <v>0</v>
      </c>
      <c r="AB161" s="12" t="b">
        <v>0</v>
      </c>
      <c r="AC161" s="12" t="b">
        <v>0</v>
      </c>
      <c r="AD161" s="12" t="b">
        <v>1</v>
      </c>
      <c r="AE161" s="12" t="b">
        <v>0</v>
      </c>
      <c r="AF161" s="12" t="b">
        <v>1</v>
      </c>
      <c r="AG161" s="12" t="b">
        <v>0</v>
      </c>
      <c r="AH161" s="12">
        <v>1</v>
      </c>
      <c r="AI161" s="12" t="b">
        <v>0</v>
      </c>
      <c r="AJ161" s="12" t="b">
        <v>0</v>
      </c>
      <c r="AK161" s="12" t="b">
        <v>1</v>
      </c>
      <c r="AL161" s="12">
        <v>0</v>
      </c>
      <c r="AM161" s="12" t="s">
        <v>922</v>
      </c>
      <c r="AN161" s="12">
        <v>0</v>
      </c>
    </row>
    <row r="162" spans="1:40" x14ac:dyDescent="0.3">
      <c r="A162" s="62" t="s">
        <v>1548</v>
      </c>
      <c r="B162" s="62"/>
      <c r="C162" s="63"/>
      <c r="D162" s="63"/>
      <c r="E162" s="12" t="s">
        <v>1270</v>
      </c>
      <c r="F162" s="12" t="s">
        <v>1271</v>
      </c>
      <c r="G162" s="12" t="b">
        <v>0</v>
      </c>
      <c r="H162" s="12" t="b">
        <v>0</v>
      </c>
      <c r="I162" s="12" t="b">
        <v>0</v>
      </c>
      <c r="J162" s="12" t="b">
        <v>1</v>
      </c>
      <c r="K162" s="12" t="b">
        <v>0</v>
      </c>
      <c r="L162" s="12" t="b">
        <v>1</v>
      </c>
      <c r="M162" s="12" t="b">
        <v>0</v>
      </c>
      <c r="N162" s="12">
        <v>0</v>
      </c>
      <c r="O162" s="12" t="b">
        <v>0</v>
      </c>
      <c r="P162" s="12" t="b">
        <v>0</v>
      </c>
      <c r="Q162" s="12" t="b">
        <v>0</v>
      </c>
      <c r="R162" s="12" t="b">
        <v>0</v>
      </c>
      <c r="S162" s="12" t="b">
        <v>0</v>
      </c>
      <c r="T162" s="12" t="b">
        <v>1</v>
      </c>
      <c r="U162" s="12" t="b">
        <v>0</v>
      </c>
      <c r="V162" s="12" t="b">
        <v>1</v>
      </c>
      <c r="W162" s="12" t="b">
        <v>0</v>
      </c>
      <c r="X162" s="12">
        <v>1</v>
      </c>
      <c r="Y162" s="12" t="b">
        <v>0</v>
      </c>
      <c r="Z162" s="12" t="b">
        <v>0</v>
      </c>
      <c r="AA162" s="12" t="b">
        <v>0</v>
      </c>
      <c r="AB162" s="12" t="b">
        <v>0</v>
      </c>
      <c r="AC162" s="12" t="b">
        <v>0</v>
      </c>
      <c r="AD162" s="12" t="b">
        <v>1</v>
      </c>
      <c r="AE162" s="12" t="b">
        <v>0</v>
      </c>
      <c r="AF162" s="12" t="b">
        <v>1</v>
      </c>
      <c r="AG162" s="12" t="b">
        <v>0</v>
      </c>
      <c r="AH162" s="12">
        <v>1</v>
      </c>
      <c r="AI162" s="12" t="b">
        <v>0</v>
      </c>
      <c r="AJ162" s="12" t="b">
        <v>0</v>
      </c>
      <c r="AK162" s="12" t="b">
        <v>1</v>
      </c>
      <c r="AL162" s="12">
        <v>0</v>
      </c>
      <c r="AM162" s="12" t="s">
        <v>922</v>
      </c>
      <c r="AN162" s="12">
        <v>0</v>
      </c>
    </row>
    <row r="163" spans="1:40" x14ac:dyDescent="0.3">
      <c r="A163" s="62" t="s">
        <v>1548</v>
      </c>
      <c r="B163" s="62"/>
      <c r="C163" s="63"/>
      <c r="D163" s="63"/>
      <c r="E163" s="12" t="s">
        <v>1272</v>
      </c>
      <c r="F163" s="12" t="s">
        <v>1273</v>
      </c>
      <c r="G163" s="12" t="b">
        <v>0</v>
      </c>
      <c r="H163" s="12" t="b">
        <v>0</v>
      </c>
      <c r="I163" s="12" t="b">
        <v>0</v>
      </c>
      <c r="J163" s="12" t="b">
        <v>1</v>
      </c>
      <c r="K163" s="12" t="b">
        <v>0</v>
      </c>
      <c r="L163" s="12" t="b">
        <v>1</v>
      </c>
      <c r="M163" s="12" t="b">
        <v>0</v>
      </c>
      <c r="N163" s="12">
        <v>0</v>
      </c>
      <c r="O163" s="12" t="b">
        <v>0</v>
      </c>
      <c r="P163" s="12" t="b">
        <v>0</v>
      </c>
      <c r="Q163" s="12" t="b">
        <v>0</v>
      </c>
      <c r="R163" s="12" t="b">
        <v>0</v>
      </c>
      <c r="S163" s="12" t="b">
        <v>0</v>
      </c>
      <c r="T163" s="12" t="b">
        <v>1</v>
      </c>
      <c r="U163" s="12" t="b">
        <v>0</v>
      </c>
      <c r="V163" s="12" t="b">
        <v>1</v>
      </c>
      <c r="W163" s="12" t="b">
        <v>0</v>
      </c>
      <c r="X163" s="12">
        <v>1</v>
      </c>
      <c r="Y163" s="12" t="b">
        <v>0</v>
      </c>
      <c r="Z163" s="12" t="b">
        <v>0</v>
      </c>
      <c r="AA163" s="12" t="b">
        <v>0</v>
      </c>
      <c r="AB163" s="12" t="b">
        <v>0</v>
      </c>
      <c r="AC163" s="12" t="b">
        <v>0</v>
      </c>
      <c r="AD163" s="12" t="b">
        <v>1</v>
      </c>
      <c r="AE163" s="12" t="b">
        <v>0</v>
      </c>
      <c r="AF163" s="12" t="b">
        <v>1</v>
      </c>
      <c r="AG163" s="12" t="b">
        <v>0</v>
      </c>
      <c r="AH163" s="12">
        <v>1</v>
      </c>
      <c r="AI163" s="12" t="b">
        <v>0</v>
      </c>
      <c r="AJ163" s="12" t="b">
        <v>0</v>
      </c>
      <c r="AK163" s="12" t="b">
        <v>1</v>
      </c>
      <c r="AL163" s="12">
        <v>0</v>
      </c>
      <c r="AM163" s="12" t="s">
        <v>922</v>
      </c>
      <c r="AN163" s="12">
        <v>0</v>
      </c>
    </row>
    <row r="164" spans="1:40" x14ac:dyDescent="0.3">
      <c r="A164" s="62" t="s">
        <v>1548</v>
      </c>
      <c r="B164" s="62"/>
      <c r="C164" s="63"/>
      <c r="D164" s="63"/>
      <c r="E164" s="12" t="s">
        <v>1274</v>
      </c>
      <c r="F164" s="12" t="s">
        <v>1275</v>
      </c>
      <c r="G164" s="12" t="b">
        <v>0</v>
      </c>
      <c r="H164" s="12" t="b">
        <v>0</v>
      </c>
      <c r="I164" s="12" t="b">
        <v>0</v>
      </c>
      <c r="J164" s="12" t="b">
        <v>1</v>
      </c>
      <c r="K164" s="12" t="b">
        <v>0</v>
      </c>
      <c r="L164" s="12" t="b">
        <v>1</v>
      </c>
      <c r="M164" s="12" t="b">
        <v>0</v>
      </c>
      <c r="N164" s="12">
        <v>0</v>
      </c>
      <c r="O164" s="12" t="b">
        <v>0</v>
      </c>
      <c r="P164" s="12" t="b">
        <v>0</v>
      </c>
      <c r="Q164" s="12" t="b">
        <v>0</v>
      </c>
      <c r="R164" s="12" t="b">
        <v>0</v>
      </c>
      <c r="S164" s="12" t="b">
        <v>0</v>
      </c>
      <c r="T164" s="12" t="b">
        <v>1</v>
      </c>
      <c r="U164" s="12" t="b">
        <v>0</v>
      </c>
      <c r="V164" s="12" t="b">
        <v>1</v>
      </c>
      <c r="W164" s="12" t="b">
        <v>0</v>
      </c>
      <c r="X164" s="12">
        <v>1</v>
      </c>
      <c r="Y164" s="12" t="b">
        <v>0</v>
      </c>
      <c r="Z164" s="12" t="b">
        <v>0</v>
      </c>
      <c r="AA164" s="12" t="b">
        <v>0</v>
      </c>
      <c r="AB164" s="12" t="b">
        <v>0</v>
      </c>
      <c r="AC164" s="12" t="b">
        <v>0</v>
      </c>
      <c r="AD164" s="12" t="b">
        <v>1</v>
      </c>
      <c r="AE164" s="12" t="b">
        <v>0</v>
      </c>
      <c r="AF164" s="12" t="b">
        <v>1</v>
      </c>
      <c r="AG164" s="12" t="b">
        <v>0</v>
      </c>
      <c r="AH164" s="12">
        <v>1</v>
      </c>
      <c r="AI164" s="12" t="b">
        <v>0</v>
      </c>
      <c r="AJ164" s="12" t="b">
        <v>0</v>
      </c>
      <c r="AK164" s="12" t="b">
        <v>1</v>
      </c>
      <c r="AL164" s="12">
        <v>0</v>
      </c>
      <c r="AM164" s="12" t="s">
        <v>922</v>
      </c>
      <c r="AN164" s="12">
        <v>0</v>
      </c>
    </row>
    <row r="165" spans="1:40" x14ac:dyDescent="0.3">
      <c r="A165" s="62" t="s">
        <v>1548</v>
      </c>
      <c r="B165" s="62"/>
      <c r="C165" s="63"/>
      <c r="D165" s="63"/>
      <c r="E165" s="12" t="s">
        <v>1276</v>
      </c>
      <c r="F165" s="12" t="s">
        <v>1277</v>
      </c>
      <c r="G165" s="12" t="b">
        <v>0</v>
      </c>
      <c r="H165" s="12" t="b">
        <v>0</v>
      </c>
      <c r="I165" s="12" t="b">
        <v>0</v>
      </c>
      <c r="J165" s="12" t="b">
        <v>1</v>
      </c>
      <c r="K165" s="12" t="b">
        <v>0</v>
      </c>
      <c r="L165" s="12" t="b">
        <v>1</v>
      </c>
      <c r="M165" s="12" t="b">
        <v>0</v>
      </c>
      <c r="N165" s="12">
        <v>0</v>
      </c>
      <c r="O165" s="12" t="b">
        <v>0</v>
      </c>
      <c r="P165" s="12" t="b">
        <v>0</v>
      </c>
      <c r="Q165" s="12" t="b">
        <v>0</v>
      </c>
      <c r="R165" s="12" t="b">
        <v>0</v>
      </c>
      <c r="S165" s="12" t="b">
        <v>0</v>
      </c>
      <c r="T165" s="12" t="b">
        <v>1</v>
      </c>
      <c r="U165" s="12" t="b">
        <v>0</v>
      </c>
      <c r="V165" s="12" t="b">
        <v>1</v>
      </c>
      <c r="W165" s="12" t="b">
        <v>0</v>
      </c>
      <c r="X165" s="12">
        <v>1</v>
      </c>
      <c r="Y165" s="12" t="b">
        <v>0</v>
      </c>
      <c r="Z165" s="12" t="b">
        <v>0</v>
      </c>
      <c r="AA165" s="12" t="b">
        <v>0</v>
      </c>
      <c r="AB165" s="12" t="b">
        <v>0</v>
      </c>
      <c r="AC165" s="12" t="b">
        <v>0</v>
      </c>
      <c r="AD165" s="12" t="b">
        <v>1</v>
      </c>
      <c r="AE165" s="12" t="b">
        <v>0</v>
      </c>
      <c r="AF165" s="12" t="b">
        <v>1</v>
      </c>
      <c r="AG165" s="12" t="b">
        <v>0</v>
      </c>
      <c r="AH165" s="12">
        <v>1</v>
      </c>
      <c r="AI165" s="12" t="b">
        <v>0</v>
      </c>
      <c r="AJ165" s="12" t="b">
        <v>0</v>
      </c>
      <c r="AK165" s="12" t="b">
        <v>1</v>
      </c>
      <c r="AL165" s="12">
        <v>0</v>
      </c>
      <c r="AM165" s="12" t="s">
        <v>922</v>
      </c>
      <c r="AN165" s="12">
        <v>0</v>
      </c>
    </row>
    <row r="166" spans="1:40" x14ac:dyDescent="0.3">
      <c r="A166" s="62" t="s">
        <v>1548</v>
      </c>
      <c r="B166" s="62"/>
      <c r="C166" s="63"/>
      <c r="D166" s="63"/>
      <c r="E166" s="12" t="s">
        <v>1278</v>
      </c>
      <c r="F166" s="12" t="s">
        <v>1279</v>
      </c>
      <c r="G166" s="12" t="b">
        <v>0</v>
      </c>
      <c r="H166" s="12" t="b">
        <v>0</v>
      </c>
      <c r="I166" s="12" t="b">
        <v>0</v>
      </c>
      <c r="J166" s="12" t="b">
        <v>1</v>
      </c>
      <c r="K166" s="12" t="b">
        <v>0</v>
      </c>
      <c r="L166" s="12" t="b">
        <v>1</v>
      </c>
      <c r="M166" s="12" t="b">
        <v>0</v>
      </c>
      <c r="N166" s="12">
        <v>0</v>
      </c>
      <c r="O166" s="12" t="b">
        <v>0</v>
      </c>
      <c r="P166" s="12" t="b">
        <v>0</v>
      </c>
      <c r="Q166" s="12" t="b">
        <v>0</v>
      </c>
      <c r="R166" s="12" t="b">
        <v>0</v>
      </c>
      <c r="S166" s="12" t="b">
        <v>0</v>
      </c>
      <c r="T166" s="12" t="b">
        <v>1</v>
      </c>
      <c r="U166" s="12" t="b">
        <v>0</v>
      </c>
      <c r="V166" s="12" t="b">
        <v>1</v>
      </c>
      <c r="W166" s="12" t="b">
        <v>0</v>
      </c>
      <c r="X166" s="12">
        <v>1</v>
      </c>
      <c r="Y166" s="12" t="b">
        <v>0</v>
      </c>
      <c r="Z166" s="12" t="b">
        <v>0</v>
      </c>
      <c r="AA166" s="12" t="b">
        <v>0</v>
      </c>
      <c r="AB166" s="12" t="b">
        <v>0</v>
      </c>
      <c r="AC166" s="12" t="b">
        <v>0</v>
      </c>
      <c r="AD166" s="12" t="b">
        <v>1</v>
      </c>
      <c r="AE166" s="12" t="b">
        <v>0</v>
      </c>
      <c r="AF166" s="12" t="b">
        <v>1</v>
      </c>
      <c r="AG166" s="12" t="b">
        <v>0</v>
      </c>
      <c r="AH166" s="12">
        <v>1</v>
      </c>
      <c r="AI166" s="12" t="b">
        <v>0</v>
      </c>
      <c r="AJ166" s="12" t="b">
        <v>0</v>
      </c>
      <c r="AK166" s="12" t="b">
        <v>1</v>
      </c>
      <c r="AL166" s="12">
        <v>0</v>
      </c>
      <c r="AM166" s="12" t="s">
        <v>922</v>
      </c>
      <c r="AN166" s="12">
        <v>0</v>
      </c>
    </row>
    <row r="167" spans="1:40" x14ac:dyDescent="0.3">
      <c r="A167" s="62" t="s">
        <v>1548</v>
      </c>
      <c r="B167" s="62"/>
      <c r="C167" s="63"/>
      <c r="D167" s="63"/>
      <c r="E167" s="12" t="s">
        <v>1280</v>
      </c>
      <c r="F167" s="12" t="s">
        <v>1281</v>
      </c>
      <c r="G167" s="12" t="b">
        <v>0</v>
      </c>
      <c r="H167" s="12" t="b">
        <v>0</v>
      </c>
      <c r="I167" s="12" t="b">
        <v>0</v>
      </c>
      <c r="J167" s="12" t="b">
        <v>1</v>
      </c>
      <c r="K167" s="12" t="b">
        <v>0</v>
      </c>
      <c r="L167" s="12" t="b">
        <v>1</v>
      </c>
      <c r="M167" s="12" t="b">
        <v>0</v>
      </c>
      <c r="N167" s="12">
        <v>0</v>
      </c>
      <c r="O167" s="12" t="b">
        <v>0</v>
      </c>
      <c r="P167" s="12" t="b">
        <v>0</v>
      </c>
      <c r="Q167" s="12" t="b">
        <v>0</v>
      </c>
      <c r="R167" s="12" t="b">
        <v>0</v>
      </c>
      <c r="S167" s="12" t="b">
        <v>0</v>
      </c>
      <c r="T167" s="12" t="b">
        <v>1</v>
      </c>
      <c r="U167" s="12" t="b">
        <v>0</v>
      </c>
      <c r="V167" s="12" t="b">
        <v>1</v>
      </c>
      <c r="W167" s="12" t="b">
        <v>0</v>
      </c>
      <c r="X167" s="12">
        <v>1</v>
      </c>
      <c r="Y167" s="12" t="b">
        <v>0</v>
      </c>
      <c r="Z167" s="12" t="b">
        <v>0</v>
      </c>
      <c r="AA167" s="12" t="b">
        <v>0</v>
      </c>
      <c r="AB167" s="12" t="b">
        <v>0</v>
      </c>
      <c r="AC167" s="12" t="b">
        <v>0</v>
      </c>
      <c r="AD167" s="12" t="b">
        <v>1</v>
      </c>
      <c r="AE167" s="12" t="b">
        <v>0</v>
      </c>
      <c r="AF167" s="12" t="b">
        <v>1</v>
      </c>
      <c r="AG167" s="12" t="b">
        <v>0</v>
      </c>
      <c r="AH167" s="12">
        <v>1</v>
      </c>
      <c r="AI167" s="12" t="b">
        <v>0</v>
      </c>
      <c r="AJ167" s="12" t="b">
        <v>0</v>
      </c>
      <c r="AK167" s="12" t="b">
        <v>1</v>
      </c>
      <c r="AL167" s="12">
        <v>0</v>
      </c>
      <c r="AM167" s="12" t="s">
        <v>922</v>
      </c>
      <c r="AN167" s="12">
        <v>0</v>
      </c>
    </row>
    <row r="168" spans="1:40" x14ac:dyDescent="0.3">
      <c r="A168" s="62" t="s">
        <v>1548</v>
      </c>
      <c r="B168" s="62"/>
      <c r="C168" s="63"/>
      <c r="D168" s="63"/>
      <c r="E168" s="12" t="s">
        <v>1282</v>
      </c>
      <c r="F168" s="12" t="s">
        <v>1283</v>
      </c>
      <c r="G168" s="12" t="b">
        <v>0</v>
      </c>
      <c r="H168" s="12" t="b">
        <v>0</v>
      </c>
      <c r="I168" s="12" t="b">
        <v>0</v>
      </c>
      <c r="J168" s="12" t="b">
        <v>1</v>
      </c>
      <c r="K168" s="12" t="b">
        <v>0</v>
      </c>
      <c r="L168" s="12" t="b">
        <v>1</v>
      </c>
      <c r="M168" s="12" t="b">
        <v>0</v>
      </c>
      <c r="N168" s="12">
        <v>0</v>
      </c>
      <c r="O168" s="12" t="b">
        <v>0</v>
      </c>
      <c r="P168" s="12" t="b">
        <v>0</v>
      </c>
      <c r="Q168" s="12" t="b">
        <v>0</v>
      </c>
      <c r="R168" s="12" t="b">
        <v>0</v>
      </c>
      <c r="S168" s="12" t="b">
        <v>0</v>
      </c>
      <c r="T168" s="12" t="b">
        <v>1</v>
      </c>
      <c r="U168" s="12" t="b">
        <v>0</v>
      </c>
      <c r="V168" s="12" t="b">
        <v>1</v>
      </c>
      <c r="W168" s="12" t="b">
        <v>0</v>
      </c>
      <c r="X168" s="12">
        <v>1</v>
      </c>
      <c r="Y168" s="12" t="b">
        <v>0</v>
      </c>
      <c r="Z168" s="12" t="b">
        <v>0</v>
      </c>
      <c r="AA168" s="12" t="b">
        <v>0</v>
      </c>
      <c r="AB168" s="12" t="b">
        <v>0</v>
      </c>
      <c r="AC168" s="12" t="b">
        <v>0</v>
      </c>
      <c r="AD168" s="12" t="b">
        <v>1</v>
      </c>
      <c r="AE168" s="12" t="b">
        <v>0</v>
      </c>
      <c r="AF168" s="12" t="b">
        <v>1</v>
      </c>
      <c r="AG168" s="12" t="b">
        <v>0</v>
      </c>
      <c r="AH168" s="12">
        <v>1</v>
      </c>
      <c r="AI168" s="12" t="b">
        <v>0</v>
      </c>
      <c r="AJ168" s="12" t="b">
        <v>0</v>
      </c>
      <c r="AK168" s="12" t="b">
        <v>1</v>
      </c>
      <c r="AL168" s="12">
        <v>0</v>
      </c>
      <c r="AM168" s="12" t="s">
        <v>922</v>
      </c>
      <c r="AN168" s="12">
        <v>0</v>
      </c>
    </row>
    <row r="169" spans="1:40" x14ac:dyDescent="0.3">
      <c r="A169" s="62" t="s">
        <v>1548</v>
      </c>
      <c r="B169" s="62"/>
      <c r="C169" s="63"/>
      <c r="D169" s="63"/>
      <c r="E169" s="12" t="s">
        <v>1284</v>
      </c>
      <c r="F169" s="12" t="s">
        <v>1285</v>
      </c>
      <c r="G169" s="12" t="b">
        <v>0</v>
      </c>
      <c r="H169" s="12" t="b">
        <v>1</v>
      </c>
      <c r="I169" s="12" t="b">
        <v>1</v>
      </c>
      <c r="J169" s="12" t="b">
        <v>1</v>
      </c>
      <c r="K169" s="12" t="b">
        <v>0</v>
      </c>
      <c r="L169" s="12" t="b">
        <v>0</v>
      </c>
      <c r="M169" s="12" t="b">
        <v>0</v>
      </c>
      <c r="N169" s="12">
        <v>0</v>
      </c>
      <c r="O169" s="12" t="b">
        <v>0</v>
      </c>
      <c r="P169" s="12" t="b">
        <v>0</v>
      </c>
      <c r="Q169" s="12" t="b">
        <v>0</v>
      </c>
      <c r="R169" s="12" t="b">
        <v>0</v>
      </c>
      <c r="S169" s="12" t="b">
        <v>0</v>
      </c>
      <c r="T169" s="12" t="b">
        <v>1</v>
      </c>
      <c r="U169" s="12" t="b">
        <v>0</v>
      </c>
      <c r="V169" s="12" t="b">
        <v>1</v>
      </c>
      <c r="W169" s="12" t="b">
        <v>0</v>
      </c>
      <c r="X169" s="12">
        <v>1</v>
      </c>
      <c r="Y169" s="12" t="b">
        <v>0</v>
      </c>
      <c r="Z169" s="12" t="b">
        <v>0</v>
      </c>
      <c r="AA169" s="12" t="b">
        <v>1</v>
      </c>
      <c r="AB169" s="12" t="b">
        <v>1</v>
      </c>
      <c r="AC169" s="12" t="b">
        <v>1</v>
      </c>
      <c r="AD169" s="12" t="b">
        <v>1</v>
      </c>
      <c r="AE169" s="12" t="b">
        <v>0</v>
      </c>
      <c r="AF169" s="12" t="b">
        <v>0</v>
      </c>
      <c r="AG169" s="12" t="b">
        <v>0</v>
      </c>
      <c r="AH169" s="12">
        <v>0</v>
      </c>
      <c r="AI169" s="12" t="b">
        <v>0</v>
      </c>
      <c r="AJ169" s="12" t="b">
        <v>0</v>
      </c>
      <c r="AK169" s="12" t="b">
        <v>1</v>
      </c>
      <c r="AL169" s="12">
        <v>0</v>
      </c>
      <c r="AM169" s="12" t="s">
        <v>900</v>
      </c>
      <c r="AN169" s="12">
        <v>0</v>
      </c>
    </row>
    <row r="170" spans="1:40" x14ac:dyDescent="0.3">
      <c r="A170" s="62" t="s">
        <v>1548</v>
      </c>
      <c r="B170" s="62"/>
      <c r="C170" s="63"/>
      <c r="D170" s="63"/>
      <c r="E170" s="12" t="s">
        <v>1286</v>
      </c>
      <c r="F170" s="12" t="s">
        <v>1287</v>
      </c>
      <c r="G170" s="12" t="b">
        <v>0</v>
      </c>
      <c r="H170" s="12" t="b">
        <v>1</v>
      </c>
      <c r="I170" s="12" t="b">
        <v>1</v>
      </c>
      <c r="J170" s="12" t="b">
        <v>1</v>
      </c>
      <c r="K170" s="12" t="b">
        <v>0</v>
      </c>
      <c r="L170" s="12" t="b">
        <v>0</v>
      </c>
      <c r="M170" s="12" t="b">
        <v>0</v>
      </c>
      <c r="N170" s="12">
        <v>0</v>
      </c>
      <c r="O170" s="12" t="b">
        <v>0</v>
      </c>
      <c r="P170" s="12" t="b">
        <v>0</v>
      </c>
      <c r="Q170" s="12" t="b">
        <v>0</v>
      </c>
      <c r="R170" s="12" t="b">
        <v>0</v>
      </c>
      <c r="S170" s="12" t="b">
        <v>0</v>
      </c>
      <c r="T170" s="12" t="b">
        <v>1</v>
      </c>
      <c r="U170" s="12" t="b">
        <v>0</v>
      </c>
      <c r="V170" s="12" t="b">
        <v>1</v>
      </c>
      <c r="W170" s="12" t="b">
        <v>0</v>
      </c>
      <c r="X170" s="12">
        <v>1</v>
      </c>
      <c r="Y170" s="12" t="b">
        <v>0</v>
      </c>
      <c r="Z170" s="12" t="b">
        <v>0</v>
      </c>
      <c r="AA170" s="12" t="b">
        <v>1</v>
      </c>
      <c r="AB170" s="12" t="b">
        <v>1</v>
      </c>
      <c r="AC170" s="12" t="b">
        <v>1</v>
      </c>
      <c r="AD170" s="12" t="b">
        <v>1</v>
      </c>
      <c r="AE170" s="12" t="b">
        <v>0</v>
      </c>
      <c r="AF170" s="12" t="b">
        <v>0</v>
      </c>
      <c r="AG170" s="12" t="b">
        <v>0</v>
      </c>
      <c r="AH170" s="12">
        <v>0</v>
      </c>
      <c r="AI170" s="12" t="b">
        <v>0</v>
      </c>
      <c r="AJ170" s="12" t="b">
        <v>0</v>
      </c>
      <c r="AK170" s="12" t="b">
        <v>1</v>
      </c>
      <c r="AL170" s="12">
        <v>0</v>
      </c>
      <c r="AM170" s="12" t="s">
        <v>900</v>
      </c>
      <c r="AN170" s="12">
        <v>0</v>
      </c>
    </row>
    <row r="171" spans="1:40" x14ac:dyDescent="0.3">
      <c r="A171" s="62" t="s">
        <v>1548</v>
      </c>
      <c r="B171" s="62"/>
      <c r="C171" s="63"/>
      <c r="D171" s="63"/>
      <c r="E171" s="12" t="s">
        <v>2083</v>
      </c>
      <c r="F171" s="12" t="s">
        <v>2087</v>
      </c>
      <c r="G171" s="12" t="b">
        <v>0</v>
      </c>
      <c r="H171" s="12" t="b">
        <v>1</v>
      </c>
      <c r="I171" s="12" t="b">
        <v>1</v>
      </c>
      <c r="J171" s="12" t="b">
        <v>1</v>
      </c>
      <c r="K171" s="12" t="b">
        <v>0</v>
      </c>
      <c r="L171" s="12" t="b">
        <v>0</v>
      </c>
      <c r="M171" s="12" t="b">
        <v>0</v>
      </c>
      <c r="N171" s="12">
        <v>0</v>
      </c>
      <c r="O171" s="12" t="b">
        <v>0</v>
      </c>
      <c r="P171" s="12" t="b">
        <v>0</v>
      </c>
      <c r="Q171" s="12" t="b">
        <v>0</v>
      </c>
      <c r="R171" s="12" t="b">
        <v>0</v>
      </c>
      <c r="S171" s="12" t="b">
        <v>0</v>
      </c>
      <c r="T171" s="12" t="b">
        <v>1</v>
      </c>
      <c r="U171" s="12" t="b">
        <v>0</v>
      </c>
      <c r="V171" s="12" t="b">
        <v>1</v>
      </c>
      <c r="W171" s="12" t="b">
        <v>0</v>
      </c>
      <c r="X171" s="12">
        <v>1</v>
      </c>
      <c r="Y171" s="12" t="b">
        <v>0</v>
      </c>
      <c r="Z171" s="12" t="b">
        <v>0</v>
      </c>
      <c r="AA171" s="12" t="b">
        <v>1</v>
      </c>
      <c r="AB171" s="12" t="b">
        <v>1</v>
      </c>
      <c r="AC171" s="12" t="b">
        <v>1</v>
      </c>
      <c r="AD171" s="12" t="b">
        <v>1</v>
      </c>
      <c r="AE171" s="12" t="b">
        <v>0</v>
      </c>
      <c r="AF171" s="12" t="b">
        <v>0</v>
      </c>
      <c r="AG171" s="12" t="b">
        <v>0</v>
      </c>
      <c r="AH171" s="12">
        <v>0</v>
      </c>
      <c r="AI171" s="12" t="b">
        <v>0</v>
      </c>
      <c r="AJ171" s="12" t="b">
        <v>0</v>
      </c>
      <c r="AK171" s="12" t="b">
        <v>1</v>
      </c>
      <c r="AL171" s="12">
        <v>0</v>
      </c>
      <c r="AM171" s="12" t="s">
        <v>1476</v>
      </c>
      <c r="AN171" s="12">
        <v>0</v>
      </c>
    </row>
    <row r="172" spans="1:40" x14ac:dyDescent="0.3">
      <c r="A172" s="62" t="s">
        <v>1548</v>
      </c>
      <c r="B172" s="62"/>
      <c r="C172" s="63"/>
      <c r="D172" s="63"/>
      <c r="E172" s="12" t="s">
        <v>1294</v>
      </c>
      <c r="F172" s="12" t="s">
        <v>1295</v>
      </c>
      <c r="G172" s="12" t="b">
        <v>0</v>
      </c>
      <c r="H172" s="12" t="b">
        <v>1</v>
      </c>
      <c r="I172" s="12" t="b">
        <v>1</v>
      </c>
      <c r="J172" s="12" t="b">
        <v>1</v>
      </c>
      <c r="K172" s="12" t="b">
        <v>0</v>
      </c>
      <c r="L172" s="12" t="b">
        <v>0</v>
      </c>
      <c r="M172" s="12" t="b">
        <v>0</v>
      </c>
      <c r="N172" s="12">
        <v>0</v>
      </c>
      <c r="O172" s="12" t="b">
        <v>0</v>
      </c>
      <c r="P172" s="12" t="b">
        <v>0</v>
      </c>
      <c r="Q172" s="12" t="b">
        <v>0</v>
      </c>
      <c r="R172" s="12" t="b">
        <v>0</v>
      </c>
      <c r="S172" s="12" t="b">
        <v>0</v>
      </c>
      <c r="T172" s="12" t="b">
        <v>1</v>
      </c>
      <c r="U172" s="12" t="b">
        <v>0</v>
      </c>
      <c r="V172" s="12" t="b">
        <v>1</v>
      </c>
      <c r="W172" s="12" t="b">
        <v>0</v>
      </c>
      <c r="X172" s="12">
        <v>1</v>
      </c>
      <c r="Y172" s="12" t="b">
        <v>0</v>
      </c>
      <c r="Z172" s="12" t="b">
        <v>0</v>
      </c>
      <c r="AA172" s="12" t="b">
        <v>0</v>
      </c>
      <c r="AB172" s="12" t="b">
        <v>0</v>
      </c>
      <c r="AC172" s="12" t="b">
        <v>0</v>
      </c>
      <c r="AD172" s="12" t="b">
        <v>1</v>
      </c>
      <c r="AE172" s="12" t="b">
        <v>0</v>
      </c>
      <c r="AF172" s="12" t="b">
        <v>1</v>
      </c>
      <c r="AG172" s="12" t="b">
        <v>0</v>
      </c>
      <c r="AH172" s="12">
        <v>1</v>
      </c>
      <c r="AI172" s="12" t="b">
        <v>0</v>
      </c>
      <c r="AJ172" s="12" t="b">
        <v>0</v>
      </c>
      <c r="AK172" s="12" t="b">
        <v>1</v>
      </c>
      <c r="AL172" s="12">
        <v>1</v>
      </c>
      <c r="AM172" s="12" t="s">
        <v>1476</v>
      </c>
      <c r="AN172" s="12">
        <v>1</v>
      </c>
    </row>
    <row r="173" spans="1:40" x14ac:dyDescent="0.3">
      <c r="A173" s="62" t="s">
        <v>1548</v>
      </c>
      <c r="B173" s="62"/>
      <c r="C173" s="63"/>
      <c r="D173" s="63"/>
      <c r="E173" s="12" t="s">
        <v>1833</v>
      </c>
      <c r="F173" s="12" t="s">
        <v>1834</v>
      </c>
      <c r="G173" s="12" t="b">
        <v>0</v>
      </c>
      <c r="H173" s="12" t="b">
        <v>1</v>
      </c>
      <c r="I173" s="12" t="b">
        <v>1</v>
      </c>
      <c r="J173" s="12" t="b">
        <v>1</v>
      </c>
      <c r="K173" s="12" t="b">
        <v>0</v>
      </c>
      <c r="L173" s="12" t="b">
        <v>0</v>
      </c>
      <c r="M173" s="12" t="b">
        <v>0</v>
      </c>
      <c r="N173" s="12">
        <v>0</v>
      </c>
      <c r="O173" s="12" t="b">
        <v>0</v>
      </c>
      <c r="P173" s="12" t="b">
        <v>0</v>
      </c>
      <c r="Q173" s="12" t="b">
        <v>0</v>
      </c>
      <c r="R173" s="12" t="b">
        <v>0</v>
      </c>
      <c r="S173" s="12" t="b">
        <v>0</v>
      </c>
      <c r="T173" s="12" t="b">
        <v>0</v>
      </c>
      <c r="U173" s="12" t="b">
        <v>0</v>
      </c>
      <c r="V173" s="12" t="b">
        <v>1</v>
      </c>
      <c r="W173" s="12" t="b">
        <v>0</v>
      </c>
      <c r="X173" s="12">
        <v>1</v>
      </c>
      <c r="Y173" s="12" t="b">
        <v>0</v>
      </c>
      <c r="Z173" s="12" t="b">
        <v>0</v>
      </c>
      <c r="AA173" s="12" t="b">
        <v>0</v>
      </c>
      <c r="AB173" s="12" t="b">
        <v>0</v>
      </c>
      <c r="AC173" s="12" t="b">
        <v>0</v>
      </c>
      <c r="AD173" s="12" t="b">
        <v>0</v>
      </c>
      <c r="AE173" s="12" t="b">
        <v>0</v>
      </c>
      <c r="AF173" s="12" t="b">
        <v>1</v>
      </c>
      <c r="AG173" s="12" t="b">
        <v>0</v>
      </c>
      <c r="AH173" s="12">
        <v>1</v>
      </c>
      <c r="AI173" s="12" t="b">
        <v>0</v>
      </c>
      <c r="AJ173" s="12" t="b">
        <v>0</v>
      </c>
      <c r="AK173" s="12" t="b">
        <v>1</v>
      </c>
      <c r="AL173" s="12">
        <v>1</v>
      </c>
      <c r="AM173" s="12" t="s">
        <v>922</v>
      </c>
      <c r="AN173" s="12">
        <v>1</v>
      </c>
    </row>
    <row r="174" spans="1:40" x14ac:dyDescent="0.3">
      <c r="A174" s="62" t="s">
        <v>1548</v>
      </c>
      <c r="B174" s="62"/>
      <c r="C174" s="63"/>
      <c r="D174" s="63"/>
      <c r="E174" s="12" t="s">
        <v>1837</v>
      </c>
      <c r="F174" s="12" t="s">
        <v>1838</v>
      </c>
      <c r="G174" s="12" t="b">
        <v>0</v>
      </c>
      <c r="H174" s="12" t="b">
        <v>1</v>
      </c>
      <c r="I174" s="12" t="b">
        <v>1</v>
      </c>
      <c r="J174" s="12" t="b">
        <v>1</v>
      </c>
      <c r="K174" s="12" t="b">
        <v>0</v>
      </c>
      <c r="L174" s="12" t="b">
        <v>0</v>
      </c>
      <c r="M174" s="12" t="b">
        <v>0</v>
      </c>
      <c r="N174" s="12">
        <v>0</v>
      </c>
      <c r="O174" s="12" t="b">
        <v>0</v>
      </c>
      <c r="P174" s="12" t="b">
        <v>0</v>
      </c>
      <c r="Q174" s="12" t="b">
        <v>0</v>
      </c>
      <c r="R174" s="12" t="b">
        <v>0</v>
      </c>
      <c r="S174" s="12" t="b">
        <v>0</v>
      </c>
      <c r="T174" s="12" t="b">
        <v>0</v>
      </c>
      <c r="U174" s="12" t="b">
        <v>0</v>
      </c>
      <c r="V174" s="12" t="b">
        <v>1</v>
      </c>
      <c r="W174" s="12" t="b">
        <v>0</v>
      </c>
      <c r="X174" s="12">
        <v>1</v>
      </c>
      <c r="Y174" s="12" t="b">
        <v>0</v>
      </c>
      <c r="Z174" s="12" t="b">
        <v>0</v>
      </c>
      <c r="AA174" s="12" t="b">
        <v>0</v>
      </c>
      <c r="AB174" s="12" t="b">
        <v>0</v>
      </c>
      <c r="AC174" s="12" t="b">
        <v>0</v>
      </c>
      <c r="AD174" s="12" t="b">
        <v>0</v>
      </c>
      <c r="AE174" s="12" t="b">
        <v>0</v>
      </c>
      <c r="AF174" s="12" t="b">
        <v>1</v>
      </c>
      <c r="AG174" s="12" t="b">
        <v>0</v>
      </c>
      <c r="AH174" s="12">
        <v>1</v>
      </c>
      <c r="AI174" s="12" t="b">
        <v>0</v>
      </c>
      <c r="AJ174" s="12" t="b">
        <v>0</v>
      </c>
      <c r="AK174" s="12" t="b">
        <v>1</v>
      </c>
      <c r="AL174" s="12">
        <v>1</v>
      </c>
      <c r="AM174" s="12" t="s">
        <v>922</v>
      </c>
      <c r="AN174" s="12">
        <v>1</v>
      </c>
    </row>
    <row r="175" spans="1:40" x14ac:dyDescent="0.3">
      <c r="A175" s="62" t="s">
        <v>1548</v>
      </c>
      <c r="B175" s="62"/>
      <c r="C175" s="52"/>
      <c r="D175" s="52"/>
      <c r="E175" s="12" t="s">
        <v>1296</v>
      </c>
      <c r="F175" s="12" t="s">
        <v>1624</v>
      </c>
      <c r="G175" s="12" t="b">
        <v>0</v>
      </c>
      <c r="H175" s="12" t="b">
        <v>1</v>
      </c>
      <c r="I175" s="12" t="b">
        <v>1</v>
      </c>
      <c r="J175" s="12" t="b">
        <v>1</v>
      </c>
      <c r="K175" s="12" t="b">
        <v>0</v>
      </c>
      <c r="L175" s="12" t="b">
        <v>0</v>
      </c>
      <c r="M175" s="12" t="b">
        <v>0</v>
      </c>
      <c r="N175" s="12">
        <v>0</v>
      </c>
      <c r="O175" s="12" t="b">
        <v>0</v>
      </c>
      <c r="P175" s="12" t="b">
        <v>0</v>
      </c>
      <c r="Q175" s="12" t="b">
        <v>0</v>
      </c>
      <c r="R175" s="12" t="b">
        <v>0</v>
      </c>
      <c r="S175" s="12" t="b">
        <v>0</v>
      </c>
      <c r="T175" s="12" t="b">
        <v>1</v>
      </c>
      <c r="U175" s="12" t="b">
        <v>0</v>
      </c>
      <c r="V175" s="12" t="b">
        <v>1</v>
      </c>
      <c r="W175" s="12" t="b">
        <v>0</v>
      </c>
      <c r="X175" s="12">
        <v>2</v>
      </c>
      <c r="Y175" s="12" t="b">
        <v>0</v>
      </c>
      <c r="Z175" s="12" t="b">
        <v>0</v>
      </c>
      <c r="AA175" s="12" t="b">
        <v>1</v>
      </c>
      <c r="AB175" s="12" t="b">
        <v>1</v>
      </c>
      <c r="AC175" s="12" t="b">
        <v>1</v>
      </c>
      <c r="AD175" s="12" t="b">
        <v>1</v>
      </c>
      <c r="AE175" s="12" t="b">
        <v>0</v>
      </c>
      <c r="AF175" s="12" t="b">
        <v>0</v>
      </c>
      <c r="AG175" s="12" t="b">
        <v>0</v>
      </c>
      <c r="AH175" s="12">
        <v>0</v>
      </c>
      <c r="AI175" s="12" t="b">
        <v>0</v>
      </c>
      <c r="AJ175" s="12" t="b">
        <v>0</v>
      </c>
      <c r="AK175" s="12" t="b">
        <v>1</v>
      </c>
      <c r="AL175" s="12">
        <v>1</v>
      </c>
      <c r="AM175" s="12" t="s">
        <v>900</v>
      </c>
      <c r="AN175" s="12">
        <v>1</v>
      </c>
    </row>
    <row r="176" spans="1:40" x14ac:dyDescent="0.3">
      <c r="A176" s="62" t="s">
        <v>1548</v>
      </c>
      <c r="B176" s="62"/>
      <c r="C176" s="52"/>
      <c r="D176" s="52"/>
      <c r="E176" s="12" t="s">
        <v>1558</v>
      </c>
      <c r="F176" s="12" t="s">
        <v>1562</v>
      </c>
      <c r="G176" s="12" t="b">
        <v>0</v>
      </c>
      <c r="H176" s="12" t="b">
        <v>1</v>
      </c>
      <c r="I176" s="12" t="b">
        <v>1</v>
      </c>
      <c r="J176" s="12" t="b">
        <v>1</v>
      </c>
      <c r="K176" s="12" t="b">
        <v>0</v>
      </c>
      <c r="L176" s="12" t="b">
        <v>0</v>
      </c>
      <c r="M176" s="12" t="b">
        <v>0</v>
      </c>
      <c r="N176" s="12">
        <v>0</v>
      </c>
      <c r="O176" s="12" t="b">
        <v>0</v>
      </c>
      <c r="P176" s="12" t="b">
        <v>0</v>
      </c>
      <c r="Q176" s="12" t="b">
        <v>0</v>
      </c>
      <c r="R176" s="12" t="b">
        <v>0</v>
      </c>
      <c r="S176" s="12" t="b">
        <v>0</v>
      </c>
      <c r="T176" s="12" t="b">
        <v>1</v>
      </c>
      <c r="U176" s="12" t="b">
        <v>0</v>
      </c>
      <c r="V176" s="12" t="b">
        <v>1</v>
      </c>
      <c r="W176" s="12" t="b">
        <v>0</v>
      </c>
      <c r="X176" s="12">
        <v>1</v>
      </c>
      <c r="Y176" s="12" t="b">
        <v>0</v>
      </c>
      <c r="Z176" s="12" t="b">
        <v>0</v>
      </c>
      <c r="AA176" s="12" t="b">
        <v>1</v>
      </c>
      <c r="AB176" s="12" t="b">
        <v>1</v>
      </c>
      <c r="AC176" s="12" t="b">
        <v>1</v>
      </c>
      <c r="AD176" s="12" t="b">
        <v>1</v>
      </c>
      <c r="AE176" s="12" t="b">
        <v>0</v>
      </c>
      <c r="AF176" s="12" t="b">
        <v>0</v>
      </c>
      <c r="AG176" s="12" t="b">
        <v>0</v>
      </c>
      <c r="AH176" s="12">
        <v>1</v>
      </c>
      <c r="AI176" s="12" t="b">
        <v>0</v>
      </c>
      <c r="AJ176" s="12" t="b">
        <v>0</v>
      </c>
      <c r="AK176" s="12" t="b">
        <v>1</v>
      </c>
      <c r="AL176" s="12">
        <v>1</v>
      </c>
      <c r="AM176" s="12" t="s">
        <v>900</v>
      </c>
      <c r="AN176" s="12">
        <v>1</v>
      </c>
    </row>
    <row r="177" spans="1:40" x14ac:dyDescent="0.3">
      <c r="A177" s="62" t="s">
        <v>1548</v>
      </c>
      <c r="B177" s="62"/>
      <c r="C177" s="52"/>
      <c r="D177" s="52"/>
      <c r="E177" s="12" t="s">
        <v>2050</v>
      </c>
      <c r="F177" s="12" t="s">
        <v>2051</v>
      </c>
      <c r="G177" s="12" t="b">
        <v>0</v>
      </c>
      <c r="H177" s="12" t="b">
        <v>1</v>
      </c>
      <c r="I177" s="12" t="b">
        <v>1</v>
      </c>
      <c r="J177" s="12" t="b">
        <v>1</v>
      </c>
      <c r="K177" s="12" t="b">
        <v>0</v>
      </c>
      <c r="L177" s="12" t="b">
        <v>0</v>
      </c>
      <c r="M177" s="12" t="b">
        <v>0</v>
      </c>
      <c r="N177" s="12">
        <v>0</v>
      </c>
      <c r="O177" s="12" t="b">
        <v>0</v>
      </c>
      <c r="P177" s="12" t="b">
        <v>0</v>
      </c>
      <c r="Q177" s="12" t="b">
        <v>0</v>
      </c>
      <c r="R177" s="12" t="b">
        <v>0</v>
      </c>
      <c r="S177" s="12" t="b">
        <v>0</v>
      </c>
      <c r="T177" s="12" t="b">
        <v>0</v>
      </c>
      <c r="U177" s="12" t="b">
        <v>0</v>
      </c>
      <c r="V177" s="12" t="b">
        <v>1</v>
      </c>
      <c r="W177" s="12" t="b">
        <v>0</v>
      </c>
      <c r="X177" s="12">
        <v>1</v>
      </c>
      <c r="Y177" s="12" t="b">
        <v>0</v>
      </c>
      <c r="Z177" s="12" t="b">
        <v>0</v>
      </c>
      <c r="AA177" s="12" t="b">
        <v>0</v>
      </c>
      <c r="AB177" s="12" t="b">
        <v>0</v>
      </c>
      <c r="AC177" s="12" t="b">
        <v>0</v>
      </c>
      <c r="AD177" s="12" t="b">
        <v>0</v>
      </c>
      <c r="AE177" s="12" t="b">
        <v>0</v>
      </c>
      <c r="AF177" s="12" t="b">
        <v>1</v>
      </c>
      <c r="AG177" s="12" t="b">
        <v>0</v>
      </c>
      <c r="AH177" s="12">
        <v>1</v>
      </c>
      <c r="AI177" s="12" t="b">
        <v>0</v>
      </c>
      <c r="AJ177" s="12" t="b">
        <v>0</v>
      </c>
      <c r="AK177" s="12" t="b">
        <v>1</v>
      </c>
      <c r="AL177" s="12">
        <v>1</v>
      </c>
      <c r="AM177" s="12" t="s">
        <v>1476</v>
      </c>
      <c r="AN177" s="12">
        <v>1</v>
      </c>
    </row>
    <row r="178" spans="1:40" x14ac:dyDescent="0.3">
      <c r="A178" s="62" t="s">
        <v>1548</v>
      </c>
      <c r="B178" s="62"/>
      <c r="C178" s="52"/>
      <c r="D178" s="52"/>
      <c r="E178" s="12" t="s">
        <v>1560</v>
      </c>
      <c r="F178" s="12" t="s">
        <v>1561</v>
      </c>
      <c r="G178" s="12" t="b">
        <v>0</v>
      </c>
      <c r="H178" s="12" t="b">
        <v>1</v>
      </c>
      <c r="I178" s="12" t="b">
        <v>1</v>
      </c>
      <c r="J178" s="12" t="b">
        <v>1</v>
      </c>
      <c r="K178" s="12" t="b">
        <v>0</v>
      </c>
      <c r="L178" s="12" t="b">
        <v>1</v>
      </c>
      <c r="M178" s="12" t="b">
        <v>0</v>
      </c>
      <c r="N178" s="12">
        <v>0</v>
      </c>
      <c r="O178" s="12" t="b">
        <v>0</v>
      </c>
      <c r="P178" s="12" t="b">
        <v>0</v>
      </c>
      <c r="Q178" s="12" t="b">
        <v>0</v>
      </c>
      <c r="R178" s="12" t="b">
        <v>0</v>
      </c>
      <c r="S178" s="12" t="b">
        <v>0</v>
      </c>
      <c r="T178" s="12" t="b">
        <v>1</v>
      </c>
      <c r="U178" s="12" t="b">
        <v>0</v>
      </c>
      <c r="V178" s="12" t="b">
        <v>1</v>
      </c>
      <c r="W178" s="12" t="b">
        <v>0</v>
      </c>
      <c r="X178" s="12">
        <v>-2</v>
      </c>
      <c r="Y178" s="12" t="b">
        <v>0</v>
      </c>
      <c r="Z178" s="12" t="b">
        <v>0</v>
      </c>
      <c r="AA178" s="12" t="b">
        <v>1</v>
      </c>
      <c r="AB178" s="12" t="b">
        <v>1</v>
      </c>
      <c r="AC178" s="12" t="b">
        <v>1</v>
      </c>
      <c r="AD178" s="12" t="b">
        <v>1</v>
      </c>
      <c r="AE178" s="12" t="b">
        <v>0</v>
      </c>
      <c r="AF178" s="12" t="b">
        <v>0</v>
      </c>
      <c r="AG178" s="12" t="b">
        <v>0</v>
      </c>
      <c r="AH178" s="12">
        <v>0</v>
      </c>
      <c r="AI178" s="12" t="b">
        <v>0</v>
      </c>
      <c r="AJ178" s="12" t="b">
        <v>0</v>
      </c>
      <c r="AK178" s="12" t="b">
        <v>1</v>
      </c>
      <c r="AL178" s="12">
        <v>1</v>
      </c>
      <c r="AM178" s="12" t="s">
        <v>900</v>
      </c>
      <c r="AN178" s="12">
        <v>1</v>
      </c>
    </row>
    <row r="179" spans="1:40" x14ac:dyDescent="0.3">
      <c r="A179" s="62" t="s">
        <v>1548</v>
      </c>
      <c r="B179" s="62"/>
      <c r="C179" s="63"/>
      <c r="D179" s="63"/>
      <c r="E179" s="12" t="s">
        <v>2052</v>
      </c>
      <c r="F179" s="12" t="s">
        <v>2053</v>
      </c>
      <c r="G179" s="12" t="b">
        <v>0</v>
      </c>
      <c r="H179" s="12" t="b">
        <v>1</v>
      </c>
      <c r="I179" s="12" t="b">
        <v>1</v>
      </c>
      <c r="J179" s="12" t="b">
        <v>1</v>
      </c>
      <c r="K179" s="12" t="b">
        <v>0</v>
      </c>
      <c r="L179" s="12" t="b">
        <v>0</v>
      </c>
      <c r="M179" s="12" t="b">
        <v>0</v>
      </c>
      <c r="N179" s="12">
        <v>0</v>
      </c>
      <c r="O179" s="12" t="b">
        <v>0</v>
      </c>
      <c r="P179" s="12" t="b">
        <v>0</v>
      </c>
      <c r="Q179" s="12" t="b">
        <v>0</v>
      </c>
      <c r="R179" s="12" t="b">
        <v>0</v>
      </c>
      <c r="S179" s="12" t="b">
        <v>0</v>
      </c>
      <c r="T179" s="12" t="b">
        <v>1</v>
      </c>
      <c r="U179" s="12" t="b">
        <v>0</v>
      </c>
      <c r="V179" s="12" t="b">
        <v>1</v>
      </c>
      <c r="W179" s="12" t="b">
        <v>0</v>
      </c>
      <c r="X179" s="12">
        <v>1</v>
      </c>
      <c r="Y179" s="12" t="b">
        <v>0</v>
      </c>
      <c r="Z179" s="12" t="b">
        <v>0</v>
      </c>
      <c r="AA179" s="12" t="b">
        <v>1</v>
      </c>
      <c r="AB179" s="12" t="b">
        <v>1</v>
      </c>
      <c r="AC179" s="12" t="b">
        <v>1</v>
      </c>
      <c r="AD179" s="12" t="b">
        <v>1</v>
      </c>
      <c r="AE179" s="12" t="b">
        <v>0</v>
      </c>
      <c r="AF179" s="12" t="b">
        <v>0</v>
      </c>
      <c r="AG179" s="12" t="b">
        <v>0</v>
      </c>
      <c r="AH179" s="12">
        <v>-1</v>
      </c>
      <c r="AI179" s="12" t="b">
        <v>0</v>
      </c>
      <c r="AJ179" s="12" t="b">
        <v>0</v>
      </c>
      <c r="AK179" s="12" t="b">
        <v>1</v>
      </c>
      <c r="AL179" s="12">
        <v>1</v>
      </c>
      <c r="AM179" s="12" t="s">
        <v>1476</v>
      </c>
      <c r="AN179" s="12">
        <v>1</v>
      </c>
    </row>
    <row r="180" spans="1:40" x14ac:dyDescent="0.3">
      <c r="A180" s="62" t="s">
        <v>1548</v>
      </c>
      <c r="B180" s="62"/>
      <c r="C180" s="63"/>
      <c r="D180" s="63"/>
      <c r="E180" s="12" t="s">
        <v>2036</v>
      </c>
      <c r="F180" s="12" t="s">
        <v>2037</v>
      </c>
      <c r="G180" s="12" t="b">
        <v>1</v>
      </c>
      <c r="H180" s="12" t="b">
        <v>1</v>
      </c>
      <c r="I180" s="12" t="b">
        <v>1</v>
      </c>
      <c r="J180" s="12" t="b">
        <v>1</v>
      </c>
      <c r="K180" s="12" t="b">
        <v>0</v>
      </c>
      <c r="L180" s="12" t="b">
        <v>0</v>
      </c>
      <c r="M180" s="12" t="b">
        <v>0</v>
      </c>
      <c r="N180" s="12">
        <v>0</v>
      </c>
      <c r="O180" s="12" t="b">
        <v>0</v>
      </c>
      <c r="P180" s="12" t="b">
        <v>0</v>
      </c>
      <c r="Q180" s="12" t="b">
        <v>0</v>
      </c>
      <c r="R180" s="12" t="b">
        <v>0</v>
      </c>
      <c r="S180" s="12" t="b">
        <v>0</v>
      </c>
      <c r="T180" s="12" t="b">
        <v>1</v>
      </c>
      <c r="U180" s="12" t="b">
        <v>0</v>
      </c>
      <c r="V180" s="12" t="b">
        <v>1</v>
      </c>
      <c r="W180" s="12" t="b">
        <v>0</v>
      </c>
      <c r="X180" s="12">
        <v>12</v>
      </c>
      <c r="Y180" s="12" t="b">
        <v>0</v>
      </c>
      <c r="Z180" s="12" t="b">
        <v>0</v>
      </c>
      <c r="AA180" s="12" t="b">
        <v>1</v>
      </c>
      <c r="AB180" s="12" t="b">
        <v>1</v>
      </c>
      <c r="AC180" s="12" t="b">
        <v>1</v>
      </c>
      <c r="AD180" s="12" t="b">
        <v>1</v>
      </c>
      <c r="AE180" s="12" t="b">
        <v>0</v>
      </c>
      <c r="AF180" s="12" t="b">
        <v>0</v>
      </c>
      <c r="AG180" s="12" t="b">
        <v>0</v>
      </c>
      <c r="AH180" s="12">
        <v>7</v>
      </c>
      <c r="AI180" s="12" t="b">
        <v>0</v>
      </c>
      <c r="AJ180" s="12" t="b">
        <v>0</v>
      </c>
      <c r="AK180" s="12" t="b">
        <v>1</v>
      </c>
      <c r="AL180" s="12">
        <v>1</v>
      </c>
      <c r="AM180" s="12" t="s">
        <v>978</v>
      </c>
      <c r="AN180" s="12">
        <v>1</v>
      </c>
    </row>
    <row r="181" spans="1:40" x14ac:dyDescent="0.3">
      <c r="A181" s="62" t="s">
        <v>1548</v>
      </c>
      <c r="B181" s="62"/>
      <c r="C181" s="63"/>
      <c r="D181" s="63"/>
      <c r="E181" s="12" t="s">
        <v>1580</v>
      </c>
      <c r="F181" s="12" t="s">
        <v>1581</v>
      </c>
      <c r="G181" s="12" t="b">
        <v>0</v>
      </c>
      <c r="H181" s="12" t="b">
        <v>1</v>
      </c>
      <c r="I181" s="12" t="b">
        <v>1</v>
      </c>
      <c r="J181" s="12" t="b">
        <v>1</v>
      </c>
      <c r="K181" s="12" t="b">
        <v>0</v>
      </c>
      <c r="L181" s="12" t="b">
        <v>1</v>
      </c>
      <c r="M181" s="12" t="b">
        <v>0</v>
      </c>
      <c r="N181" s="12">
        <v>0</v>
      </c>
      <c r="O181" s="12" t="b">
        <v>0</v>
      </c>
      <c r="P181" s="12" t="b">
        <v>0</v>
      </c>
      <c r="Q181" s="12" t="b">
        <v>0</v>
      </c>
      <c r="R181" s="12" t="b">
        <v>0</v>
      </c>
      <c r="S181" s="12" t="b">
        <v>0</v>
      </c>
      <c r="T181" s="12" t="b">
        <v>1</v>
      </c>
      <c r="U181" s="12" t="b">
        <v>0</v>
      </c>
      <c r="V181" s="12" t="b">
        <v>1</v>
      </c>
      <c r="W181" s="12" t="b">
        <v>0</v>
      </c>
      <c r="X181" s="12">
        <v>1</v>
      </c>
      <c r="Y181" s="12" t="b">
        <v>0</v>
      </c>
      <c r="Z181" s="12" t="b">
        <v>0</v>
      </c>
      <c r="AA181" s="12" t="b">
        <v>1</v>
      </c>
      <c r="AB181" s="12" t="b">
        <v>1</v>
      </c>
      <c r="AC181" s="12" t="b">
        <v>1</v>
      </c>
      <c r="AD181" s="12" t="b">
        <v>1</v>
      </c>
      <c r="AE181" s="12" t="b">
        <v>0</v>
      </c>
      <c r="AF181" s="12" t="b">
        <v>0</v>
      </c>
      <c r="AG181" s="12" t="b">
        <v>0</v>
      </c>
      <c r="AH181" s="12">
        <v>0</v>
      </c>
      <c r="AI181" s="12" t="b">
        <v>0</v>
      </c>
      <c r="AJ181" s="12" t="b">
        <v>0</v>
      </c>
      <c r="AK181" s="12" t="b">
        <v>1</v>
      </c>
      <c r="AL181" s="12">
        <v>1</v>
      </c>
      <c r="AM181" s="12" t="s">
        <v>1476</v>
      </c>
      <c r="AN181" s="12">
        <v>1</v>
      </c>
    </row>
    <row r="182" spans="1:40" x14ac:dyDescent="0.3">
      <c r="A182" s="62" t="s">
        <v>1548</v>
      </c>
      <c r="B182" s="62"/>
      <c r="C182" s="63"/>
      <c r="D182" s="63"/>
      <c r="E182" s="12" t="s">
        <v>1513</v>
      </c>
      <c r="F182" s="12" t="s">
        <v>1514</v>
      </c>
      <c r="G182" s="12" t="b">
        <v>0</v>
      </c>
      <c r="H182" s="12" t="b">
        <v>1</v>
      </c>
      <c r="I182" s="12" t="b">
        <v>1</v>
      </c>
      <c r="J182" s="12" t="b">
        <v>1</v>
      </c>
      <c r="K182" s="12" t="b">
        <v>1</v>
      </c>
      <c r="L182" s="12" t="b">
        <v>1</v>
      </c>
      <c r="M182" s="12" t="b">
        <v>0</v>
      </c>
      <c r="N182" s="12">
        <v>0</v>
      </c>
      <c r="O182" s="12" t="b">
        <v>0</v>
      </c>
      <c r="P182" s="12" t="b">
        <v>0</v>
      </c>
      <c r="Q182" s="12" t="b">
        <v>0</v>
      </c>
      <c r="R182" s="12" t="b">
        <v>1</v>
      </c>
      <c r="S182" s="12" t="b">
        <v>1</v>
      </c>
      <c r="T182" s="12" t="b">
        <v>1</v>
      </c>
      <c r="U182" s="12" t="b">
        <v>0</v>
      </c>
      <c r="V182" s="12" t="b">
        <v>1</v>
      </c>
      <c r="W182" s="12" t="b">
        <v>0</v>
      </c>
      <c r="X182" s="12">
        <v>0</v>
      </c>
      <c r="Y182" s="12" t="b">
        <v>0</v>
      </c>
      <c r="Z182" s="12" t="b">
        <v>0</v>
      </c>
      <c r="AA182" s="12" t="b">
        <v>0</v>
      </c>
      <c r="AB182" s="12" t="b">
        <v>1</v>
      </c>
      <c r="AC182" s="12" t="b">
        <v>1</v>
      </c>
      <c r="AD182" s="12" t="b">
        <v>1</v>
      </c>
      <c r="AE182" s="12" t="b">
        <v>0</v>
      </c>
      <c r="AF182" s="12" t="b">
        <v>0</v>
      </c>
      <c r="AG182" s="12" t="b">
        <v>0</v>
      </c>
      <c r="AH182" s="12">
        <v>0</v>
      </c>
      <c r="AI182" s="12" t="b">
        <v>0</v>
      </c>
      <c r="AJ182" s="12" t="b">
        <v>0</v>
      </c>
      <c r="AK182" s="12" t="b">
        <v>1</v>
      </c>
      <c r="AL182" s="12">
        <v>0</v>
      </c>
      <c r="AM182" s="12" t="s">
        <v>51</v>
      </c>
      <c r="AN182" s="12">
        <v>0</v>
      </c>
    </row>
    <row r="183" spans="1:40" x14ac:dyDescent="0.3">
      <c r="A183" s="62" t="s">
        <v>1548</v>
      </c>
      <c r="B183" s="62"/>
      <c r="C183" s="63"/>
      <c r="D183" s="63"/>
      <c r="E183" s="12" t="s">
        <v>1511</v>
      </c>
      <c r="F183" s="12" t="s">
        <v>1512</v>
      </c>
      <c r="G183" s="12" t="b">
        <v>0</v>
      </c>
      <c r="H183" s="12" t="b">
        <v>1</v>
      </c>
      <c r="I183" s="12" t="b">
        <v>1</v>
      </c>
      <c r="J183" s="12" t="b">
        <v>1</v>
      </c>
      <c r="K183" s="12" t="b">
        <v>1</v>
      </c>
      <c r="L183" s="12" t="b">
        <v>1</v>
      </c>
      <c r="M183" s="12" t="b">
        <v>0</v>
      </c>
      <c r="N183" s="12">
        <v>0</v>
      </c>
      <c r="O183" s="12" t="b">
        <v>0</v>
      </c>
      <c r="P183" s="12" t="b">
        <v>0</v>
      </c>
      <c r="Q183" s="12" t="b">
        <v>0</v>
      </c>
      <c r="R183" s="12" t="b">
        <v>1</v>
      </c>
      <c r="S183" s="12" t="b">
        <v>1</v>
      </c>
      <c r="T183" s="12" t="b">
        <v>1</v>
      </c>
      <c r="U183" s="12" t="b">
        <v>0</v>
      </c>
      <c r="V183" s="12" t="b">
        <v>1</v>
      </c>
      <c r="W183" s="12" t="b">
        <v>0</v>
      </c>
      <c r="X183" s="12">
        <v>0</v>
      </c>
      <c r="Y183" s="12" t="b">
        <v>0</v>
      </c>
      <c r="Z183" s="12" t="b">
        <v>0</v>
      </c>
      <c r="AA183" s="12" t="b">
        <v>0</v>
      </c>
      <c r="AB183" s="12" t="b">
        <v>1</v>
      </c>
      <c r="AC183" s="12" t="b">
        <v>1</v>
      </c>
      <c r="AD183" s="12" t="b">
        <v>1</v>
      </c>
      <c r="AE183" s="12" t="b">
        <v>0</v>
      </c>
      <c r="AF183" s="12" t="b">
        <v>0</v>
      </c>
      <c r="AG183" s="12" t="b">
        <v>0</v>
      </c>
      <c r="AH183" s="12">
        <v>0</v>
      </c>
      <c r="AI183" s="12" t="b">
        <v>0</v>
      </c>
      <c r="AJ183" s="12" t="b">
        <v>0</v>
      </c>
      <c r="AK183" s="12" t="b">
        <v>1</v>
      </c>
      <c r="AL183" s="12">
        <v>0</v>
      </c>
      <c r="AM183" s="12" t="s">
        <v>51</v>
      </c>
      <c r="AN183" s="12">
        <v>0</v>
      </c>
    </row>
    <row r="184" spans="1:40" x14ac:dyDescent="0.3">
      <c r="A184" s="62" t="s">
        <v>1548</v>
      </c>
      <c r="B184" s="62"/>
      <c r="C184" s="63"/>
      <c r="D184" s="63"/>
      <c r="E184" s="12" t="s">
        <v>1221</v>
      </c>
      <c r="F184" s="12" t="s">
        <v>1222</v>
      </c>
      <c r="G184" s="12" t="b">
        <v>0</v>
      </c>
      <c r="H184" s="12" t="b">
        <v>1</v>
      </c>
      <c r="I184" s="12" t="b">
        <v>1</v>
      </c>
      <c r="J184" s="12" t="b">
        <v>1</v>
      </c>
      <c r="K184" s="12" t="b">
        <v>1</v>
      </c>
      <c r="L184" s="12" t="b">
        <v>1</v>
      </c>
      <c r="M184" s="12" t="b">
        <v>0</v>
      </c>
      <c r="N184" s="12">
        <v>0</v>
      </c>
      <c r="O184" s="12" t="b">
        <v>0</v>
      </c>
      <c r="P184" s="12" t="b">
        <v>0</v>
      </c>
      <c r="Q184" s="12" t="b">
        <v>0</v>
      </c>
      <c r="R184" s="12" t="b">
        <v>1</v>
      </c>
      <c r="S184" s="12" t="b">
        <v>1</v>
      </c>
      <c r="T184" s="12" t="b">
        <v>1</v>
      </c>
      <c r="U184" s="12" t="b">
        <v>0</v>
      </c>
      <c r="V184" s="12" t="b">
        <v>1</v>
      </c>
      <c r="W184" s="12" t="b">
        <v>0</v>
      </c>
      <c r="X184" s="12">
        <v>0</v>
      </c>
      <c r="Y184" s="12" t="b">
        <v>0</v>
      </c>
      <c r="Z184" s="12" t="b">
        <v>0</v>
      </c>
      <c r="AA184" s="12" t="b">
        <v>0</v>
      </c>
      <c r="AB184" s="12" t="b">
        <v>1</v>
      </c>
      <c r="AC184" s="12" t="b">
        <v>1</v>
      </c>
      <c r="AD184" s="12" t="b">
        <v>1</v>
      </c>
      <c r="AE184" s="12" t="b">
        <v>0</v>
      </c>
      <c r="AF184" s="12" t="b">
        <v>0</v>
      </c>
      <c r="AG184" s="12" t="b">
        <v>0</v>
      </c>
      <c r="AH184" s="12">
        <v>0</v>
      </c>
      <c r="AI184" s="12" t="b">
        <v>0</v>
      </c>
      <c r="AJ184" s="12" t="b">
        <v>0</v>
      </c>
      <c r="AK184" s="12" t="b">
        <v>1</v>
      </c>
      <c r="AL184" s="12">
        <v>0</v>
      </c>
      <c r="AM184" s="12" t="s">
        <v>51</v>
      </c>
      <c r="AN184" s="12">
        <v>0</v>
      </c>
    </row>
    <row r="185" spans="1:40" x14ac:dyDescent="0.3">
      <c r="A185" s="62" t="s">
        <v>1548</v>
      </c>
      <c r="B185" s="62"/>
      <c r="C185" s="63"/>
      <c r="D185" s="63"/>
      <c r="E185" s="12" t="s">
        <v>1211</v>
      </c>
      <c r="F185" s="12" t="s">
        <v>1212</v>
      </c>
      <c r="G185" s="12" t="b">
        <v>0</v>
      </c>
      <c r="H185" s="12" t="b">
        <v>1</v>
      </c>
      <c r="I185" s="12" t="b">
        <v>1</v>
      </c>
      <c r="J185" s="12" t="b">
        <v>1</v>
      </c>
      <c r="K185" s="12" t="b">
        <v>1</v>
      </c>
      <c r="L185" s="12" t="b">
        <v>1</v>
      </c>
      <c r="M185" s="12" t="b">
        <v>0</v>
      </c>
      <c r="N185" s="12">
        <v>0</v>
      </c>
      <c r="O185" s="12" t="b">
        <v>0</v>
      </c>
      <c r="P185" s="12" t="b">
        <v>0</v>
      </c>
      <c r="Q185" s="12" t="b">
        <v>0</v>
      </c>
      <c r="R185" s="12" t="b">
        <v>1</v>
      </c>
      <c r="S185" s="12" t="b">
        <v>1</v>
      </c>
      <c r="T185" s="12" t="b">
        <v>1</v>
      </c>
      <c r="U185" s="12" t="b">
        <v>0</v>
      </c>
      <c r="V185" s="12" t="b">
        <v>1</v>
      </c>
      <c r="W185" s="12" t="b">
        <v>0</v>
      </c>
      <c r="X185" s="12">
        <v>0</v>
      </c>
      <c r="Y185" s="12" t="b">
        <v>0</v>
      </c>
      <c r="Z185" s="12" t="b">
        <v>0</v>
      </c>
      <c r="AA185" s="12" t="b">
        <v>0</v>
      </c>
      <c r="AB185" s="12" t="b">
        <v>1</v>
      </c>
      <c r="AC185" s="12" t="b">
        <v>1</v>
      </c>
      <c r="AD185" s="12" t="b">
        <v>1</v>
      </c>
      <c r="AE185" s="12" t="b">
        <v>0</v>
      </c>
      <c r="AF185" s="12" t="b">
        <v>0</v>
      </c>
      <c r="AG185" s="12" t="b">
        <v>0</v>
      </c>
      <c r="AH185" s="12">
        <v>0</v>
      </c>
      <c r="AI185" s="12" t="b">
        <v>0</v>
      </c>
      <c r="AJ185" s="12" t="b">
        <v>0</v>
      </c>
      <c r="AK185" s="12" t="b">
        <v>1</v>
      </c>
      <c r="AL185" s="12">
        <v>0</v>
      </c>
      <c r="AM185" s="12" t="s">
        <v>51</v>
      </c>
      <c r="AN185" s="12">
        <v>0</v>
      </c>
    </row>
    <row r="186" spans="1:40" x14ac:dyDescent="0.3">
      <c r="A186" s="62" t="s">
        <v>1548</v>
      </c>
      <c r="B186" s="62"/>
      <c r="C186" s="63"/>
      <c r="D186" s="63"/>
      <c r="E186" s="12" t="s">
        <v>1223</v>
      </c>
      <c r="F186" s="12" t="s">
        <v>1224</v>
      </c>
      <c r="G186" s="12" t="b">
        <v>0</v>
      </c>
      <c r="H186" s="12" t="b">
        <v>1</v>
      </c>
      <c r="I186" s="12" t="b">
        <v>1</v>
      </c>
      <c r="J186" s="12" t="b">
        <v>1</v>
      </c>
      <c r="K186" s="12" t="b">
        <v>1</v>
      </c>
      <c r="L186" s="12" t="b">
        <v>1</v>
      </c>
      <c r="M186" s="12" t="b">
        <v>0</v>
      </c>
      <c r="N186" s="12">
        <v>0</v>
      </c>
      <c r="O186" s="12" t="b">
        <v>0</v>
      </c>
      <c r="P186" s="12" t="b">
        <v>0</v>
      </c>
      <c r="Q186" s="12" t="b">
        <v>0</v>
      </c>
      <c r="R186" s="12" t="b">
        <v>1</v>
      </c>
      <c r="S186" s="12" t="b">
        <v>1</v>
      </c>
      <c r="T186" s="12" t="b">
        <v>1</v>
      </c>
      <c r="U186" s="12" t="b">
        <v>0</v>
      </c>
      <c r="V186" s="12" t="b">
        <v>1</v>
      </c>
      <c r="W186" s="12" t="b">
        <v>0</v>
      </c>
      <c r="X186" s="12">
        <v>0</v>
      </c>
      <c r="Y186" s="12" t="b">
        <v>0</v>
      </c>
      <c r="Z186" s="12" t="b">
        <v>0</v>
      </c>
      <c r="AA186" s="12" t="b">
        <v>0</v>
      </c>
      <c r="AB186" s="12" t="b">
        <v>1</v>
      </c>
      <c r="AC186" s="12" t="b">
        <v>1</v>
      </c>
      <c r="AD186" s="12" t="b">
        <v>1</v>
      </c>
      <c r="AE186" s="12" t="b">
        <v>0</v>
      </c>
      <c r="AF186" s="12" t="b">
        <v>0</v>
      </c>
      <c r="AG186" s="12" t="b">
        <v>0</v>
      </c>
      <c r="AH186" s="12">
        <v>0</v>
      </c>
      <c r="AI186" s="12" t="b">
        <v>0</v>
      </c>
      <c r="AJ186" s="12" t="b">
        <v>0</v>
      </c>
      <c r="AK186" s="12" t="b">
        <v>1</v>
      </c>
      <c r="AL186" s="12">
        <v>0</v>
      </c>
      <c r="AM186" s="12" t="s">
        <v>51</v>
      </c>
      <c r="AN186" s="12">
        <v>0</v>
      </c>
    </row>
    <row r="187" spans="1:40" x14ac:dyDescent="0.3">
      <c r="A187" s="62" t="s">
        <v>1548</v>
      </c>
      <c r="B187" s="62"/>
      <c r="C187" s="63"/>
      <c r="D187" s="63"/>
      <c r="E187" s="12" t="s">
        <v>1213</v>
      </c>
      <c r="F187" s="12" t="s">
        <v>1214</v>
      </c>
      <c r="G187" s="12" t="b">
        <v>0</v>
      </c>
      <c r="H187" s="12" t="b">
        <v>1</v>
      </c>
      <c r="I187" s="12" t="b">
        <v>1</v>
      </c>
      <c r="J187" s="12" t="b">
        <v>1</v>
      </c>
      <c r="K187" s="12" t="b">
        <v>1</v>
      </c>
      <c r="L187" s="12" t="b">
        <v>1</v>
      </c>
      <c r="M187" s="12" t="b">
        <v>0</v>
      </c>
      <c r="N187" s="12">
        <v>0</v>
      </c>
      <c r="O187" s="12" t="b">
        <v>0</v>
      </c>
      <c r="P187" s="12" t="b">
        <v>0</v>
      </c>
      <c r="Q187" s="12" t="b">
        <v>0</v>
      </c>
      <c r="R187" s="12" t="b">
        <v>1</v>
      </c>
      <c r="S187" s="12" t="b">
        <v>1</v>
      </c>
      <c r="T187" s="12" t="b">
        <v>1</v>
      </c>
      <c r="U187" s="12" t="b">
        <v>0</v>
      </c>
      <c r="V187" s="12" t="b">
        <v>1</v>
      </c>
      <c r="W187" s="12" t="b">
        <v>0</v>
      </c>
      <c r="X187" s="12">
        <v>0</v>
      </c>
      <c r="Y187" s="12" t="b">
        <v>0</v>
      </c>
      <c r="Z187" s="12" t="b">
        <v>0</v>
      </c>
      <c r="AA187" s="12" t="b">
        <v>0</v>
      </c>
      <c r="AB187" s="12" t="b">
        <v>1</v>
      </c>
      <c r="AC187" s="12" t="b">
        <v>1</v>
      </c>
      <c r="AD187" s="12" t="b">
        <v>1</v>
      </c>
      <c r="AE187" s="12" t="b">
        <v>0</v>
      </c>
      <c r="AF187" s="12" t="b">
        <v>0</v>
      </c>
      <c r="AG187" s="12" t="b">
        <v>0</v>
      </c>
      <c r="AH187" s="12">
        <v>0</v>
      </c>
      <c r="AI187" s="12" t="b">
        <v>0</v>
      </c>
      <c r="AJ187" s="12" t="b">
        <v>0</v>
      </c>
      <c r="AK187" s="12" t="b">
        <v>1</v>
      </c>
      <c r="AL187" s="12">
        <v>0</v>
      </c>
      <c r="AM187" s="12" t="s">
        <v>51</v>
      </c>
      <c r="AN187" s="12">
        <v>0</v>
      </c>
    </row>
    <row r="188" spans="1:40" x14ac:dyDescent="0.3">
      <c r="A188" s="62" t="s">
        <v>1548</v>
      </c>
      <c r="B188" s="62"/>
      <c r="C188" s="63"/>
      <c r="D188" s="63"/>
      <c r="E188" s="12" t="s">
        <v>1225</v>
      </c>
      <c r="F188" s="12" t="s">
        <v>1226</v>
      </c>
      <c r="G188" s="12" t="b">
        <v>0</v>
      </c>
      <c r="H188" s="12" t="b">
        <v>1</v>
      </c>
      <c r="I188" s="12" t="b">
        <v>1</v>
      </c>
      <c r="J188" s="12" t="b">
        <v>1</v>
      </c>
      <c r="K188" s="12" t="b">
        <v>1</v>
      </c>
      <c r="L188" s="12" t="b">
        <v>1</v>
      </c>
      <c r="M188" s="12" t="b">
        <v>0</v>
      </c>
      <c r="N188" s="12">
        <v>0</v>
      </c>
      <c r="O188" s="12" t="b">
        <v>0</v>
      </c>
      <c r="P188" s="12" t="b">
        <v>0</v>
      </c>
      <c r="Q188" s="12" t="b">
        <v>0</v>
      </c>
      <c r="R188" s="12" t="b">
        <v>1</v>
      </c>
      <c r="S188" s="12" t="b">
        <v>1</v>
      </c>
      <c r="T188" s="12" t="b">
        <v>1</v>
      </c>
      <c r="U188" s="12" t="b">
        <v>0</v>
      </c>
      <c r="V188" s="12" t="b">
        <v>1</v>
      </c>
      <c r="W188" s="12" t="b">
        <v>0</v>
      </c>
      <c r="X188" s="12">
        <v>0</v>
      </c>
      <c r="Y188" s="12" t="b">
        <v>0</v>
      </c>
      <c r="Z188" s="12" t="b">
        <v>0</v>
      </c>
      <c r="AA188" s="12" t="b">
        <v>0</v>
      </c>
      <c r="AB188" s="12" t="b">
        <v>1</v>
      </c>
      <c r="AC188" s="12" t="b">
        <v>1</v>
      </c>
      <c r="AD188" s="12" t="b">
        <v>1</v>
      </c>
      <c r="AE188" s="12" t="b">
        <v>0</v>
      </c>
      <c r="AF188" s="12" t="b">
        <v>0</v>
      </c>
      <c r="AG188" s="12" t="b">
        <v>0</v>
      </c>
      <c r="AH188" s="12">
        <v>0</v>
      </c>
      <c r="AI188" s="12" t="b">
        <v>0</v>
      </c>
      <c r="AJ188" s="12" t="b">
        <v>0</v>
      </c>
      <c r="AK188" s="12" t="b">
        <v>1</v>
      </c>
      <c r="AL188" s="12">
        <v>0</v>
      </c>
      <c r="AM188" s="12" t="s">
        <v>51</v>
      </c>
      <c r="AN188" s="12">
        <v>0</v>
      </c>
    </row>
    <row r="189" spans="1:40" x14ac:dyDescent="0.3">
      <c r="A189" s="62" t="s">
        <v>1548</v>
      </c>
      <c r="B189" s="62"/>
      <c r="C189" s="63"/>
      <c r="D189" s="63"/>
      <c r="E189" s="12" t="s">
        <v>1215</v>
      </c>
      <c r="F189" s="12" t="s">
        <v>1216</v>
      </c>
      <c r="G189" s="12" t="b">
        <v>0</v>
      </c>
      <c r="H189" s="12" t="b">
        <v>1</v>
      </c>
      <c r="I189" s="12" t="b">
        <v>1</v>
      </c>
      <c r="J189" s="12" t="b">
        <v>1</v>
      </c>
      <c r="K189" s="12" t="b">
        <v>1</v>
      </c>
      <c r="L189" s="12" t="b">
        <v>1</v>
      </c>
      <c r="M189" s="12" t="b">
        <v>0</v>
      </c>
      <c r="N189" s="12">
        <v>0</v>
      </c>
      <c r="O189" s="12" t="b">
        <v>0</v>
      </c>
      <c r="P189" s="12" t="b">
        <v>0</v>
      </c>
      <c r="Q189" s="12" t="b">
        <v>0</v>
      </c>
      <c r="R189" s="12" t="b">
        <v>1</v>
      </c>
      <c r="S189" s="12" t="b">
        <v>1</v>
      </c>
      <c r="T189" s="12" t="b">
        <v>1</v>
      </c>
      <c r="U189" s="12" t="b">
        <v>0</v>
      </c>
      <c r="V189" s="12" t="b">
        <v>1</v>
      </c>
      <c r="W189" s="12" t="b">
        <v>0</v>
      </c>
      <c r="X189" s="12">
        <v>0</v>
      </c>
      <c r="Y189" s="12" t="b">
        <v>0</v>
      </c>
      <c r="Z189" s="12" t="b">
        <v>0</v>
      </c>
      <c r="AA189" s="12" t="b">
        <v>0</v>
      </c>
      <c r="AB189" s="12" t="b">
        <v>1</v>
      </c>
      <c r="AC189" s="12" t="b">
        <v>1</v>
      </c>
      <c r="AD189" s="12" t="b">
        <v>1</v>
      </c>
      <c r="AE189" s="12" t="b">
        <v>0</v>
      </c>
      <c r="AF189" s="12" t="b">
        <v>0</v>
      </c>
      <c r="AG189" s="12" t="b">
        <v>0</v>
      </c>
      <c r="AH189" s="12">
        <v>0</v>
      </c>
      <c r="AI189" s="12" t="b">
        <v>0</v>
      </c>
      <c r="AJ189" s="12" t="b">
        <v>0</v>
      </c>
      <c r="AK189" s="12" t="b">
        <v>1</v>
      </c>
      <c r="AL189" s="12">
        <v>0</v>
      </c>
      <c r="AM189" s="12" t="s">
        <v>51</v>
      </c>
      <c r="AN189" s="12">
        <v>0</v>
      </c>
    </row>
    <row r="190" spans="1:40" x14ac:dyDescent="0.3">
      <c r="A190" s="62" t="s">
        <v>1548</v>
      </c>
      <c r="B190" s="62"/>
      <c r="C190" s="63"/>
      <c r="D190" s="63"/>
      <c r="E190" s="12" t="s">
        <v>1227</v>
      </c>
      <c r="F190" s="12" t="s">
        <v>1228</v>
      </c>
      <c r="G190" s="12" t="b">
        <v>0</v>
      </c>
      <c r="H190" s="12" t="b">
        <v>1</v>
      </c>
      <c r="I190" s="12" t="b">
        <v>1</v>
      </c>
      <c r="J190" s="12" t="b">
        <v>1</v>
      </c>
      <c r="K190" s="12" t="b">
        <v>1</v>
      </c>
      <c r="L190" s="12" t="b">
        <v>1</v>
      </c>
      <c r="M190" s="12" t="b">
        <v>0</v>
      </c>
      <c r="N190" s="12">
        <v>0</v>
      </c>
      <c r="O190" s="12" t="b">
        <v>0</v>
      </c>
      <c r="P190" s="12" t="b">
        <v>0</v>
      </c>
      <c r="Q190" s="12" t="b">
        <v>0</v>
      </c>
      <c r="R190" s="12" t="b">
        <v>1</v>
      </c>
      <c r="S190" s="12" t="b">
        <v>1</v>
      </c>
      <c r="T190" s="12" t="b">
        <v>1</v>
      </c>
      <c r="U190" s="12" t="b">
        <v>0</v>
      </c>
      <c r="V190" s="12" t="b">
        <v>1</v>
      </c>
      <c r="W190" s="12" t="b">
        <v>0</v>
      </c>
      <c r="X190" s="12">
        <v>0</v>
      </c>
      <c r="Y190" s="12" t="b">
        <v>0</v>
      </c>
      <c r="Z190" s="12" t="b">
        <v>0</v>
      </c>
      <c r="AA190" s="12" t="b">
        <v>0</v>
      </c>
      <c r="AB190" s="12" t="b">
        <v>1</v>
      </c>
      <c r="AC190" s="12" t="b">
        <v>1</v>
      </c>
      <c r="AD190" s="12" t="b">
        <v>1</v>
      </c>
      <c r="AE190" s="12" t="b">
        <v>0</v>
      </c>
      <c r="AF190" s="12" t="b">
        <v>0</v>
      </c>
      <c r="AG190" s="12" t="b">
        <v>0</v>
      </c>
      <c r="AH190" s="12">
        <v>0</v>
      </c>
      <c r="AI190" s="12" t="b">
        <v>0</v>
      </c>
      <c r="AJ190" s="12" t="b">
        <v>0</v>
      </c>
      <c r="AK190" s="12" t="b">
        <v>1</v>
      </c>
      <c r="AL190" s="12">
        <v>0</v>
      </c>
      <c r="AM190" s="12" t="s">
        <v>51</v>
      </c>
      <c r="AN190" s="12">
        <v>0</v>
      </c>
    </row>
    <row r="191" spans="1:40" x14ac:dyDescent="0.3">
      <c r="A191" s="62" t="s">
        <v>1548</v>
      </c>
      <c r="B191" s="62"/>
      <c r="C191" s="63"/>
      <c r="D191" s="63"/>
      <c r="E191" s="12" t="s">
        <v>1217</v>
      </c>
      <c r="F191" s="12" t="s">
        <v>1218</v>
      </c>
      <c r="G191" s="12" t="b">
        <v>0</v>
      </c>
      <c r="H191" s="12" t="b">
        <v>1</v>
      </c>
      <c r="I191" s="12" t="b">
        <v>1</v>
      </c>
      <c r="J191" s="12" t="b">
        <v>1</v>
      </c>
      <c r="K191" s="12" t="b">
        <v>1</v>
      </c>
      <c r="L191" s="12" t="b">
        <v>1</v>
      </c>
      <c r="M191" s="12" t="b">
        <v>0</v>
      </c>
      <c r="N191" s="12">
        <v>0</v>
      </c>
      <c r="O191" s="12" t="b">
        <v>0</v>
      </c>
      <c r="P191" s="12" t="b">
        <v>0</v>
      </c>
      <c r="Q191" s="12" t="b">
        <v>0</v>
      </c>
      <c r="R191" s="12" t="b">
        <v>1</v>
      </c>
      <c r="S191" s="12" t="b">
        <v>1</v>
      </c>
      <c r="T191" s="12" t="b">
        <v>1</v>
      </c>
      <c r="U191" s="12" t="b">
        <v>0</v>
      </c>
      <c r="V191" s="12" t="b">
        <v>1</v>
      </c>
      <c r="W191" s="12" t="b">
        <v>0</v>
      </c>
      <c r="X191" s="12">
        <v>0</v>
      </c>
      <c r="Y191" s="12" t="b">
        <v>0</v>
      </c>
      <c r="Z191" s="12" t="b">
        <v>0</v>
      </c>
      <c r="AA191" s="12" t="b">
        <v>0</v>
      </c>
      <c r="AB191" s="12" t="b">
        <v>1</v>
      </c>
      <c r="AC191" s="12" t="b">
        <v>1</v>
      </c>
      <c r="AD191" s="12" t="b">
        <v>1</v>
      </c>
      <c r="AE191" s="12" t="b">
        <v>0</v>
      </c>
      <c r="AF191" s="12" t="b">
        <v>0</v>
      </c>
      <c r="AG191" s="12" t="b">
        <v>0</v>
      </c>
      <c r="AH191" s="12">
        <v>0</v>
      </c>
      <c r="AI191" s="12" t="b">
        <v>0</v>
      </c>
      <c r="AJ191" s="12" t="b">
        <v>0</v>
      </c>
      <c r="AK191" s="12" t="b">
        <v>1</v>
      </c>
      <c r="AL191" s="12">
        <v>0</v>
      </c>
      <c r="AM191" s="12" t="s">
        <v>51</v>
      </c>
      <c r="AN191" s="12">
        <v>0</v>
      </c>
    </row>
    <row r="192" spans="1:40" x14ac:dyDescent="0.3">
      <c r="A192" s="62" t="s">
        <v>1548</v>
      </c>
      <c r="B192" s="62"/>
      <c r="C192" s="63"/>
      <c r="D192" s="63"/>
      <c r="E192" s="12" t="s">
        <v>1229</v>
      </c>
      <c r="F192" s="12" t="s">
        <v>1230</v>
      </c>
      <c r="G192" s="12" t="b">
        <v>0</v>
      </c>
      <c r="H192" s="12" t="b">
        <v>1</v>
      </c>
      <c r="I192" s="12" t="b">
        <v>1</v>
      </c>
      <c r="J192" s="12" t="b">
        <v>1</v>
      </c>
      <c r="K192" s="12" t="b">
        <v>1</v>
      </c>
      <c r="L192" s="12" t="b">
        <v>1</v>
      </c>
      <c r="M192" s="12" t="b">
        <v>0</v>
      </c>
      <c r="N192" s="12">
        <v>0</v>
      </c>
      <c r="O192" s="12" t="b">
        <v>0</v>
      </c>
      <c r="P192" s="12" t="b">
        <v>0</v>
      </c>
      <c r="Q192" s="12" t="b">
        <v>0</v>
      </c>
      <c r="R192" s="12" t="b">
        <v>1</v>
      </c>
      <c r="S192" s="12" t="b">
        <v>1</v>
      </c>
      <c r="T192" s="12" t="b">
        <v>1</v>
      </c>
      <c r="U192" s="12" t="b">
        <v>0</v>
      </c>
      <c r="V192" s="12" t="b">
        <v>1</v>
      </c>
      <c r="W192" s="12" t="b">
        <v>0</v>
      </c>
      <c r="X192" s="12">
        <v>0</v>
      </c>
      <c r="Y192" s="12" t="b">
        <v>0</v>
      </c>
      <c r="Z192" s="12" t="b">
        <v>0</v>
      </c>
      <c r="AA192" s="12" t="b">
        <v>0</v>
      </c>
      <c r="AB192" s="12" t="b">
        <v>1</v>
      </c>
      <c r="AC192" s="12" t="b">
        <v>1</v>
      </c>
      <c r="AD192" s="12" t="b">
        <v>1</v>
      </c>
      <c r="AE192" s="12" t="b">
        <v>0</v>
      </c>
      <c r="AF192" s="12" t="b">
        <v>0</v>
      </c>
      <c r="AG192" s="12" t="b">
        <v>0</v>
      </c>
      <c r="AH192" s="12">
        <v>0</v>
      </c>
      <c r="AI192" s="12" t="b">
        <v>0</v>
      </c>
      <c r="AJ192" s="12" t="b">
        <v>0</v>
      </c>
      <c r="AK192" s="12" t="b">
        <v>1</v>
      </c>
      <c r="AL192" s="12">
        <v>0</v>
      </c>
      <c r="AM192" s="12" t="s">
        <v>51</v>
      </c>
      <c r="AN192" s="12">
        <v>0</v>
      </c>
    </row>
    <row r="193" spans="1:40" x14ac:dyDescent="0.3">
      <c r="A193" s="62" t="s">
        <v>1548</v>
      </c>
      <c r="B193" s="62"/>
      <c r="C193" s="63"/>
      <c r="D193" s="63"/>
      <c r="E193" s="12" t="s">
        <v>1219</v>
      </c>
      <c r="F193" s="12" t="s">
        <v>1220</v>
      </c>
      <c r="G193" s="12" t="b">
        <v>0</v>
      </c>
      <c r="H193" s="12" t="b">
        <v>1</v>
      </c>
      <c r="I193" s="12" t="b">
        <v>1</v>
      </c>
      <c r="J193" s="12" t="b">
        <v>1</v>
      </c>
      <c r="K193" s="12" t="b">
        <v>1</v>
      </c>
      <c r="L193" s="12" t="b">
        <v>1</v>
      </c>
      <c r="M193" s="12" t="b">
        <v>0</v>
      </c>
      <c r="N193" s="12">
        <v>0</v>
      </c>
      <c r="O193" s="12" t="b">
        <v>0</v>
      </c>
      <c r="P193" s="12" t="b">
        <v>0</v>
      </c>
      <c r="Q193" s="12" t="b">
        <v>0</v>
      </c>
      <c r="R193" s="12" t="b">
        <v>1</v>
      </c>
      <c r="S193" s="12" t="b">
        <v>1</v>
      </c>
      <c r="T193" s="12" t="b">
        <v>1</v>
      </c>
      <c r="U193" s="12" t="b">
        <v>0</v>
      </c>
      <c r="V193" s="12" t="b">
        <v>1</v>
      </c>
      <c r="W193" s="12" t="b">
        <v>0</v>
      </c>
      <c r="X193" s="12">
        <v>0</v>
      </c>
      <c r="Y193" s="12" t="b">
        <v>0</v>
      </c>
      <c r="Z193" s="12" t="b">
        <v>0</v>
      </c>
      <c r="AA193" s="12" t="b">
        <v>0</v>
      </c>
      <c r="AB193" s="12" t="b">
        <v>1</v>
      </c>
      <c r="AC193" s="12" t="b">
        <v>1</v>
      </c>
      <c r="AD193" s="12" t="b">
        <v>1</v>
      </c>
      <c r="AE193" s="12" t="b">
        <v>0</v>
      </c>
      <c r="AF193" s="12" t="b">
        <v>0</v>
      </c>
      <c r="AG193" s="12" t="b">
        <v>0</v>
      </c>
      <c r="AH193" s="12">
        <v>0</v>
      </c>
      <c r="AI193" s="12" t="b">
        <v>0</v>
      </c>
      <c r="AJ193" s="12" t="b">
        <v>0</v>
      </c>
      <c r="AK193" s="12" t="b">
        <v>1</v>
      </c>
      <c r="AL193" s="12">
        <v>0</v>
      </c>
      <c r="AM193" s="12" t="s">
        <v>51</v>
      </c>
      <c r="AN193" s="12">
        <v>0</v>
      </c>
    </row>
    <row r="194" spans="1:40" x14ac:dyDescent="0.3">
      <c r="A194" s="62" t="s">
        <v>1548</v>
      </c>
      <c r="B194" s="62"/>
      <c r="C194" s="63"/>
      <c r="D194" s="63"/>
      <c r="E194" s="12" t="s">
        <v>2093</v>
      </c>
      <c r="F194" s="12" t="s">
        <v>2097</v>
      </c>
      <c r="G194" s="12" t="b">
        <v>0</v>
      </c>
      <c r="H194" s="12" t="b">
        <v>1</v>
      </c>
      <c r="I194" s="12" t="b">
        <v>1</v>
      </c>
      <c r="J194" s="12" t="b">
        <v>1</v>
      </c>
      <c r="K194" s="12" t="b">
        <v>0</v>
      </c>
      <c r="L194" s="12" t="b">
        <v>0</v>
      </c>
      <c r="M194" s="12" t="b">
        <v>0</v>
      </c>
      <c r="N194" s="12">
        <v>0</v>
      </c>
      <c r="O194" s="12" t="b">
        <v>0</v>
      </c>
      <c r="P194" s="12" t="b">
        <v>0</v>
      </c>
      <c r="Q194" s="12" t="b">
        <v>0</v>
      </c>
      <c r="R194" s="12" t="b">
        <v>1</v>
      </c>
      <c r="S194" s="12" t="b">
        <v>1</v>
      </c>
      <c r="T194" s="12" t="b">
        <v>1</v>
      </c>
      <c r="U194" s="12" t="b">
        <v>0</v>
      </c>
      <c r="V194" s="12" t="b">
        <v>0</v>
      </c>
      <c r="W194" s="12" t="b">
        <v>0</v>
      </c>
      <c r="X194" s="12">
        <v>-1</v>
      </c>
      <c r="Y194" s="12" t="b">
        <v>0</v>
      </c>
      <c r="Z194" s="12" t="b">
        <v>0</v>
      </c>
      <c r="AA194" s="12" t="b">
        <v>0</v>
      </c>
      <c r="AB194" s="12" t="b">
        <v>0</v>
      </c>
      <c r="AC194" s="12" t="b">
        <v>0</v>
      </c>
      <c r="AD194" s="12" t="b">
        <v>1</v>
      </c>
      <c r="AE194" s="12" t="b">
        <v>0</v>
      </c>
      <c r="AF194" s="12" t="b">
        <v>1</v>
      </c>
      <c r="AG194" s="12" t="b">
        <v>0</v>
      </c>
      <c r="AH194" s="12">
        <v>1</v>
      </c>
      <c r="AI194" s="12" t="b">
        <v>0</v>
      </c>
      <c r="AJ194" s="12" t="b">
        <v>0</v>
      </c>
      <c r="AK194" s="12" t="b">
        <v>1</v>
      </c>
      <c r="AL194" s="12">
        <v>1</v>
      </c>
      <c r="AM194" s="12" t="s">
        <v>900</v>
      </c>
      <c r="AN194" s="12">
        <v>1</v>
      </c>
    </row>
    <row r="195" spans="1:40" x14ac:dyDescent="0.3">
      <c r="A195" s="62" t="s">
        <v>1548</v>
      </c>
      <c r="B195" s="62"/>
      <c r="C195" s="63"/>
      <c r="D195" s="63"/>
      <c r="E195" s="12" t="s">
        <v>1246</v>
      </c>
      <c r="F195" s="12" t="s">
        <v>1247</v>
      </c>
      <c r="G195" s="12" t="b">
        <v>0</v>
      </c>
      <c r="H195" s="12" t="b">
        <v>1</v>
      </c>
      <c r="I195" s="12" t="b">
        <v>1</v>
      </c>
      <c r="J195" s="12" t="b">
        <v>1</v>
      </c>
      <c r="K195" s="12" t="b">
        <v>0</v>
      </c>
      <c r="L195" s="12" t="b">
        <v>0</v>
      </c>
      <c r="M195" s="12" t="b">
        <v>0</v>
      </c>
      <c r="N195" s="12">
        <v>0</v>
      </c>
      <c r="O195" s="12" t="b">
        <v>0</v>
      </c>
      <c r="P195" s="12" t="b">
        <v>0</v>
      </c>
      <c r="Q195" s="12" t="b">
        <v>0</v>
      </c>
      <c r="R195" s="12" t="b">
        <v>1</v>
      </c>
      <c r="S195" s="12" t="b">
        <v>1</v>
      </c>
      <c r="T195" s="12" t="b">
        <v>1</v>
      </c>
      <c r="U195" s="12" t="b">
        <v>0</v>
      </c>
      <c r="V195" s="12" t="b">
        <v>1</v>
      </c>
      <c r="W195" s="12" t="b">
        <v>0</v>
      </c>
      <c r="X195" s="12">
        <v>0</v>
      </c>
      <c r="Y195" s="12" t="b">
        <v>0</v>
      </c>
      <c r="Z195" s="12" t="b">
        <v>0</v>
      </c>
      <c r="AA195" s="12" t="b">
        <v>1</v>
      </c>
      <c r="AB195" s="12" t="b">
        <v>1</v>
      </c>
      <c r="AC195" s="12" t="b">
        <v>1</v>
      </c>
      <c r="AD195" s="12" t="b">
        <v>1</v>
      </c>
      <c r="AE195" s="12" t="b">
        <v>0</v>
      </c>
      <c r="AF195" s="12" t="b">
        <v>0</v>
      </c>
      <c r="AG195" s="12" t="b">
        <v>0</v>
      </c>
      <c r="AH195" s="12">
        <v>100</v>
      </c>
      <c r="AI195" s="12" t="b">
        <v>0</v>
      </c>
      <c r="AJ195" s="12" t="b">
        <v>0</v>
      </c>
      <c r="AK195" s="12" t="b">
        <v>1</v>
      </c>
      <c r="AL195" s="12">
        <v>1</v>
      </c>
      <c r="AM195" s="12" t="s">
        <v>978</v>
      </c>
      <c r="AN195" s="12">
        <v>1</v>
      </c>
    </row>
    <row r="196" spans="1:40" x14ac:dyDescent="0.3">
      <c r="A196" s="62" t="s">
        <v>1548</v>
      </c>
      <c r="B196" s="62"/>
      <c r="C196" s="63"/>
      <c r="D196" s="63"/>
      <c r="E196" s="12" t="s">
        <v>1034</v>
      </c>
      <c r="F196" s="12" t="s">
        <v>1311</v>
      </c>
      <c r="G196" s="12" t="b">
        <v>0</v>
      </c>
      <c r="H196" s="12" t="b">
        <v>0</v>
      </c>
      <c r="I196" s="12" t="b">
        <v>0</v>
      </c>
      <c r="J196" s="12" t="b">
        <v>0</v>
      </c>
      <c r="K196" s="12" t="b">
        <v>1</v>
      </c>
      <c r="L196" s="12" t="b">
        <v>1</v>
      </c>
      <c r="M196" s="12" t="b">
        <v>0</v>
      </c>
      <c r="N196" s="12">
        <v>0</v>
      </c>
      <c r="O196" s="12" t="b">
        <v>0</v>
      </c>
      <c r="P196" s="12" t="b">
        <v>0</v>
      </c>
      <c r="Q196" s="12" t="b">
        <v>0</v>
      </c>
      <c r="R196" s="12" t="b">
        <v>0</v>
      </c>
      <c r="S196" s="12" t="b">
        <v>0</v>
      </c>
      <c r="T196" s="12" t="b">
        <v>0</v>
      </c>
      <c r="U196" s="12" t="b">
        <v>0</v>
      </c>
      <c r="V196" s="12" t="b">
        <v>0</v>
      </c>
      <c r="W196" s="12" t="b">
        <v>0</v>
      </c>
      <c r="X196" s="12">
        <v>100</v>
      </c>
      <c r="Y196" s="12" t="b">
        <v>0</v>
      </c>
      <c r="Z196" s="12" t="b">
        <v>0</v>
      </c>
      <c r="AA196" s="12" t="b">
        <v>1</v>
      </c>
      <c r="AB196" s="12" t="b">
        <v>1</v>
      </c>
      <c r="AC196" s="12" t="b">
        <v>1</v>
      </c>
      <c r="AD196" s="12" t="b">
        <v>1</v>
      </c>
      <c r="AE196" s="12" t="b">
        <v>0</v>
      </c>
      <c r="AF196" s="12" t="b">
        <v>0</v>
      </c>
      <c r="AG196" s="12" t="b">
        <v>0</v>
      </c>
      <c r="AH196" s="12">
        <v>100</v>
      </c>
      <c r="AI196" s="12" t="b">
        <v>0</v>
      </c>
      <c r="AJ196" s="12" t="b">
        <v>0</v>
      </c>
      <c r="AK196" s="12" t="b">
        <v>1</v>
      </c>
      <c r="AL196" s="12">
        <v>0</v>
      </c>
      <c r="AM196" s="12" t="s">
        <v>51</v>
      </c>
      <c r="AN196" s="12">
        <v>0</v>
      </c>
    </row>
    <row r="197" spans="1:40" x14ac:dyDescent="0.3">
      <c r="A197" s="62" t="s">
        <v>1548</v>
      </c>
      <c r="B197" s="62"/>
      <c r="C197" s="63"/>
      <c r="D197" s="63"/>
      <c r="E197" s="12" t="s">
        <v>1312</v>
      </c>
      <c r="F197" s="12" t="s">
        <v>1313</v>
      </c>
      <c r="G197" s="12" t="b">
        <v>0</v>
      </c>
      <c r="H197" s="12" t="b">
        <v>0</v>
      </c>
      <c r="I197" s="12" t="b">
        <v>0</v>
      </c>
      <c r="J197" s="12" t="b">
        <v>0</v>
      </c>
      <c r="K197" s="12" t="b">
        <v>1</v>
      </c>
      <c r="L197" s="12" t="b">
        <v>1</v>
      </c>
      <c r="M197" s="12" t="b">
        <v>0</v>
      </c>
      <c r="N197" s="12">
        <v>0</v>
      </c>
      <c r="O197" s="12" t="b">
        <v>0</v>
      </c>
      <c r="P197" s="12" t="b">
        <v>0</v>
      </c>
      <c r="Q197" s="12" t="b">
        <v>0</v>
      </c>
      <c r="R197" s="12" t="b">
        <v>0</v>
      </c>
      <c r="S197" s="12" t="b">
        <v>0</v>
      </c>
      <c r="T197" s="12" t="b">
        <v>0</v>
      </c>
      <c r="U197" s="12" t="b">
        <v>0</v>
      </c>
      <c r="V197" s="12" t="b">
        <v>0</v>
      </c>
      <c r="W197" s="12" t="b">
        <v>0</v>
      </c>
      <c r="X197" s="12">
        <v>100</v>
      </c>
      <c r="Y197" s="12" t="b">
        <v>0</v>
      </c>
      <c r="Z197" s="12" t="b">
        <v>0</v>
      </c>
      <c r="AA197" s="12" t="b">
        <v>0</v>
      </c>
      <c r="AB197" s="12" t="b">
        <v>1</v>
      </c>
      <c r="AC197" s="12" t="b">
        <v>1</v>
      </c>
      <c r="AD197" s="12" t="b">
        <v>1</v>
      </c>
      <c r="AE197" s="12" t="b">
        <v>0</v>
      </c>
      <c r="AF197" s="12" t="b">
        <v>0</v>
      </c>
      <c r="AG197" s="12" t="b">
        <v>0</v>
      </c>
      <c r="AH197" s="12">
        <v>0</v>
      </c>
      <c r="AI197" s="12" t="b">
        <v>0</v>
      </c>
      <c r="AJ197" s="12" t="b">
        <v>0</v>
      </c>
      <c r="AK197" s="12" t="b">
        <v>1</v>
      </c>
      <c r="AL197" s="12">
        <v>0</v>
      </c>
      <c r="AM197" s="12" t="s">
        <v>51</v>
      </c>
      <c r="AN197" s="12">
        <v>0</v>
      </c>
    </row>
    <row r="198" spans="1:40" x14ac:dyDescent="0.3">
      <c r="A198" s="62" t="s">
        <v>2179</v>
      </c>
      <c r="B198" s="62"/>
      <c r="C198" s="63"/>
      <c r="D198" s="63"/>
      <c r="E198" s="12" t="s">
        <v>1001</v>
      </c>
      <c r="F198" s="12" t="s">
        <v>1189</v>
      </c>
      <c r="G198" s="12" t="b">
        <v>0</v>
      </c>
      <c r="H198" s="12" t="b">
        <v>1</v>
      </c>
      <c r="I198" s="12" t="b">
        <v>1</v>
      </c>
      <c r="J198" s="12" t="b">
        <v>1</v>
      </c>
      <c r="K198" s="12" t="b">
        <v>0</v>
      </c>
      <c r="L198" s="12" t="b">
        <v>1</v>
      </c>
      <c r="M198" s="12" t="b">
        <v>0</v>
      </c>
      <c r="N198" s="12">
        <v>0</v>
      </c>
      <c r="O198" s="12" t="b">
        <v>0</v>
      </c>
      <c r="P198" s="12" t="b">
        <v>0</v>
      </c>
      <c r="Q198" s="12" t="b">
        <v>0</v>
      </c>
      <c r="R198" s="12" t="b">
        <v>0</v>
      </c>
      <c r="S198" s="12" t="b">
        <v>0</v>
      </c>
      <c r="T198" s="12" t="b">
        <v>1</v>
      </c>
      <c r="U198" s="12" t="b">
        <v>0</v>
      </c>
      <c r="V198" s="12" t="b">
        <v>1</v>
      </c>
      <c r="W198" s="12" t="b">
        <v>0</v>
      </c>
      <c r="X198" s="12">
        <v>1</v>
      </c>
      <c r="Y198" s="12" t="b">
        <v>0</v>
      </c>
      <c r="Z198" s="12" t="b">
        <v>0</v>
      </c>
      <c r="AA198" s="12" t="b">
        <v>1</v>
      </c>
      <c r="AB198" s="12" t="b">
        <v>1</v>
      </c>
      <c r="AC198" s="12" t="b">
        <v>1</v>
      </c>
      <c r="AD198" s="12" t="b">
        <v>1</v>
      </c>
      <c r="AE198" s="12" t="b">
        <v>0</v>
      </c>
      <c r="AF198" s="12" t="b">
        <v>0</v>
      </c>
      <c r="AG198" s="12" t="b">
        <v>0</v>
      </c>
      <c r="AH198" s="12">
        <v>0</v>
      </c>
      <c r="AI198" s="12" t="b">
        <v>0</v>
      </c>
      <c r="AJ198" s="12" t="b">
        <v>0</v>
      </c>
      <c r="AK198" s="12" t="b">
        <v>1</v>
      </c>
      <c r="AL198" s="12">
        <v>0</v>
      </c>
      <c r="AM198" s="12" t="s">
        <v>900</v>
      </c>
      <c r="AN198" s="12">
        <v>0</v>
      </c>
    </row>
    <row r="199" spans="1:40" x14ac:dyDescent="0.3">
      <c r="A199" s="62" t="s">
        <v>2179</v>
      </c>
      <c r="B199" s="62"/>
      <c r="C199" s="63"/>
      <c r="D199" s="63"/>
      <c r="E199" s="12" t="s">
        <v>2001</v>
      </c>
      <c r="F199" s="12" t="s">
        <v>1198</v>
      </c>
      <c r="G199" s="12" t="b">
        <v>0</v>
      </c>
      <c r="H199" s="12" t="b">
        <v>0</v>
      </c>
      <c r="I199" s="12" t="b">
        <v>0</v>
      </c>
      <c r="J199" s="12" t="b">
        <v>1</v>
      </c>
      <c r="K199" s="12" t="b">
        <v>0</v>
      </c>
      <c r="L199" s="12" t="b">
        <v>1</v>
      </c>
      <c r="M199" s="12" t="b">
        <v>0</v>
      </c>
      <c r="N199" s="12">
        <v>0</v>
      </c>
      <c r="O199" s="12" t="b">
        <v>0</v>
      </c>
      <c r="P199" s="12" t="b">
        <v>0</v>
      </c>
      <c r="Q199" s="12" t="b">
        <v>0</v>
      </c>
      <c r="R199" s="12" t="b">
        <v>0</v>
      </c>
      <c r="S199" s="12" t="b">
        <v>0</v>
      </c>
      <c r="T199" s="12" t="b">
        <v>1</v>
      </c>
      <c r="U199" s="12" t="b">
        <v>0</v>
      </c>
      <c r="V199" s="12" t="b">
        <v>1</v>
      </c>
      <c r="W199" s="12" t="b">
        <v>0</v>
      </c>
      <c r="X199" s="12">
        <v>1</v>
      </c>
      <c r="Y199" s="12" t="b">
        <v>0</v>
      </c>
      <c r="Z199" s="12" t="b">
        <v>0</v>
      </c>
      <c r="AA199" s="12" t="b">
        <v>0</v>
      </c>
      <c r="AB199" s="12" t="b">
        <v>0</v>
      </c>
      <c r="AC199" s="12" t="b">
        <v>0</v>
      </c>
      <c r="AD199" s="12" t="b">
        <v>1</v>
      </c>
      <c r="AE199" s="12" t="b">
        <v>0</v>
      </c>
      <c r="AF199" s="12" t="b">
        <v>1</v>
      </c>
      <c r="AG199" s="12" t="b">
        <v>0</v>
      </c>
      <c r="AH199" s="12">
        <v>1</v>
      </c>
      <c r="AI199" s="12" t="b">
        <v>0</v>
      </c>
      <c r="AJ199" s="12" t="b">
        <v>0</v>
      </c>
      <c r="AK199" s="12" t="b">
        <v>1</v>
      </c>
      <c r="AL199" s="12">
        <v>0</v>
      </c>
      <c r="AM199" s="12" t="s">
        <v>922</v>
      </c>
      <c r="AN199" s="12">
        <v>0</v>
      </c>
    </row>
    <row r="200" spans="1:40" x14ac:dyDescent="0.3">
      <c r="A200" s="62" t="s">
        <v>2179</v>
      </c>
      <c r="B200" s="62"/>
      <c r="C200" s="63"/>
      <c r="D200" s="63"/>
      <c r="E200" s="12" t="s">
        <v>931</v>
      </c>
      <c r="F200" s="12" t="s">
        <v>1198</v>
      </c>
      <c r="G200" s="12" t="b">
        <v>0</v>
      </c>
      <c r="H200" s="12" t="b">
        <v>0</v>
      </c>
      <c r="I200" s="12" t="b">
        <v>0</v>
      </c>
      <c r="J200" s="12" t="b">
        <v>1</v>
      </c>
      <c r="K200" s="12" t="b">
        <v>0</v>
      </c>
      <c r="L200" s="12" t="b">
        <v>1</v>
      </c>
      <c r="M200" s="12" t="b">
        <v>0</v>
      </c>
      <c r="N200" s="12">
        <v>0</v>
      </c>
      <c r="O200" s="12" t="b">
        <v>0</v>
      </c>
      <c r="P200" s="12" t="b">
        <v>0</v>
      </c>
      <c r="Q200" s="12" t="b">
        <v>0</v>
      </c>
      <c r="R200" s="12" t="b">
        <v>0</v>
      </c>
      <c r="S200" s="12" t="b">
        <v>0</v>
      </c>
      <c r="T200" s="12" t="b">
        <v>1</v>
      </c>
      <c r="U200" s="12" t="b">
        <v>0</v>
      </c>
      <c r="V200" s="12" t="b">
        <v>1</v>
      </c>
      <c r="W200" s="12" t="b">
        <v>0</v>
      </c>
      <c r="X200" s="12">
        <v>1</v>
      </c>
      <c r="Y200" s="12" t="b">
        <v>0</v>
      </c>
      <c r="Z200" s="12" t="b">
        <v>0</v>
      </c>
      <c r="AA200" s="12" t="b">
        <v>0</v>
      </c>
      <c r="AB200" s="12" t="b">
        <v>0</v>
      </c>
      <c r="AC200" s="12" t="b">
        <v>0</v>
      </c>
      <c r="AD200" s="12" t="b">
        <v>1</v>
      </c>
      <c r="AE200" s="12" t="b">
        <v>0</v>
      </c>
      <c r="AF200" s="12" t="b">
        <v>1</v>
      </c>
      <c r="AG200" s="12" t="b">
        <v>0</v>
      </c>
      <c r="AH200" s="12">
        <v>1</v>
      </c>
      <c r="AI200" s="12" t="b">
        <v>0</v>
      </c>
      <c r="AJ200" s="12" t="b">
        <v>0</v>
      </c>
      <c r="AK200" s="12" t="b">
        <v>1</v>
      </c>
      <c r="AL200" s="12">
        <v>1</v>
      </c>
      <c r="AM200" s="12" t="s">
        <v>922</v>
      </c>
      <c r="AN200" s="12">
        <v>1</v>
      </c>
    </row>
    <row r="201" spans="1:40" x14ac:dyDescent="0.3">
      <c r="A201" s="62" t="s">
        <v>2179</v>
      </c>
      <c r="B201" s="62"/>
      <c r="C201" s="63"/>
      <c r="D201" s="63"/>
      <c r="E201" s="12" t="s">
        <v>1586</v>
      </c>
      <c r="F201" s="12" t="s">
        <v>2046</v>
      </c>
      <c r="G201" s="12" t="b">
        <v>0</v>
      </c>
      <c r="H201" s="12" t="b">
        <v>1</v>
      </c>
      <c r="I201" s="12" t="b">
        <v>1</v>
      </c>
      <c r="J201" s="12" t="b">
        <v>1</v>
      </c>
      <c r="K201" s="12" t="b">
        <v>0</v>
      </c>
      <c r="L201" s="12" t="b">
        <v>0</v>
      </c>
      <c r="M201" s="12" t="b">
        <v>0</v>
      </c>
      <c r="N201" s="12">
        <v>0</v>
      </c>
      <c r="O201" s="12" t="b">
        <v>0</v>
      </c>
      <c r="P201" s="12" t="b">
        <v>0</v>
      </c>
      <c r="Q201" s="12" t="b">
        <v>0</v>
      </c>
      <c r="R201" s="12" t="b">
        <v>1</v>
      </c>
      <c r="S201" s="12" t="b">
        <v>1</v>
      </c>
      <c r="T201" s="12" t="b">
        <v>1</v>
      </c>
      <c r="U201" s="12" t="b">
        <v>0</v>
      </c>
      <c r="V201" s="12" t="b">
        <v>0</v>
      </c>
      <c r="W201" s="12" t="b">
        <v>0</v>
      </c>
      <c r="X201" s="12">
        <v>1</v>
      </c>
      <c r="Y201" s="12" t="b">
        <v>0</v>
      </c>
      <c r="Z201" s="12" t="b">
        <v>0</v>
      </c>
      <c r="AA201" s="12" t="b">
        <v>0</v>
      </c>
      <c r="AB201" s="12" t="b">
        <v>0</v>
      </c>
      <c r="AC201" s="12" t="b">
        <v>0</v>
      </c>
      <c r="AD201" s="12" t="b">
        <v>1</v>
      </c>
      <c r="AE201" s="12" t="b">
        <v>0</v>
      </c>
      <c r="AF201" s="12" t="b">
        <v>1</v>
      </c>
      <c r="AG201" s="12" t="b">
        <v>0</v>
      </c>
      <c r="AH201" s="12">
        <v>1</v>
      </c>
      <c r="AI201" s="12" t="b">
        <v>0</v>
      </c>
      <c r="AJ201" s="12" t="b">
        <v>0</v>
      </c>
      <c r="AK201" s="12" t="b">
        <v>1</v>
      </c>
      <c r="AL201" s="12">
        <v>1</v>
      </c>
      <c r="AM201" s="12" t="s">
        <v>1476</v>
      </c>
      <c r="AN201" s="12">
        <v>1</v>
      </c>
    </row>
    <row r="202" spans="1:40" x14ac:dyDescent="0.3">
      <c r="A202" s="62" t="s">
        <v>2179</v>
      </c>
      <c r="B202" s="62"/>
      <c r="C202" s="63"/>
      <c r="D202" s="63"/>
      <c r="E202" s="12" t="s">
        <v>904</v>
      </c>
      <c r="F202" s="12" t="s">
        <v>1201</v>
      </c>
      <c r="G202" s="12" t="b">
        <v>0</v>
      </c>
      <c r="H202" s="12" t="b">
        <v>1</v>
      </c>
      <c r="I202" s="12" t="b">
        <v>1</v>
      </c>
      <c r="J202" s="12" t="b">
        <v>1</v>
      </c>
      <c r="K202" s="12" t="b">
        <v>0</v>
      </c>
      <c r="L202" s="12" t="b">
        <v>0</v>
      </c>
      <c r="M202" s="12" t="b">
        <v>0</v>
      </c>
      <c r="N202" s="12">
        <v>0</v>
      </c>
      <c r="O202" s="12" t="b">
        <v>0</v>
      </c>
      <c r="P202" s="12" t="b">
        <v>0</v>
      </c>
      <c r="Q202" s="12" t="b">
        <v>0</v>
      </c>
      <c r="R202" s="12" t="b">
        <v>1</v>
      </c>
      <c r="S202" s="12" t="b">
        <v>1</v>
      </c>
      <c r="T202" s="12" t="b">
        <v>1</v>
      </c>
      <c r="U202" s="12" t="b">
        <v>0</v>
      </c>
      <c r="V202" s="12" t="b">
        <v>0</v>
      </c>
      <c r="W202" s="12" t="b">
        <v>0</v>
      </c>
      <c r="X202" s="12">
        <v>1</v>
      </c>
      <c r="Y202" s="12" t="b">
        <v>0</v>
      </c>
      <c r="Z202" s="12" t="b">
        <v>0</v>
      </c>
      <c r="AA202" s="12" t="b">
        <v>0</v>
      </c>
      <c r="AB202" s="12" t="b">
        <v>0</v>
      </c>
      <c r="AC202" s="12" t="b">
        <v>0</v>
      </c>
      <c r="AD202" s="12" t="b">
        <v>1</v>
      </c>
      <c r="AE202" s="12" t="b">
        <v>0</v>
      </c>
      <c r="AF202" s="12" t="b">
        <v>1</v>
      </c>
      <c r="AG202" s="12" t="b">
        <v>0</v>
      </c>
      <c r="AH202" s="12">
        <v>1</v>
      </c>
      <c r="AI202" s="12" t="b">
        <v>0</v>
      </c>
      <c r="AJ202" s="12" t="b">
        <v>0</v>
      </c>
      <c r="AK202" s="12" t="b">
        <v>1</v>
      </c>
      <c r="AL202" s="12">
        <v>1</v>
      </c>
      <c r="AM202" s="12" t="s">
        <v>1476</v>
      </c>
      <c r="AN202" s="12">
        <v>1</v>
      </c>
    </row>
    <row r="203" spans="1:40" x14ac:dyDescent="0.3">
      <c r="A203" s="62" t="s">
        <v>2179</v>
      </c>
      <c r="B203" s="62"/>
      <c r="C203" s="63"/>
      <c r="D203" s="63"/>
      <c r="E203" s="12" t="s">
        <v>908</v>
      </c>
      <c r="F203" s="12" t="s">
        <v>1199</v>
      </c>
      <c r="G203" s="12" t="b">
        <v>0</v>
      </c>
      <c r="H203" s="12" t="b">
        <v>1</v>
      </c>
      <c r="I203" s="12" t="b">
        <v>1</v>
      </c>
      <c r="J203" s="12" t="b">
        <v>1</v>
      </c>
      <c r="K203" s="12" t="b">
        <v>0</v>
      </c>
      <c r="L203" s="12" t="b">
        <v>0</v>
      </c>
      <c r="M203" s="12" t="b">
        <v>0</v>
      </c>
      <c r="N203" s="12">
        <v>0</v>
      </c>
      <c r="O203" s="12" t="b">
        <v>0</v>
      </c>
      <c r="P203" s="12" t="b">
        <v>0</v>
      </c>
      <c r="Q203" s="12" t="b">
        <v>0</v>
      </c>
      <c r="R203" s="12" t="b">
        <v>1</v>
      </c>
      <c r="S203" s="12" t="b">
        <v>1</v>
      </c>
      <c r="T203" s="12" t="b">
        <v>1</v>
      </c>
      <c r="U203" s="12" t="b">
        <v>0</v>
      </c>
      <c r="V203" s="12" t="b">
        <v>0</v>
      </c>
      <c r="W203" s="12" t="b">
        <v>0</v>
      </c>
      <c r="X203" s="12">
        <v>1</v>
      </c>
      <c r="Y203" s="12" t="b">
        <v>0</v>
      </c>
      <c r="Z203" s="12" t="b">
        <v>0</v>
      </c>
      <c r="AA203" s="12" t="b">
        <v>0</v>
      </c>
      <c r="AB203" s="12" t="b">
        <v>0</v>
      </c>
      <c r="AC203" s="12" t="b">
        <v>0</v>
      </c>
      <c r="AD203" s="12" t="b">
        <v>1</v>
      </c>
      <c r="AE203" s="12" t="b">
        <v>0</v>
      </c>
      <c r="AF203" s="12" t="b">
        <v>1</v>
      </c>
      <c r="AG203" s="12" t="b">
        <v>0</v>
      </c>
      <c r="AH203" s="12">
        <v>1</v>
      </c>
      <c r="AI203" s="12" t="b">
        <v>0</v>
      </c>
      <c r="AJ203" s="12" t="b">
        <v>0</v>
      </c>
      <c r="AK203" s="12" t="b">
        <v>1</v>
      </c>
      <c r="AL203" s="12">
        <v>1</v>
      </c>
      <c r="AM203" s="12" t="s">
        <v>1476</v>
      </c>
      <c r="AN203" s="12">
        <v>1</v>
      </c>
    </row>
    <row r="204" spans="1:40" x14ac:dyDescent="0.3">
      <c r="A204" s="62" t="s">
        <v>2179</v>
      </c>
      <c r="B204" s="62"/>
      <c r="C204" s="63"/>
      <c r="D204" s="63"/>
      <c r="E204" s="12" t="s">
        <v>2047</v>
      </c>
      <c r="F204" s="12" t="s">
        <v>2048</v>
      </c>
      <c r="G204" s="12" t="b">
        <v>0</v>
      </c>
      <c r="H204" s="12" t="b">
        <v>1</v>
      </c>
      <c r="I204" s="12" t="b">
        <v>1</v>
      </c>
      <c r="J204" s="12" t="b">
        <v>1</v>
      </c>
      <c r="K204" s="12" t="b">
        <v>0</v>
      </c>
      <c r="L204" s="12" t="b">
        <v>0</v>
      </c>
      <c r="M204" s="12" t="b">
        <v>0</v>
      </c>
      <c r="N204" s="12">
        <v>0</v>
      </c>
      <c r="O204" s="12" t="b">
        <v>0</v>
      </c>
      <c r="P204" s="12" t="b">
        <v>0</v>
      </c>
      <c r="Q204" s="12" t="b">
        <v>0</v>
      </c>
      <c r="R204" s="12" t="b">
        <v>1</v>
      </c>
      <c r="S204" s="12" t="b">
        <v>1</v>
      </c>
      <c r="T204" s="12" t="b">
        <v>1</v>
      </c>
      <c r="U204" s="12" t="b">
        <v>0</v>
      </c>
      <c r="V204" s="12" t="b">
        <v>0</v>
      </c>
      <c r="W204" s="12" t="b">
        <v>0</v>
      </c>
      <c r="X204" s="12">
        <v>1</v>
      </c>
      <c r="Y204" s="12" t="b">
        <v>0</v>
      </c>
      <c r="Z204" s="12" t="b">
        <v>0</v>
      </c>
      <c r="AA204" s="12" t="b">
        <v>0</v>
      </c>
      <c r="AB204" s="12" t="b">
        <v>0</v>
      </c>
      <c r="AC204" s="12" t="b">
        <v>0</v>
      </c>
      <c r="AD204" s="12" t="b">
        <v>1</v>
      </c>
      <c r="AE204" s="12" t="b">
        <v>0</v>
      </c>
      <c r="AF204" s="12" t="b">
        <v>1</v>
      </c>
      <c r="AG204" s="12" t="b">
        <v>0</v>
      </c>
      <c r="AH204" s="12">
        <v>1</v>
      </c>
      <c r="AI204" s="12" t="b">
        <v>0</v>
      </c>
      <c r="AJ204" s="12" t="b">
        <v>0</v>
      </c>
      <c r="AK204" s="12" t="b">
        <v>1</v>
      </c>
      <c r="AL204" s="12">
        <v>1</v>
      </c>
      <c r="AM204" s="12" t="s">
        <v>1476</v>
      </c>
      <c r="AN204" s="12">
        <v>1</v>
      </c>
    </row>
    <row r="205" spans="1:40" x14ac:dyDescent="0.3">
      <c r="A205" s="62" t="s">
        <v>2179</v>
      </c>
      <c r="B205" s="62"/>
      <c r="C205" s="63"/>
      <c r="D205" s="63"/>
      <c r="E205" s="12" t="s">
        <v>1207</v>
      </c>
      <c r="F205" s="12" t="s">
        <v>1208</v>
      </c>
      <c r="G205" s="12" t="b">
        <v>0</v>
      </c>
      <c r="H205" s="12" t="b">
        <v>1</v>
      </c>
      <c r="I205" s="12" t="b">
        <v>1</v>
      </c>
      <c r="J205" s="12" t="b">
        <v>1</v>
      </c>
      <c r="K205" s="12" t="b">
        <v>0</v>
      </c>
      <c r="L205" s="12" t="b">
        <v>0</v>
      </c>
      <c r="M205" s="12" t="b">
        <v>0</v>
      </c>
      <c r="N205" s="12">
        <v>0</v>
      </c>
      <c r="O205" s="12" t="b">
        <v>0</v>
      </c>
      <c r="P205" s="12" t="b">
        <v>0</v>
      </c>
      <c r="Q205" s="12" t="b">
        <v>0</v>
      </c>
      <c r="R205" s="12" t="b">
        <v>0</v>
      </c>
      <c r="S205" s="12" t="b">
        <v>0</v>
      </c>
      <c r="T205" s="12" t="b">
        <v>1</v>
      </c>
      <c r="U205" s="12" t="b">
        <v>0</v>
      </c>
      <c r="V205" s="12" t="b">
        <v>1</v>
      </c>
      <c r="W205" s="12" t="b">
        <v>0</v>
      </c>
      <c r="X205" s="12">
        <v>1</v>
      </c>
      <c r="Y205" s="12" t="b">
        <v>0</v>
      </c>
      <c r="Z205" s="12" t="b">
        <v>0</v>
      </c>
      <c r="AA205" s="12" t="b">
        <v>1</v>
      </c>
      <c r="AB205" s="12" t="b">
        <v>1</v>
      </c>
      <c r="AC205" s="12" t="b">
        <v>1</v>
      </c>
      <c r="AD205" s="12" t="b">
        <v>1</v>
      </c>
      <c r="AE205" s="12" t="b">
        <v>0</v>
      </c>
      <c r="AF205" s="12" t="b">
        <v>0</v>
      </c>
      <c r="AG205" s="12" t="b">
        <v>0</v>
      </c>
      <c r="AH205" s="12">
        <v>0</v>
      </c>
      <c r="AI205" s="12" t="b">
        <v>0</v>
      </c>
      <c r="AJ205" s="12" t="b">
        <v>0</v>
      </c>
      <c r="AK205" s="12" t="b">
        <v>1</v>
      </c>
      <c r="AL205" s="12">
        <v>1</v>
      </c>
      <c r="AM205" s="12" t="s">
        <v>900</v>
      </c>
      <c r="AN205" s="12">
        <v>1</v>
      </c>
    </row>
    <row r="206" spans="1:40" x14ac:dyDescent="0.3">
      <c r="A206" s="62" t="s">
        <v>2179</v>
      </c>
      <c r="B206" s="62"/>
      <c r="C206" s="63"/>
      <c r="D206" s="63"/>
      <c r="E206" s="12" t="s">
        <v>1203</v>
      </c>
      <c r="F206" s="12" t="s">
        <v>1204</v>
      </c>
      <c r="G206" s="12" t="b">
        <v>0</v>
      </c>
      <c r="H206" s="12" t="b">
        <v>1</v>
      </c>
      <c r="I206" s="12" t="b">
        <v>1</v>
      </c>
      <c r="J206" s="12" t="b">
        <v>1</v>
      </c>
      <c r="K206" s="12" t="b">
        <v>0</v>
      </c>
      <c r="L206" s="12" t="b">
        <v>0</v>
      </c>
      <c r="M206" s="12" t="b">
        <v>0</v>
      </c>
      <c r="N206" s="12">
        <v>0</v>
      </c>
      <c r="O206" s="12" t="b">
        <v>0</v>
      </c>
      <c r="P206" s="12" t="b">
        <v>0</v>
      </c>
      <c r="Q206" s="12" t="b">
        <v>0</v>
      </c>
      <c r="R206" s="12" t="b">
        <v>0</v>
      </c>
      <c r="S206" s="12" t="b">
        <v>0</v>
      </c>
      <c r="T206" s="12" t="b">
        <v>1</v>
      </c>
      <c r="U206" s="12" t="b">
        <v>0</v>
      </c>
      <c r="V206" s="12" t="b">
        <v>1</v>
      </c>
      <c r="W206" s="12" t="b">
        <v>0</v>
      </c>
      <c r="X206" s="12">
        <v>1</v>
      </c>
      <c r="Y206" s="12" t="b">
        <v>0</v>
      </c>
      <c r="Z206" s="12" t="b">
        <v>0</v>
      </c>
      <c r="AA206" s="12" t="b">
        <v>1</v>
      </c>
      <c r="AB206" s="12" t="b">
        <v>1</v>
      </c>
      <c r="AC206" s="12" t="b">
        <v>1</v>
      </c>
      <c r="AD206" s="12" t="b">
        <v>1</v>
      </c>
      <c r="AE206" s="12" t="b">
        <v>0</v>
      </c>
      <c r="AF206" s="12" t="b">
        <v>0</v>
      </c>
      <c r="AG206" s="12" t="b">
        <v>0</v>
      </c>
      <c r="AH206" s="12">
        <v>0</v>
      </c>
      <c r="AI206" s="12" t="b">
        <v>0</v>
      </c>
      <c r="AJ206" s="12" t="b">
        <v>0</v>
      </c>
      <c r="AK206" s="12" t="b">
        <v>1</v>
      </c>
      <c r="AL206" s="12">
        <v>1</v>
      </c>
      <c r="AM206" s="12" t="s">
        <v>900</v>
      </c>
      <c r="AN206" s="12">
        <v>1</v>
      </c>
    </row>
    <row r="207" spans="1:40" x14ac:dyDescent="0.3">
      <c r="A207" s="62" t="s">
        <v>2179</v>
      </c>
      <c r="B207" s="132" t="s">
        <v>878</v>
      </c>
      <c r="C207" s="63"/>
      <c r="D207" s="63"/>
      <c r="E207" s="12" t="s">
        <v>2019</v>
      </c>
      <c r="F207" s="12" t="s">
        <v>2020</v>
      </c>
      <c r="G207" s="12" t="b">
        <v>0</v>
      </c>
      <c r="H207" s="12" t="b">
        <v>1</v>
      </c>
      <c r="I207" s="12" t="b">
        <v>1</v>
      </c>
      <c r="J207" s="12" t="b">
        <v>1</v>
      </c>
      <c r="K207" s="12" t="b">
        <v>0</v>
      </c>
      <c r="L207" s="12" t="b">
        <v>0</v>
      </c>
      <c r="M207" s="12" t="b">
        <v>0</v>
      </c>
      <c r="N207" s="12">
        <v>0</v>
      </c>
      <c r="O207" s="12" t="b">
        <v>0</v>
      </c>
      <c r="P207" s="12" t="b">
        <v>0</v>
      </c>
      <c r="Q207" s="12" t="b">
        <v>0</v>
      </c>
      <c r="R207" s="12" t="b">
        <v>0</v>
      </c>
      <c r="S207" s="12" t="b">
        <v>0</v>
      </c>
      <c r="T207" s="12" t="b">
        <v>0</v>
      </c>
      <c r="U207" s="12" t="b">
        <v>0</v>
      </c>
      <c r="V207" s="12" t="b">
        <v>0</v>
      </c>
      <c r="W207" s="12" t="b">
        <v>0</v>
      </c>
      <c r="X207" s="12">
        <v>1</v>
      </c>
      <c r="Y207" s="12" t="b">
        <v>0</v>
      </c>
      <c r="Z207" s="12" t="b">
        <v>0</v>
      </c>
      <c r="AA207" s="12" t="b">
        <v>1</v>
      </c>
      <c r="AB207" s="12" t="b">
        <v>1</v>
      </c>
      <c r="AC207" s="12" t="b">
        <v>1</v>
      </c>
      <c r="AD207" s="12" t="b">
        <v>1</v>
      </c>
      <c r="AE207" s="12" t="b">
        <v>0</v>
      </c>
      <c r="AF207" s="12" t="b">
        <v>0</v>
      </c>
      <c r="AG207" s="12" t="b">
        <v>0</v>
      </c>
      <c r="AH207" s="12">
        <v>0</v>
      </c>
      <c r="AI207" s="12" t="b">
        <v>0</v>
      </c>
      <c r="AJ207" s="12" t="b">
        <v>0</v>
      </c>
      <c r="AK207" s="12" t="b">
        <v>1</v>
      </c>
      <c r="AL207" s="12">
        <v>1</v>
      </c>
      <c r="AM207" s="12" t="s">
        <v>1476</v>
      </c>
      <c r="AN207" s="12">
        <v>1</v>
      </c>
    </row>
    <row r="208" spans="1:40" x14ac:dyDescent="0.3">
      <c r="A208" s="62" t="s">
        <v>2179</v>
      </c>
      <c r="B208" s="132" t="s">
        <v>878</v>
      </c>
      <c r="C208" s="63"/>
      <c r="D208" s="63"/>
      <c r="E208" s="12" t="s">
        <v>2021</v>
      </c>
      <c r="F208" s="12" t="s">
        <v>2022</v>
      </c>
      <c r="G208" s="12" t="b">
        <v>0</v>
      </c>
      <c r="H208" s="12" t="b">
        <v>1</v>
      </c>
      <c r="I208" s="12" t="b">
        <v>1</v>
      </c>
      <c r="J208" s="12" t="b">
        <v>1</v>
      </c>
      <c r="K208" s="12" t="b">
        <v>0</v>
      </c>
      <c r="L208" s="12" t="b">
        <v>0</v>
      </c>
      <c r="M208" s="12" t="b">
        <v>0</v>
      </c>
      <c r="N208" s="12">
        <v>0</v>
      </c>
      <c r="O208" s="12" t="b">
        <v>0</v>
      </c>
      <c r="P208" s="12" t="b">
        <v>0</v>
      </c>
      <c r="Q208" s="12" t="b">
        <v>0</v>
      </c>
      <c r="R208" s="12" t="b">
        <v>0</v>
      </c>
      <c r="S208" s="12" t="b">
        <v>0</v>
      </c>
      <c r="T208" s="12" t="b">
        <v>0</v>
      </c>
      <c r="U208" s="12" t="b">
        <v>0</v>
      </c>
      <c r="V208" s="12" t="b">
        <v>0</v>
      </c>
      <c r="W208" s="12" t="b">
        <v>0</v>
      </c>
      <c r="X208" s="12">
        <v>1</v>
      </c>
      <c r="Y208" s="12" t="b">
        <v>0</v>
      </c>
      <c r="Z208" s="12" t="b">
        <v>0</v>
      </c>
      <c r="AA208" s="12" t="b">
        <v>1</v>
      </c>
      <c r="AB208" s="12" t="b">
        <v>1</v>
      </c>
      <c r="AC208" s="12" t="b">
        <v>1</v>
      </c>
      <c r="AD208" s="12" t="b">
        <v>1</v>
      </c>
      <c r="AE208" s="12" t="b">
        <v>0</v>
      </c>
      <c r="AF208" s="12" t="b">
        <v>0</v>
      </c>
      <c r="AG208" s="12" t="b">
        <v>0</v>
      </c>
      <c r="AH208" s="12">
        <v>0</v>
      </c>
      <c r="AI208" s="12" t="b">
        <v>0</v>
      </c>
      <c r="AJ208" s="12" t="b">
        <v>0</v>
      </c>
      <c r="AK208" s="12" t="b">
        <v>1</v>
      </c>
      <c r="AL208" s="12">
        <v>1</v>
      </c>
      <c r="AM208" s="12" t="s">
        <v>1476</v>
      </c>
      <c r="AN208" s="12">
        <v>1</v>
      </c>
    </row>
    <row r="209" spans="1:40" x14ac:dyDescent="0.3">
      <c r="A209" s="62" t="s">
        <v>2179</v>
      </c>
      <c r="B209" s="132" t="s">
        <v>1014</v>
      </c>
      <c r="C209" s="63"/>
      <c r="D209" s="63"/>
      <c r="E209" s="12" t="s">
        <v>2023</v>
      </c>
      <c r="F209" s="12" t="s">
        <v>2024</v>
      </c>
      <c r="G209" s="12" t="b">
        <v>0</v>
      </c>
      <c r="H209" s="12" t="b">
        <v>1</v>
      </c>
      <c r="I209" s="12" t="b">
        <v>1</v>
      </c>
      <c r="J209" s="12" t="b">
        <v>1</v>
      </c>
      <c r="K209" s="12" t="b">
        <v>0</v>
      </c>
      <c r="L209" s="12" t="b">
        <v>0</v>
      </c>
      <c r="M209" s="12" t="b">
        <v>0</v>
      </c>
      <c r="N209" s="12">
        <v>0</v>
      </c>
      <c r="O209" s="12" t="b">
        <v>0</v>
      </c>
      <c r="P209" s="12" t="b">
        <v>0</v>
      </c>
      <c r="Q209" s="12" t="b">
        <v>0</v>
      </c>
      <c r="R209" s="12" t="b">
        <v>0</v>
      </c>
      <c r="S209" s="12" t="b">
        <v>0</v>
      </c>
      <c r="T209" s="12" t="b">
        <v>0</v>
      </c>
      <c r="U209" s="12" t="b">
        <v>0</v>
      </c>
      <c r="V209" s="12" t="b">
        <v>0</v>
      </c>
      <c r="W209" s="12" t="b">
        <v>0</v>
      </c>
      <c r="X209" s="12">
        <v>1</v>
      </c>
      <c r="Y209" s="12" t="b">
        <v>0</v>
      </c>
      <c r="Z209" s="12" t="b">
        <v>0</v>
      </c>
      <c r="AA209" s="12" t="b">
        <v>1</v>
      </c>
      <c r="AB209" s="12" t="b">
        <v>1</v>
      </c>
      <c r="AC209" s="12" t="b">
        <v>1</v>
      </c>
      <c r="AD209" s="12" t="b">
        <v>1</v>
      </c>
      <c r="AE209" s="12" t="b">
        <v>0</v>
      </c>
      <c r="AF209" s="12" t="b">
        <v>0</v>
      </c>
      <c r="AG209" s="12" t="b">
        <v>0</v>
      </c>
      <c r="AH209" s="12">
        <v>0</v>
      </c>
      <c r="AI209" s="12" t="b">
        <v>0</v>
      </c>
      <c r="AJ209" s="12" t="b">
        <v>0</v>
      </c>
      <c r="AK209" s="12" t="b">
        <v>1</v>
      </c>
      <c r="AL209" s="12">
        <v>1</v>
      </c>
      <c r="AM209" s="12" t="s">
        <v>1476</v>
      </c>
      <c r="AN209" s="12">
        <v>1</v>
      </c>
    </row>
    <row r="210" spans="1:40" x14ac:dyDescent="0.3">
      <c r="A210" s="62" t="s">
        <v>2179</v>
      </c>
      <c r="B210" s="132" t="s">
        <v>1014</v>
      </c>
      <c r="C210" s="63"/>
      <c r="D210" s="63"/>
      <c r="E210" s="12" t="s">
        <v>2025</v>
      </c>
      <c r="F210" s="12" t="s">
        <v>2026</v>
      </c>
      <c r="G210" s="12" t="b">
        <v>0</v>
      </c>
      <c r="H210" s="12" t="b">
        <v>1</v>
      </c>
      <c r="I210" s="12" t="b">
        <v>1</v>
      </c>
      <c r="J210" s="12" t="b">
        <v>1</v>
      </c>
      <c r="K210" s="12" t="b">
        <v>0</v>
      </c>
      <c r="L210" s="12" t="b">
        <v>0</v>
      </c>
      <c r="M210" s="12" t="b">
        <v>0</v>
      </c>
      <c r="N210" s="12">
        <v>0</v>
      </c>
      <c r="O210" s="12" t="b">
        <v>0</v>
      </c>
      <c r="P210" s="12" t="b">
        <v>0</v>
      </c>
      <c r="Q210" s="12" t="b">
        <v>0</v>
      </c>
      <c r="R210" s="12" t="b">
        <v>0</v>
      </c>
      <c r="S210" s="12" t="b">
        <v>0</v>
      </c>
      <c r="T210" s="12" t="b">
        <v>0</v>
      </c>
      <c r="U210" s="12" t="b">
        <v>0</v>
      </c>
      <c r="V210" s="12" t="b">
        <v>0</v>
      </c>
      <c r="W210" s="12" t="b">
        <v>0</v>
      </c>
      <c r="X210" s="12">
        <v>1</v>
      </c>
      <c r="Y210" s="12" t="b">
        <v>0</v>
      </c>
      <c r="Z210" s="12" t="b">
        <v>0</v>
      </c>
      <c r="AA210" s="12" t="b">
        <v>1</v>
      </c>
      <c r="AB210" s="12" t="b">
        <v>1</v>
      </c>
      <c r="AC210" s="12" t="b">
        <v>1</v>
      </c>
      <c r="AD210" s="12" t="b">
        <v>1</v>
      </c>
      <c r="AE210" s="12" t="b">
        <v>0</v>
      </c>
      <c r="AF210" s="12" t="b">
        <v>0</v>
      </c>
      <c r="AG210" s="12" t="b">
        <v>0</v>
      </c>
      <c r="AH210" s="12">
        <v>0</v>
      </c>
      <c r="AI210" s="12" t="b">
        <v>0</v>
      </c>
      <c r="AJ210" s="12" t="b">
        <v>0</v>
      </c>
      <c r="AK210" s="12" t="b">
        <v>1</v>
      </c>
      <c r="AL210" s="12">
        <v>1</v>
      </c>
      <c r="AM210" s="12" t="s">
        <v>1476</v>
      </c>
      <c r="AN210" s="12">
        <v>1</v>
      </c>
    </row>
    <row r="211" spans="1:40" x14ac:dyDescent="0.3">
      <c r="A211" s="62" t="s">
        <v>2179</v>
      </c>
      <c r="B211" s="132" t="s">
        <v>1015</v>
      </c>
      <c r="C211" s="63"/>
      <c r="D211" s="63"/>
      <c r="E211" s="12" t="s">
        <v>2027</v>
      </c>
      <c r="F211" s="12" t="s">
        <v>2028</v>
      </c>
      <c r="G211" s="12" t="b">
        <v>0</v>
      </c>
      <c r="H211" s="12" t="b">
        <v>1</v>
      </c>
      <c r="I211" s="12" t="b">
        <v>1</v>
      </c>
      <c r="J211" s="12" t="b">
        <v>1</v>
      </c>
      <c r="K211" s="12" t="b">
        <v>0</v>
      </c>
      <c r="L211" s="12" t="b">
        <v>0</v>
      </c>
      <c r="M211" s="12" t="b">
        <v>0</v>
      </c>
      <c r="N211" s="12">
        <v>0</v>
      </c>
      <c r="O211" s="12" t="b">
        <v>0</v>
      </c>
      <c r="P211" s="12" t="b">
        <v>0</v>
      </c>
      <c r="Q211" s="12" t="b">
        <v>0</v>
      </c>
      <c r="R211" s="12" t="b">
        <v>0</v>
      </c>
      <c r="S211" s="12" t="b">
        <v>0</v>
      </c>
      <c r="T211" s="12" t="b">
        <v>0</v>
      </c>
      <c r="U211" s="12" t="b">
        <v>0</v>
      </c>
      <c r="V211" s="12" t="b">
        <v>0</v>
      </c>
      <c r="W211" s="12" t="b">
        <v>0</v>
      </c>
      <c r="X211" s="12">
        <v>1</v>
      </c>
      <c r="Y211" s="12" t="b">
        <v>0</v>
      </c>
      <c r="Z211" s="12" t="b">
        <v>0</v>
      </c>
      <c r="AA211" s="12" t="b">
        <v>1</v>
      </c>
      <c r="AB211" s="12" t="b">
        <v>1</v>
      </c>
      <c r="AC211" s="12" t="b">
        <v>1</v>
      </c>
      <c r="AD211" s="12" t="b">
        <v>1</v>
      </c>
      <c r="AE211" s="12" t="b">
        <v>0</v>
      </c>
      <c r="AF211" s="12" t="b">
        <v>0</v>
      </c>
      <c r="AG211" s="12" t="b">
        <v>0</v>
      </c>
      <c r="AH211" s="12">
        <v>0</v>
      </c>
      <c r="AI211" s="12" t="b">
        <v>0</v>
      </c>
      <c r="AJ211" s="12" t="b">
        <v>0</v>
      </c>
      <c r="AK211" s="12" t="b">
        <v>1</v>
      </c>
      <c r="AL211" s="12">
        <v>1</v>
      </c>
      <c r="AM211" s="12" t="s">
        <v>1476</v>
      </c>
      <c r="AN211" s="12">
        <v>1</v>
      </c>
    </row>
    <row r="212" spans="1:40" x14ac:dyDescent="0.3">
      <c r="A212" s="62" t="s">
        <v>2179</v>
      </c>
      <c r="B212" s="132" t="s">
        <v>1015</v>
      </c>
      <c r="C212" s="63"/>
      <c r="D212" s="63"/>
      <c r="E212" s="12" t="s">
        <v>2029</v>
      </c>
      <c r="F212" s="12" t="s">
        <v>2030</v>
      </c>
      <c r="G212" s="12" t="b">
        <v>0</v>
      </c>
      <c r="H212" s="12" t="b">
        <v>1</v>
      </c>
      <c r="I212" s="12" t="b">
        <v>1</v>
      </c>
      <c r="J212" s="12" t="b">
        <v>1</v>
      </c>
      <c r="K212" s="12" t="b">
        <v>0</v>
      </c>
      <c r="L212" s="12" t="b">
        <v>0</v>
      </c>
      <c r="M212" s="12" t="b">
        <v>0</v>
      </c>
      <c r="N212" s="12">
        <v>0</v>
      </c>
      <c r="O212" s="12" t="b">
        <v>0</v>
      </c>
      <c r="P212" s="12" t="b">
        <v>0</v>
      </c>
      <c r="Q212" s="12" t="b">
        <v>0</v>
      </c>
      <c r="R212" s="12" t="b">
        <v>0</v>
      </c>
      <c r="S212" s="12" t="b">
        <v>0</v>
      </c>
      <c r="T212" s="12" t="b">
        <v>0</v>
      </c>
      <c r="U212" s="12" t="b">
        <v>0</v>
      </c>
      <c r="V212" s="12" t="b">
        <v>0</v>
      </c>
      <c r="W212" s="12" t="b">
        <v>0</v>
      </c>
      <c r="X212" s="12">
        <v>1</v>
      </c>
      <c r="Y212" s="12" t="b">
        <v>0</v>
      </c>
      <c r="Z212" s="12" t="b">
        <v>0</v>
      </c>
      <c r="AA212" s="12" t="b">
        <v>1</v>
      </c>
      <c r="AB212" s="12" t="b">
        <v>1</v>
      </c>
      <c r="AC212" s="12" t="b">
        <v>1</v>
      </c>
      <c r="AD212" s="12" t="b">
        <v>1</v>
      </c>
      <c r="AE212" s="12" t="b">
        <v>0</v>
      </c>
      <c r="AF212" s="12" t="b">
        <v>0</v>
      </c>
      <c r="AG212" s="12" t="b">
        <v>0</v>
      </c>
      <c r="AH212" s="12">
        <v>0</v>
      </c>
      <c r="AI212" s="12" t="b">
        <v>0</v>
      </c>
      <c r="AJ212" s="12" t="b">
        <v>0</v>
      </c>
      <c r="AK212" s="12" t="b">
        <v>1</v>
      </c>
      <c r="AL212" s="12">
        <v>1</v>
      </c>
      <c r="AM212" s="12" t="s">
        <v>1476</v>
      </c>
      <c r="AN212" s="12">
        <v>1</v>
      </c>
    </row>
    <row r="213" spans="1:40" x14ac:dyDescent="0.3">
      <c r="A213" s="62" t="s">
        <v>2179</v>
      </c>
      <c r="B213" s="132" t="s">
        <v>1016</v>
      </c>
      <c r="C213" s="63"/>
      <c r="D213" s="63"/>
      <c r="E213" s="12" t="s">
        <v>2031</v>
      </c>
      <c r="F213" s="12" t="s">
        <v>2032</v>
      </c>
      <c r="G213" s="12" t="b">
        <v>0</v>
      </c>
      <c r="H213" s="12" t="b">
        <v>1</v>
      </c>
      <c r="I213" s="12" t="b">
        <v>1</v>
      </c>
      <c r="J213" s="12" t="b">
        <v>1</v>
      </c>
      <c r="K213" s="12" t="b">
        <v>0</v>
      </c>
      <c r="L213" s="12" t="b">
        <v>0</v>
      </c>
      <c r="M213" s="12" t="b">
        <v>0</v>
      </c>
      <c r="N213" s="12">
        <v>0</v>
      </c>
      <c r="O213" s="12" t="b">
        <v>0</v>
      </c>
      <c r="P213" s="12" t="b">
        <v>0</v>
      </c>
      <c r="Q213" s="12" t="b">
        <v>0</v>
      </c>
      <c r="R213" s="12" t="b">
        <v>0</v>
      </c>
      <c r="S213" s="12" t="b">
        <v>0</v>
      </c>
      <c r="T213" s="12" t="b">
        <v>0</v>
      </c>
      <c r="U213" s="12" t="b">
        <v>0</v>
      </c>
      <c r="V213" s="12" t="b">
        <v>0</v>
      </c>
      <c r="W213" s="12" t="b">
        <v>0</v>
      </c>
      <c r="X213" s="12">
        <v>1</v>
      </c>
      <c r="Y213" s="12" t="b">
        <v>0</v>
      </c>
      <c r="Z213" s="12" t="b">
        <v>0</v>
      </c>
      <c r="AA213" s="12" t="b">
        <v>1</v>
      </c>
      <c r="AB213" s="12" t="b">
        <v>1</v>
      </c>
      <c r="AC213" s="12" t="b">
        <v>1</v>
      </c>
      <c r="AD213" s="12" t="b">
        <v>1</v>
      </c>
      <c r="AE213" s="12" t="b">
        <v>0</v>
      </c>
      <c r="AF213" s="12" t="b">
        <v>0</v>
      </c>
      <c r="AG213" s="12" t="b">
        <v>0</v>
      </c>
      <c r="AH213" s="12">
        <v>0</v>
      </c>
      <c r="AI213" s="12" t="b">
        <v>0</v>
      </c>
      <c r="AJ213" s="12" t="b">
        <v>0</v>
      </c>
      <c r="AK213" s="12" t="b">
        <v>1</v>
      </c>
      <c r="AL213" s="12">
        <v>1</v>
      </c>
      <c r="AM213" s="12" t="s">
        <v>1476</v>
      </c>
      <c r="AN213" s="12">
        <v>1</v>
      </c>
    </row>
    <row r="214" spans="1:40" x14ac:dyDescent="0.3">
      <c r="A214" s="62" t="s">
        <v>2179</v>
      </c>
      <c r="B214" s="132" t="s">
        <v>1016</v>
      </c>
      <c r="C214" s="63"/>
      <c r="D214" s="63"/>
      <c r="E214" s="12" t="s">
        <v>2033</v>
      </c>
      <c r="F214" s="12" t="s">
        <v>2034</v>
      </c>
      <c r="G214" s="12" t="b">
        <v>0</v>
      </c>
      <c r="H214" s="12" t="b">
        <v>1</v>
      </c>
      <c r="I214" s="12" t="b">
        <v>1</v>
      </c>
      <c r="J214" s="12" t="b">
        <v>1</v>
      </c>
      <c r="K214" s="12" t="b">
        <v>0</v>
      </c>
      <c r="L214" s="12" t="b">
        <v>0</v>
      </c>
      <c r="M214" s="12" t="b">
        <v>0</v>
      </c>
      <c r="N214" s="12">
        <v>0</v>
      </c>
      <c r="O214" s="12" t="b">
        <v>0</v>
      </c>
      <c r="P214" s="12" t="b">
        <v>0</v>
      </c>
      <c r="Q214" s="12" t="b">
        <v>0</v>
      </c>
      <c r="R214" s="12" t="b">
        <v>0</v>
      </c>
      <c r="S214" s="12" t="b">
        <v>0</v>
      </c>
      <c r="T214" s="12" t="b">
        <v>0</v>
      </c>
      <c r="U214" s="12" t="b">
        <v>0</v>
      </c>
      <c r="V214" s="12" t="b">
        <v>0</v>
      </c>
      <c r="W214" s="12" t="b">
        <v>0</v>
      </c>
      <c r="X214" s="12">
        <v>1</v>
      </c>
      <c r="Y214" s="12" t="b">
        <v>0</v>
      </c>
      <c r="Z214" s="12" t="b">
        <v>0</v>
      </c>
      <c r="AA214" s="12" t="b">
        <v>1</v>
      </c>
      <c r="AB214" s="12" t="b">
        <v>1</v>
      </c>
      <c r="AC214" s="12" t="b">
        <v>1</v>
      </c>
      <c r="AD214" s="12" t="b">
        <v>1</v>
      </c>
      <c r="AE214" s="12" t="b">
        <v>0</v>
      </c>
      <c r="AF214" s="12" t="b">
        <v>0</v>
      </c>
      <c r="AG214" s="12" t="b">
        <v>0</v>
      </c>
      <c r="AH214" s="12">
        <v>0</v>
      </c>
      <c r="AI214" s="12" t="b">
        <v>0</v>
      </c>
      <c r="AJ214" s="12" t="b">
        <v>0</v>
      </c>
      <c r="AK214" s="12" t="b">
        <v>1</v>
      </c>
      <c r="AL214" s="12">
        <v>1</v>
      </c>
      <c r="AM214" s="12" t="s">
        <v>1476</v>
      </c>
      <c r="AN214" s="12">
        <v>1</v>
      </c>
    </row>
    <row r="215" spans="1:40" x14ac:dyDescent="0.3">
      <c r="A215" s="62" t="s">
        <v>2179</v>
      </c>
      <c r="B215" s="62"/>
      <c r="C215" s="63"/>
      <c r="D215" s="63"/>
      <c r="E215" s="12" t="s">
        <v>1527</v>
      </c>
      <c r="F215" s="12" t="s">
        <v>1571</v>
      </c>
      <c r="G215" s="12" t="b">
        <v>0</v>
      </c>
      <c r="H215" s="12" t="b">
        <v>1</v>
      </c>
      <c r="I215" s="12" t="b">
        <v>1</v>
      </c>
      <c r="J215" s="12" t="b">
        <v>1</v>
      </c>
      <c r="K215" s="12" t="b">
        <v>0</v>
      </c>
      <c r="L215" s="12" t="b">
        <v>0</v>
      </c>
      <c r="M215" s="12" t="b">
        <v>0</v>
      </c>
      <c r="N215" s="12">
        <v>0</v>
      </c>
      <c r="O215" s="12" t="b">
        <v>0</v>
      </c>
      <c r="P215" s="12" t="b">
        <v>0</v>
      </c>
      <c r="Q215" s="12" t="b">
        <v>0</v>
      </c>
      <c r="R215" s="12" t="b">
        <v>0</v>
      </c>
      <c r="S215" s="12" t="b">
        <v>0</v>
      </c>
      <c r="T215" s="12" t="b">
        <v>0</v>
      </c>
      <c r="U215" s="12" t="b">
        <v>0</v>
      </c>
      <c r="V215" s="12" t="b">
        <v>0</v>
      </c>
      <c r="W215" s="12" t="b">
        <v>0</v>
      </c>
      <c r="X215" s="12">
        <v>1</v>
      </c>
      <c r="Y215" s="12" t="b">
        <v>0</v>
      </c>
      <c r="Z215" s="12" t="b">
        <v>0</v>
      </c>
      <c r="AA215" s="12" t="b">
        <v>1</v>
      </c>
      <c r="AB215" s="12" t="b">
        <v>1</v>
      </c>
      <c r="AC215" s="12" t="b">
        <v>1</v>
      </c>
      <c r="AD215" s="12" t="b">
        <v>1</v>
      </c>
      <c r="AE215" s="12" t="b">
        <v>0</v>
      </c>
      <c r="AF215" s="12" t="b">
        <v>0</v>
      </c>
      <c r="AG215" s="12" t="b">
        <v>0</v>
      </c>
      <c r="AH215" s="12">
        <v>1</v>
      </c>
      <c r="AI215" s="12" t="b">
        <v>0</v>
      </c>
      <c r="AJ215" s="12" t="b">
        <v>0</v>
      </c>
      <c r="AK215" s="12" t="b">
        <v>1</v>
      </c>
      <c r="AL215" s="12">
        <v>0</v>
      </c>
      <c r="AM215" s="12" t="s">
        <v>922</v>
      </c>
      <c r="AN215" s="12">
        <v>0</v>
      </c>
    </row>
    <row r="216" spans="1:40" x14ac:dyDescent="0.3">
      <c r="A216" s="62" t="s">
        <v>2179</v>
      </c>
      <c r="B216" s="62"/>
      <c r="C216" s="63"/>
      <c r="D216" s="63"/>
      <c r="E216" s="12" t="s">
        <v>1276</v>
      </c>
      <c r="F216" s="12" t="s">
        <v>1277</v>
      </c>
      <c r="G216" s="12" t="b">
        <v>0</v>
      </c>
      <c r="H216" s="12" t="b">
        <v>0</v>
      </c>
      <c r="I216" s="12" t="b">
        <v>0</v>
      </c>
      <c r="J216" s="12" t="b">
        <v>1</v>
      </c>
      <c r="K216" s="12" t="b">
        <v>0</v>
      </c>
      <c r="L216" s="12" t="b">
        <v>1</v>
      </c>
      <c r="M216" s="12" t="b">
        <v>0</v>
      </c>
      <c r="N216" s="12">
        <v>0</v>
      </c>
      <c r="O216" s="12" t="b">
        <v>0</v>
      </c>
      <c r="P216" s="12" t="b">
        <v>0</v>
      </c>
      <c r="Q216" s="12" t="b">
        <v>0</v>
      </c>
      <c r="R216" s="12" t="b">
        <v>0</v>
      </c>
      <c r="S216" s="12" t="b">
        <v>0</v>
      </c>
      <c r="T216" s="12" t="b">
        <v>1</v>
      </c>
      <c r="U216" s="12" t="b">
        <v>0</v>
      </c>
      <c r="V216" s="12" t="b">
        <v>1</v>
      </c>
      <c r="W216" s="12" t="b">
        <v>0</v>
      </c>
      <c r="X216" s="12">
        <v>1</v>
      </c>
      <c r="Y216" s="12" t="b">
        <v>0</v>
      </c>
      <c r="Z216" s="12" t="b">
        <v>0</v>
      </c>
      <c r="AA216" s="12" t="b">
        <v>0</v>
      </c>
      <c r="AB216" s="12" t="b">
        <v>0</v>
      </c>
      <c r="AC216" s="12" t="b">
        <v>0</v>
      </c>
      <c r="AD216" s="12" t="b">
        <v>1</v>
      </c>
      <c r="AE216" s="12" t="b">
        <v>0</v>
      </c>
      <c r="AF216" s="12" t="b">
        <v>1</v>
      </c>
      <c r="AG216" s="12" t="b">
        <v>0</v>
      </c>
      <c r="AH216" s="12">
        <v>1</v>
      </c>
      <c r="AI216" s="12" t="b">
        <v>0</v>
      </c>
      <c r="AJ216" s="12" t="b">
        <v>0</v>
      </c>
      <c r="AK216" s="12" t="b">
        <v>1</v>
      </c>
      <c r="AL216" s="12">
        <v>0</v>
      </c>
      <c r="AM216" s="12" t="s">
        <v>922</v>
      </c>
      <c r="AN216" s="12">
        <v>0</v>
      </c>
    </row>
    <row r="217" spans="1:40" x14ac:dyDescent="0.3">
      <c r="A217" s="62" t="s">
        <v>2179</v>
      </c>
      <c r="B217" s="62"/>
      <c r="C217" s="63"/>
      <c r="D217" s="63"/>
      <c r="E217" s="12" t="s">
        <v>1278</v>
      </c>
      <c r="F217" s="12" t="s">
        <v>1279</v>
      </c>
      <c r="G217" s="12" t="b">
        <v>0</v>
      </c>
      <c r="H217" s="12" t="b">
        <v>0</v>
      </c>
      <c r="I217" s="12" t="b">
        <v>0</v>
      </c>
      <c r="J217" s="12" t="b">
        <v>1</v>
      </c>
      <c r="K217" s="12" t="b">
        <v>0</v>
      </c>
      <c r="L217" s="12" t="b">
        <v>1</v>
      </c>
      <c r="M217" s="12" t="b">
        <v>0</v>
      </c>
      <c r="N217" s="12">
        <v>0</v>
      </c>
      <c r="O217" s="12" t="b">
        <v>0</v>
      </c>
      <c r="P217" s="12" t="b">
        <v>0</v>
      </c>
      <c r="Q217" s="12" t="b">
        <v>0</v>
      </c>
      <c r="R217" s="12" t="b">
        <v>0</v>
      </c>
      <c r="S217" s="12" t="b">
        <v>0</v>
      </c>
      <c r="T217" s="12" t="b">
        <v>1</v>
      </c>
      <c r="U217" s="12" t="b">
        <v>0</v>
      </c>
      <c r="V217" s="12" t="b">
        <v>1</v>
      </c>
      <c r="W217" s="12" t="b">
        <v>0</v>
      </c>
      <c r="X217" s="12">
        <v>1</v>
      </c>
      <c r="Y217" s="12" t="b">
        <v>0</v>
      </c>
      <c r="Z217" s="12" t="b">
        <v>0</v>
      </c>
      <c r="AA217" s="12" t="b">
        <v>0</v>
      </c>
      <c r="AB217" s="12" t="b">
        <v>0</v>
      </c>
      <c r="AC217" s="12" t="b">
        <v>0</v>
      </c>
      <c r="AD217" s="12" t="b">
        <v>1</v>
      </c>
      <c r="AE217" s="12" t="b">
        <v>0</v>
      </c>
      <c r="AF217" s="12" t="b">
        <v>1</v>
      </c>
      <c r="AG217" s="12" t="b">
        <v>0</v>
      </c>
      <c r="AH217" s="12">
        <v>1</v>
      </c>
      <c r="AI217" s="12" t="b">
        <v>0</v>
      </c>
      <c r="AJ217" s="12" t="b">
        <v>0</v>
      </c>
      <c r="AK217" s="12" t="b">
        <v>1</v>
      </c>
      <c r="AL217" s="12">
        <v>0</v>
      </c>
      <c r="AM217" s="12" t="s">
        <v>922</v>
      </c>
      <c r="AN217" s="12">
        <v>0</v>
      </c>
    </row>
    <row r="218" spans="1:40" x14ac:dyDescent="0.3">
      <c r="A218" s="62" t="s">
        <v>2179</v>
      </c>
      <c r="B218" s="62"/>
      <c r="C218" s="63"/>
      <c r="D218" s="63"/>
      <c r="E218" s="12" t="s">
        <v>1280</v>
      </c>
      <c r="F218" s="12" t="s">
        <v>1281</v>
      </c>
      <c r="G218" s="12" t="b">
        <v>0</v>
      </c>
      <c r="H218" s="12" t="b">
        <v>0</v>
      </c>
      <c r="I218" s="12" t="b">
        <v>0</v>
      </c>
      <c r="J218" s="12" t="b">
        <v>1</v>
      </c>
      <c r="K218" s="12" t="b">
        <v>0</v>
      </c>
      <c r="L218" s="12" t="b">
        <v>1</v>
      </c>
      <c r="M218" s="12" t="b">
        <v>0</v>
      </c>
      <c r="N218" s="12">
        <v>0</v>
      </c>
      <c r="O218" s="12" t="b">
        <v>0</v>
      </c>
      <c r="P218" s="12" t="b">
        <v>0</v>
      </c>
      <c r="Q218" s="12" t="b">
        <v>0</v>
      </c>
      <c r="R218" s="12" t="b">
        <v>0</v>
      </c>
      <c r="S218" s="12" t="b">
        <v>0</v>
      </c>
      <c r="T218" s="12" t="b">
        <v>1</v>
      </c>
      <c r="U218" s="12" t="b">
        <v>0</v>
      </c>
      <c r="V218" s="12" t="b">
        <v>1</v>
      </c>
      <c r="W218" s="12" t="b">
        <v>0</v>
      </c>
      <c r="X218" s="12">
        <v>1</v>
      </c>
      <c r="Y218" s="12" t="b">
        <v>0</v>
      </c>
      <c r="Z218" s="12" t="b">
        <v>0</v>
      </c>
      <c r="AA218" s="12" t="b">
        <v>0</v>
      </c>
      <c r="AB218" s="12" t="b">
        <v>0</v>
      </c>
      <c r="AC218" s="12" t="b">
        <v>0</v>
      </c>
      <c r="AD218" s="12" t="b">
        <v>1</v>
      </c>
      <c r="AE218" s="12" t="b">
        <v>0</v>
      </c>
      <c r="AF218" s="12" t="b">
        <v>1</v>
      </c>
      <c r="AG218" s="12" t="b">
        <v>0</v>
      </c>
      <c r="AH218" s="12">
        <v>1</v>
      </c>
      <c r="AI218" s="12" t="b">
        <v>0</v>
      </c>
      <c r="AJ218" s="12" t="b">
        <v>0</v>
      </c>
      <c r="AK218" s="12" t="b">
        <v>1</v>
      </c>
      <c r="AL218" s="12">
        <v>0</v>
      </c>
      <c r="AM218" s="12" t="s">
        <v>922</v>
      </c>
      <c r="AN218" s="12">
        <v>0</v>
      </c>
    </row>
    <row r="219" spans="1:40" x14ac:dyDescent="0.3">
      <c r="A219" s="62" t="s">
        <v>2179</v>
      </c>
      <c r="B219" s="62"/>
      <c r="C219" s="63"/>
      <c r="D219" s="63"/>
      <c r="E219" s="12" t="s">
        <v>1229</v>
      </c>
      <c r="F219" s="12" t="s">
        <v>1230</v>
      </c>
      <c r="G219" s="12" t="b">
        <v>0</v>
      </c>
      <c r="H219" s="12" t="b">
        <v>1</v>
      </c>
      <c r="I219" s="12" t="b">
        <v>1</v>
      </c>
      <c r="J219" s="12" t="b">
        <v>1</v>
      </c>
      <c r="K219" s="12" t="b">
        <v>1</v>
      </c>
      <c r="L219" s="12" t="b">
        <v>1</v>
      </c>
      <c r="M219" s="12" t="b">
        <v>0</v>
      </c>
      <c r="N219" s="12">
        <v>0</v>
      </c>
      <c r="O219" s="12" t="b">
        <v>0</v>
      </c>
      <c r="P219" s="12" t="b">
        <v>0</v>
      </c>
      <c r="Q219" s="12" t="b">
        <v>0</v>
      </c>
      <c r="R219" s="12" t="b">
        <v>1</v>
      </c>
      <c r="S219" s="12" t="b">
        <v>1</v>
      </c>
      <c r="T219" s="12" t="b">
        <v>1</v>
      </c>
      <c r="U219" s="12" t="b">
        <v>0</v>
      </c>
      <c r="V219" s="12" t="b">
        <v>1</v>
      </c>
      <c r="W219" s="12" t="b">
        <v>0</v>
      </c>
      <c r="X219" s="12">
        <v>0</v>
      </c>
      <c r="Y219" s="12" t="b">
        <v>0</v>
      </c>
      <c r="Z219" s="12" t="b">
        <v>0</v>
      </c>
      <c r="AA219" s="12" t="b">
        <v>0</v>
      </c>
      <c r="AB219" s="12" t="b">
        <v>1</v>
      </c>
      <c r="AC219" s="12" t="b">
        <v>1</v>
      </c>
      <c r="AD219" s="12" t="b">
        <v>1</v>
      </c>
      <c r="AE219" s="12" t="b">
        <v>0</v>
      </c>
      <c r="AF219" s="12" t="b">
        <v>0</v>
      </c>
      <c r="AG219" s="12" t="b">
        <v>0</v>
      </c>
      <c r="AH219" s="12">
        <v>0</v>
      </c>
      <c r="AI219" s="12" t="b">
        <v>0</v>
      </c>
      <c r="AJ219" s="12" t="b">
        <v>0</v>
      </c>
      <c r="AK219" s="12" t="b">
        <v>1</v>
      </c>
      <c r="AL219" s="12">
        <v>0</v>
      </c>
      <c r="AM219" s="12" t="s">
        <v>51</v>
      </c>
      <c r="AN219" s="12">
        <v>0</v>
      </c>
    </row>
    <row r="220" spans="1:40" x14ac:dyDescent="0.3">
      <c r="A220" s="62" t="s">
        <v>2179</v>
      </c>
      <c r="B220" s="62"/>
      <c r="C220" s="63"/>
      <c r="D220" s="63"/>
      <c r="E220" s="12" t="s">
        <v>1219</v>
      </c>
      <c r="F220" s="12" t="s">
        <v>1220</v>
      </c>
      <c r="G220" s="12" t="b">
        <v>0</v>
      </c>
      <c r="H220" s="12" t="b">
        <v>1</v>
      </c>
      <c r="I220" s="12" t="b">
        <v>1</v>
      </c>
      <c r="J220" s="12" t="b">
        <v>1</v>
      </c>
      <c r="K220" s="12" t="b">
        <v>1</v>
      </c>
      <c r="L220" s="12" t="b">
        <v>1</v>
      </c>
      <c r="M220" s="12" t="b">
        <v>0</v>
      </c>
      <c r="N220" s="12">
        <v>0</v>
      </c>
      <c r="O220" s="12" t="b">
        <v>0</v>
      </c>
      <c r="P220" s="12" t="b">
        <v>0</v>
      </c>
      <c r="Q220" s="12" t="b">
        <v>0</v>
      </c>
      <c r="R220" s="12" t="b">
        <v>1</v>
      </c>
      <c r="S220" s="12" t="b">
        <v>1</v>
      </c>
      <c r="T220" s="12" t="b">
        <v>1</v>
      </c>
      <c r="U220" s="12" t="b">
        <v>0</v>
      </c>
      <c r="V220" s="12" t="b">
        <v>1</v>
      </c>
      <c r="W220" s="12" t="b">
        <v>0</v>
      </c>
      <c r="X220" s="12">
        <v>0</v>
      </c>
      <c r="Y220" s="12" t="b">
        <v>0</v>
      </c>
      <c r="Z220" s="12" t="b">
        <v>0</v>
      </c>
      <c r="AA220" s="12" t="b">
        <v>0</v>
      </c>
      <c r="AB220" s="12" t="b">
        <v>1</v>
      </c>
      <c r="AC220" s="12" t="b">
        <v>1</v>
      </c>
      <c r="AD220" s="12" t="b">
        <v>1</v>
      </c>
      <c r="AE220" s="12" t="b">
        <v>0</v>
      </c>
      <c r="AF220" s="12" t="b">
        <v>0</v>
      </c>
      <c r="AG220" s="12" t="b">
        <v>0</v>
      </c>
      <c r="AH220" s="12">
        <v>0</v>
      </c>
      <c r="AI220" s="12" t="b">
        <v>0</v>
      </c>
      <c r="AJ220" s="12" t="b">
        <v>0</v>
      </c>
      <c r="AK220" s="12" t="b">
        <v>1</v>
      </c>
      <c r="AL220" s="12">
        <v>0</v>
      </c>
      <c r="AM220" s="12" t="s">
        <v>51</v>
      </c>
      <c r="AN220" s="12">
        <v>0</v>
      </c>
    </row>
    <row r="221" spans="1:40" x14ac:dyDescent="0.3">
      <c r="A221" s="62" t="s">
        <v>2179</v>
      </c>
      <c r="B221" s="62"/>
      <c r="C221" s="63"/>
      <c r="D221" s="63"/>
      <c r="E221" s="12" t="s">
        <v>2093</v>
      </c>
      <c r="F221" s="12" t="s">
        <v>2097</v>
      </c>
      <c r="G221" s="12" t="b">
        <v>0</v>
      </c>
      <c r="H221" s="12" t="b">
        <v>1</v>
      </c>
      <c r="I221" s="12" t="b">
        <v>1</v>
      </c>
      <c r="J221" s="12" t="b">
        <v>1</v>
      </c>
      <c r="K221" s="12" t="b">
        <v>0</v>
      </c>
      <c r="L221" s="12" t="b">
        <v>0</v>
      </c>
      <c r="M221" s="12" t="b">
        <v>0</v>
      </c>
      <c r="N221" s="12">
        <v>0</v>
      </c>
      <c r="O221" s="12" t="b">
        <v>0</v>
      </c>
      <c r="P221" s="12" t="b">
        <v>0</v>
      </c>
      <c r="Q221" s="12" t="b">
        <v>0</v>
      </c>
      <c r="R221" s="12" t="b">
        <v>1</v>
      </c>
      <c r="S221" s="12" t="b">
        <v>1</v>
      </c>
      <c r="T221" s="12" t="b">
        <v>1</v>
      </c>
      <c r="U221" s="12" t="b">
        <v>0</v>
      </c>
      <c r="V221" s="12" t="b">
        <v>0</v>
      </c>
      <c r="W221" s="12" t="b">
        <v>0</v>
      </c>
      <c r="X221" s="12">
        <v>-1</v>
      </c>
      <c r="Y221" s="12" t="b">
        <v>0</v>
      </c>
      <c r="Z221" s="12" t="b">
        <v>0</v>
      </c>
      <c r="AA221" s="12" t="b">
        <v>0</v>
      </c>
      <c r="AB221" s="12" t="b">
        <v>0</v>
      </c>
      <c r="AC221" s="12" t="b">
        <v>0</v>
      </c>
      <c r="AD221" s="12" t="b">
        <v>1</v>
      </c>
      <c r="AE221" s="12" t="b">
        <v>0</v>
      </c>
      <c r="AF221" s="12" t="b">
        <v>1</v>
      </c>
      <c r="AG221" s="12" t="b">
        <v>0</v>
      </c>
      <c r="AH221" s="12">
        <v>1</v>
      </c>
      <c r="AI221" s="12" t="b">
        <v>0</v>
      </c>
      <c r="AJ221" s="12" t="b">
        <v>0</v>
      </c>
      <c r="AK221" s="12" t="b">
        <v>1</v>
      </c>
      <c r="AL221" s="12">
        <v>1</v>
      </c>
      <c r="AM221" s="12" t="s">
        <v>900</v>
      </c>
      <c r="AN221" s="12">
        <v>1</v>
      </c>
    </row>
    <row r="222" spans="1:40" x14ac:dyDescent="0.3">
      <c r="A222" s="62" t="s">
        <v>2179</v>
      </c>
      <c r="B222" s="62"/>
      <c r="C222" s="63"/>
      <c r="D222" s="63"/>
      <c r="E222" s="12" t="s">
        <v>1246</v>
      </c>
      <c r="F222" s="12" t="s">
        <v>1247</v>
      </c>
      <c r="G222" s="12" t="b">
        <v>0</v>
      </c>
      <c r="H222" s="12" t="b">
        <v>1</v>
      </c>
      <c r="I222" s="12" t="b">
        <v>1</v>
      </c>
      <c r="J222" s="12" t="b">
        <v>1</v>
      </c>
      <c r="K222" s="12" t="b">
        <v>0</v>
      </c>
      <c r="L222" s="12" t="b">
        <v>0</v>
      </c>
      <c r="M222" s="12" t="b">
        <v>0</v>
      </c>
      <c r="N222" s="12">
        <v>0</v>
      </c>
      <c r="O222" s="12" t="b">
        <v>0</v>
      </c>
      <c r="P222" s="12" t="b">
        <v>0</v>
      </c>
      <c r="Q222" s="12" t="b">
        <v>0</v>
      </c>
      <c r="R222" s="12" t="b">
        <v>1</v>
      </c>
      <c r="S222" s="12" t="b">
        <v>1</v>
      </c>
      <c r="T222" s="12" t="b">
        <v>1</v>
      </c>
      <c r="U222" s="12" t="b">
        <v>0</v>
      </c>
      <c r="V222" s="12" t="b">
        <v>1</v>
      </c>
      <c r="W222" s="12" t="b">
        <v>0</v>
      </c>
      <c r="X222" s="12">
        <v>0</v>
      </c>
      <c r="Y222" s="12" t="b">
        <v>0</v>
      </c>
      <c r="Z222" s="12" t="b">
        <v>0</v>
      </c>
      <c r="AA222" s="12" t="b">
        <v>1</v>
      </c>
      <c r="AB222" s="12" t="b">
        <v>1</v>
      </c>
      <c r="AC222" s="12" t="b">
        <v>1</v>
      </c>
      <c r="AD222" s="12" t="b">
        <v>1</v>
      </c>
      <c r="AE222" s="12" t="b">
        <v>0</v>
      </c>
      <c r="AF222" s="12" t="b">
        <v>0</v>
      </c>
      <c r="AG222" s="12" t="b">
        <v>0</v>
      </c>
      <c r="AH222" s="12">
        <v>100</v>
      </c>
      <c r="AI222" s="12" t="b">
        <v>0</v>
      </c>
      <c r="AJ222" s="12" t="b">
        <v>0</v>
      </c>
      <c r="AK222" s="12" t="b">
        <v>1</v>
      </c>
      <c r="AL222" s="12">
        <v>1</v>
      </c>
      <c r="AM222" s="12" t="s">
        <v>978</v>
      </c>
      <c r="AN222" s="12">
        <v>1</v>
      </c>
    </row>
    <row r="223" spans="1:40" x14ac:dyDescent="0.3">
      <c r="A223" s="62" t="s">
        <v>2179</v>
      </c>
      <c r="B223" s="62"/>
      <c r="C223" s="63"/>
      <c r="D223" s="63"/>
      <c r="E223" s="12" t="s">
        <v>1034</v>
      </c>
      <c r="F223" s="12" t="s">
        <v>1311</v>
      </c>
      <c r="G223" s="12" t="b">
        <v>0</v>
      </c>
      <c r="H223" s="12" t="b">
        <v>0</v>
      </c>
      <c r="I223" s="12" t="b">
        <v>0</v>
      </c>
      <c r="J223" s="12" t="b">
        <v>0</v>
      </c>
      <c r="K223" s="12" t="b">
        <v>1</v>
      </c>
      <c r="L223" s="12" t="b">
        <v>1</v>
      </c>
      <c r="M223" s="12" t="b">
        <v>0</v>
      </c>
      <c r="N223" s="12">
        <v>0</v>
      </c>
      <c r="O223" s="12" t="b">
        <v>0</v>
      </c>
      <c r="P223" s="12" t="b">
        <v>0</v>
      </c>
      <c r="Q223" s="12" t="b">
        <v>0</v>
      </c>
      <c r="R223" s="12" t="b">
        <v>0</v>
      </c>
      <c r="S223" s="12" t="b">
        <v>0</v>
      </c>
      <c r="T223" s="12" t="b">
        <v>0</v>
      </c>
      <c r="U223" s="12" t="b">
        <v>0</v>
      </c>
      <c r="V223" s="12" t="b">
        <v>0</v>
      </c>
      <c r="W223" s="12" t="b">
        <v>0</v>
      </c>
      <c r="X223" s="12">
        <v>100</v>
      </c>
      <c r="Y223" s="12" t="b">
        <v>0</v>
      </c>
      <c r="Z223" s="12" t="b">
        <v>0</v>
      </c>
      <c r="AA223" s="12" t="b">
        <v>1</v>
      </c>
      <c r="AB223" s="12" t="b">
        <v>1</v>
      </c>
      <c r="AC223" s="12" t="b">
        <v>1</v>
      </c>
      <c r="AD223" s="12" t="b">
        <v>1</v>
      </c>
      <c r="AE223" s="12" t="b">
        <v>0</v>
      </c>
      <c r="AF223" s="12" t="b">
        <v>0</v>
      </c>
      <c r="AG223" s="12" t="b">
        <v>0</v>
      </c>
      <c r="AH223" s="12">
        <v>100</v>
      </c>
      <c r="AI223" s="12" t="b">
        <v>0</v>
      </c>
      <c r="AJ223" s="12" t="b">
        <v>0</v>
      </c>
      <c r="AK223" s="12" t="b">
        <v>1</v>
      </c>
      <c r="AL223" s="12">
        <v>0</v>
      </c>
      <c r="AM223" s="12" t="s">
        <v>51</v>
      </c>
      <c r="AN223" s="12">
        <v>0</v>
      </c>
    </row>
    <row r="224" spans="1:40" x14ac:dyDescent="0.3">
      <c r="A224" s="62" t="s">
        <v>2179</v>
      </c>
      <c r="B224" s="62"/>
      <c r="C224" s="63"/>
      <c r="D224" s="63"/>
      <c r="E224" s="12" t="s">
        <v>1312</v>
      </c>
      <c r="F224" s="12" t="s">
        <v>1313</v>
      </c>
      <c r="G224" s="12" t="b">
        <v>0</v>
      </c>
      <c r="H224" s="12" t="b">
        <v>0</v>
      </c>
      <c r="I224" s="12" t="b">
        <v>0</v>
      </c>
      <c r="J224" s="12" t="b">
        <v>0</v>
      </c>
      <c r="K224" s="12" t="b">
        <v>1</v>
      </c>
      <c r="L224" s="12" t="b">
        <v>1</v>
      </c>
      <c r="M224" s="12" t="b">
        <v>0</v>
      </c>
      <c r="N224" s="12">
        <v>0</v>
      </c>
      <c r="O224" s="12" t="b">
        <v>0</v>
      </c>
      <c r="P224" s="12" t="b">
        <v>0</v>
      </c>
      <c r="Q224" s="12" t="b">
        <v>0</v>
      </c>
      <c r="R224" s="12" t="b">
        <v>0</v>
      </c>
      <c r="S224" s="12" t="b">
        <v>0</v>
      </c>
      <c r="T224" s="12" t="b">
        <v>0</v>
      </c>
      <c r="U224" s="12" t="b">
        <v>0</v>
      </c>
      <c r="V224" s="12" t="b">
        <v>0</v>
      </c>
      <c r="W224" s="12" t="b">
        <v>0</v>
      </c>
      <c r="X224" s="12">
        <v>100</v>
      </c>
      <c r="Y224" s="12" t="b">
        <v>0</v>
      </c>
      <c r="Z224" s="12" t="b">
        <v>0</v>
      </c>
      <c r="AA224" s="12" t="b">
        <v>0</v>
      </c>
      <c r="AB224" s="12" t="b">
        <v>1</v>
      </c>
      <c r="AC224" s="12" t="b">
        <v>1</v>
      </c>
      <c r="AD224" s="12" t="b">
        <v>1</v>
      </c>
      <c r="AE224" s="12" t="b">
        <v>0</v>
      </c>
      <c r="AF224" s="12" t="b">
        <v>0</v>
      </c>
      <c r="AG224" s="12" t="b">
        <v>0</v>
      </c>
      <c r="AH224" s="12">
        <v>0</v>
      </c>
      <c r="AI224" s="12" t="b">
        <v>0</v>
      </c>
      <c r="AJ224" s="12" t="b">
        <v>0</v>
      </c>
      <c r="AK224" s="12" t="b">
        <v>1</v>
      </c>
      <c r="AL224" s="12">
        <v>0</v>
      </c>
      <c r="AM224" s="12" t="s">
        <v>51</v>
      </c>
      <c r="AN224" s="12">
        <v>0</v>
      </c>
    </row>
    <row r="225" spans="1:40" x14ac:dyDescent="0.3">
      <c r="A225" s="62" t="s">
        <v>2178</v>
      </c>
      <c r="B225" s="62"/>
      <c r="C225" s="63" t="s">
        <v>1464</v>
      </c>
      <c r="D225" s="63" t="s">
        <v>1630</v>
      </c>
      <c r="E225" s="12" t="s">
        <v>1758</v>
      </c>
      <c r="F225" s="12" t="s">
        <v>1584</v>
      </c>
      <c r="G225" s="12" t="b">
        <v>0</v>
      </c>
      <c r="H225" s="12" t="b">
        <v>1</v>
      </c>
      <c r="I225" s="12" t="b">
        <v>1</v>
      </c>
      <c r="J225" s="12" t="b">
        <v>1</v>
      </c>
      <c r="K225" s="12" t="b">
        <v>0</v>
      </c>
      <c r="L225" s="12" t="b">
        <v>0</v>
      </c>
      <c r="M225" s="12" t="b">
        <v>0</v>
      </c>
      <c r="N225" s="12">
        <v>0</v>
      </c>
      <c r="O225" s="12" t="b">
        <v>0</v>
      </c>
      <c r="P225" s="12" t="b">
        <v>0</v>
      </c>
      <c r="Q225" s="12" t="b">
        <v>0</v>
      </c>
      <c r="R225" s="12" t="b">
        <v>0</v>
      </c>
      <c r="S225" s="12" t="b">
        <v>0</v>
      </c>
      <c r="T225" s="12" t="b">
        <v>1</v>
      </c>
      <c r="U225" s="12" t="b">
        <v>0</v>
      </c>
      <c r="V225" s="12" t="b">
        <v>1</v>
      </c>
      <c r="W225" s="12" t="b">
        <v>0</v>
      </c>
      <c r="X225" s="12">
        <v>1</v>
      </c>
      <c r="Y225" s="12" t="b">
        <v>0</v>
      </c>
      <c r="Z225" s="12" t="b">
        <v>0</v>
      </c>
      <c r="AA225" s="12" t="b">
        <v>1</v>
      </c>
      <c r="AB225" s="12" t="b">
        <v>1</v>
      </c>
      <c r="AC225" s="12" t="b">
        <v>1</v>
      </c>
      <c r="AD225" s="12" t="b">
        <v>1</v>
      </c>
      <c r="AE225" s="12" t="b">
        <v>0</v>
      </c>
      <c r="AF225" s="12" t="b">
        <v>0</v>
      </c>
      <c r="AG225" s="12" t="b">
        <v>0</v>
      </c>
      <c r="AH225" s="12">
        <v>0</v>
      </c>
      <c r="AI225" s="12" t="b">
        <v>0</v>
      </c>
      <c r="AJ225" s="12" t="b">
        <v>0</v>
      </c>
      <c r="AK225" s="12" t="b">
        <v>1</v>
      </c>
      <c r="AL225" s="12">
        <v>1</v>
      </c>
      <c r="AM225" s="12" t="s">
        <v>900</v>
      </c>
      <c r="AN225" s="12">
        <v>1</v>
      </c>
    </row>
    <row r="226" spans="1:40" x14ac:dyDescent="0.3">
      <c r="A226" s="62" t="s">
        <v>2178</v>
      </c>
      <c r="B226" s="62"/>
      <c r="C226" s="63" t="s">
        <v>1466</v>
      </c>
      <c r="D226" s="63" t="s">
        <v>1630</v>
      </c>
      <c r="E226" s="12" t="s">
        <v>1758</v>
      </c>
      <c r="F226" s="12" t="s">
        <v>1584</v>
      </c>
      <c r="G226" s="12" t="b">
        <v>0</v>
      </c>
      <c r="H226" s="12" t="b">
        <v>1</v>
      </c>
      <c r="I226" s="12" t="b">
        <v>1</v>
      </c>
      <c r="J226" s="12" t="b">
        <v>1</v>
      </c>
      <c r="K226" s="12" t="b">
        <v>0</v>
      </c>
      <c r="L226" s="12" t="b">
        <v>0</v>
      </c>
      <c r="M226" s="12" t="b">
        <v>0</v>
      </c>
      <c r="N226" s="12">
        <v>0</v>
      </c>
      <c r="O226" s="12" t="b">
        <v>0</v>
      </c>
      <c r="P226" s="12" t="b">
        <v>0</v>
      </c>
      <c r="Q226" s="12" t="b">
        <v>0</v>
      </c>
      <c r="R226" s="12" t="b">
        <v>0</v>
      </c>
      <c r="S226" s="12" t="b">
        <v>0</v>
      </c>
      <c r="T226" s="12" t="b">
        <v>1</v>
      </c>
      <c r="U226" s="12" t="b">
        <v>0</v>
      </c>
      <c r="V226" s="12" t="b">
        <v>1</v>
      </c>
      <c r="W226" s="12" t="b">
        <v>0</v>
      </c>
      <c r="X226" s="12">
        <v>1</v>
      </c>
      <c r="Y226" s="12" t="b">
        <v>0</v>
      </c>
      <c r="Z226" s="12" t="b">
        <v>0</v>
      </c>
      <c r="AA226" s="12" t="b">
        <v>1</v>
      </c>
      <c r="AB226" s="12" t="b">
        <v>1</v>
      </c>
      <c r="AC226" s="12" t="b">
        <v>1</v>
      </c>
      <c r="AD226" s="12" t="b">
        <v>1</v>
      </c>
      <c r="AE226" s="12" t="b">
        <v>0</v>
      </c>
      <c r="AF226" s="12" t="b">
        <v>0</v>
      </c>
      <c r="AG226" s="12" t="b">
        <v>0</v>
      </c>
      <c r="AH226" s="12">
        <v>0</v>
      </c>
      <c r="AI226" s="12" t="b">
        <v>0</v>
      </c>
      <c r="AJ226" s="12" t="b">
        <v>0</v>
      </c>
      <c r="AK226" s="12" t="b">
        <v>1</v>
      </c>
      <c r="AL226" s="12">
        <v>1</v>
      </c>
      <c r="AM226" s="12" t="s">
        <v>900</v>
      </c>
      <c r="AN226" s="12">
        <v>1</v>
      </c>
    </row>
    <row r="227" spans="1:40" x14ac:dyDescent="0.3">
      <c r="A227" s="62" t="s">
        <v>2178</v>
      </c>
      <c r="B227" s="62"/>
      <c r="C227" s="63" t="s">
        <v>1467</v>
      </c>
      <c r="D227" s="63" t="s">
        <v>1630</v>
      </c>
      <c r="E227" s="12" t="s">
        <v>1758</v>
      </c>
      <c r="F227" s="12" t="s">
        <v>1584</v>
      </c>
      <c r="G227" s="12" t="b">
        <v>0</v>
      </c>
      <c r="H227" s="12" t="b">
        <v>1</v>
      </c>
      <c r="I227" s="12" t="b">
        <v>1</v>
      </c>
      <c r="J227" s="12" t="b">
        <v>1</v>
      </c>
      <c r="K227" s="12" t="b">
        <v>0</v>
      </c>
      <c r="L227" s="12" t="b">
        <v>0</v>
      </c>
      <c r="M227" s="12" t="b">
        <v>0</v>
      </c>
      <c r="N227" s="12">
        <v>0</v>
      </c>
      <c r="O227" s="12" t="b">
        <v>0</v>
      </c>
      <c r="P227" s="12" t="b">
        <v>0</v>
      </c>
      <c r="Q227" s="12" t="b">
        <v>0</v>
      </c>
      <c r="R227" s="12" t="b">
        <v>0</v>
      </c>
      <c r="S227" s="12" t="b">
        <v>0</v>
      </c>
      <c r="T227" s="12" t="b">
        <v>1</v>
      </c>
      <c r="U227" s="12" t="b">
        <v>0</v>
      </c>
      <c r="V227" s="12" t="b">
        <v>1</v>
      </c>
      <c r="W227" s="12" t="b">
        <v>0</v>
      </c>
      <c r="X227" s="12">
        <v>1</v>
      </c>
      <c r="Y227" s="12" t="b">
        <v>0</v>
      </c>
      <c r="Z227" s="12" t="b">
        <v>0</v>
      </c>
      <c r="AA227" s="12" t="b">
        <v>1</v>
      </c>
      <c r="AB227" s="12" t="b">
        <v>1</v>
      </c>
      <c r="AC227" s="12" t="b">
        <v>1</v>
      </c>
      <c r="AD227" s="12" t="b">
        <v>1</v>
      </c>
      <c r="AE227" s="12" t="b">
        <v>0</v>
      </c>
      <c r="AF227" s="12" t="b">
        <v>0</v>
      </c>
      <c r="AG227" s="12" t="b">
        <v>0</v>
      </c>
      <c r="AH227" s="12">
        <v>0</v>
      </c>
      <c r="AI227" s="12" t="b">
        <v>0</v>
      </c>
      <c r="AJ227" s="12" t="b">
        <v>0</v>
      </c>
      <c r="AK227" s="12" t="b">
        <v>1</v>
      </c>
      <c r="AL227" s="12">
        <v>1</v>
      </c>
      <c r="AM227" s="12" t="s">
        <v>900</v>
      </c>
      <c r="AN227" s="12">
        <v>1</v>
      </c>
    </row>
    <row r="228" spans="1:40" x14ac:dyDescent="0.3">
      <c r="A228" s="62" t="s">
        <v>2178</v>
      </c>
      <c r="B228" s="62"/>
      <c r="C228" s="63" t="s">
        <v>1468</v>
      </c>
      <c r="D228" s="63" t="s">
        <v>1630</v>
      </c>
      <c r="E228" s="12" t="s">
        <v>1758</v>
      </c>
      <c r="F228" s="12" t="s">
        <v>1584</v>
      </c>
      <c r="G228" s="12" t="b">
        <v>0</v>
      </c>
      <c r="H228" s="12" t="b">
        <v>1</v>
      </c>
      <c r="I228" s="12" t="b">
        <v>1</v>
      </c>
      <c r="J228" s="12" t="b">
        <v>1</v>
      </c>
      <c r="K228" s="12" t="b">
        <v>0</v>
      </c>
      <c r="L228" s="12" t="b">
        <v>0</v>
      </c>
      <c r="M228" s="12" t="b">
        <v>0</v>
      </c>
      <c r="N228" s="12">
        <v>0</v>
      </c>
      <c r="O228" s="12" t="b">
        <v>0</v>
      </c>
      <c r="P228" s="12" t="b">
        <v>0</v>
      </c>
      <c r="Q228" s="12" t="b">
        <v>0</v>
      </c>
      <c r="R228" s="12" t="b">
        <v>0</v>
      </c>
      <c r="S228" s="12" t="b">
        <v>0</v>
      </c>
      <c r="T228" s="12" t="b">
        <v>1</v>
      </c>
      <c r="U228" s="12" t="b">
        <v>0</v>
      </c>
      <c r="V228" s="12" t="b">
        <v>1</v>
      </c>
      <c r="W228" s="12" t="b">
        <v>0</v>
      </c>
      <c r="X228" s="12">
        <v>1</v>
      </c>
      <c r="Y228" s="12" t="b">
        <v>0</v>
      </c>
      <c r="Z228" s="12" t="b">
        <v>0</v>
      </c>
      <c r="AA228" s="12" t="b">
        <v>1</v>
      </c>
      <c r="AB228" s="12" t="b">
        <v>1</v>
      </c>
      <c r="AC228" s="12" t="b">
        <v>1</v>
      </c>
      <c r="AD228" s="12" t="b">
        <v>1</v>
      </c>
      <c r="AE228" s="12" t="b">
        <v>0</v>
      </c>
      <c r="AF228" s="12" t="b">
        <v>0</v>
      </c>
      <c r="AG228" s="12" t="b">
        <v>0</v>
      </c>
      <c r="AH228" s="12">
        <v>0</v>
      </c>
      <c r="AI228" s="12" t="b">
        <v>0</v>
      </c>
      <c r="AJ228" s="12" t="b">
        <v>0</v>
      </c>
      <c r="AK228" s="12" t="b">
        <v>1</v>
      </c>
      <c r="AL228" s="12">
        <v>1</v>
      </c>
      <c r="AM228" s="12" t="s">
        <v>900</v>
      </c>
      <c r="AN228" s="12">
        <v>1</v>
      </c>
    </row>
    <row r="229" spans="1:40" x14ac:dyDescent="0.3">
      <c r="A229" s="62" t="s">
        <v>2178</v>
      </c>
      <c r="B229" s="62"/>
      <c r="C229" s="63" t="s">
        <v>1469</v>
      </c>
      <c r="D229" s="63" t="s">
        <v>1630</v>
      </c>
      <c r="E229" s="12" t="s">
        <v>1758</v>
      </c>
      <c r="F229" s="12" t="s">
        <v>1584</v>
      </c>
      <c r="G229" s="12" t="b">
        <v>0</v>
      </c>
      <c r="H229" s="12" t="b">
        <v>1</v>
      </c>
      <c r="I229" s="12" t="b">
        <v>1</v>
      </c>
      <c r="J229" s="12" t="b">
        <v>1</v>
      </c>
      <c r="K229" s="12" t="b">
        <v>0</v>
      </c>
      <c r="L229" s="12" t="b">
        <v>0</v>
      </c>
      <c r="M229" s="12" t="b">
        <v>0</v>
      </c>
      <c r="N229" s="12">
        <v>0</v>
      </c>
      <c r="O229" s="12" t="b">
        <v>0</v>
      </c>
      <c r="P229" s="12" t="b">
        <v>0</v>
      </c>
      <c r="Q229" s="12" t="b">
        <v>0</v>
      </c>
      <c r="R229" s="12" t="b">
        <v>0</v>
      </c>
      <c r="S229" s="12" t="b">
        <v>0</v>
      </c>
      <c r="T229" s="12" t="b">
        <v>1</v>
      </c>
      <c r="U229" s="12" t="b">
        <v>0</v>
      </c>
      <c r="V229" s="12" t="b">
        <v>1</v>
      </c>
      <c r="W229" s="12" t="b">
        <v>0</v>
      </c>
      <c r="X229" s="12">
        <v>1</v>
      </c>
      <c r="Y229" s="12" t="b">
        <v>0</v>
      </c>
      <c r="Z229" s="12" t="b">
        <v>0</v>
      </c>
      <c r="AA229" s="12" t="b">
        <v>1</v>
      </c>
      <c r="AB229" s="12" t="b">
        <v>1</v>
      </c>
      <c r="AC229" s="12" t="b">
        <v>1</v>
      </c>
      <c r="AD229" s="12" t="b">
        <v>1</v>
      </c>
      <c r="AE229" s="12" t="b">
        <v>0</v>
      </c>
      <c r="AF229" s="12" t="b">
        <v>0</v>
      </c>
      <c r="AG229" s="12" t="b">
        <v>0</v>
      </c>
      <c r="AH229" s="12">
        <v>0</v>
      </c>
      <c r="AI229" s="12" t="b">
        <v>0</v>
      </c>
      <c r="AJ229" s="12" t="b">
        <v>0</v>
      </c>
      <c r="AK229" s="12" t="b">
        <v>1</v>
      </c>
      <c r="AL229" s="12">
        <v>1</v>
      </c>
      <c r="AM229" s="12" t="s">
        <v>900</v>
      </c>
      <c r="AN229" s="12">
        <v>1</v>
      </c>
    </row>
    <row r="230" spans="1:40" x14ac:dyDescent="0.3">
      <c r="A230" s="62" t="s">
        <v>2178</v>
      </c>
      <c r="B230" s="62"/>
      <c r="C230" s="63" t="s">
        <v>1470</v>
      </c>
      <c r="D230" s="63" t="s">
        <v>1630</v>
      </c>
      <c r="E230" s="12" t="s">
        <v>1758</v>
      </c>
      <c r="F230" s="12" t="s">
        <v>1584</v>
      </c>
      <c r="G230" s="12" t="b">
        <v>0</v>
      </c>
      <c r="H230" s="12" t="b">
        <v>1</v>
      </c>
      <c r="I230" s="12" t="b">
        <v>1</v>
      </c>
      <c r="J230" s="12" t="b">
        <v>1</v>
      </c>
      <c r="K230" s="12" t="b">
        <v>0</v>
      </c>
      <c r="L230" s="12" t="b">
        <v>0</v>
      </c>
      <c r="M230" s="12" t="b">
        <v>0</v>
      </c>
      <c r="N230" s="12">
        <v>0</v>
      </c>
      <c r="O230" s="12" t="b">
        <v>0</v>
      </c>
      <c r="P230" s="12" t="b">
        <v>0</v>
      </c>
      <c r="Q230" s="12" t="b">
        <v>0</v>
      </c>
      <c r="R230" s="12" t="b">
        <v>0</v>
      </c>
      <c r="S230" s="12" t="b">
        <v>0</v>
      </c>
      <c r="T230" s="12" t="b">
        <v>1</v>
      </c>
      <c r="U230" s="12" t="b">
        <v>0</v>
      </c>
      <c r="V230" s="12" t="b">
        <v>1</v>
      </c>
      <c r="W230" s="12" t="b">
        <v>0</v>
      </c>
      <c r="X230" s="12">
        <v>1</v>
      </c>
      <c r="Y230" s="12" t="b">
        <v>0</v>
      </c>
      <c r="Z230" s="12" t="b">
        <v>0</v>
      </c>
      <c r="AA230" s="12" t="b">
        <v>1</v>
      </c>
      <c r="AB230" s="12" t="b">
        <v>1</v>
      </c>
      <c r="AC230" s="12" t="b">
        <v>1</v>
      </c>
      <c r="AD230" s="12" t="b">
        <v>1</v>
      </c>
      <c r="AE230" s="12" t="b">
        <v>0</v>
      </c>
      <c r="AF230" s="12" t="b">
        <v>0</v>
      </c>
      <c r="AG230" s="12" t="b">
        <v>0</v>
      </c>
      <c r="AH230" s="12">
        <v>0</v>
      </c>
      <c r="AI230" s="12" t="b">
        <v>0</v>
      </c>
      <c r="AJ230" s="12" t="b">
        <v>0</v>
      </c>
      <c r="AK230" s="12" t="b">
        <v>1</v>
      </c>
      <c r="AL230" s="12">
        <v>1</v>
      </c>
      <c r="AM230" s="12" t="s">
        <v>900</v>
      </c>
      <c r="AN230" s="12">
        <v>1</v>
      </c>
    </row>
    <row r="231" spans="1:40" x14ac:dyDescent="0.3">
      <c r="A231" s="62" t="s">
        <v>2178</v>
      </c>
      <c r="B231" s="62"/>
      <c r="C231" s="63" t="s">
        <v>1934</v>
      </c>
      <c r="D231" s="63" t="s">
        <v>1630</v>
      </c>
      <c r="E231" s="12" t="s">
        <v>1758</v>
      </c>
      <c r="F231" s="12" t="s">
        <v>1584</v>
      </c>
      <c r="G231" s="12" t="b">
        <v>0</v>
      </c>
      <c r="H231" s="12" t="b">
        <v>1</v>
      </c>
      <c r="I231" s="12" t="b">
        <v>1</v>
      </c>
      <c r="J231" s="12" t="b">
        <v>1</v>
      </c>
      <c r="K231" s="12" t="b">
        <v>0</v>
      </c>
      <c r="L231" s="12" t="b">
        <v>0</v>
      </c>
      <c r="M231" s="12" t="b">
        <v>0</v>
      </c>
      <c r="N231" s="12">
        <v>0</v>
      </c>
      <c r="O231" s="12" t="b">
        <v>0</v>
      </c>
      <c r="P231" s="12" t="b">
        <v>0</v>
      </c>
      <c r="Q231" s="12" t="b">
        <v>0</v>
      </c>
      <c r="R231" s="12" t="b">
        <v>0</v>
      </c>
      <c r="S231" s="12" t="b">
        <v>0</v>
      </c>
      <c r="T231" s="12" t="b">
        <v>1</v>
      </c>
      <c r="U231" s="12" t="b">
        <v>0</v>
      </c>
      <c r="V231" s="12" t="b">
        <v>1</v>
      </c>
      <c r="W231" s="12" t="b">
        <v>0</v>
      </c>
      <c r="X231" s="12">
        <v>1</v>
      </c>
      <c r="Y231" s="12" t="b">
        <v>0</v>
      </c>
      <c r="Z231" s="12" t="b">
        <v>0</v>
      </c>
      <c r="AA231" s="12" t="b">
        <v>1</v>
      </c>
      <c r="AB231" s="12" t="b">
        <v>1</v>
      </c>
      <c r="AC231" s="12" t="b">
        <v>1</v>
      </c>
      <c r="AD231" s="12" t="b">
        <v>1</v>
      </c>
      <c r="AE231" s="12" t="b">
        <v>0</v>
      </c>
      <c r="AF231" s="12" t="b">
        <v>0</v>
      </c>
      <c r="AG231" s="12" t="b">
        <v>0</v>
      </c>
      <c r="AH231" s="12">
        <v>0</v>
      </c>
      <c r="AI231" s="12" t="b">
        <v>0</v>
      </c>
      <c r="AJ231" s="12" t="b">
        <v>0</v>
      </c>
      <c r="AK231" s="12" t="b">
        <v>1</v>
      </c>
      <c r="AL231" s="12">
        <v>1</v>
      </c>
      <c r="AM231" s="12" t="s">
        <v>900</v>
      </c>
      <c r="AN231" s="12">
        <v>1</v>
      </c>
    </row>
    <row r="232" spans="1:40" x14ac:dyDescent="0.3">
      <c r="A232" s="62" t="s">
        <v>2178</v>
      </c>
      <c r="B232" s="62"/>
      <c r="C232" s="63" t="s">
        <v>1935</v>
      </c>
      <c r="D232" s="63" t="s">
        <v>1630</v>
      </c>
      <c r="E232" s="12" t="s">
        <v>1758</v>
      </c>
      <c r="F232" s="12" t="s">
        <v>1584</v>
      </c>
      <c r="G232" s="12" t="b">
        <v>0</v>
      </c>
      <c r="H232" s="12" t="b">
        <v>1</v>
      </c>
      <c r="I232" s="12" t="b">
        <v>1</v>
      </c>
      <c r="J232" s="12" t="b">
        <v>1</v>
      </c>
      <c r="K232" s="12" t="b">
        <v>0</v>
      </c>
      <c r="L232" s="12" t="b">
        <v>0</v>
      </c>
      <c r="M232" s="12" t="b">
        <v>0</v>
      </c>
      <c r="N232" s="12">
        <v>0</v>
      </c>
      <c r="O232" s="12" t="b">
        <v>0</v>
      </c>
      <c r="P232" s="12" t="b">
        <v>0</v>
      </c>
      <c r="Q232" s="12" t="b">
        <v>0</v>
      </c>
      <c r="R232" s="12" t="b">
        <v>0</v>
      </c>
      <c r="S232" s="12" t="b">
        <v>0</v>
      </c>
      <c r="T232" s="12" t="b">
        <v>1</v>
      </c>
      <c r="U232" s="12" t="b">
        <v>0</v>
      </c>
      <c r="V232" s="12" t="b">
        <v>1</v>
      </c>
      <c r="W232" s="12" t="b">
        <v>0</v>
      </c>
      <c r="X232" s="12">
        <v>1</v>
      </c>
      <c r="Y232" s="12" t="b">
        <v>0</v>
      </c>
      <c r="Z232" s="12" t="b">
        <v>0</v>
      </c>
      <c r="AA232" s="12" t="b">
        <v>1</v>
      </c>
      <c r="AB232" s="12" t="b">
        <v>1</v>
      </c>
      <c r="AC232" s="12" t="b">
        <v>1</v>
      </c>
      <c r="AD232" s="12" t="b">
        <v>1</v>
      </c>
      <c r="AE232" s="12" t="b">
        <v>0</v>
      </c>
      <c r="AF232" s="12" t="b">
        <v>0</v>
      </c>
      <c r="AG232" s="12" t="b">
        <v>0</v>
      </c>
      <c r="AH232" s="12">
        <v>0</v>
      </c>
      <c r="AI232" s="12" t="b">
        <v>0</v>
      </c>
      <c r="AJ232" s="12" t="b">
        <v>0</v>
      </c>
      <c r="AK232" s="12" t="b">
        <v>1</v>
      </c>
      <c r="AL232" s="12">
        <v>1</v>
      </c>
      <c r="AM232" s="12" t="s">
        <v>900</v>
      </c>
      <c r="AN232" s="12">
        <v>1</v>
      </c>
    </row>
    <row r="233" spans="1:40" x14ac:dyDescent="0.3">
      <c r="A233" s="62" t="s">
        <v>2178</v>
      </c>
      <c r="B233" s="62"/>
      <c r="C233" s="63" t="s">
        <v>1936</v>
      </c>
      <c r="D233" s="63" t="s">
        <v>1630</v>
      </c>
      <c r="E233" s="12" t="s">
        <v>1758</v>
      </c>
      <c r="F233" s="12" t="s">
        <v>1584</v>
      </c>
      <c r="G233" s="12" t="b">
        <v>0</v>
      </c>
      <c r="H233" s="12" t="b">
        <v>1</v>
      </c>
      <c r="I233" s="12" t="b">
        <v>1</v>
      </c>
      <c r="J233" s="12" t="b">
        <v>1</v>
      </c>
      <c r="K233" s="12" t="b">
        <v>0</v>
      </c>
      <c r="L233" s="12" t="b">
        <v>0</v>
      </c>
      <c r="M233" s="12" t="b">
        <v>0</v>
      </c>
      <c r="N233" s="12">
        <v>0</v>
      </c>
      <c r="O233" s="12" t="b">
        <v>0</v>
      </c>
      <c r="P233" s="12" t="b">
        <v>0</v>
      </c>
      <c r="Q233" s="12" t="b">
        <v>0</v>
      </c>
      <c r="R233" s="12" t="b">
        <v>0</v>
      </c>
      <c r="S233" s="12" t="b">
        <v>0</v>
      </c>
      <c r="T233" s="12" t="b">
        <v>1</v>
      </c>
      <c r="U233" s="12" t="b">
        <v>0</v>
      </c>
      <c r="V233" s="12" t="b">
        <v>1</v>
      </c>
      <c r="W233" s="12" t="b">
        <v>0</v>
      </c>
      <c r="X233" s="12">
        <v>1</v>
      </c>
      <c r="Y233" s="12" t="b">
        <v>0</v>
      </c>
      <c r="Z233" s="12" t="b">
        <v>0</v>
      </c>
      <c r="AA233" s="12" t="b">
        <v>1</v>
      </c>
      <c r="AB233" s="12" t="b">
        <v>1</v>
      </c>
      <c r="AC233" s="12" t="b">
        <v>1</v>
      </c>
      <c r="AD233" s="12" t="b">
        <v>1</v>
      </c>
      <c r="AE233" s="12" t="b">
        <v>0</v>
      </c>
      <c r="AF233" s="12" t="b">
        <v>0</v>
      </c>
      <c r="AG233" s="12" t="b">
        <v>0</v>
      </c>
      <c r="AH233" s="12">
        <v>0</v>
      </c>
      <c r="AI233" s="12" t="b">
        <v>0</v>
      </c>
      <c r="AJ233" s="12" t="b">
        <v>0</v>
      </c>
      <c r="AK233" s="12" t="b">
        <v>1</v>
      </c>
      <c r="AL233" s="12">
        <v>1</v>
      </c>
      <c r="AM233" s="12" t="s">
        <v>900</v>
      </c>
      <c r="AN233" s="12">
        <v>1</v>
      </c>
    </row>
    <row r="234" spans="1:40" x14ac:dyDescent="0.3">
      <c r="A234" s="62" t="s">
        <v>2178</v>
      </c>
      <c r="B234" s="62"/>
      <c r="C234" s="63" t="s">
        <v>1937</v>
      </c>
      <c r="D234" s="63" t="s">
        <v>1630</v>
      </c>
      <c r="E234" s="12" t="s">
        <v>1758</v>
      </c>
      <c r="F234" s="12" t="s">
        <v>1584</v>
      </c>
      <c r="G234" s="12" t="b">
        <v>0</v>
      </c>
      <c r="H234" s="12" t="b">
        <v>1</v>
      </c>
      <c r="I234" s="12" t="b">
        <v>1</v>
      </c>
      <c r="J234" s="12" t="b">
        <v>1</v>
      </c>
      <c r="K234" s="12" t="b">
        <v>0</v>
      </c>
      <c r="L234" s="12" t="b">
        <v>0</v>
      </c>
      <c r="M234" s="12" t="b">
        <v>0</v>
      </c>
      <c r="N234" s="12">
        <v>0</v>
      </c>
      <c r="O234" s="12" t="b">
        <v>0</v>
      </c>
      <c r="P234" s="12" t="b">
        <v>0</v>
      </c>
      <c r="Q234" s="12" t="b">
        <v>0</v>
      </c>
      <c r="R234" s="12" t="b">
        <v>0</v>
      </c>
      <c r="S234" s="12" t="b">
        <v>0</v>
      </c>
      <c r="T234" s="12" t="b">
        <v>1</v>
      </c>
      <c r="U234" s="12" t="b">
        <v>0</v>
      </c>
      <c r="V234" s="12" t="b">
        <v>1</v>
      </c>
      <c r="W234" s="12" t="b">
        <v>0</v>
      </c>
      <c r="X234" s="12">
        <v>1</v>
      </c>
      <c r="Y234" s="12" t="b">
        <v>0</v>
      </c>
      <c r="Z234" s="12" t="b">
        <v>0</v>
      </c>
      <c r="AA234" s="12" t="b">
        <v>1</v>
      </c>
      <c r="AB234" s="12" t="b">
        <v>1</v>
      </c>
      <c r="AC234" s="12" t="b">
        <v>1</v>
      </c>
      <c r="AD234" s="12" t="b">
        <v>1</v>
      </c>
      <c r="AE234" s="12" t="b">
        <v>0</v>
      </c>
      <c r="AF234" s="12" t="b">
        <v>0</v>
      </c>
      <c r="AG234" s="12" t="b">
        <v>0</v>
      </c>
      <c r="AH234" s="12">
        <v>0</v>
      </c>
      <c r="AI234" s="12" t="b">
        <v>0</v>
      </c>
      <c r="AJ234" s="12" t="b">
        <v>0</v>
      </c>
      <c r="AK234" s="12" t="b">
        <v>1</v>
      </c>
      <c r="AL234" s="12">
        <v>1</v>
      </c>
      <c r="AM234" s="12" t="s">
        <v>900</v>
      </c>
      <c r="AN234" s="12">
        <v>1</v>
      </c>
    </row>
    <row r="235" spans="1:40" x14ac:dyDescent="0.3">
      <c r="A235" s="62" t="s">
        <v>2178</v>
      </c>
      <c r="B235" s="62"/>
      <c r="C235" s="63" t="s">
        <v>1938</v>
      </c>
      <c r="D235" s="63" t="s">
        <v>1630</v>
      </c>
      <c r="E235" s="12" t="s">
        <v>1758</v>
      </c>
      <c r="F235" s="12" t="s">
        <v>1584</v>
      </c>
      <c r="G235" s="12" t="b">
        <v>0</v>
      </c>
      <c r="H235" s="12" t="b">
        <v>1</v>
      </c>
      <c r="I235" s="12" t="b">
        <v>1</v>
      </c>
      <c r="J235" s="12" t="b">
        <v>1</v>
      </c>
      <c r="K235" s="12" t="b">
        <v>0</v>
      </c>
      <c r="L235" s="12" t="b">
        <v>0</v>
      </c>
      <c r="M235" s="12" t="b">
        <v>0</v>
      </c>
      <c r="N235" s="12">
        <v>0</v>
      </c>
      <c r="O235" s="12" t="b">
        <v>0</v>
      </c>
      <c r="P235" s="12" t="b">
        <v>0</v>
      </c>
      <c r="Q235" s="12" t="b">
        <v>0</v>
      </c>
      <c r="R235" s="12" t="b">
        <v>0</v>
      </c>
      <c r="S235" s="12" t="b">
        <v>0</v>
      </c>
      <c r="T235" s="12" t="b">
        <v>1</v>
      </c>
      <c r="U235" s="12" t="b">
        <v>0</v>
      </c>
      <c r="V235" s="12" t="b">
        <v>1</v>
      </c>
      <c r="W235" s="12" t="b">
        <v>0</v>
      </c>
      <c r="X235" s="12">
        <v>1</v>
      </c>
      <c r="Y235" s="12" t="b">
        <v>0</v>
      </c>
      <c r="Z235" s="12" t="b">
        <v>0</v>
      </c>
      <c r="AA235" s="12" t="b">
        <v>1</v>
      </c>
      <c r="AB235" s="12" t="b">
        <v>1</v>
      </c>
      <c r="AC235" s="12" t="b">
        <v>1</v>
      </c>
      <c r="AD235" s="12" t="b">
        <v>1</v>
      </c>
      <c r="AE235" s="12" t="b">
        <v>0</v>
      </c>
      <c r="AF235" s="12" t="b">
        <v>0</v>
      </c>
      <c r="AG235" s="12" t="b">
        <v>0</v>
      </c>
      <c r="AH235" s="12">
        <v>0</v>
      </c>
      <c r="AI235" s="12" t="b">
        <v>0</v>
      </c>
      <c r="AJ235" s="12" t="b">
        <v>0</v>
      </c>
      <c r="AK235" s="12" t="b">
        <v>1</v>
      </c>
      <c r="AL235" s="12">
        <v>1</v>
      </c>
      <c r="AM235" s="12" t="s">
        <v>900</v>
      </c>
      <c r="AN235" s="12">
        <v>1</v>
      </c>
    </row>
    <row r="236" spans="1:40" x14ac:dyDescent="0.3">
      <c r="A236" s="62" t="s">
        <v>2178</v>
      </c>
      <c r="B236" s="62"/>
      <c r="C236" s="63" t="s">
        <v>1939</v>
      </c>
      <c r="D236" s="63" t="s">
        <v>1630</v>
      </c>
      <c r="E236" s="12" t="s">
        <v>1758</v>
      </c>
      <c r="F236" s="12" t="s">
        <v>1584</v>
      </c>
      <c r="G236" s="12" t="b">
        <v>0</v>
      </c>
      <c r="H236" s="12" t="b">
        <v>1</v>
      </c>
      <c r="I236" s="12" t="b">
        <v>1</v>
      </c>
      <c r="J236" s="12" t="b">
        <v>1</v>
      </c>
      <c r="K236" s="12" t="b">
        <v>0</v>
      </c>
      <c r="L236" s="12" t="b">
        <v>0</v>
      </c>
      <c r="M236" s="12" t="b">
        <v>0</v>
      </c>
      <c r="N236" s="12">
        <v>0</v>
      </c>
      <c r="O236" s="12" t="b">
        <v>0</v>
      </c>
      <c r="P236" s="12" t="b">
        <v>0</v>
      </c>
      <c r="Q236" s="12" t="b">
        <v>0</v>
      </c>
      <c r="R236" s="12" t="b">
        <v>0</v>
      </c>
      <c r="S236" s="12" t="b">
        <v>0</v>
      </c>
      <c r="T236" s="12" t="b">
        <v>1</v>
      </c>
      <c r="U236" s="12" t="b">
        <v>0</v>
      </c>
      <c r="V236" s="12" t="b">
        <v>1</v>
      </c>
      <c r="W236" s="12" t="b">
        <v>0</v>
      </c>
      <c r="X236" s="12">
        <v>1</v>
      </c>
      <c r="Y236" s="12" t="b">
        <v>0</v>
      </c>
      <c r="Z236" s="12" t="b">
        <v>0</v>
      </c>
      <c r="AA236" s="12" t="b">
        <v>1</v>
      </c>
      <c r="AB236" s="12" t="b">
        <v>1</v>
      </c>
      <c r="AC236" s="12" t="b">
        <v>1</v>
      </c>
      <c r="AD236" s="12" t="b">
        <v>1</v>
      </c>
      <c r="AE236" s="12" t="b">
        <v>0</v>
      </c>
      <c r="AF236" s="12" t="b">
        <v>0</v>
      </c>
      <c r="AG236" s="12" t="b">
        <v>0</v>
      </c>
      <c r="AH236" s="12">
        <v>0</v>
      </c>
      <c r="AI236" s="12" t="b">
        <v>0</v>
      </c>
      <c r="AJ236" s="12" t="b">
        <v>0</v>
      </c>
      <c r="AK236" s="12" t="b">
        <v>1</v>
      </c>
      <c r="AL236" s="12">
        <v>1</v>
      </c>
      <c r="AM236" s="12" t="s">
        <v>900</v>
      </c>
      <c r="AN236" s="12">
        <v>1</v>
      </c>
    </row>
    <row r="237" spans="1:40" x14ac:dyDescent="0.3">
      <c r="A237" s="62" t="s">
        <v>2178</v>
      </c>
      <c r="B237" s="62"/>
      <c r="C237" s="63"/>
      <c r="D237" s="63"/>
      <c r="E237" s="12" t="s">
        <v>1517</v>
      </c>
      <c r="F237" s="12" t="s">
        <v>1519</v>
      </c>
      <c r="G237" s="12" t="b">
        <v>0</v>
      </c>
      <c r="H237" s="12" t="b">
        <v>1</v>
      </c>
      <c r="I237" s="12" t="b">
        <v>1</v>
      </c>
      <c r="J237" s="12" t="b">
        <v>1</v>
      </c>
      <c r="K237" s="12" t="b">
        <v>0</v>
      </c>
      <c r="L237" s="12" t="b">
        <v>1</v>
      </c>
      <c r="M237" s="12" t="b">
        <v>0</v>
      </c>
      <c r="N237" s="12">
        <v>0</v>
      </c>
      <c r="O237" s="12" t="b">
        <v>0</v>
      </c>
      <c r="P237" s="12" t="b">
        <v>0</v>
      </c>
      <c r="Q237" s="12" t="b">
        <v>0</v>
      </c>
      <c r="R237" s="12" t="b">
        <v>0</v>
      </c>
      <c r="S237" s="12" t="b">
        <v>0</v>
      </c>
      <c r="T237" s="12" t="b">
        <v>1</v>
      </c>
      <c r="U237" s="12" t="b">
        <v>0</v>
      </c>
      <c r="V237" s="12" t="b">
        <v>1</v>
      </c>
      <c r="W237" s="12" t="b">
        <v>0</v>
      </c>
      <c r="X237" s="12">
        <v>1</v>
      </c>
      <c r="Y237" s="12" t="b">
        <v>0</v>
      </c>
      <c r="Z237" s="12" t="b">
        <v>0</v>
      </c>
      <c r="AA237" s="12" t="b">
        <v>1</v>
      </c>
      <c r="AB237" s="12" t="b">
        <v>1</v>
      </c>
      <c r="AC237" s="12" t="b">
        <v>1</v>
      </c>
      <c r="AD237" s="12" t="b">
        <v>1</v>
      </c>
      <c r="AE237" s="12" t="b">
        <v>0</v>
      </c>
      <c r="AF237" s="12" t="b">
        <v>0</v>
      </c>
      <c r="AG237" s="12" t="b">
        <v>0</v>
      </c>
      <c r="AH237" s="12">
        <v>0</v>
      </c>
      <c r="AI237" s="12" t="b">
        <v>0</v>
      </c>
      <c r="AJ237" s="12" t="b">
        <v>0</v>
      </c>
      <c r="AK237" s="12" t="b">
        <v>1</v>
      </c>
      <c r="AL237" s="12">
        <v>0</v>
      </c>
      <c r="AM237" s="12" t="s">
        <v>900</v>
      </c>
      <c r="AN237" s="12">
        <v>0</v>
      </c>
    </row>
    <row r="238" spans="1:40" x14ac:dyDescent="0.3">
      <c r="A238" s="62" t="s">
        <v>2178</v>
      </c>
      <c r="B238" s="62"/>
      <c r="C238" s="63"/>
      <c r="D238" s="63"/>
      <c r="E238" s="12" t="s">
        <v>1003</v>
      </c>
      <c r="F238" s="12" t="s">
        <v>1190</v>
      </c>
      <c r="G238" s="12" t="b">
        <v>0</v>
      </c>
      <c r="H238" s="12" t="b">
        <v>1</v>
      </c>
      <c r="I238" s="12" t="b">
        <v>1</v>
      </c>
      <c r="J238" s="12" t="b">
        <v>1</v>
      </c>
      <c r="K238" s="12" t="b">
        <v>0</v>
      </c>
      <c r="L238" s="12" t="b">
        <v>1</v>
      </c>
      <c r="M238" s="12" t="b">
        <v>0</v>
      </c>
      <c r="N238" s="12">
        <v>0</v>
      </c>
      <c r="O238" s="12" t="b">
        <v>0</v>
      </c>
      <c r="P238" s="12" t="b">
        <v>0</v>
      </c>
      <c r="Q238" s="12" t="b">
        <v>0</v>
      </c>
      <c r="R238" s="12" t="b">
        <v>0</v>
      </c>
      <c r="S238" s="12" t="b">
        <v>0</v>
      </c>
      <c r="T238" s="12" t="b">
        <v>1</v>
      </c>
      <c r="U238" s="12" t="b">
        <v>0</v>
      </c>
      <c r="V238" s="12" t="b">
        <v>1</v>
      </c>
      <c r="W238" s="12" t="b">
        <v>0</v>
      </c>
      <c r="X238" s="12">
        <v>1</v>
      </c>
      <c r="Y238" s="12" t="b">
        <v>0</v>
      </c>
      <c r="Z238" s="12" t="b">
        <v>0</v>
      </c>
      <c r="AA238" s="12" t="b">
        <v>1</v>
      </c>
      <c r="AB238" s="12" t="b">
        <v>1</v>
      </c>
      <c r="AC238" s="12" t="b">
        <v>1</v>
      </c>
      <c r="AD238" s="12" t="b">
        <v>1</v>
      </c>
      <c r="AE238" s="12" t="b">
        <v>0</v>
      </c>
      <c r="AF238" s="12" t="b">
        <v>0</v>
      </c>
      <c r="AG238" s="12" t="b">
        <v>0</v>
      </c>
      <c r="AH238" s="12">
        <v>0</v>
      </c>
      <c r="AI238" s="12" t="b">
        <v>0</v>
      </c>
      <c r="AJ238" s="12" t="b">
        <v>0</v>
      </c>
      <c r="AK238" s="12" t="b">
        <v>1</v>
      </c>
      <c r="AL238" s="12">
        <v>0</v>
      </c>
      <c r="AM238" s="12" t="s">
        <v>900</v>
      </c>
      <c r="AN238" s="12">
        <v>0</v>
      </c>
    </row>
    <row r="239" spans="1:40" x14ac:dyDescent="0.3">
      <c r="A239" s="62" t="s">
        <v>2178</v>
      </c>
      <c r="B239" s="62"/>
      <c r="C239" s="63"/>
      <c r="D239" s="63"/>
      <c r="E239" s="12" t="s">
        <v>2084</v>
      </c>
      <c r="F239" s="12" t="s">
        <v>2086</v>
      </c>
      <c r="G239" s="12" t="b">
        <v>0</v>
      </c>
      <c r="H239" s="12" t="b">
        <v>0</v>
      </c>
      <c r="I239" s="12" t="b">
        <v>0</v>
      </c>
      <c r="J239" s="12" t="b">
        <v>1</v>
      </c>
      <c r="K239" s="12" t="b">
        <v>0</v>
      </c>
      <c r="L239" s="12" t="b">
        <v>1</v>
      </c>
      <c r="M239" s="12" t="b">
        <v>0</v>
      </c>
      <c r="N239" s="12">
        <v>0</v>
      </c>
      <c r="O239" s="12" t="b">
        <v>0</v>
      </c>
      <c r="P239" s="12" t="b">
        <v>0</v>
      </c>
      <c r="Q239" s="12" t="b">
        <v>0</v>
      </c>
      <c r="R239" s="12" t="b">
        <v>0</v>
      </c>
      <c r="S239" s="12" t="b">
        <v>0</v>
      </c>
      <c r="T239" s="12" t="b">
        <v>1</v>
      </c>
      <c r="U239" s="12" t="b">
        <v>0</v>
      </c>
      <c r="V239" s="12" t="b">
        <v>1</v>
      </c>
      <c r="W239" s="12" t="b">
        <v>0</v>
      </c>
      <c r="X239" s="12">
        <v>1</v>
      </c>
      <c r="Y239" s="12" t="b">
        <v>0</v>
      </c>
      <c r="Z239" s="12" t="b">
        <v>0</v>
      </c>
      <c r="AA239" s="12" t="b">
        <v>0</v>
      </c>
      <c r="AB239" s="12" t="b">
        <v>0</v>
      </c>
      <c r="AC239" s="12" t="b">
        <v>0</v>
      </c>
      <c r="AD239" s="12" t="b">
        <v>1</v>
      </c>
      <c r="AE239" s="12" t="b">
        <v>0</v>
      </c>
      <c r="AF239" s="12" t="b">
        <v>1</v>
      </c>
      <c r="AG239" s="12" t="b">
        <v>0</v>
      </c>
      <c r="AH239" s="12">
        <v>1</v>
      </c>
      <c r="AI239" s="12" t="b">
        <v>0</v>
      </c>
      <c r="AJ239" s="12" t="b">
        <v>0</v>
      </c>
      <c r="AK239" s="12" t="b">
        <v>1</v>
      </c>
      <c r="AL239" s="12">
        <v>0</v>
      </c>
      <c r="AM239" s="12" t="s">
        <v>922</v>
      </c>
      <c r="AN239" s="12">
        <v>0</v>
      </c>
    </row>
    <row r="240" spans="1:40" x14ac:dyDescent="0.3">
      <c r="A240" s="62" t="s">
        <v>2178</v>
      </c>
      <c r="B240" s="62"/>
      <c r="C240" s="63"/>
      <c r="D240" s="63"/>
      <c r="E240" s="12" t="s">
        <v>920</v>
      </c>
      <c r="F240" s="12" t="s">
        <v>1193</v>
      </c>
      <c r="G240" s="12" t="b">
        <v>0</v>
      </c>
      <c r="H240" s="12" t="b">
        <v>0</v>
      </c>
      <c r="I240" s="12" t="b">
        <v>0</v>
      </c>
      <c r="J240" s="12" t="b">
        <v>1</v>
      </c>
      <c r="K240" s="12" t="b">
        <v>0</v>
      </c>
      <c r="L240" s="12" t="b">
        <v>1</v>
      </c>
      <c r="M240" s="12" t="b">
        <v>0</v>
      </c>
      <c r="N240" s="12">
        <v>0</v>
      </c>
      <c r="O240" s="12" t="b">
        <v>0</v>
      </c>
      <c r="P240" s="12" t="b">
        <v>0</v>
      </c>
      <c r="Q240" s="12" t="b">
        <v>0</v>
      </c>
      <c r="R240" s="12" t="b">
        <v>0</v>
      </c>
      <c r="S240" s="12" t="b">
        <v>0</v>
      </c>
      <c r="T240" s="12" t="b">
        <v>1</v>
      </c>
      <c r="U240" s="12" t="b">
        <v>0</v>
      </c>
      <c r="V240" s="12" t="b">
        <v>1</v>
      </c>
      <c r="W240" s="12" t="b">
        <v>0</v>
      </c>
      <c r="X240" s="12">
        <v>1</v>
      </c>
      <c r="Y240" s="12" t="b">
        <v>0</v>
      </c>
      <c r="Z240" s="12" t="b">
        <v>0</v>
      </c>
      <c r="AA240" s="12" t="b">
        <v>0</v>
      </c>
      <c r="AB240" s="12" t="b">
        <v>0</v>
      </c>
      <c r="AC240" s="12" t="b">
        <v>0</v>
      </c>
      <c r="AD240" s="12" t="b">
        <v>1</v>
      </c>
      <c r="AE240" s="12" t="b">
        <v>0</v>
      </c>
      <c r="AF240" s="12" t="b">
        <v>1</v>
      </c>
      <c r="AG240" s="12" t="b">
        <v>0</v>
      </c>
      <c r="AH240" s="12">
        <v>1</v>
      </c>
      <c r="AI240" s="12" t="b">
        <v>0</v>
      </c>
      <c r="AJ240" s="12" t="b">
        <v>0</v>
      </c>
      <c r="AK240" s="12" t="b">
        <v>1</v>
      </c>
      <c r="AL240" s="12">
        <v>1</v>
      </c>
      <c r="AM240" s="12" t="s">
        <v>922</v>
      </c>
      <c r="AN240" s="12">
        <v>1</v>
      </c>
    </row>
    <row r="241" spans="1:40" x14ac:dyDescent="0.3">
      <c r="A241" s="62" t="s">
        <v>2178</v>
      </c>
      <c r="B241" s="62"/>
      <c r="C241" s="63"/>
      <c r="D241" s="63"/>
      <c r="E241" s="12" t="s">
        <v>923</v>
      </c>
      <c r="F241" s="12" t="s">
        <v>1194</v>
      </c>
      <c r="G241" s="12" t="b">
        <v>0</v>
      </c>
      <c r="H241" s="12" t="b">
        <v>0</v>
      </c>
      <c r="I241" s="12" t="b">
        <v>0</v>
      </c>
      <c r="J241" s="12" t="b">
        <v>1</v>
      </c>
      <c r="K241" s="12" t="b">
        <v>0</v>
      </c>
      <c r="L241" s="12" t="b">
        <v>1</v>
      </c>
      <c r="M241" s="12" t="b">
        <v>0</v>
      </c>
      <c r="N241" s="12">
        <v>0</v>
      </c>
      <c r="O241" s="12" t="b">
        <v>0</v>
      </c>
      <c r="P241" s="12" t="b">
        <v>0</v>
      </c>
      <c r="Q241" s="12" t="b">
        <v>0</v>
      </c>
      <c r="R241" s="12" t="b">
        <v>0</v>
      </c>
      <c r="S241" s="12" t="b">
        <v>0</v>
      </c>
      <c r="T241" s="12" t="b">
        <v>1</v>
      </c>
      <c r="U241" s="12" t="b">
        <v>0</v>
      </c>
      <c r="V241" s="12" t="b">
        <v>1</v>
      </c>
      <c r="W241" s="12" t="b">
        <v>0</v>
      </c>
      <c r="X241" s="12">
        <v>1</v>
      </c>
      <c r="Y241" s="12" t="b">
        <v>0</v>
      </c>
      <c r="Z241" s="12" t="b">
        <v>0</v>
      </c>
      <c r="AA241" s="12" t="b">
        <v>0</v>
      </c>
      <c r="AB241" s="12" t="b">
        <v>0</v>
      </c>
      <c r="AC241" s="12" t="b">
        <v>0</v>
      </c>
      <c r="AD241" s="12" t="b">
        <v>1</v>
      </c>
      <c r="AE241" s="12" t="b">
        <v>0</v>
      </c>
      <c r="AF241" s="12" t="b">
        <v>1</v>
      </c>
      <c r="AG241" s="12" t="b">
        <v>0</v>
      </c>
      <c r="AH241" s="12">
        <v>1</v>
      </c>
      <c r="AI241" s="12" t="b">
        <v>0</v>
      </c>
      <c r="AJ241" s="12" t="b">
        <v>0</v>
      </c>
      <c r="AK241" s="12" t="b">
        <v>1</v>
      </c>
      <c r="AL241" s="12">
        <v>1</v>
      </c>
      <c r="AM241" s="12" t="s">
        <v>922</v>
      </c>
      <c r="AN241" s="12">
        <v>1</v>
      </c>
    </row>
    <row r="242" spans="1:40" x14ac:dyDescent="0.3">
      <c r="A242" s="62" t="s">
        <v>2178</v>
      </c>
      <c r="B242" s="62"/>
      <c r="C242" s="63"/>
      <c r="D242" s="63"/>
      <c r="E242" s="12" t="s">
        <v>1563</v>
      </c>
      <c r="F242" s="12" t="s">
        <v>1565</v>
      </c>
      <c r="G242" s="12" t="b">
        <v>0</v>
      </c>
      <c r="H242" s="12" t="b">
        <v>0</v>
      </c>
      <c r="I242" s="12" t="b">
        <v>0</v>
      </c>
      <c r="J242" s="12" t="b">
        <v>1</v>
      </c>
      <c r="K242" s="12" t="b">
        <v>0</v>
      </c>
      <c r="L242" s="12" t="b">
        <v>1</v>
      </c>
      <c r="M242" s="12" t="b">
        <v>0</v>
      </c>
      <c r="N242" s="12">
        <v>0</v>
      </c>
      <c r="O242" s="12" t="b">
        <v>0</v>
      </c>
      <c r="P242" s="12" t="b">
        <v>0</v>
      </c>
      <c r="Q242" s="12" t="b">
        <v>0</v>
      </c>
      <c r="R242" s="12" t="b">
        <v>0</v>
      </c>
      <c r="S242" s="12" t="b">
        <v>0</v>
      </c>
      <c r="T242" s="12" t="b">
        <v>1</v>
      </c>
      <c r="U242" s="12" t="b">
        <v>0</v>
      </c>
      <c r="V242" s="12" t="b">
        <v>1</v>
      </c>
      <c r="W242" s="12" t="b">
        <v>0</v>
      </c>
      <c r="X242" s="12">
        <v>1</v>
      </c>
      <c r="Y242" s="12" t="b">
        <v>0</v>
      </c>
      <c r="Z242" s="12" t="b">
        <v>0</v>
      </c>
      <c r="AA242" s="12" t="b">
        <v>0</v>
      </c>
      <c r="AB242" s="12" t="b">
        <v>0</v>
      </c>
      <c r="AC242" s="12" t="b">
        <v>0</v>
      </c>
      <c r="AD242" s="12" t="b">
        <v>1</v>
      </c>
      <c r="AE242" s="12" t="b">
        <v>0</v>
      </c>
      <c r="AF242" s="12" t="b">
        <v>1</v>
      </c>
      <c r="AG242" s="12" t="b">
        <v>0</v>
      </c>
      <c r="AH242" s="12">
        <v>1</v>
      </c>
      <c r="AI242" s="12" t="b">
        <v>0</v>
      </c>
      <c r="AJ242" s="12" t="b">
        <v>0</v>
      </c>
      <c r="AK242" s="12" t="b">
        <v>1</v>
      </c>
      <c r="AL242" s="12">
        <v>1</v>
      </c>
      <c r="AM242" s="12" t="s">
        <v>922</v>
      </c>
      <c r="AN242" s="12">
        <v>1</v>
      </c>
    </row>
    <row r="243" spans="1:40" x14ac:dyDescent="0.3">
      <c r="A243" s="62" t="s">
        <v>2178</v>
      </c>
      <c r="B243" s="62"/>
      <c r="C243" s="63"/>
      <c r="D243" s="63"/>
      <c r="E243" s="12" t="s">
        <v>906</v>
      </c>
      <c r="F243" s="12" t="s">
        <v>1202</v>
      </c>
      <c r="G243" s="12" t="b">
        <v>0</v>
      </c>
      <c r="H243" s="12" t="b">
        <v>1</v>
      </c>
      <c r="I243" s="12" t="b">
        <v>1</v>
      </c>
      <c r="J243" s="12" t="b">
        <v>1</v>
      </c>
      <c r="K243" s="12" t="b">
        <v>0</v>
      </c>
      <c r="L243" s="12" t="b">
        <v>0</v>
      </c>
      <c r="M243" s="12" t="b">
        <v>0</v>
      </c>
      <c r="N243" s="12">
        <v>0</v>
      </c>
      <c r="O243" s="12" t="b">
        <v>0</v>
      </c>
      <c r="P243" s="12" t="b">
        <v>0</v>
      </c>
      <c r="Q243" s="12" t="b">
        <v>0</v>
      </c>
      <c r="R243" s="12" t="b">
        <v>1</v>
      </c>
      <c r="S243" s="12" t="b">
        <v>1</v>
      </c>
      <c r="T243" s="12" t="b">
        <v>1</v>
      </c>
      <c r="U243" s="12" t="b">
        <v>0</v>
      </c>
      <c r="V243" s="12" t="b">
        <v>0</v>
      </c>
      <c r="W243" s="12" t="b">
        <v>0</v>
      </c>
      <c r="X243" s="12">
        <v>1</v>
      </c>
      <c r="Y243" s="12" t="b">
        <v>0</v>
      </c>
      <c r="Z243" s="12" t="b">
        <v>0</v>
      </c>
      <c r="AA243" s="12" t="b">
        <v>0</v>
      </c>
      <c r="AB243" s="12" t="b">
        <v>0</v>
      </c>
      <c r="AC243" s="12" t="b">
        <v>0</v>
      </c>
      <c r="AD243" s="12" t="b">
        <v>1</v>
      </c>
      <c r="AE243" s="12" t="b">
        <v>0</v>
      </c>
      <c r="AF243" s="12" t="b">
        <v>1</v>
      </c>
      <c r="AG243" s="12" t="b">
        <v>0</v>
      </c>
      <c r="AH243" s="12">
        <v>1</v>
      </c>
      <c r="AI243" s="12" t="b">
        <v>0</v>
      </c>
      <c r="AJ243" s="12" t="b">
        <v>0</v>
      </c>
      <c r="AK243" s="12" t="b">
        <v>1</v>
      </c>
      <c r="AL243" s="12">
        <v>1</v>
      </c>
      <c r="AM243" s="12" t="s">
        <v>1476</v>
      </c>
      <c r="AN243" s="12">
        <v>1</v>
      </c>
    </row>
    <row r="244" spans="1:40" x14ac:dyDescent="0.3">
      <c r="A244" s="62" t="s">
        <v>2178</v>
      </c>
      <c r="B244" s="62"/>
      <c r="C244" s="63"/>
      <c r="D244" s="63"/>
      <c r="E244" s="12" t="s">
        <v>910</v>
      </c>
      <c r="F244" s="12" t="s">
        <v>1200</v>
      </c>
      <c r="G244" s="12" t="b">
        <v>0</v>
      </c>
      <c r="H244" s="12" t="b">
        <v>1</v>
      </c>
      <c r="I244" s="12" t="b">
        <v>1</v>
      </c>
      <c r="J244" s="12" t="b">
        <v>1</v>
      </c>
      <c r="K244" s="12" t="b">
        <v>0</v>
      </c>
      <c r="L244" s="12" t="b">
        <v>0</v>
      </c>
      <c r="M244" s="12" t="b">
        <v>0</v>
      </c>
      <c r="N244" s="12">
        <v>0</v>
      </c>
      <c r="O244" s="12" t="b">
        <v>0</v>
      </c>
      <c r="P244" s="12" t="b">
        <v>0</v>
      </c>
      <c r="Q244" s="12" t="b">
        <v>0</v>
      </c>
      <c r="R244" s="12" t="b">
        <v>1</v>
      </c>
      <c r="S244" s="12" t="b">
        <v>1</v>
      </c>
      <c r="T244" s="12" t="b">
        <v>1</v>
      </c>
      <c r="U244" s="12" t="b">
        <v>0</v>
      </c>
      <c r="V244" s="12" t="b">
        <v>0</v>
      </c>
      <c r="W244" s="12" t="b">
        <v>0</v>
      </c>
      <c r="X244" s="12">
        <v>1</v>
      </c>
      <c r="Y244" s="12" t="b">
        <v>0</v>
      </c>
      <c r="Z244" s="12" t="b">
        <v>0</v>
      </c>
      <c r="AA244" s="12" t="b">
        <v>0</v>
      </c>
      <c r="AB244" s="12" t="b">
        <v>0</v>
      </c>
      <c r="AC244" s="12" t="b">
        <v>0</v>
      </c>
      <c r="AD244" s="12" t="b">
        <v>1</v>
      </c>
      <c r="AE244" s="12" t="b">
        <v>0</v>
      </c>
      <c r="AF244" s="12" t="b">
        <v>1</v>
      </c>
      <c r="AG244" s="12" t="b">
        <v>0</v>
      </c>
      <c r="AH244" s="12">
        <v>1</v>
      </c>
      <c r="AI244" s="12" t="b">
        <v>0</v>
      </c>
      <c r="AJ244" s="12" t="b">
        <v>0</v>
      </c>
      <c r="AK244" s="12" t="b">
        <v>1</v>
      </c>
      <c r="AL244" s="12">
        <v>1</v>
      </c>
      <c r="AM244" s="12" t="s">
        <v>1476</v>
      </c>
      <c r="AN244" s="12">
        <v>1</v>
      </c>
    </row>
    <row r="245" spans="1:40" x14ac:dyDescent="0.3">
      <c r="A245" s="62" t="s">
        <v>2178</v>
      </c>
      <c r="B245" s="62"/>
      <c r="C245" s="63"/>
      <c r="D245" s="63"/>
      <c r="E245" s="12" t="s">
        <v>1209</v>
      </c>
      <c r="F245" s="12" t="s">
        <v>1210</v>
      </c>
      <c r="G245" s="12" t="b">
        <v>0</v>
      </c>
      <c r="H245" s="12" t="b">
        <v>1</v>
      </c>
      <c r="I245" s="12" t="b">
        <v>1</v>
      </c>
      <c r="J245" s="12" t="b">
        <v>1</v>
      </c>
      <c r="K245" s="12" t="b">
        <v>0</v>
      </c>
      <c r="L245" s="12" t="b">
        <v>0</v>
      </c>
      <c r="M245" s="12" t="b">
        <v>0</v>
      </c>
      <c r="N245" s="12">
        <v>0</v>
      </c>
      <c r="O245" s="12" t="b">
        <v>0</v>
      </c>
      <c r="P245" s="12" t="b">
        <v>0</v>
      </c>
      <c r="Q245" s="12" t="b">
        <v>0</v>
      </c>
      <c r="R245" s="12" t="b">
        <v>0</v>
      </c>
      <c r="S245" s="12" t="b">
        <v>0</v>
      </c>
      <c r="T245" s="12" t="b">
        <v>1</v>
      </c>
      <c r="U245" s="12" t="b">
        <v>0</v>
      </c>
      <c r="V245" s="12" t="b">
        <v>1</v>
      </c>
      <c r="W245" s="12" t="b">
        <v>0</v>
      </c>
      <c r="X245" s="12">
        <v>1</v>
      </c>
      <c r="Y245" s="12" t="b">
        <v>0</v>
      </c>
      <c r="Z245" s="12" t="b">
        <v>0</v>
      </c>
      <c r="AA245" s="12" t="b">
        <v>1</v>
      </c>
      <c r="AB245" s="12" t="b">
        <v>1</v>
      </c>
      <c r="AC245" s="12" t="b">
        <v>1</v>
      </c>
      <c r="AD245" s="12" t="b">
        <v>1</v>
      </c>
      <c r="AE245" s="12" t="b">
        <v>0</v>
      </c>
      <c r="AF245" s="12" t="b">
        <v>0</v>
      </c>
      <c r="AG245" s="12" t="b">
        <v>0</v>
      </c>
      <c r="AH245" s="12">
        <v>0</v>
      </c>
      <c r="AI245" s="12" t="b">
        <v>0</v>
      </c>
      <c r="AJ245" s="12" t="b">
        <v>0</v>
      </c>
      <c r="AK245" s="12" t="b">
        <v>1</v>
      </c>
      <c r="AL245" s="12">
        <v>1</v>
      </c>
      <c r="AM245" s="12" t="s">
        <v>900</v>
      </c>
      <c r="AN245" s="12">
        <v>1</v>
      </c>
    </row>
    <row r="246" spans="1:40" x14ac:dyDescent="0.3">
      <c r="A246" s="62" t="s">
        <v>2178</v>
      </c>
      <c r="B246" s="62"/>
      <c r="C246" s="63"/>
      <c r="D246" s="63"/>
      <c r="E246" s="12" t="s">
        <v>1205</v>
      </c>
      <c r="F246" s="12" t="s">
        <v>1206</v>
      </c>
      <c r="G246" s="12" t="b">
        <v>0</v>
      </c>
      <c r="H246" s="12" t="b">
        <v>1</v>
      </c>
      <c r="I246" s="12" t="b">
        <v>1</v>
      </c>
      <c r="J246" s="12" t="b">
        <v>1</v>
      </c>
      <c r="K246" s="12" t="b">
        <v>0</v>
      </c>
      <c r="L246" s="12" t="b">
        <v>0</v>
      </c>
      <c r="M246" s="12" t="b">
        <v>0</v>
      </c>
      <c r="N246" s="12">
        <v>0</v>
      </c>
      <c r="O246" s="12" t="b">
        <v>0</v>
      </c>
      <c r="P246" s="12" t="b">
        <v>0</v>
      </c>
      <c r="Q246" s="12" t="b">
        <v>0</v>
      </c>
      <c r="R246" s="12" t="b">
        <v>0</v>
      </c>
      <c r="S246" s="12" t="b">
        <v>0</v>
      </c>
      <c r="T246" s="12" t="b">
        <v>1</v>
      </c>
      <c r="U246" s="12" t="b">
        <v>0</v>
      </c>
      <c r="V246" s="12" t="b">
        <v>1</v>
      </c>
      <c r="W246" s="12" t="b">
        <v>0</v>
      </c>
      <c r="X246" s="12">
        <v>1</v>
      </c>
      <c r="Y246" s="12" t="b">
        <v>0</v>
      </c>
      <c r="Z246" s="12" t="b">
        <v>0</v>
      </c>
      <c r="AA246" s="12" t="b">
        <v>1</v>
      </c>
      <c r="AB246" s="12" t="b">
        <v>1</v>
      </c>
      <c r="AC246" s="12" t="b">
        <v>1</v>
      </c>
      <c r="AD246" s="12" t="b">
        <v>1</v>
      </c>
      <c r="AE246" s="12" t="b">
        <v>0</v>
      </c>
      <c r="AF246" s="12" t="b">
        <v>0</v>
      </c>
      <c r="AG246" s="12" t="b">
        <v>0</v>
      </c>
      <c r="AH246" s="12">
        <v>0</v>
      </c>
      <c r="AI246" s="12" t="b">
        <v>0</v>
      </c>
      <c r="AJ246" s="12" t="b">
        <v>0</v>
      </c>
      <c r="AK246" s="12" t="b">
        <v>1</v>
      </c>
      <c r="AL246" s="12">
        <v>1</v>
      </c>
      <c r="AM246" s="12" t="s">
        <v>900</v>
      </c>
      <c r="AN246" s="12">
        <v>1</v>
      </c>
    </row>
    <row r="247" spans="1:40" x14ac:dyDescent="0.3">
      <c r="A247" s="62" t="s">
        <v>2178</v>
      </c>
      <c r="B247" s="62"/>
      <c r="C247" s="63" t="s">
        <v>1464</v>
      </c>
      <c r="D247" s="52" t="s">
        <v>1630</v>
      </c>
      <c r="E247" s="12" t="s">
        <v>1761</v>
      </c>
      <c r="F247" s="12" t="s">
        <v>1549</v>
      </c>
      <c r="G247" s="12" t="b">
        <v>1</v>
      </c>
      <c r="H247" s="12" t="b">
        <v>1</v>
      </c>
      <c r="I247" s="12" t="b">
        <v>1</v>
      </c>
      <c r="J247" s="12" t="b">
        <v>1</v>
      </c>
      <c r="K247" s="12" t="b">
        <v>0</v>
      </c>
      <c r="L247" s="12" t="b">
        <v>0</v>
      </c>
      <c r="M247" s="12" t="b">
        <v>0</v>
      </c>
      <c r="N247" s="12">
        <v>0</v>
      </c>
      <c r="O247" s="12" t="b">
        <v>0</v>
      </c>
      <c r="P247" s="12" t="b">
        <v>0</v>
      </c>
      <c r="Q247" s="12" t="b">
        <v>0</v>
      </c>
      <c r="R247" s="12" t="b">
        <v>0</v>
      </c>
      <c r="S247" s="12" t="b">
        <v>0</v>
      </c>
      <c r="T247" s="12" t="b">
        <v>1</v>
      </c>
      <c r="U247" s="12" t="b">
        <v>0</v>
      </c>
      <c r="V247" s="12" t="b">
        <v>1</v>
      </c>
      <c r="W247" s="12" t="b">
        <v>0</v>
      </c>
      <c r="X247" s="12">
        <v>1</v>
      </c>
      <c r="Y247" s="12" t="b">
        <v>0</v>
      </c>
      <c r="Z247" s="12" t="b">
        <v>0</v>
      </c>
      <c r="AA247" s="12" t="b">
        <v>0</v>
      </c>
      <c r="AB247" s="12" t="b">
        <v>0</v>
      </c>
      <c r="AC247" s="12" t="b">
        <v>0</v>
      </c>
      <c r="AD247" s="12" t="b">
        <v>1</v>
      </c>
      <c r="AE247" s="12" t="b">
        <v>0</v>
      </c>
      <c r="AF247" s="12" t="b">
        <v>1</v>
      </c>
      <c r="AG247" s="12" t="b">
        <v>1</v>
      </c>
      <c r="AH247" s="12">
        <v>1</v>
      </c>
      <c r="AI247" s="12" t="b">
        <v>0</v>
      </c>
      <c r="AJ247" s="12" t="b">
        <v>0</v>
      </c>
      <c r="AK247" s="12" t="b">
        <v>1</v>
      </c>
      <c r="AL247" s="12">
        <v>1</v>
      </c>
      <c r="AM247" s="12" t="s">
        <v>900</v>
      </c>
      <c r="AN247" s="12">
        <v>1</v>
      </c>
    </row>
    <row r="248" spans="1:40" x14ac:dyDescent="0.3">
      <c r="A248" s="62" t="s">
        <v>2178</v>
      </c>
      <c r="B248" s="62"/>
      <c r="C248" s="63" t="s">
        <v>1466</v>
      </c>
      <c r="D248" s="52" t="s">
        <v>1630</v>
      </c>
      <c r="E248" s="12" t="s">
        <v>1761</v>
      </c>
      <c r="F248" s="12" t="s">
        <v>1549</v>
      </c>
      <c r="G248" s="12" t="b">
        <v>1</v>
      </c>
      <c r="H248" s="12" t="b">
        <v>1</v>
      </c>
      <c r="I248" s="12" t="b">
        <v>1</v>
      </c>
      <c r="J248" s="12" t="b">
        <v>1</v>
      </c>
      <c r="K248" s="12" t="b">
        <v>0</v>
      </c>
      <c r="L248" s="12" t="b">
        <v>0</v>
      </c>
      <c r="M248" s="12" t="b">
        <v>0</v>
      </c>
      <c r="N248" s="12">
        <v>0</v>
      </c>
      <c r="O248" s="12" t="b">
        <v>0</v>
      </c>
      <c r="P248" s="12" t="b">
        <v>0</v>
      </c>
      <c r="Q248" s="12" t="b">
        <v>0</v>
      </c>
      <c r="R248" s="12" t="b">
        <v>0</v>
      </c>
      <c r="S248" s="12" t="b">
        <v>0</v>
      </c>
      <c r="T248" s="12" t="b">
        <v>1</v>
      </c>
      <c r="U248" s="12" t="b">
        <v>0</v>
      </c>
      <c r="V248" s="12" t="b">
        <v>1</v>
      </c>
      <c r="W248" s="12" t="b">
        <v>0</v>
      </c>
      <c r="X248" s="12">
        <v>1</v>
      </c>
      <c r="Y248" s="12" t="b">
        <v>0</v>
      </c>
      <c r="Z248" s="12" t="b">
        <v>0</v>
      </c>
      <c r="AA248" s="12" t="b">
        <v>0</v>
      </c>
      <c r="AB248" s="12" t="b">
        <v>0</v>
      </c>
      <c r="AC248" s="12" t="b">
        <v>0</v>
      </c>
      <c r="AD248" s="12" t="b">
        <v>1</v>
      </c>
      <c r="AE248" s="12" t="b">
        <v>0</v>
      </c>
      <c r="AF248" s="12" t="b">
        <v>1</v>
      </c>
      <c r="AG248" s="12" t="b">
        <v>1</v>
      </c>
      <c r="AH248" s="12">
        <v>1</v>
      </c>
      <c r="AI248" s="12" t="b">
        <v>0</v>
      </c>
      <c r="AJ248" s="12" t="b">
        <v>0</v>
      </c>
      <c r="AK248" s="12" t="b">
        <v>1</v>
      </c>
      <c r="AL248" s="12">
        <v>1</v>
      </c>
      <c r="AM248" s="12" t="s">
        <v>900</v>
      </c>
      <c r="AN248" s="12">
        <v>1</v>
      </c>
    </row>
    <row r="249" spans="1:40" x14ac:dyDescent="0.3">
      <c r="A249" s="62" t="s">
        <v>2178</v>
      </c>
      <c r="B249" s="62"/>
      <c r="C249" s="63" t="s">
        <v>1467</v>
      </c>
      <c r="D249" s="52" t="s">
        <v>1630</v>
      </c>
      <c r="E249" s="12" t="s">
        <v>1761</v>
      </c>
      <c r="F249" s="12" t="s">
        <v>1549</v>
      </c>
      <c r="G249" s="12" t="b">
        <v>1</v>
      </c>
      <c r="H249" s="12" t="b">
        <v>1</v>
      </c>
      <c r="I249" s="12" t="b">
        <v>1</v>
      </c>
      <c r="J249" s="12" t="b">
        <v>1</v>
      </c>
      <c r="K249" s="12" t="b">
        <v>0</v>
      </c>
      <c r="L249" s="12" t="b">
        <v>0</v>
      </c>
      <c r="M249" s="12" t="b">
        <v>0</v>
      </c>
      <c r="N249" s="12">
        <v>0</v>
      </c>
      <c r="O249" s="12" t="b">
        <v>0</v>
      </c>
      <c r="P249" s="12" t="b">
        <v>0</v>
      </c>
      <c r="Q249" s="12" t="b">
        <v>0</v>
      </c>
      <c r="R249" s="12" t="b">
        <v>0</v>
      </c>
      <c r="S249" s="12" t="b">
        <v>0</v>
      </c>
      <c r="T249" s="12" t="b">
        <v>1</v>
      </c>
      <c r="U249" s="12" t="b">
        <v>0</v>
      </c>
      <c r="V249" s="12" t="b">
        <v>1</v>
      </c>
      <c r="W249" s="12" t="b">
        <v>0</v>
      </c>
      <c r="X249" s="12">
        <v>1</v>
      </c>
      <c r="Y249" s="12" t="b">
        <v>0</v>
      </c>
      <c r="Z249" s="12" t="b">
        <v>0</v>
      </c>
      <c r="AA249" s="12" t="b">
        <v>0</v>
      </c>
      <c r="AB249" s="12" t="b">
        <v>0</v>
      </c>
      <c r="AC249" s="12" t="b">
        <v>0</v>
      </c>
      <c r="AD249" s="12" t="b">
        <v>1</v>
      </c>
      <c r="AE249" s="12" t="b">
        <v>0</v>
      </c>
      <c r="AF249" s="12" t="b">
        <v>1</v>
      </c>
      <c r="AG249" s="12" t="b">
        <v>1</v>
      </c>
      <c r="AH249" s="12">
        <v>1</v>
      </c>
      <c r="AI249" s="12" t="b">
        <v>0</v>
      </c>
      <c r="AJ249" s="12" t="b">
        <v>0</v>
      </c>
      <c r="AK249" s="12" t="b">
        <v>1</v>
      </c>
      <c r="AL249" s="12">
        <v>1</v>
      </c>
      <c r="AM249" s="12" t="s">
        <v>900</v>
      </c>
      <c r="AN249" s="12">
        <v>1</v>
      </c>
    </row>
    <row r="250" spans="1:40" x14ac:dyDescent="0.3">
      <c r="A250" s="62" t="s">
        <v>2178</v>
      </c>
      <c r="B250" s="62"/>
      <c r="C250" s="63" t="s">
        <v>1468</v>
      </c>
      <c r="D250" s="52" t="s">
        <v>1630</v>
      </c>
      <c r="E250" s="12" t="s">
        <v>1761</v>
      </c>
      <c r="F250" s="12" t="s">
        <v>1549</v>
      </c>
      <c r="G250" s="12" t="b">
        <v>1</v>
      </c>
      <c r="H250" s="12" t="b">
        <v>1</v>
      </c>
      <c r="I250" s="12" t="b">
        <v>1</v>
      </c>
      <c r="J250" s="12" t="b">
        <v>1</v>
      </c>
      <c r="K250" s="12" t="b">
        <v>0</v>
      </c>
      <c r="L250" s="12" t="b">
        <v>0</v>
      </c>
      <c r="M250" s="12" t="b">
        <v>0</v>
      </c>
      <c r="N250" s="12">
        <v>0</v>
      </c>
      <c r="O250" s="12" t="b">
        <v>0</v>
      </c>
      <c r="P250" s="12" t="b">
        <v>0</v>
      </c>
      <c r="Q250" s="12" t="b">
        <v>0</v>
      </c>
      <c r="R250" s="12" t="b">
        <v>0</v>
      </c>
      <c r="S250" s="12" t="b">
        <v>0</v>
      </c>
      <c r="T250" s="12" t="b">
        <v>1</v>
      </c>
      <c r="U250" s="12" t="b">
        <v>0</v>
      </c>
      <c r="V250" s="12" t="b">
        <v>1</v>
      </c>
      <c r="W250" s="12" t="b">
        <v>0</v>
      </c>
      <c r="X250" s="12">
        <v>1</v>
      </c>
      <c r="Y250" s="12" t="b">
        <v>0</v>
      </c>
      <c r="Z250" s="12" t="b">
        <v>0</v>
      </c>
      <c r="AA250" s="12" t="b">
        <v>0</v>
      </c>
      <c r="AB250" s="12" t="b">
        <v>0</v>
      </c>
      <c r="AC250" s="12" t="b">
        <v>0</v>
      </c>
      <c r="AD250" s="12" t="b">
        <v>1</v>
      </c>
      <c r="AE250" s="12" t="b">
        <v>0</v>
      </c>
      <c r="AF250" s="12" t="b">
        <v>1</v>
      </c>
      <c r="AG250" s="12" t="b">
        <v>1</v>
      </c>
      <c r="AH250" s="12">
        <v>1</v>
      </c>
      <c r="AI250" s="12" t="b">
        <v>0</v>
      </c>
      <c r="AJ250" s="12" t="b">
        <v>0</v>
      </c>
      <c r="AK250" s="12" t="b">
        <v>1</v>
      </c>
      <c r="AL250" s="12">
        <v>1</v>
      </c>
      <c r="AM250" s="12" t="s">
        <v>900</v>
      </c>
      <c r="AN250" s="12">
        <v>1</v>
      </c>
    </row>
    <row r="251" spans="1:40" x14ac:dyDescent="0.3">
      <c r="A251" s="62" t="s">
        <v>2178</v>
      </c>
      <c r="B251" s="62"/>
      <c r="C251" s="63" t="s">
        <v>1469</v>
      </c>
      <c r="D251" s="52" t="s">
        <v>1630</v>
      </c>
      <c r="E251" s="12" t="s">
        <v>1761</v>
      </c>
      <c r="F251" s="12" t="s">
        <v>1549</v>
      </c>
      <c r="G251" s="12" t="b">
        <v>1</v>
      </c>
      <c r="H251" s="12" t="b">
        <v>1</v>
      </c>
      <c r="I251" s="12" t="b">
        <v>1</v>
      </c>
      <c r="J251" s="12" t="b">
        <v>1</v>
      </c>
      <c r="K251" s="12" t="b">
        <v>0</v>
      </c>
      <c r="L251" s="12" t="b">
        <v>0</v>
      </c>
      <c r="M251" s="12" t="b">
        <v>0</v>
      </c>
      <c r="N251" s="12">
        <v>0</v>
      </c>
      <c r="O251" s="12" t="b">
        <v>0</v>
      </c>
      <c r="P251" s="12" t="b">
        <v>0</v>
      </c>
      <c r="Q251" s="12" t="b">
        <v>0</v>
      </c>
      <c r="R251" s="12" t="b">
        <v>0</v>
      </c>
      <c r="S251" s="12" t="b">
        <v>0</v>
      </c>
      <c r="T251" s="12" t="b">
        <v>1</v>
      </c>
      <c r="U251" s="12" t="b">
        <v>0</v>
      </c>
      <c r="V251" s="12" t="b">
        <v>1</v>
      </c>
      <c r="W251" s="12" t="b">
        <v>0</v>
      </c>
      <c r="X251" s="12">
        <v>1</v>
      </c>
      <c r="Y251" s="12" t="b">
        <v>0</v>
      </c>
      <c r="Z251" s="12" t="b">
        <v>0</v>
      </c>
      <c r="AA251" s="12" t="b">
        <v>0</v>
      </c>
      <c r="AB251" s="12" t="b">
        <v>0</v>
      </c>
      <c r="AC251" s="12" t="b">
        <v>0</v>
      </c>
      <c r="AD251" s="12" t="b">
        <v>1</v>
      </c>
      <c r="AE251" s="12" t="b">
        <v>0</v>
      </c>
      <c r="AF251" s="12" t="b">
        <v>1</v>
      </c>
      <c r="AG251" s="12" t="b">
        <v>1</v>
      </c>
      <c r="AH251" s="12">
        <v>1</v>
      </c>
      <c r="AI251" s="12" t="b">
        <v>0</v>
      </c>
      <c r="AJ251" s="12" t="b">
        <v>0</v>
      </c>
      <c r="AK251" s="12" t="b">
        <v>1</v>
      </c>
      <c r="AL251" s="12">
        <v>1</v>
      </c>
      <c r="AM251" s="12" t="s">
        <v>900</v>
      </c>
      <c r="AN251" s="12">
        <v>1</v>
      </c>
    </row>
    <row r="252" spans="1:40" x14ac:dyDescent="0.3">
      <c r="A252" s="62" t="s">
        <v>2178</v>
      </c>
      <c r="B252" s="62"/>
      <c r="C252" s="63" t="s">
        <v>1470</v>
      </c>
      <c r="D252" s="52" t="s">
        <v>1630</v>
      </c>
      <c r="E252" s="12" t="s">
        <v>1761</v>
      </c>
      <c r="F252" s="12" t="s">
        <v>1549</v>
      </c>
      <c r="G252" s="12" t="b">
        <v>1</v>
      </c>
      <c r="H252" s="12" t="b">
        <v>1</v>
      </c>
      <c r="I252" s="12" t="b">
        <v>1</v>
      </c>
      <c r="J252" s="12" t="b">
        <v>1</v>
      </c>
      <c r="K252" s="12" t="b">
        <v>0</v>
      </c>
      <c r="L252" s="12" t="b">
        <v>0</v>
      </c>
      <c r="M252" s="12" t="b">
        <v>0</v>
      </c>
      <c r="N252" s="12">
        <v>0</v>
      </c>
      <c r="O252" s="12" t="b">
        <v>0</v>
      </c>
      <c r="P252" s="12" t="b">
        <v>0</v>
      </c>
      <c r="Q252" s="12" t="b">
        <v>0</v>
      </c>
      <c r="R252" s="12" t="b">
        <v>0</v>
      </c>
      <c r="S252" s="12" t="b">
        <v>0</v>
      </c>
      <c r="T252" s="12" t="b">
        <v>1</v>
      </c>
      <c r="U252" s="12" t="b">
        <v>0</v>
      </c>
      <c r="V252" s="12" t="b">
        <v>1</v>
      </c>
      <c r="W252" s="12" t="b">
        <v>0</v>
      </c>
      <c r="X252" s="12">
        <v>1</v>
      </c>
      <c r="Y252" s="12" t="b">
        <v>0</v>
      </c>
      <c r="Z252" s="12" t="b">
        <v>0</v>
      </c>
      <c r="AA252" s="12" t="b">
        <v>0</v>
      </c>
      <c r="AB252" s="12" t="b">
        <v>0</v>
      </c>
      <c r="AC252" s="12" t="b">
        <v>0</v>
      </c>
      <c r="AD252" s="12" t="b">
        <v>1</v>
      </c>
      <c r="AE252" s="12" t="b">
        <v>0</v>
      </c>
      <c r="AF252" s="12" t="b">
        <v>1</v>
      </c>
      <c r="AG252" s="12" t="b">
        <v>1</v>
      </c>
      <c r="AH252" s="12">
        <v>1</v>
      </c>
      <c r="AI252" s="12" t="b">
        <v>0</v>
      </c>
      <c r="AJ252" s="12" t="b">
        <v>0</v>
      </c>
      <c r="AK252" s="12" t="b">
        <v>1</v>
      </c>
      <c r="AL252" s="12">
        <v>1</v>
      </c>
      <c r="AM252" s="12" t="s">
        <v>900</v>
      </c>
      <c r="AN252" s="12">
        <v>1</v>
      </c>
    </row>
    <row r="253" spans="1:40" x14ac:dyDescent="0.3">
      <c r="A253" s="62" t="s">
        <v>2178</v>
      </c>
      <c r="B253" s="62"/>
      <c r="C253" s="63" t="s">
        <v>1934</v>
      </c>
      <c r="D253" s="52" t="s">
        <v>1630</v>
      </c>
      <c r="E253" s="12" t="s">
        <v>1761</v>
      </c>
      <c r="F253" s="12" t="s">
        <v>1549</v>
      </c>
      <c r="G253" s="12" t="b">
        <v>1</v>
      </c>
      <c r="H253" s="12" t="b">
        <v>1</v>
      </c>
      <c r="I253" s="12" t="b">
        <v>1</v>
      </c>
      <c r="J253" s="12" t="b">
        <v>1</v>
      </c>
      <c r="K253" s="12" t="b">
        <v>0</v>
      </c>
      <c r="L253" s="12" t="b">
        <v>0</v>
      </c>
      <c r="M253" s="12" t="b">
        <v>0</v>
      </c>
      <c r="N253" s="12">
        <v>0</v>
      </c>
      <c r="O253" s="12" t="b">
        <v>0</v>
      </c>
      <c r="P253" s="12" t="b">
        <v>0</v>
      </c>
      <c r="Q253" s="12" t="b">
        <v>0</v>
      </c>
      <c r="R253" s="12" t="b">
        <v>0</v>
      </c>
      <c r="S253" s="12" t="b">
        <v>0</v>
      </c>
      <c r="T253" s="12" t="b">
        <v>1</v>
      </c>
      <c r="U253" s="12" t="b">
        <v>0</v>
      </c>
      <c r="V253" s="12" t="b">
        <v>1</v>
      </c>
      <c r="W253" s="12" t="b">
        <v>0</v>
      </c>
      <c r="X253" s="12">
        <v>1</v>
      </c>
      <c r="Y253" s="12" t="b">
        <v>0</v>
      </c>
      <c r="Z253" s="12" t="b">
        <v>0</v>
      </c>
      <c r="AA253" s="12" t="b">
        <v>0</v>
      </c>
      <c r="AB253" s="12" t="b">
        <v>0</v>
      </c>
      <c r="AC253" s="12" t="b">
        <v>0</v>
      </c>
      <c r="AD253" s="12" t="b">
        <v>1</v>
      </c>
      <c r="AE253" s="12" t="b">
        <v>0</v>
      </c>
      <c r="AF253" s="12" t="b">
        <v>1</v>
      </c>
      <c r="AG253" s="12" t="b">
        <v>1</v>
      </c>
      <c r="AH253" s="12">
        <v>1</v>
      </c>
      <c r="AI253" s="12" t="b">
        <v>0</v>
      </c>
      <c r="AJ253" s="12" t="b">
        <v>0</v>
      </c>
      <c r="AK253" s="12" t="b">
        <v>1</v>
      </c>
      <c r="AL253" s="12">
        <v>1</v>
      </c>
      <c r="AM253" s="12" t="s">
        <v>900</v>
      </c>
      <c r="AN253" s="12">
        <v>1</v>
      </c>
    </row>
    <row r="254" spans="1:40" x14ac:dyDescent="0.3">
      <c r="A254" s="62" t="s">
        <v>2178</v>
      </c>
      <c r="B254" s="62"/>
      <c r="C254" s="63" t="s">
        <v>1935</v>
      </c>
      <c r="D254" s="52" t="s">
        <v>1630</v>
      </c>
      <c r="E254" s="12" t="s">
        <v>1761</v>
      </c>
      <c r="F254" s="12" t="s">
        <v>1549</v>
      </c>
      <c r="G254" s="12" t="b">
        <v>1</v>
      </c>
      <c r="H254" s="12" t="b">
        <v>1</v>
      </c>
      <c r="I254" s="12" t="b">
        <v>1</v>
      </c>
      <c r="J254" s="12" t="b">
        <v>1</v>
      </c>
      <c r="K254" s="12" t="b">
        <v>0</v>
      </c>
      <c r="L254" s="12" t="b">
        <v>0</v>
      </c>
      <c r="M254" s="12" t="b">
        <v>0</v>
      </c>
      <c r="N254" s="12">
        <v>0</v>
      </c>
      <c r="O254" s="12" t="b">
        <v>0</v>
      </c>
      <c r="P254" s="12" t="b">
        <v>0</v>
      </c>
      <c r="Q254" s="12" t="b">
        <v>0</v>
      </c>
      <c r="R254" s="12" t="b">
        <v>0</v>
      </c>
      <c r="S254" s="12" t="b">
        <v>0</v>
      </c>
      <c r="T254" s="12" t="b">
        <v>1</v>
      </c>
      <c r="U254" s="12" t="b">
        <v>0</v>
      </c>
      <c r="V254" s="12" t="b">
        <v>1</v>
      </c>
      <c r="W254" s="12" t="b">
        <v>0</v>
      </c>
      <c r="X254" s="12">
        <v>1</v>
      </c>
      <c r="Y254" s="12" t="b">
        <v>0</v>
      </c>
      <c r="Z254" s="12" t="b">
        <v>0</v>
      </c>
      <c r="AA254" s="12" t="b">
        <v>0</v>
      </c>
      <c r="AB254" s="12" t="b">
        <v>0</v>
      </c>
      <c r="AC254" s="12" t="b">
        <v>0</v>
      </c>
      <c r="AD254" s="12" t="b">
        <v>1</v>
      </c>
      <c r="AE254" s="12" t="b">
        <v>0</v>
      </c>
      <c r="AF254" s="12" t="b">
        <v>1</v>
      </c>
      <c r="AG254" s="12" t="b">
        <v>1</v>
      </c>
      <c r="AH254" s="12">
        <v>1</v>
      </c>
      <c r="AI254" s="12" t="b">
        <v>0</v>
      </c>
      <c r="AJ254" s="12" t="b">
        <v>0</v>
      </c>
      <c r="AK254" s="12" t="b">
        <v>1</v>
      </c>
      <c r="AL254" s="12">
        <v>1</v>
      </c>
      <c r="AM254" s="12" t="s">
        <v>900</v>
      </c>
      <c r="AN254" s="12">
        <v>1</v>
      </c>
    </row>
    <row r="255" spans="1:40" x14ac:dyDescent="0.3">
      <c r="A255" s="62" t="s">
        <v>2178</v>
      </c>
      <c r="B255" s="62"/>
      <c r="C255" s="63" t="s">
        <v>1936</v>
      </c>
      <c r="D255" s="52" t="s">
        <v>1630</v>
      </c>
      <c r="E255" s="12" t="s">
        <v>1761</v>
      </c>
      <c r="F255" s="12" t="s">
        <v>1549</v>
      </c>
      <c r="G255" s="12" t="b">
        <v>1</v>
      </c>
      <c r="H255" s="12" t="b">
        <v>1</v>
      </c>
      <c r="I255" s="12" t="b">
        <v>1</v>
      </c>
      <c r="J255" s="12" t="b">
        <v>1</v>
      </c>
      <c r="K255" s="12" t="b">
        <v>0</v>
      </c>
      <c r="L255" s="12" t="b">
        <v>0</v>
      </c>
      <c r="M255" s="12" t="b">
        <v>0</v>
      </c>
      <c r="N255" s="12">
        <v>0</v>
      </c>
      <c r="O255" s="12" t="b">
        <v>0</v>
      </c>
      <c r="P255" s="12" t="b">
        <v>0</v>
      </c>
      <c r="Q255" s="12" t="b">
        <v>0</v>
      </c>
      <c r="R255" s="12" t="b">
        <v>0</v>
      </c>
      <c r="S255" s="12" t="b">
        <v>0</v>
      </c>
      <c r="T255" s="12" t="b">
        <v>1</v>
      </c>
      <c r="U255" s="12" t="b">
        <v>0</v>
      </c>
      <c r="V255" s="12" t="b">
        <v>1</v>
      </c>
      <c r="W255" s="12" t="b">
        <v>0</v>
      </c>
      <c r="X255" s="12">
        <v>1</v>
      </c>
      <c r="Y255" s="12" t="b">
        <v>0</v>
      </c>
      <c r="Z255" s="12" t="b">
        <v>0</v>
      </c>
      <c r="AA255" s="12" t="b">
        <v>0</v>
      </c>
      <c r="AB255" s="12" t="b">
        <v>0</v>
      </c>
      <c r="AC255" s="12" t="b">
        <v>0</v>
      </c>
      <c r="AD255" s="12" t="b">
        <v>1</v>
      </c>
      <c r="AE255" s="12" t="b">
        <v>0</v>
      </c>
      <c r="AF255" s="12" t="b">
        <v>1</v>
      </c>
      <c r="AG255" s="12" t="b">
        <v>1</v>
      </c>
      <c r="AH255" s="12">
        <v>1</v>
      </c>
      <c r="AI255" s="12" t="b">
        <v>0</v>
      </c>
      <c r="AJ255" s="12" t="b">
        <v>0</v>
      </c>
      <c r="AK255" s="12" t="b">
        <v>1</v>
      </c>
      <c r="AL255" s="12">
        <v>1</v>
      </c>
      <c r="AM255" s="12" t="s">
        <v>900</v>
      </c>
      <c r="AN255" s="12">
        <v>1</v>
      </c>
    </row>
    <row r="256" spans="1:40" x14ac:dyDescent="0.3">
      <c r="A256" s="62" t="s">
        <v>2178</v>
      </c>
      <c r="B256" s="62"/>
      <c r="C256" s="63" t="s">
        <v>1937</v>
      </c>
      <c r="D256" s="52" t="s">
        <v>1630</v>
      </c>
      <c r="E256" s="12" t="s">
        <v>1761</v>
      </c>
      <c r="F256" s="12" t="s">
        <v>1549</v>
      </c>
      <c r="G256" s="12" t="b">
        <v>1</v>
      </c>
      <c r="H256" s="12" t="b">
        <v>1</v>
      </c>
      <c r="I256" s="12" t="b">
        <v>1</v>
      </c>
      <c r="J256" s="12" t="b">
        <v>1</v>
      </c>
      <c r="K256" s="12" t="b">
        <v>0</v>
      </c>
      <c r="L256" s="12" t="b">
        <v>0</v>
      </c>
      <c r="M256" s="12" t="b">
        <v>0</v>
      </c>
      <c r="N256" s="12">
        <v>0</v>
      </c>
      <c r="O256" s="12" t="b">
        <v>0</v>
      </c>
      <c r="P256" s="12" t="b">
        <v>0</v>
      </c>
      <c r="Q256" s="12" t="b">
        <v>0</v>
      </c>
      <c r="R256" s="12" t="b">
        <v>0</v>
      </c>
      <c r="S256" s="12" t="b">
        <v>0</v>
      </c>
      <c r="T256" s="12" t="b">
        <v>1</v>
      </c>
      <c r="U256" s="12" t="b">
        <v>0</v>
      </c>
      <c r="V256" s="12" t="b">
        <v>1</v>
      </c>
      <c r="W256" s="12" t="b">
        <v>0</v>
      </c>
      <c r="X256" s="12">
        <v>1</v>
      </c>
      <c r="Y256" s="12" t="b">
        <v>0</v>
      </c>
      <c r="Z256" s="12" t="b">
        <v>0</v>
      </c>
      <c r="AA256" s="12" t="b">
        <v>0</v>
      </c>
      <c r="AB256" s="12" t="b">
        <v>0</v>
      </c>
      <c r="AC256" s="12" t="b">
        <v>0</v>
      </c>
      <c r="AD256" s="12" t="b">
        <v>1</v>
      </c>
      <c r="AE256" s="12" t="b">
        <v>0</v>
      </c>
      <c r="AF256" s="12" t="b">
        <v>1</v>
      </c>
      <c r="AG256" s="12" t="b">
        <v>1</v>
      </c>
      <c r="AH256" s="12">
        <v>1</v>
      </c>
      <c r="AI256" s="12" t="b">
        <v>0</v>
      </c>
      <c r="AJ256" s="12" t="b">
        <v>0</v>
      </c>
      <c r="AK256" s="12" t="b">
        <v>1</v>
      </c>
      <c r="AL256" s="12">
        <v>1</v>
      </c>
      <c r="AM256" s="12" t="s">
        <v>900</v>
      </c>
      <c r="AN256" s="12">
        <v>1</v>
      </c>
    </row>
    <row r="257" spans="1:40" x14ac:dyDescent="0.3">
      <c r="A257" s="62" t="s">
        <v>2178</v>
      </c>
      <c r="B257" s="62"/>
      <c r="C257" s="63" t="s">
        <v>1938</v>
      </c>
      <c r="D257" s="52" t="s">
        <v>1630</v>
      </c>
      <c r="E257" s="12" t="s">
        <v>1761</v>
      </c>
      <c r="F257" s="12" t="s">
        <v>1549</v>
      </c>
      <c r="G257" s="12" t="b">
        <v>1</v>
      </c>
      <c r="H257" s="12" t="b">
        <v>1</v>
      </c>
      <c r="I257" s="12" t="b">
        <v>1</v>
      </c>
      <c r="J257" s="12" t="b">
        <v>1</v>
      </c>
      <c r="K257" s="12" t="b">
        <v>0</v>
      </c>
      <c r="L257" s="12" t="b">
        <v>0</v>
      </c>
      <c r="M257" s="12" t="b">
        <v>0</v>
      </c>
      <c r="N257" s="12">
        <v>0</v>
      </c>
      <c r="O257" s="12" t="b">
        <v>0</v>
      </c>
      <c r="P257" s="12" t="b">
        <v>0</v>
      </c>
      <c r="Q257" s="12" t="b">
        <v>0</v>
      </c>
      <c r="R257" s="12" t="b">
        <v>0</v>
      </c>
      <c r="S257" s="12" t="b">
        <v>0</v>
      </c>
      <c r="T257" s="12" t="b">
        <v>1</v>
      </c>
      <c r="U257" s="12" t="b">
        <v>0</v>
      </c>
      <c r="V257" s="12" t="b">
        <v>1</v>
      </c>
      <c r="W257" s="12" t="b">
        <v>0</v>
      </c>
      <c r="X257" s="12">
        <v>1</v>
      </c>
      <c r="Y257" s="12" t="b">
        <v>0</v>
      </c>
      <c r="Z257" s="12" t="b">
        <v>0</v>
      </c>
      <c r="AA257" s="12" t="b">
        <v>0</v>
      </c>
      <c r="AB257" s="12" t="b">
        <v>0</v>
      </c>
      <c r="AC257" s="12" t="b">
        <v>0</v>
      </c>
      <c r="AD257" s="12" t="b">
        <v>1</v>
      </c>
      <c r="AE257" s="12" t="b">
        <v>0</v>
      </c>
      <c r="AF257" s="12" t="b">
        <v>1</v>
      </c>
      <c r="AG257" s="12" t="b">
        <v>1</v>
      </c>
      <c r="AH257" s="12">
        <v>1</v>
      </c>
      <c r="AI257" s="12" t="b">
        <v>0</v>
      </c>
      <c r="AJ257" s="12" t="b">
        <v>0</v>
      </c>
      <c r="AK257" s="12" t="b">
        <v>1</v>
      </c>
      <c r="AL257" s="12">
        <v>1</v>
      </c>
      <c r="AM257" s="12" t="s">
        <v>900</v>
      </c>
      <c r="AN257" s="12">
        <v>1</v>
      </c>
    </row>
    <row r="258" spans="1:40" x14ac:dyDescent="0.3">
      <c r="A258" s="62" t="s">
        <v>2178</v>
      </c>
      <c r="B258" s="62"/>
      <c r="C258" s="63" t="s">
        <v>1939</v>
      </c>
      <c r="D258" s="52" t="s">
        <v>1630</v>
      </c>
      <c r="E258" s="12" t="s">
        <v>1761</v>
      </c>
      <c r="F258" s="12" t="s">
        <v>1549</v>
      </c>
      <c r="G258" s="12" t="b">
        <v>1</v>
      </c>
      <c r="H258" s="12" t="b">
        <v>1</v>
      </c>
      <c r="I258" s="12" t="b">
        <v>1</v>
      </c>
      <c r="J258" s="12" t="b">
        <v>1</v>
      </c>
      <c r="K258" s="12" t="b">
        <v>0</v>
      </c>
      <c r="L258" s="12" t="b">
        <v>0</v>
      </c>
      <c r="M258" s="12" t="b">
        <v>0</v>
      </c>
      <c r="N258" s="12">
        <v>0</v>
      </c>
      <c r="O258" s="12" t="b">
        <v>0</v>
      </c>
      <c r="P258" s="12" t="b">
        <v>0</v>
      </c>
      <c r="Q258" s="12" t="b">
        <v>0</v>
      </c>
      <c r="R258" s="12" t="b">
        <v>0</v>
      </c>
      <c r="S258" s="12" t="b">
        <v>0</v>
      </c>
      <c r="T258" s="12" t="b">
        <v>1</v>
      </c>
      <c r="U258" s="12" t="b">
        <v>0</v>
      </c>
      <c r="V258" s="12" t="b">
        <v>1</v>
      </c>
      <c r="W258" s="12" t="b">
        <v>0</v>
      </c>
      <c r="X258" s="12">
        <v>1</v>
      </c>
      <c r="Y258" s="12" t="b">
        <v>0</v>
      </c>
      <c r="Z258" s="12" t="b">
        <v>0</v>
      </c>
      <c r="AA258" s="12" t="b">
        <v>0</v>
      </c>
      <c r="AB258" s="12" t="b">
        <v>0</v>
      </c>
      <c r="AC258" s="12" t="b">
        <v>0</v>
      </c>
      <c r="AD258" s="12" t="b">
        <v>1</v>
      </c>
      <c r="AE258" s="12" t="b">
        <v>0</v>
      </c>
      <c r="AF258" s="12" t="b">
        <v>1</v>
      </c>
      <c r="AG258" s="12" t="b">
        <v>1</v>
      </c>
      <c r="AH258" s="12">
        <v>1</v>
      </c>
      <c r="AI258" s="12" t="b">
        <v>0</v>
      </c>
      <c r="AJ258" s="12" t="b">
        <v>0</v>
      </c>
      <c r="AK258" s="12" t="b">
        <v>1</v>
      </c>
      <c r="AL258" s="12">
        <v>1</v>
      </c>
      <c r="AM258" s="12" t="s">
        <v>900</v>
      </c>
      <c r="AN258" s="12">
        <v>1</v>
      </c>
    </row>
    <row r="259" spans="1:40" x14ac:dyDescent="0.3">
      <c r="A259" s="62" t="s">
        <v>2178</v>
      </c>
      <c r="B259" s="62"/>
      <c r="C259" s="63"/>
      <c r="D259" s="63"/>
      <c r="E259" s="12" t="s">
        <v>1017</v>
      </c>
      <c r="F259" s="12" t="s">
        <v>1233</v>
      </c>
      <c r="G259" s="12" t="b">
        <v>1</v>
      </c>
      <c r="H259" s="12" t="b">
        <v>1</v>
      </c>
      <c r="I259" s="12" t="b">
        <v>1</v>
      </c>
      <c r="J259" s="12" t="b">
        <v>1</v>
      </c>
      <c r="K259" s="12" t="b">
        <v>0</v>
      </c>
      <c r="L259" s="12" t="b">
        <v>0</v>
      </c>
      <c r="M259" s="12" t="b">
        <v>0</v>
      </c>
      <c r="N259" s="12">
        <v>0</v>
      </c>
      <c r="O259" s="12" t="b">
        <v>0</v>
      </c>
      <c r="P259" s="12" t="b">
        <v>0</v>
      </c>
      <c r="Q259" s="12" t="b">
        <v>0</v>
      </c>
      <c r="R259" s="12" t="b">
        <v>0</v>
      </c>
      <c r="S259" s="12" t="b">
        <v>0</v>
      </c>
      <c r="T259" s="12" t="b">
        <v>1</v>
      </c>
      <c r="U259" s="12" t="b">
        <v>0</v>
      </c>
      <c r="V259" s="12" t="b">
        <v>1</v>
      </c>
      <c r="W259" s="12" t="b">
        <v>0</v>
      </c>
      <c r="X259" s="12">
        <v>1</v>
      </c>
      <c r="Y259" s="12" t="b">
        <v>0</v>
      </c>
      <c r="Z259" s="12" t="b">
        <v>0</v>
      </c>
      <c r="AA259" s="12" t="b">
        <v>0</v>
      </c>
      <c r="AB259" s="12" t="b">
        <v>0</v>
      </c>
      <c r="AC259" s="12" t="b">
        <v>0</v>
      </c>
      <c r="AD259" s="12" t="b">
        <v>1</v>
      </c>
      <c r="AE259" s="12" t="b">
        <v>0</v>
      </c>
      <c r="AF259" s="12" t="b">
        <v>1</v>
      </c>
      <c r="AG259" s="12" t="b">
        <v>0</v>
      </c>
      <c r="AH259" s="12">
        <v>1</v>
      </c>
      <c r="AI259" s="12" t="b">
        <v>0</v>
      </c>
      <c r="AJ259" s="12" t="b">
        <v>0</v>
      </c>
      <c r="AK259" s="12" t="b">
        <v>1</v>
      </c>
      <c r="AL259" s="12">
        <v>1</v>
      </c>
      <c r="AM259" s="12" t="s">
        <v>900</v>
      </c>
      <c r="AN259" s="12">
        <v>1</v>
      </c>
    </row>
    <row r="260" spans="1:40" x14ac:dyDescent="0.3">
      <c r="A260" s="62" t="s">
        <v>2178</v>
      </c>
      <c r="B260" s="62"/>
      <c r="C260" s="63"/>
      <c r="D260" s="63"/>
      <c r="E260" s="12" t="s">
        <v>1019</v>
      </c>
      <c r="F260" s="12" t="s">
        <v>1234</v>
      </c>
      <c r="G260" s="12" t="b">
        <v>0</v>
      </c>
      <c r="H260" s="12" t="b">
        <v>1</v>
      </c>
      <c r="I260" s="12" t="b">
        <v>1</v>
      </c>
      <c r="J260" s="12" t="b">
        <v>1</v>
      </c>
      <c r="K260" s="12" t="b">
        <v>0</v>
      </c>
      <c r="L260" s="12" t="b">
        <v>1</v>
      </c>
      <c r="M260" s="12" t="b">
        <v>0</v>
      </c>
      <c r="N260" s="12">
        <v>0</v>
      </c>
      <c r="O260" s="12" t="b">
        <v>0</v>
      </c>
      <c r="P260" s="12" t="b">
        <v>0</v>
      </c>
      <c r="Q260" s="12" t="b">
        <v>0</v>
      </c>
      <c r="R260" s="12" t="b">
        <v>0</v>
      </c>
      <c r="S260" s="12" t="b">
        <v>0</v>
      </c>
      <c r="T260" s="12" t="b">
        <v>1</v>
      </c>
      <c r="U260" s="12" t="b">
        <v>0</v>
      </c>
      <c r="V260" s="12" t="b">
        <v>1</v>
      </c>
      <c r="W260" s="12" t="b">
        <v>0</v>
      </c>
      <c r="X260" s="12">
        <v>1</v>
      </c>
      <c r="Y260" s="12" t="b">
        <v>0</v>
      </c>
      <c r="Z260" s="12" t="b">
        <v>0</v>
      </c>
      <c r="AA260" s="12" t="b">
        <v>1</v>
      </c>
      <c r="AB260" s="12" t="b">
        <v>1</v>
      </c>
      <c r="AC260" s="12" t="b">
        <v>1</v>
      </c>
      <c r="AD260" s="12" t="b">
        <v>1</v>
      </c>
      <c r="AE260" s="12" t="b">
        <v>0</v>
      </c>
      <c r="AF260" s="12" t="b">
        <v>0</v>
      </c>
      <c r="AG260" s="12" t="b">
        <v>0</v>
      </c>
      <c r="AH260" s="12">
        <v>0</v>
      </c>
      <c r="AI260" s="12" t="b">
        <v>0</v>
      </c>
      <c r="AJ260" s="12" t="b">
        <v>0</v>
      </c>
      <c r="AK260" s="12" t="b">
        <v>1</v>
      </c>
      <c r="AL260" s="12">
        <v>1</v>
      </c>
      <c r="AM260" s="12" t="s">
        <v>900</v>
      </c>
      <c r="AN260" s="12">
        <v>1</v>
      </c>
    </row>
    <row r="261" spans="1:40" x14ac:dyDescent="0.3">
      <c r="A261" s="62" t="s">
        <v>2178</v>
      </c>
      <c r="B261" s="62"/>
      <c r="C261" s="63"/>
      <c r="D261" s="63"/>
      <c r="E261" s="12" t="s">
        <v>1314</v>
      </c>
      <c r="F261" s="12" t="s">
        <v>1315</v>
      </c>
      <c r="G261" s="12" t="b">
        <v>0</v>
      </c>
      <c r="H261" s="12" t="b">
        <v>1</v>
      </c>
      <c r="I261" s="12" t="b">
        <v>1</v>
      </c>
      <c r="J261" s="12" t="b">
        <v>1</v>
      </c>
      <c r="K261" s="12" t="b">
        <v>0</v>
      </c>
      <c r="L261" s="12" t="b">
        <v>0</v>
      </c>
      <c r="M261" s="12" t="b">
        <v>0</v>
      </c>
      <c r="N261" s="12">
        <v>0</v>
      </c>
      <c r="O261" s="12" t="b">
        <v>0</v>
      </c>
      <c r="P261" s="12" t="b">
        <v>0</v>
      </c>
      <c r="Q261" s="12" t="b">
        <v>0</v>
      </c>
      <c r="R261" s="12" t="b">
        <v>0</v>
      </c>
      <c r="S261" s="12" t="b">
        <v>0</v>
      </c>
      <c r="T261" s="12" t="b">
        <v>0</v>
      </c>
      <c r="U261" s="12" t="b">
        <v>0</v>
      </c>
      <c r="V261" s="12" t="b">
        <v>0</v>
      </c>
      <c r="W261" s="12" t="b">
        <v>0</v>
      </c>
      <c r="X261" s="12">
        <v>12</v>
      </c>
      <c r="Y261" s="12" t="b">
        <v>0</v>
      </c>
      <c r="Z261" s="12" t="b">
        <v>0</v>
      </c>
      <c r="AA261" s="12" t="b">
        <v>0</v>
      </c>
      <c r="AB261" s="12" t="b">
        <v>0</v>
      </c>
      <c r="AC261" s="12" t="b">
        <v>0</v>
      </c>
      <c r="AD261" s="12" t="b">
        <v>0</v>
      </c>
      <c r="AE261" s="12" t="b">
        <v>0</v>
      </c>
      <c r="AF261" s="12" t="b">
        <v>0</v>
      </c>
      <c r="AG261" s="12" t="b">
        <v>0</v>
      </c>
      <c r="AH261" s="12">
        <v>5</v>
      </c>
      <c r="AI261" s="12" t="b">
        <v>0</v>
      </c>
      <c r="AJ261" s="12" t="b">
        <v>0</v>
      </c>
      <c r="AK261" s="12" t="b">
        <v>1</v>
      </c>
      <c r="AL261" s="12">
        <v>1</v>
      </c>
      <c r="AM261" s="12" t="s">
        <v>1476</v>
      </c>
      <c r="AN261" s="12">
        <v>1</v>
      </c>
    </row>
    <row r="262" spans="1:40" x14ac:dyDescent="0.3">
      <c r="A262" s="62" t="s">
        <v>2178</v>
      </c>
      <c r="B262" s="62"/>
      <c r="C262" s="63"/>
      <c r="D262" s="63"/>
      <c r="E262" s="12" t="s">
        <v>1316</v>
      </c>
      <c r="F262" s="12" t="s">
        <v>1317</v>
      </c>
      <c r="G262" s="12" t="b">
        <v>0</v>
      </c>
      <c r="H262" s="12" t="b">
        <v>1</v>
      </c>
      <c r="I262" s="12" t="b">
        <v>1</v>
      </c>
      <c r="J262" s="12" t="b">
        <v>1</v>
      </c>
      <c r="K262" s="12" t="b">
        <v>0</v>
      </c>
      <c r="L262" s="12" t="b">
        <v>1</v>
      </c>
      <c r="M262" s="12" t="b">
        <v>0</v>
      </c>
      <c r="N262" s="12">
        <v>0</v>
      </c>
      <c r="O262" s="12" t="b">
        <v>0</v>
      </c>
      <c r="P262" s="12" t="b">
        <v>0</v>
      </c>
      <c r="Q262" s="12" t="b">
        <v>0</v>
      </c>
      <c r="R262" s="12" t="b">
        <v>0</v>
      </c>
      <c r="S262" s="12" t="b">
        <v>0</v>
      </c>
      <c r="T262" s="12" t="b">
        <v>0</v>
      </c>
      <c r="U262" s="12" t="b">
        <v>0</v>
      </c>
      <c r="V262" s="12" t="b">
        <v>0</v>
      </c>
      <c r="W262" s="12" t="b">
        <v>0</v>
      </c>
      <c r="X262" s="12">
        <v>12</v>
      </c>
      <c r="Y262" s="12" t="b">
        <v>0</v>
      </c>
      <c r="Z262" s="12" t="b">
        <v>0</v>
      </c>
      <c r="AA262" s="12" t="b">
        <v>0</v>
      </c>
      <c r="AB262" s="12" t="b">
        <v>0</v>
      </c>
      <c r="AC262" s="12" t="b">
        <v>0</v>
      </c>
      <c r="AD262" s="12" t="b">
        <v>0</v>
      </c>
      <c r="AE262" s="12" t="b">
        <v>0</v>
      </c>
      <c r="AF262" s="12" t="b">
        <v>0</v>
      </c>
      <c r="AG262" s="12" t="b">
        <v>0</v>
      </c>
      <c r="AH262" s="12">
        <v>7</v>
      </c>
      <c r="AI262" s="12" t="b">
        <v>0</v>
      </c>
      <c r="AJ262" s="12" t="b">
        <v>0</v>
      </c>
      <c r="AK262" s="12" t="b">
        <v>1</v>
      </c>
      <c r="AL262" s="12">
        <v>1</v>
      </c>
      <c r="AM262" s="12" t="s">
        <v>1476</v>
      </c>
      <c r="AN262" s="12">
        <v>1</v>
      </c>
    </row>
    <row r="263" spans="1:40" x14ac:dyDescent="0.3">
      <c r="A263" s="62" t="s">
        <v>2178</v>
      </c>
      <c r="B263" s="62"/>
      <c r="C263" s="63"/>
      <c r="D263" s="63"/>
      <c r="E263" s="12" t="s">
        <v>1528</v>
      </c>
      <c r="F263" s="12" t="s">
        <v>1566</v>
      </c>
      <c r="G263" s="12" t="b">
        <v>0</v>
      </c>
      <c r="H263" s="12" t="b">
        <v>1</v>
      </c>
      <c r="I263" s="12" t="b">
        <v>1</v>
      </c>
      <c r="J263" s="12" t="b">
        <v>1</v>
      </c>
      <c r="K263" s="12" t="b">
        <v>0</v>
      </c>
      <c r="L263" s="12" t="b">
        <v>0</v>
      </c>
      <c r="M263" s="12" t="b">
        <v>0</v>
      </c>
      <c r="N263" s="12">
        <v>0</v>
      </c>
      <c r="O263" s="12" t="b">
        <v>0</v>
      </c>
      <c r="P263" s="12" t="b">
        <v>0</v>
      </c>
      <c r="Q263" s="12" t="b">
        <v>0</v>
      </c>
      <c r="R263" s="12" t="b">
        <v>0</v>
      </c>
      <c r="S263" s="12" t="b">
        <v>0</v>
      </c>
      <c r="T263" s="12" t="b">
        <v>0</v>
      </c>
      <c r="U263" s="12" t="b">
        <v>0</v>
      </c>
      <c r="V263" s="12" t="b">
        <v>0</v>
      </c>
      <c r="W263" s="12" t="b">
        <v>0</v>
      </c>
      <c r="X263" s="12">
        <v>1</v>
      </c>
      <c r="Y263" s="12" t="b">
        <v>0</v>
      </c>
      <c r="Z263" s="12" t="b">
        <v>0</v>
      </c>
      <c r="AA263" s="12" t="b">
        <v>1</v>
      </c>
      <c r="AB263" s="12" t="b">
        <v>1</v>
      </c>
      <c r="AC263" s="12" t="b">
        <v>1</v>
      </c>
      <c r="AD263" s="12" t="b">
        <v>1</v>
      </c>
      <c r="AE263" s="12" t="b">
        <v>0</v>
      </c>
      <c r="AF263" s="12" t="b">
        <v>0</v>
      </c>
      <c r="AG263" s="12" t="b">
        <v>0</v>
      </c>
      <c r="AH263" s="12">
        <v>1</v>
      </c>
      <c r="AI263" s="12" t="b">
        <v>0</v>
      </c>
      <c r="AJ263" s="12" t="b">
        <v>0</v>
      </c>
      <c r="AK263" s="12" t="b">
        <v>1</v>
      </c>
      <c r="AL263" s="12">
        <v>0</v>
      </c>
      <c r="AM263" s="12" t="s">
        <v>922</v>
      </c>
      <c r="AN263" s="12">
        <v>0</v>
      </c>
    </row>
    <row r="264" spans="1:40" x14ac:dyDescent="0.3">
      <c r="A264" s="62" t="s">
        <v>2178</v>
      </c>
      <c r="B264" s="62"/>
      <c r="C264" s="63"/>
      <c r="D264" s="63"/>
      <c r="E264" s="12" t="s">
        <v>1523</v>
      </c>
      <c r="F264" s="12" t="s">
        <v>1567</v>
      </c>
      <c r="G264" s="12" t="b">
        <v>0</v>
      </c>
      <c r="H264" s="12" t="b">
        <v>1</v>
      </c>
      <c r="I264" s="12" t="b">
        <v>1</v>
      </c>
      <c r="J264" s="12" t="b">
        <v>1</v>
      </c>
      <c r="K264" s="12" t="b">
        <v>0</v>
      </c>
      <c r="L264" s="12" t="b">
        <v>0</v>
      </c>
      <c r="M264" s="12" t="b">
        <v>0</v>
      </c>
      <c r="N264" s="12">
        <v>0</v>
      </c>
      <c r="O264" s="12" t="b">
        <v>0</v>
      </c>
      <c r="P264" s="12" t="b">
        <v>0</v>
      </c>
      <c r="Q264" s="12" t="b">
        <v>0</v>
      </c>
      <c r="R264" s="12" t="b">
        <v>0</v>
      </c>
      <c r="S264" s="12" t="b">
        <v>0</v>
      </c>
      <c r="T264" s="12" t="b">
        <v>0</v>
      </c>
      <c r="U264" s="12" t="b">
        <v>0</v>
      </c>
      <c r="V264" s="12" t="b">
        <v>0</v>
      </c>
      <c r="W264" s="12" t="b">
        <v>0</v>
      </c>
      <c r="X264" s="12">
        <v>1</v>
      </c>
      <c r="Y264" s="12" t="b">
        <v>0</v>
      </c>
      <c r="Z264" s="12" t="b">
        <v>0</v>
      </c>
      <c r="AA264" s="12" t="b">
        <v>1</v>
      </c>
      <c r="AB264" s="12" t="b">
        <v>1</v>
      </c>
      <c r="AC264" s="12" t="b">
        <v>1</v>
      </c>
      <c r="AD264" s="12" t="b">
        <v>1</v>
      </c>
      <c r="AE264" s="12" t="b">
        <v>0</v>
      </c>
      <c r="AF264" s="12" t="b">
        <v>0</v>
      </c>
      <c r="AG264" s="12" t="b">
        <v>0</v>
      </c>
      <c r="AH264" s="12">
        <v>1</v>
      </c>
      <c r="AI264" s="12" t="b">
        <v>0</v>
      </c>
      <c r="AJ264" s="12" t="b">
        <v>0</v>
      </c>
      <c r="AK264" s="12" t="b">
        <v>1</v>
      </c>
      <c r="AL264" s="12">
        <v>0</v>
      </c>
      <c r="AM264" s="12" t="s">
        <v>922</v>
      </c>
      <c r="AN264" s="12">
        <v>0</v>
      </c>
    </row>
    <row r="265" spans="1:40" x14ac:dyDescent="0.3">
      <c r="A265" s="62" t="s">
        <v>2178</v>
      </c>
      <c r="B265" s="62"/>
      <c r="C265" s="63"/>
      <c r="D265" s="63"/>
      <c r="E265" s="12" t="s">
        <v>1522</v>
      </c>
      <c r="F265" s="12" t="s">
        <v>1572</v>
      </c>
      <c r="G265" s="12" t="b">
        <v>0</v>
      </c>
      <c r="H265" s="12" t="b">
        <v>1</v>
      </c>
      <c r="I265" s="12" t="b">
        <v>1</v>
      </c>
      <c r="J265" s="12" t="b">
        <v>1</v>
      </c>
      <c r="K265" s="12" t="b">
        <v>0</v>
      </c>
      <c r="L265" s="12" t="b">
        <v>0</v>
      </c>
      <c r="M265" s="12" t="b">
        <v>0</v>
      </c>
      <c r="N265" s="12">
        <v>0</v>
      </c>
      <c r="O265" s="12" t="b">
        <v>0</v>
      </c>
      <c r="P265" s="12" t="b">
        <v>0</v>
      </c>
      <c r="Q265" s="12" t="b">
        <v>0</v>
      </c>
      <c r="R265" s="12" t="b">
        <v>0</v>
      </c>
      <c r="S265" s="12" t="b">
        <v>0</v>
      </c>
      <c r="T265" s="12" t="b">
        <v>0</v>
      </c>
      <c r="U265" s="12" t="b">
        <v>0</v>
      </c>
      <c r="V265" s="12" t="b">
        <v>0</v>
      </c>
      <c r="W265" s="12" t="b">
        <v>0</v>
      </c>
      <c r="X265" s="12">
        <v>1</v>
      </c>
      <c r="Y265" s="12" t="b">
        <v>0</v>
      </c>
      <c r="Z265" s="12" t="b">
        <v>0</v>
      </c>
      <c r="AA265" s="12" t="b">
        <v>1</v>
      </c>
      <c r="AB265" s="12" t="b">
        <v>1</v>
      </c>
      <c r="AC265" s="12" t="b">
        <v>1</v>
      </c>
      <c r="AD265" s="12" t="b">
        <v>1</v>
      </c>
      <c r="AE265" s="12" t="b">
        <v>0</v>
      </c>
      <c r="AF265" s="12" t="b">
        <v>0</v>
      </c>
      <c r="AG265" s="12" t="b">
        <v>0</v>
      </c>
      <c r="AH265" s="12">
        <v>1</v>
      </c>
      <c r="AI265" s="12" t="b">
        <v>0</v>
      </c>
      <c r="AJ265" s="12" t="b">
        <v>0</v>
      </c>
      <c r="AK265" s="12" t="b">
        <v>1</v>
      </c>
      <c r="AL265" s="12">
        <v>0</v>
      </c>
      <c r="AM265" s="12" t="s">
        <v>922</v>
      </c>
      <c r="AN265" s="12">
        <v>0</v>
      </c>
    </row>
    <row r="266" spans="1:40" x14ac:dyDescent="0.3">
      <c r="A266" s="62" t="s">
        <v>2178</v>
      </c>
      <c r="B266" s="62"/>
      <c r="C266" s="63"/>
      <c r="D266" s="63"/>
      <c r="E266" s="12" t="s">
        <v>1254</v>
      </c>
      <c r="F266" s="12" t="s">
        <v>1255</v>
      </c>
      <c r="G266" s="12" t="b">
        <v>0</v>
      </c>
      <c r="H266" s="12" t="b">
        <v>0</v>
      </c>
      <c r="I266" s="12" t="b">
        <v>0</v>
      </c>
      <c r="J266" s="12" t="b">
        <v>1</v>
      </c>
      <c r="K266" s="12" t="b">
        <v>0</v>
      </c>
      <c r="L266" s="12" t="b">
        <v>1</v>
      </c>
      <c r="M266" s="12" t="b">
        <v>0</v>
      </c>
      <c r="N266" s="12">
        <v>0</v>
      </c>
      <c r="O266" s="12" t="b">
        <v>0</v>
      </c>
      <c r="P266" s="12" t="b">
        <v>0</v>
      </c>
      <c r="Q266" s="12" t="b">
        <v>0</v>
      </c>
      <c r="R266" s="12" t="b">
        <v>0</v>
      </c>
      <c r="S266" s="12" t="b">
        <v>0</v>
      </c>
      <c r="T266" s="12" t="b">
        <v>1</v>
      </c>
      <c r="U266" s="12" t="b">
        <v>0</v>
      </c>
      <c r="V266" s="12" t="b">
        <v>1</v>
      </c>
      <c r="W266" s="12" t="b">
        <v>0</v>
      </c>
      <c r="X266" s="12">
        <v>1</v>
      </c>
      <c r="Y266" s="12" t="b">
        <v>0</v>
      </c>
      <c r="Z266" s="12" t="b">
        <v>0</v>
      </c>
      <c r="AA266" s="12" t="b">
        <v>0</v>
      </c>
      <c r="AB266" s="12" t="b">
        <v>0</v>
      </c>
      <c r="AC266" s="12" t="b">
        <v>0</v>
      </c>
      <c r="AD266" s="12" t="b">
        <v>1</v>
      </c>
      <c r="AE266" s="12" t="b">
        <v>0</v>
      </c>
      <c r="AF266" s="12" t="b">
        <v>1</v>
      </c>
      <c r="AG266" s="12" t="b">
        <v>0</v>
      </c>
      <c r="AH266" s="12">
        <v>1</v>
      </c>
      <c r="AI266" s="12" t="b">
        <v>0</v>
      </c>
      <c r="AJ266" s="12" t="b">
        <v>0</v>
      </c>
      <c r="AK266" s="12" t="b">
        <v>1</v>
      </c>
      <c r="AL266" s="12">
        <v>0</v>
      </c>
      <c r="AM266" s="12" t="s">
        <v>922</v>
      </c>
      <c r="AN266" s="12">
        <v>0</v>
      </c>
    </row>
    <row r="267" spans="1:40" x14ac:dyDescent="0.3">
      <c r="A267" s="62" t="s">
        <v>2178</v>
      </c>
      <c r="B267" s="62"/>
      <c r="C267" s="63"/>
      <c r="D267" s="63"/>
      <c r="E267" s="12" t="s">
        <v>1256</v>
      </c>
      <c r="F267" s="12" t="s">
        <v>1257</v>
      </c>
      <c r="G267" s="12" t="b">
        <v>0</v>
      </c>
      <c r="H267" s="12" t="b">
        <v>0</v>
      </c>
      <c r="I267" s="12" t="b">
        <v>0</v>
      </c>
      <c r="J267" s="12" t="b">
        <v>1</v>
      </c>
      <c r="K267" s="12" t="b">
        <v>0</v>
      </c>
      <c r="L267" s="12" t="b">
        <v>1</v>
      </c>
      <c r="M267" s="12" t="b">
        <v>0</v>
      </c>
      <c r="N267" s="12">
        <v>0</v>
      </c>
      <c r="O267" s="12" t="b">
        <v>0</v>
      </c>
      <c r="P267" s="12" t="b">
        <v>0</v>
      </c>
      <c r="Q267" s="12" t="b">
        <v>0</v>
      </c>
      <c r="R267" s="12" t="b">
        <v>0</v>
      </c>
      <c r="S267" s="12" t="b">
        <v>0</v>
      </c>
      <c r="T267" s="12" t="b">
        <v>1</v>
      </c>
      <c r="U267" s="12" t="b">
        <v>0</v>
      </c>
      <c r="V267" s="12" t="b">
        <v>1</v>
      </c>
      <c r="W267" s="12" t="b">
        <v>0</v>
      </c>
      <c r="X267" s="12">
        <v>1</v>
      </c>
      <c r="Y267" s="12" t="b">
        <v>0</v>
      </c>
      <c r="Z267" s="12" t="b">
        <v>0</v>
      </c>
      <c r="AA267" s="12" t="b">
        <v>0</v>
      </c>
      <c r="AB267" s="12" t="b">
        <v>0</v>
      </c>
      <c r="AC267" s="12" t="b">
        <v>0</v>
      </c>
      <c r="AD267" s="12" t="b">
        <v>1</v>
      </c>
      <c r="AE267" s="12" t="b">
        <v>0</v>
      </c>
      <c r="AF267" s="12" t="b">
        <v>1</v>
      </c>
      <c r="AG267" s="12" t="b">
        <v>0</v>
      </c>
      <c r="AH267" s="12">
        <v>1</v>
      </c>
      <c r="AI267" s="12" t="b">
        <v>0</v>
      </c>
      <c r="AJ267" s="12" t="b">
        <v>0</v>
      </c>
      <c r="AK267" s="12" t="b">
        <v>1</v>
      </c>
      <c r="AL267" s="12">
        <v>0</v>
      </c>
      <c r="AM267" s="12" t="s">
        <v>922</v>
      </c>
      <c r="AN267" s="12">
        <v>0</v>
      </c>
    </row>
    <row r="268" spans="1:40" x14ac:dyDescent="0.3">
      <c r="A268" s="62" t="s">
        <v>2178</v>
      </c>
      <c r="B268" s="62"/>
      <c r="C268" s="63"/>
      <c r="D268" s="63"/>
      <c r="E268" s="12" t="s">
        <v>1258</v>
      </c>
      <c r="F268" s="12" t="s">
        <v>1259</v>
      </c>
      <c r="G268" s="12" t="b">
        <v>0</v>
      </c>
      <c r="H268" s="12" t="b">
        <v>0</v>
      </c>
      <c r="I268" s="12" t="b">
        <v>0</v>
      </c>
      <c r="J268" s="12" t="b">
        <v>1</v>
      </c>
      <c r="K268" s="12" t="b">
        <v>0</v>
      </c>
      <c r="L268" s="12" t="b">
        <v>1</v>
      </c>
      <c r="M268" s="12" t="b">
        <v>0</v>
      </c>
      <c r="N268" s="12">
        <v>0</v>
      </c>
      <c r="O268" s="12" t="b">
        <v>0</v>
      </c>
      <c r="P268" s="12" t="b">
        <v>0</v>
      </c>
      <c r="Q268" s="12" t="b">
        <v>0</v>
      </c>
      <c r="R268" s="12" t="b">
        <v>0</v>
      </c>
      <c r="S268" s="12" t="b">
        <v>0</v>
      </c>
      <c r="T268" s="12" t="b">
        <v>1</v>
      </c>
      <c r="U268" s="12" t="b">
        <v>0</v>
      </c>
      <c r="V268" s="12" t="b">
        <v>1</v>
      </c>
      <c r="W268" s="12" t="b">
        <v>0</v>
      </c>
      <c r="X268" s="12">
        <v>1</v>
      </c>
      <c r="Y268" s="12" t="b">
        <v>0</v>
      </c>
      <c r="Z268" s="12" t="b">
        <v>0</v>
      </c>
      <c r="AA268" s="12" t="b">
        <v>0</v>
      </c>
      <c r="AB268" s="12" t="b">
        <v>0</v>
      </c>
      <c r="AC268" s="12" t="b">
        <v>0</v>
      </c>
      <c r="AD268" s="12" t="b">
        <v>1</v>
      </c>
      <c r="AE268" s="12" t="b">
        <v>0</v>
      </c>
      <c r="AF268" s="12" t="b">
        <v>1</v>
      </c>
      <c r="AG268" s="12" t="b">
        <v>0</v>
      </c>
      <c r="AH268" s="12">
        <v>1</v>
      </c>
      <c r="AI268" s="12" t="b">
        <v>0</v>
      </c>
      <c r="AJ268" s="12" t="b">
        <v>0</v>
      </c>
      <c r="AK268" s="12" t="b">
        <v>1</v>
      </c>
      <c r="AL268" s="12">
        <v>0</v>
      </c>
      <c r="AM268" s="12" t="s">
        <v>922</v>
      </c>
      <c r="AN268" s="12">
        <v>0</v>
      </c>
    </row>
    <row r="269" spans="1:40" x14ac:dyDescent="0.3">
      <c r="A269" s="62" t="s">
        <v>2178</v>
      </c>
      <c r="B269" s="62"/>
      <c r="C269" s="63"/>
      <c r="D269" s="63"/>
      <c r="E269" s="12" t="s">
        <v>1282</v>
      </c>
      <c r="F269" s="12" t="s">
        <v>1283</v>
      </c>
      <c r="G269" s="12" t="b">
        <v>0</v>
      </c>
      <c r="H269" s="12" t="b">
        <v>0</v>
      </c>
      <c r="I269" s="12" t="b">
        <v>0</v>
      </c>
      <c r="J269" s="12" t="b">
        <v>1</v>
      </c>
      <c r="K269" s="12" t="b">
        <v>0</v>
      </c>
      <c r="L269" s="12" t="b">
        <v>1</v>
      </c>
      <c r="M269" s="12" t="b">
        <v>0</v>
      </c>
      <c r="N269" s="12">
        <v>0</v>
      </c>
      <c r="O269" s="12" t="b">
        <v>0</v>
      </c>
      <c r="P269" s="12" t="b">
        <v>0</v>
      </c>
      <c r="Q269" s="12" t="b">
        <v>0</v>
      </c>
      <c r="R269" s="12" t="b">
        <v>0</v>
      </c>
      <c r="S269" s="12" t="b">
        <v>0</v>
      </c>
      <c r="T269" s="12" t="b">
        <v>1</v>
      </c>
      <c r="U269" s="12" t="b">
        <v>0</v>
      </c>
      <c r="V269" s="12" t="b">
        <v>1</v>
      </c>
      <c r="W269" s="12" t="b">
        <v>0</v>
      </c>
      <c r="X269" s="12">
        <v>1</v>
      </c>
      <c r="Y269" s="12" t="b">
        <v>0</v>
      </c>
      <c r="Z269" s="12" t="b">
        <v>0</v>
      </c>
      <c r="AA269" s="12" t="b">
        <v>0</v>
      </c>
      <c r="AB269" s="12" t="b">
        <v>0</v>
      </c>
      <c r="AC269" s="12" t="b">
        <v>0</v>
      </c>
      <c r="AD269" s="12" t="b">
        <v>1</v>
      </c>
      <c r="AE269" s="12" t="b">
        <v>0</v>
      </c>
      <c r="AF269" s="12" t="b">
        <v>1</v>
      </c>
      <c r="AG269" s="12" t="b">
        <v>0</v>
      </c>
      <c r="AH269" s="12">
        <v>1</v>
      </c>
      <c r="AI269" s="12" t="b">
        <v>0</v>
      </c>
      <c r="AJ269" s="12" t="b">
        <v>0</v>
      </c>
      <c r="AK269" s="12" t="b">
        <v>1</v>
      </c>
      <c r="AL269" s="12">
        <v>0</v>
      </c>
      <c r="AM269" s="12" t="s">
        <v>922</v>
      </c>
      <c r="AN269" s="12">
        <v>0</v>
      </c>
    </row>
    <row r="270" spans="1:40" x14ac:dyDescent="0.3">
      <c r="A270" s="62" t="s">
        <v>2178</v>
      </c>
      <c r="B270" s="62"/>
      <c r="C270" s="63"/>
      <c r="D270" s="63"/>
      <c r="E270" s="12" t="s">
        <v>1284</v>
      </c>
      <c r="F270" s="12" t="s">
        <v>1285</v>
      </c>
      <c r="G270" s="12" t="b">
        <v>0</v>
      </c>
      <c r="H270" s="12" t="b">
        <v>1</v>
      </c>
      <c r="I270" s="12" t="b">
        <v>1</v>
      </c>
      <c r="J270" s="12" t="b">
        <v>1</v>
      </c>
      <c r="K270" s="12" t="b">
        <v>0</v>
      </c>
      <c r="L270" s="12" t="b">
        <v>0</v>
      </c>
      <c r="M270" s="12" t="b">
        <v>0</v>
      </c>
      <c r="N270" s="12">
        <v>0</v>
      </c>
      <c r="O270" s="12" t="b">
        <v>0</v>
      </c>
      <c r="P270" s="12" t="b">
        <v>0</v>
      </c>
      <c r="Q270" s="12" t="b">
        <v>0</v>
      </c>
      <c r="R270" s="12" t="b">
        <v>0</v>
      </c>
      <c r="S270" s="12" t="b">
        <v>0</v>
      </c>
      <c r="T270" s="12" t="b">
        <v>1</v>
      </c>
      <c r="U270" s="12" t="b">
        <v>0</v>
      </c>
      <c r="V270" s="12" t="b">
        <v>1</v>
      </c>
      <c r="W270" s="12" t="b">
        <v>0</v>
      </c>
      <c r="X270" s="12">
        <v>1</v>
      </c>
      <c r="Y270" s="12" t="b">
        <v>0</v>
      </c>
      <c r="Z270" s="12" t="b">
        <v>0</v>
      </c>
      <c r="AA270" s="12" t="b">
        <v>1</v>
      </c>
      <c r="AB270" s="12" t="b">
        <v>1</v>
      </c>
      <c r="AC270" s="12" t="b">
        <v>1</v>
      </c>
      <c r="AD270" s="12" t="b">
        <v>1</v>
      </c>
      <c r="AE270" s="12" t="b">
        <v>0</v>
      </c>
      <c r="AF270" s="12" t="b">
        <v>0</v>
      </c>
      <c r="AG270" s="12" t="b">
        <v>0</v>
      </c>
      <c r="AH270" s="12">
        <v>0</v>
      </c>
      <c r="AI270" s="12" t="b">
        <v>0</v>
      </c>
      <c r="AJ270" s="12" t="b">
        <v>0</v>
      </c>
      <c r="AK270" s="12" t="b">
        <v>1</v>
      </c>
      <c r="AL270" s="12">
        <v>0</v>
      </c>
      <c r="AM270" s="12" t="s">
        <v>900</v>
      </c>
      <c r="AN270" s="12">
        <v>0</v>
      </c>
    </row>
    <row r="271" spans="1:40" x14ac:dyDescent="0.3">
      <c r="A271" s="62" t="s">
        <v>2178</v>
      </c>
      <c r="B271" s="62"/>
      <c r="C271" s="63"/>
      <c r="D271" s="63"/>
      <c r="E271" s="12" t="s">
        <v>2083</v>
      </c>
      <c r="F271" s="12" t="s">
        <v>2087</v>
      </c>
      <c r="G271" s="12" t="b">
        <v>0</v>
      </c>
      <c r="H271" s="12" t="b">
        <v>1</v>
      </c>
      <c r="I271" s="12" t="b">
        <v>1</v>
      </c>
      <c r="J271" s="12" t="b">
        <v>1</v>
      </c>
      <c r="K271" s="12" t="b">
        <v>0</v>
      </c>
      <c r="L271" s="12" t="b">
        <v>0</v>
      </c>
      <c r="M271" s="12" t="b">
        <v>0</v>
      </c>
      <c r="N271" s="12">
        <v>0</v>
      </c>
      <c r="O271" s="12" t="b">
        <v>0</v>
      </c>
      <c r="P271" s="12" t="b">
        <v>0</v>
      </c>
      <c r="Q271" s="12" t="b">
        <v>0</v>
      </c>
      <c r="R271" s="12" t="b">
        <v>0</v>
      </c>
      <c r="S271" s="12" t="b">
        <v>0</v>
      </c>
      <c r="T271" s="12" t="b">
        <v>1</v>
      </c>
      <c r="U271" s="12" t="b">
        <v>0</v>
      </c>
      <c r="V271" s="12" t="b">
        <v>1</v>
      </c>
      <c r="W271" s="12" t="b">
        <v>0</v>
      </c>
      <c r="X271" s="12">
        <v>1</v>
      </c>
      <c r="Y271" s="12" t="b">
        <v>0</v>
      </c>
      <c r="Z271" s="12" t="b">
        <v>0</v>
      </c>
      <c r="AA271" s="12" t="b">
        <v>1</v>
      </c>
      <c r="AB271" s="12" t="b">
        <v>1</v>
      </c>
      <c r="AC271" s="12" t="b">
        <v>1</v>
      </c>
      <c r="AD271" s="12" t="b">
        <v>1</v>
      </c>
      <c r="AE271" s="12" t="b">
        <v>0</v>
      </c>
      <c r="AF271" s="12" t="b">
        <v>0</v>
      </c>
      <c r="AG271" s="12" t="b">
        <v>0</v>
      </c>
      <c r="AH271" s="12">
        <v>0</v>
      </c>
      <c r="AI271" s="12" t="b">
        <v>0</v>
      </c>
      <c r="AJ271" s="12" t="b">
        <v>0</v>
      </c>
      <c r="AK271" s="12" t="b">
        <v>1</v>
      </c>
      <c r="AL271" s="12">
        <v>0</v>
      </c>
      <c r="AM271" s="12" t="s">
        <v>1476</v>
      </c>
      <c r="AN271" s="12">
        <v>0</v>
      </c>
    </row>
    <row r="272" spans="1:40" x14ac:dyDescent="0.3">
      <c r="A272" s="62" t="s">
        <v>2178</v>
      </c>
      <c r="B272" s="62"/>
      <c r="C272" s="63"/>
      <c r="D272" s="63"/>
      <c r="E272" s="12" t="s">
        <v>1294</v>
      </c>
      <c r="F272" s="12" t="s">
        <v>1295</v>
      </c>
      <c r="G272" s="12" t="b">
        <v>0</v>
      </c>
      <c r="H272" s="12" t="b">
        <v>1</v>
      </c>
      <c r="I272" s="12" t="b">
        <v>1</v>
      </c>
      <c r="J272" s="12" t="b">
        <v>1</v>
      </c>
      <c r="K272" s="12" t="b">
        <v>0</v>
      </c>
      <c r="L272" s="12" t="b">
        <v>0</v>
      </c>
      <c r="M272" s="12" t="b">
        <v>0</v>
      </c>
      <c r="N272" s="12">
        <v>0</v>
      </c>
      <c r="O272" s="12" t="b">
        <v>0</v>
      </c>
      <c r="P272" s="12" t="b">
        <v>0</v>
      </c>
      <c r="Q272" s="12" t="b">
        <v>0</v>
      </c>
      <c r="R272" s="12" t="b">
        <v>0</v>
      </c>
      <c r="S272" s="12" t="b">
        <v>0</v>
      </c>
      <c r="T272" s="12" t="b">
        <v>1</v>
      </c>
      <c r="U272" s="12" t="b">
        <v>0</v>
      </c>
      <c r="V272" s="12" t="b">
        <v>1</v>
      </c>
      <c r="W272" s="12" t="b">
        <v>0</v>
      </c>
      <c r="X272" s="12">
        <v>1</v>
      </c>
      <c r="Y272" s="12" t="b">
        <v>0</v>
      </c>
      <c r="Z272" s="12" t="b">
        <v>0</v>
      </c>
      <c r="AA272" s="12" t="b">
        <v>0</v>
      </c>
      <c r="AB272" s="12" t="b">
        <v>0</v>
      </c>
      <c r="AC272" s="12" t="b">
        <v>0</v>
      </c>
      <c r="AD272" s="12" t="b">
        <v>1</v>
      </c>
      <c r="AE272" s="12" t="b">
        <v>0</v>
      </c>
      <c r="AF272" s="12" t="b">
        <v>1</v>
      </c>
      <c r="AG272" s="12" t="b">
        <v>0</v>
      </c>
      <c r="AH272" s="12">
        <v>1</v>
      </c>
      <c r="AI272" s="12" t="b">
        <v>0</v>
      </c>
      <c r="AJ272" s="12" t="b">
        <v>0</v>
      </c>
      <c r="AK272" s="12" t="b">
        <v>1</v>
      </c>
      <c r="AL272" s="12">
        <v>1</v>
      </c>
      <c r="AM272" s="12" t="s">
        <v>1476</v>
      </c>
      <c r="AN272" s="12">
        <v>1</v>
      </c>
    </row>
    <row r="273" spans="1:40" x14ac:dyDescent="0.3">
      <c r="A273" s="62" t="s">
        <v>2178</v>
      </c>
      <c r="B273" s="62"/>
      <c r="C273" s="63"/>
      <c r="D273" s="63"/>
      <c r="E273" s="12" t="s">
        <v>1833</v>
      </c>
      <c r="F273" s="12" t="s">
        <v>1834</v>
      </c>
      <c r="G273" s="12" t="b">
        <v>0</v>
      </c>
      <c r="H273" s="12" t="b">
        <v>1</v>
      </c>
      <c r="I273" s="12" t="b">
        <v>1</v>
      </c>
      <c r="J273" s="12" t="b">
        <v>1</v>
      </c>
      <c r="K273" s="12" t="b">
        <v>0</v>
      </c>
      <c r="L273" s="12" t="b">
        <v>0</v>
      </c>
      <c r="M273" s="12" t="b">
        <v>0</v>
      </c>
      <c r="N273" s="12">
        <v>0</v>
      </c>
      <c r="O273" s="12" t="b">
        <v>0</v>
      </c>
      <c r="P273" s="12" t="b">
        <v>0</v>
      </c>
      <c r="Q273" s="12" t="b">
        <v>0</v>
      </c>
      <c r="R273" s="12" t="b">
        <v>0</v>
      </c>
      <c r="S273" s="12" t="b">
        <v>0</v>
      </c>
      <c r="T273" s="12" t="b">
        <v>0</v>
      </c>
      <c r="U273" s="12" t="b">
        <v>0</v>
      </c>
      <c r="V273" s="12" t="b">
        <v>1</v>
      </c>
      <c r="W273" s="12" t="b">
        <v>0</v>
      </c>
      <c r="X273" s="12">
        <v>1</v>
      </c>
      <c r="Y273" s="12" t="b">
        <v>0</v>
      </c>
      <c r="Z273" s="12" t="b">
        <v>0</v>
      </c>
      <c r="AA273" s="12" t="b">
        <v>0</v>
      </c>
      <c r="AB273" s="12" t="b">
        <v>0</v>
      </c>
      <c r="AC273" s="12" t="b">
        <v>0</v>
      </c>
      <c r="AD273" s="12" t="b">
        <v>0</v>
      </c>
      <c r="AE273" s="12" t="b">
        <v>0</v>
      </c>
      <c r="AF273" s="12" t="b">
        <v>1</v>
      </c>
      <c r="AG273" s="12" t="b">
        <v>0</v>
      </c>
      <c r="AH273" s="12">
        <v>1</v>
      </c>
      <c r="AI273" s="12" t="b">
        <v>0</v>
      </c>
      <c r="AJ273" s="12" t="b">
        <v>0</v>
      </c>
      <c r="AK273" s="12" t="b">
        <v>1</v>
      </c>
      <c r="AL273" s="12">
        <v>1</v>
      </c>
      <c r="AM273" s="12" t="s">
        <v>922</v>
      </c>
      <c r="AN273" s="12">
        <v>1</v>
      </c>
    </row>
    <row r="274" spans="1:40" x14ac:dyDescent="0.3">
      <c r="A274" s="62" t="s">
        <v>2178</v>
      </c>
      <c r="B274" s="62"/>
      <c r="C274" s="52"/>
      <c r="D274" s="52"/>
      <c r="E274" s="12" t="s">
        <v>1296</v>
      </c>
      <c r="F274" s="12" t="s">
        <v>1624</v>
      </c>
      <c r="G274" s="12" t="b">
        <v>0</v>
      </c>
      <c r="H274" s="12" t="b">
        <v>1</v>
      </c>
      <c r="I274" s="12" t="b">
        <v>1</v>
      </c>
      <c r="J274" s="12" t="b">
        <v>1</v>
      </c>
      <c r="K274" s="12" t="b">
        <v>0</v>
      </c>
      <c r="L274" s="12" t="b">
        <v>0</v>
      </c>
      <c r="M274" s="12" t="b">
        <v>0</v>
      </c>
      <c r="N274" s="12">
        <v>0</v>
      </c>
      <c r="O274" s="12" t="b">
        <v>0</v>
      </c>
      <c r="P274" s="12" t="b">
        <v>0</v>
      </c>
      <c r="Q274" s="12" t="b">
        <v>0</v>
      </c>
      <c r="R274" s="12" t="b">
        <v>0</v>
      </c>
      <c r="S274" s="12" t="b">
        <v>0</v>
      </c>
      <c r="T274" s="12" t="b">
        <v>1</v>
      </c>
      <c r="U274" s="12" t="b">
        <v>0</v>
      </c>
      <c r="V274" s="12" t="b">
        <v>1</v>
      </c>
      <c r="W274" s="12" t="b">
        <v>0</v>
      </c>
      <c r="X274" s="12">
        <v>2</v>
      </c>
      <c r="Y274" s="12" t="b">
        <v>0</v>
      </c>
      <c r="Z274" s="12" t="b">
        <v>0</v>
      </c>
      <c r="AA274" s="12" t="b">
        <v>1</v>
      </c>
      <c r="AB274" s="12" t="b">
        <v>1</v>
      </c>
      <c r="AC274" s="12" t="b">
        <v>1</v>
      </c>
      <c r="AD274" s="12" t="b">
        <v>1</v>
      </c>
      <c r="AE274" s="12" t="b">
        <v>0</v>
      </c>
      <c r="AF274" s="12" t="b">
        <v>0</v>
      </c>
      <c r="AG274" s="12" t="b">
        <v>0</v>
      </c>
      <c r="AH274" s="12">
        <v>0</v>
      </c>
      <c r="AI274" s="12" t="b">
        <v>0</v>
      </c>
      <c r="AJ274" s="12" t="b">
        <v>0</v>
      </c>
      <c r="AK274" s="12" t="b">
        <v>1</v>
      </c>
      <c r="AL274" s="12">
        <v>1</v>
      </c>
      <c r="AM274" s="12" t="s">
        <v>900</v>
      </c>
      <c r="AN274" s="12">
        <v>1</v>
      </c>
    </row>
    <row r="275" spans="1:40" x14ac:dyDescent="0.3">
      <c r="A275" s="62" t="s">
        <v>2178</v>
      </c>
      <c r="B275" s="62"/>
      <c r="C275" s="52"/>
      <c r="D275" s="52"/>
      <c r="E275" s="12" t="s">
        <v>1558</v>
      </c>
      <c r="F275" s="12" t="s">
        <v>1562</v>
      </c>
      <c r="G275" s="12" t="b">
        <v>0</v>
      </c>
      <c r="H275" s="12" t="b">
        <v>1</v>
      </c>
      <c r="I275" s="12" t="b">
        <v>1</v>
      </c>
      <c r="J275" s="12" t="b">
        <v>1</v>
      </c>
      <c r="K275" s="12" t="b">
        <v>0</v>
      </c>
      <c r="L275" s="12" t="b">
        <v>0</v>
      </c>
      <c r="M275" s="12" t="b">
        <v>0</v>
      </c>
      <c r="N275" s="12">
        <v>0</v>
      </c>
      <c r="O275" s="12" t="b">
        <v>0</v>
      </c>
      <c r="P275" s="12" t="b">
        <v>0</v>
      </c>
      <c r="Q275" s="12" t="b">
        <v>0</v>
      </c>
      <c r="R275" s="12" t="b">
        <v>0</v>
      </c>
      <c r="S275" s="12" t="b">
        <v>0</v>
      </c>
      <c r="T275" s="12" t="b">
        <v>1</v>
      </c>
      <c r="U275" s="12" t="b">
        <v>0</v>
      </c>
      <c r="V275" s="12" t="b">
        <v>1</v>
      </c>
      <c r="W275" s="12" t="b">
        <v>0</v>
      </c>
      <c r="X275" s="12">
        <v>1</v>
      </c>
      <c r="Y275" s="12" t="b">
        <v>0</v>
      </c>
      <c r="Z275" s="12" t="b">
        <v>0</v>
      </c>
      <c r="AA275" s="12" t="b">
        <v>1</v>
      </c>
      <c r="AB275" s="12" t="b">
        <v>1</v>
      </c>
      <c r="AC275" s="12" t="b">
        <v>1</v>
      </c>
      <c r="AD275" s="12" t="b">
        <v>1</v>
      </c>
      <c r="AE275" s="12" t="b">
        <v>0</v>
      </c>
      <c r="AF275" s="12" t="b">
        <v>0</v>
      </c>
      <c r="AG275" s="12" t="b">
        <v>0</v>
      </c>
      <c r="AH275" s="12">
        <v>1</v>
      </c>
      <c r="AI275" s="12" t="b">
        <v>0</v>
      </c>
      <c r="AJ275" s="12" t="b">
        <v>0</v>
      </c>
      <c r="AK275" s="12" t="b">
        <v>1</v>
      </c>
      <c r="AL275" s="12">
        <v>1</v>
      </c>
      <c r="AM275" s="12" t="s">
        <v>900</v>
      </c>
      <c r="AN275" s="12">
        <v>1</v>
      </c>
    </row>
    <row r="276" spans="1:40" x14ac:dyDescent="0.3">
      <c r="A276" s="62" t="s">
        <v>2178</v>
      </c>
      <c r="B276" s="62"/>
      <c r="C276" s="52"/>
      <c r="D276" s="52"/>
      <c r="E276" s="12" t="s">
        <v>2050</v>
      </c>
      <c r="F276" s="12" t="s">
        <v>2051</v>
      </c>
      <c r="G276" s="12" t="b">
        <v>0</v>
      </c>
      <c r="H276" s="12" t="b">
        <v>1</v>
      </c>
      <c r="I276" s="12" t="b">
        <v>1</v>
      </c>
      <c r="J276" s="12" t="b">
        <v>1</v>
      </c>
      <c r="K276" s="12" t="b">
        <v>0</v>
      </c>
      <c r="L276" s="12" t="b">
        <v>0</v>
      </c>
      <c r="M276" s="12" t="b">
        <v>0</v>
      </c>
      <c r="N276" s="12">
        <v>0</v>
      </c>
      <c r="O276" s="12" t="b">
        <v>0</v>
      </c>
      <c r="P276" s="12" t="b">
        <v>0</v>
      </c>
      <c r="Q276" s="12" t="b">
        <v>0</v>
      </c>
      <c r="R276" s="12" t="b">
        <v>0</v>
      </c>
      <c r="S276" s="12" t="b">
        <v>0</v>
      </c>
      <c r="T276" s="12" t="b">
        <v>0</v>
      </c>
      <c r="U276" s="12" t="b">
        <v>0</v>
      </c>
      <c r="V276" s="12" t="b">
        <v>1</v>
      </c>
      <c r="W276" s="12" t="b">
        <v>0</v>
      </c>
      <c r="X276" s="12">
        <v>1</v>
      </c>
      <c r="Y276" s="12" t="b">
        <v>0</v>
      </c>
      <c r="Z276" s="12" t="b">
        <v>0</v>
      </c>
      <c r="AA276" s="12" t="b">
        <v>0</v>
      </c>
      <c r="AB276" s="12" t="b">
        <v>0</v>
      </c>
      <c r="AC276" s="12" t="b">
        <v>0</v>
      </c>
      <c r="AD276" s="12" t="b">
        <v>0</v>
      </c>
      <c r="AE276" s="12" t="b">
        <v>0</v>
      </c>
      <c r="AF276" s="12" t="b">
        <v>1</v>
      </c>
      <c r="AG276" s="12" t="b">
        <v>0</v>
      </c>
      <c r="AH276" s="12">
        <v>1</v>
      </c>
      <c r="AI276" s="12" t="b">
        <v>0</v>
      </c>
      <c r="AJ276" s="12" t="b">
        <v>0</v>
      </c>
      <c r="AK276" s="12" t="b">
        <v>1</v>
      </c>
      <c r="AL276" s="12">
        <v>1</v>
      </c>
      <c r="AM276" s="12" t="s">
        <v>1476</v>
      </c>
      <c r="AN276" s="12">
        <v>1</v>
      </c>
    </row>
    <row r="277" spans="1:40" x14ac:dyDescent="0.3">
      <c r="A277" s="62" t="s">
        <v>2178</v>
      </c>
      <c r="B277" s="62"/>
      <c r="C277" s="52"/>
      <c r="D277" s="52"/>
      <c r="E277" s="12" t="s">
        <v>1560</v>
      </c>
      <c r="F277" s="12" t="s">
        <v>1561</v>
      </c>
      <c r="G277" s="12" t="b">
        <v>0</v>
      </c>
      <c r="H277" s="12" t="b">
        <v>1</v>
      </c>
      <c r="I277" s="12" t="b">
        <v>1</v>
      </c>
      <c r="J277" s="12" t="b">
        <v>1</v>
      </c>
      <c r="K277" s="12" t="b">
        <v>0</v>
      </c>
      <c r="L277" s="12" t="b">
        <v>1</v>
      </c>
      <c r="M277" s="12" t="b">
        <v>0</v>
      </c>
      <c r="N277" s="12">
        <v>0</v>
      </c>
      <c r="O277" s="12" t="b">
        <v>0</v>
      </c>
      <c r="P277" s="12" t="b">
        <v>0</v>
      </c>
      <c r="Q277" s="12" t="b">
        <v>0</v>
      </c>
      <c r="R277" s="12" t="b">
        <v>0</v>
      </c>
      <c r="S277" s="12" t="b">
        <v>0</v>
      </c>
      <c r="T277" s="12" t="b">
        <v>1</v>
      </c>
      <c r="U277" s="12" t="b">
        <v>0</v>
      </c>
      <c r="V277" s="12" t="b">
        <v>1</v>
      </c>
      <c r="W277" s="12" t="b">
        <v>0</v>
      </c>
      <c r="X277" s="12">
        <v>-2</v>
      </c>
      <c r="Y277" s="12" t="b">
        <v>0</v>
      </c>
      <c r="Z277" s="12" t="b">
        <v>0</v>
      </c>
      <c r="AA277" s="12" t="b">
        <v>1</v>
      </c>
      <c r="AB277" s="12" t="b">
        <v>1</v>
      </c>
      <c r="AC277" s="12" t="b">
        <v>1</v>
      </c>
      <c r="AD277" s="12" t="b">
        <v>1</v>
      </c>
      <c r="AE277" s="12" t="b">
        <v>0</v>
      </c>
      <c r="AF277" s="12" t="b">
        <v>0</v>
      </c>
      <c r="AG277" s="12" t="b">
        <v>0</v>
      </c>
      <c r="AH277" s="12">
        <v>0</v>
      </c>
      <c r="AI277" s="12" t="b">
        <v>0</v>
      </c>
      <c r="AJ277" s="12" t="b">
        <v>0</v>
      </c>
      <c r="AK277" s="12" t="b">
        <v>1</v>
      </c>
      <c r="AL277" s="12">
        <v>1</v>
      </c>
      <c r="AM277" s="12" t="s">
        <v>900</v>
      </c>
      <c r="AN277" s="12">
        <v>1</v>
      </c>
    </row>
    <row r="278" spans="1:40" x14ac:dyDescent="0.3">
      <c r="A278" s="62" t="s">
        <v>2178</v>
      </c>
      <c r="B278" s="62"/>
      <c r="C278" s="63"/>
      <c r="D278" s="63"/>
      <c r="E278" s="12" t="s">
        <v>2052</v>
      </c>
      <c r="F278" s="12" t="s">
        <v>2053</v>
      </c>
      <c r="G278" s="12" t="b">
        <v>0</v>
      </c>
      <c r="H278" s="12" t="b">
        <v>1</v>
      </c>
      <c r="I278" s="12" t="b">
        <v>1</v>
      </c>
      <c r="J278" s="12" t="b">
        <v>1</v>
      </c>
      <c r="K278" s="12" t="b">
        <v>0</v>
      </c>
      <c r="L278" s="12" t="b">
        <v>0</v>
      </c>
      <c r="M278" s="12" t="b">
        <v>0</v>
      </c>
      <c r="N278" s="12">
        <v>0</v>
      </c>
      <c r="O278" s="12" t="b">
        <v>0</v>
      </c>
      <c r="P278" s="12" t="b">
        <v>0</v>
      </c>
      <c r="Q278" s="12" t="b">
        <v>0</v>
      </c>
      <c r="R278" s="12" t="b">
        <v>0</v>
      </c>
      <c r="S278" s="12" t="b">
        <v>0</v>
      </c>
      <c r="T278" s="12" t="b">
        <v>1</v>
      </c>
      <c r="U278" s="12" t="b">
        <v>0</v>
      </c>
      <c r="V278" s="12" t="b">
        <v>1</v>
      </c>
      <c r="W278" s="12" t="b">
        <v>0</v>
      </c>
      <c r="X278" s="12">
        <v>1</v>
      </c>
      <c r="Y278" s="12" t="b">
        <v>0</v>
      </c>
      <c r="Z278" s="12" t="b">
        <v>0</v>
      </c>
      <c r="AA278" s="12" t="b">
        <v>1</v>
      </c>
      <c r="AB278" s="12" t="b">
        <v>1</v>
      </c>
      <c r="AC278" s="12" t="b">
        <v>1</v>
      </c>
      <c r="AD278" s="12" t="b">
        <v>1</v>
      </c>
      <c r="AE278" s="12" t="b">
        <v>0</v>
      </c>
      <c r="AF278" s="12" t="b">
        <v>0</v>
      </c>
      <c r="AG278" s="12" t="b">
        <v>0</v>
      </c>
      <c r="AH278" s="12">
        <v>-1</v>
      </c>
      <c r="AI278" s="12" t="b">
        <v>0</v>
      </c>
      <c r="AJ278" s="12" t="b">
        <v>0</v>
      </c>
      <c r="AK278" s="12" t="b">
        <v>1</v>
      </c>
      <c r="AL278" s="12">
        <v>1</v>
      </c>
      <c r="AM278" s="12" t="s">
        <v>1476</v>
      </c>
      <c r="AN278" s="12">
        <v>1</v>
      </c>
    </row>
    <row r="279" spans="1:40" x14ac:dyDescent="0.3">
      <c r="A279" s="62" t="s">
        <v>2178</v>
      </c>
      <c r="B279" s="62"/>
      <c r="C279" s="52"/>
      <c r="D279" s="52"/>
      <c r="E279" s="12" t="s">
        <v>2036</v>
      </c>
      <c r="F279" s="12" t="s">
        <v>2037</v>
      </c>
      <c r="G279" s="12" t="b">
        <v>1</v>
      </c>
      <c r="H279" s="12" t="b">
        <v>1</v>
      </c>
      <c r="I279" s="12" t="b">
        <v>1</v>
      </c>
      <c r="J279" s="12" t="b">
        <v>1</v>
      </c>
      <c r="K279" s="12" t="b">
        <v>0</v>
      </c>
      <c r="L279" s="12" t="b">
        <v>0</v>
      </c>
      <c r="M279" s="12" t="b">
        <v>0</v>
      </c>
      <c r="N279" s="12">
        <v>0</v>
      </c>
      <c r="O279" s="12" t="b">
        <v>0</v>
      </c>
      <c r="P279" s="12" t="b">
        <v>0</v>
      </c>
      <c r="Q279" s="12" t="b">
        <v>0</v>
      </c>
      <c r="R279" s="12" t="b">
        <v>0</v>
      </c>
      <c r="S279" s="12" t="b">
        <v>0</v>
      </c>
      <c r="T279" s="12" t="b">
        <v>1</v>
      </c>
      <c r="U279" s="12" t="b">
        <v>0</v>
      </c>
      <c r="V279" s="12" t="b">
        <v>1</v>
      </c>
      <c r="W279" s="12" t="b">
        <v>0</v>
      </c>
      <c r="X279" s="12">
        <v>12</v>
      </c>
      <c r="Y279" s="12" t="b">
        <v>0</v>
      </c>
      <c r="Z279" s="12" t="b">
        <v>0</v>
      </c>
      <c r="AA279" s="12" t="b">
        <v>1</v>
      </c>
      <c r="AB279" s="12" t="b">
        <v>1</v>
      </c>
      <c r="AC279" s="12" t="b">
        <v>1</v>
      </c>
      <c r="AD279" s="12" t="b">
        <v>1</v>
      </c>
      <c r="AE279" s="12" t="b">
        <v>0</v>
      </c>
      <c r="AF279" s="12" t="b">
        <v>0</v>
      </c>
      <c r="AG279" s="12" t="b">
        <v>0</v>
      </c>
      <c r="AH279" s="12">
        <v>7</v>
      </c>
      <c r="AI279" s="12" t="b">
        <v>0</v>
      </c>
      <c r="AJ279" s="12" t="b">
        <v>0</v>
      </c>
      <c r="AK279" s="12" t="b">
        <v>1</v>
      </c>
      <c r="AL279" s="12">
        <v>1</v>
      </c>
      <c r="AM279" s="12" t="s">
        <v>978</v>
      </c>
      <c r="AN279" s="12">
        <v>1</v>
      </c>
    </row>
    <row r="280" spans="1:40" x14ac:dyDescent="0.3">
      <c r="A280" s="62" t="s">
        <v>2178</v>
      </c>
      <c r="B280" s="62"/>
      <c r="C280" s="63"/>
      <c r="D280" s="63"/>
      <c r="E280" s="12" t="s">
        <v>1580</v>
      </c>
      <c r="F280" s="12" t="s">
        <v>1581</v>
      </c>
      <c r="G280" s="12" t="b">
        <v>0</v>
      </c>
      <c r="H280" s="12" t="b">
        <v>1</v>
      </c>
      <c r="I280" s="12" t="b">
        <v>1</v>
      </c>
      <c r="J280" s="12" t="b">
        <v>1</v>
      </c>
      <c r="K280" s="12" t="b">
        <v>0</v>
      </c>
      <c r="L280" s="12" t="b">
        <v>1</v>
      </c>
      <c r="M280" s="12" t="b">
        <v>0</v>
      </c>
      <c r="N280" s="12">
        <v>0</v>
      </c>
      <c r="O280" s="12" t="b">
        <v>0</v>
      </c>
      <c r="P280" s="12" t="b">
        <v>0</v>
      </c>
      <c r="Q280" s="12" t="b">
        <v>0</v>
      </c>
      <c r="R280" s="12" t="b">
        <v>0</v>
      </c>
      <c r="S280" s="12" t="b">
        <v>0</v>
      </c>
      <c r="T280" s="12" t="b">
        <v>1</v>
      </c>
      <c r="U280" s="12" t="b">
        <v>0</v>
      </c>
      <c r="V280" s="12" t="b">
        <v>1</v>
      </c>
      <c r="W280" s="12" t="b">
        <v>0</v>
      </c>
      <c r="X280" s="12">
        <v>1</v>
      </c>
      <c r="Y280" s="12" t="b">
        <v>0</v>
      </c>
      <c r="Z280" s="12" t="b">
        <v>0</v>
      </c>
      <c r="AA280" s="12" t="b">
        <v>1</v>
      </c>
      <c r="AB280" s="12" t="b">
        <v>1</v>
      </c>
      <c r="AC280" s="12" t="b">
        <v>1</v>
      </c>
      <c r="AD280" s="12" t="b">
        <v>1</v>
      </c>
      <c r="AE280" s="12" t="b">
        <v>0</v>
      </c>
      <c r="AF280" s="12" t="b">
        <v>0</v>
      </c>
      <c r="AG280" s="12" t="b">
        <v>0</v>
      </c>
      <c r="AH280" s="12">
        <v>0</v>
      </c>
      <c r="AI280" s="12" t="b">
        <v>0</v>
      </c>
      <c r="AJ280" s="12" t="b">
        <v>0</v>
      </c>
      <c r="AK280" s="12" t="b">
        <v>1</v>
      </c>
      <c r="AL280" s="12">
        <v>1</v>
      </c>
      <c r="AM280" s="12" t="s">
        <v>1476</v>
      </c>
      <c r="AN280" s="12">
        <v>1</v>
      </c>
    </row>
    <row r="281" spans="1:40" x14ac:dyDescent="0.3">
      <c r="A281" s="62" t="s">
        <v>2178</v>
      </c>
      <c r="B281" s="62"/>
      <c r="C281" s="63"/>
      <c r="D281" s="63"/>
      <c r="E281" s="12" t="s">
        <v>1513</v>
      </c>
      <c r="F281" s="12" t="s">
        <v>1514</v>
      </c>
      <c r="G281" s="12" t="b">
        <v>0</v>
      </c>
      <c r="H281" s="12" t="b">
        <v>1</v>
      </c>
      <c r="I281" s="12" t="b">
        <v>1</v>
      </c>
      <c r="J281" s="12" t="b">
        <v>1</v>
      </c>
      <c r="K281" s="12" t="b">
        <v>1</v>
      </c>
      <c r="L281" s="12" t="b">
        <v>1</v>
      </c>
      <c r="M281" s="12" t="b">
        <v>0</v>
      </c>
      <c r="N281" s="12">
        <v>0</v>
      </c>
      <c r="O281" s="12" t="b">
        <v>0</v>
      </c>
      <c r="P281" s="12" t="b">
        <v>0</v>
      </c>
      <c r="Q281" s="12" t="b">
        <v>0</v>
      </c>
      <c r="R281" s="12" t="b">
        <v>1</v>
      </c>
      <c r="S281" s="12" t="b">
        <v>1</v>
      </c>
      <c r="T281" s="12" t="b">
        <v>1</v>
      </c>
      <c r="U281" s="12" t="b">
        <v>0</v>
      </c>
      <c r="V281" s="12" t="b">
        <v>1</v>
      </c>
      <c r="W281" s="12" t="b">
        <v>0</v>
      </c>
      <c r="X281" s="12">
        <v>0</v>
      </c>
      <c r="Y281" s="12" t="b">
        <v>0</v>
      </c>
      <c r="Z281" s="12" t="b">
        <v>0</v>
      </c>
      <c r="AA281" s="12" t="b">
        <v>0</v>
      </c>
      <c r="AB281" s="12" t="b">
        <v>1</v>
      </c>
      <c r="AC281" s="12" t="b">
        <v>1</v>
      </c>
      <c r="AD281" s="12" t="b">
        <v>1</v>
      </c>
      <c r="AE281" s="12" t="b">
        <v>0</v>
      </c>
      <c r="AF281" s="12" t="b">
        <v>0</v>
      </c>
      <c r="AG281" s="12" t="b">
        <v>0</v>
      </c>
      <c r="AH281" s="12">
        <v>0</v>
      </c>
      <c r="AI281" s="12" t="b">
        <v>0</v>
      </c>
      <c r="AJ281" s="12" t="b">
        <v>0</v>
      </c>
      <c r="AK281" s="12" t="b">
        <v>1</v>
      </c>
      <c r="AL281" s="12">
        <v>0</v>
      </c>
      <c r="AM281" s="12" t="s">
        <v>51</v>
      </c>
      <c r="AN281" s="12">
        <v>0</v>
      </c>
    </row>
    <row r="282" spans="1:40" x14ac:dyDescent="0.3">
      <c r="A282" s="62" t="s">
        <v>2178</v>
      </c>
      <c r="B282" s="62"/>
      <c r="C282" s="63"/>
      <c r="D282" s="63"/>
      <c r="E282" s="12" t="s">
        <v>1511</v>
      </c>
      <c r="F282" s="12" t="s">
        <v>1512</v>
      </c>
      <c r="G282" s="12" t="b">
        <v>0</v>
      </c>
      <c r="H282" s="12" t="b">
        <v>1</v>
      </c>
      <c r="I282" s="12" t="b">
        <v>1</v>
      </c>
      <c r="J282" s="12" t="b">
        <v>1</v>
      </c>
      <c r="K282" s="12" t="b">
        <v>1</v>
      </c>
      <c r="L282" s="12" t="b">
        <v>1</v>
      </c>
      <c r="M282" s="12" t="b">
        <v>0</v>
      </c>
      <c r="N282" s="12">
        <v>0</v>
      </c>
      <c r="O282" s="12" t="b">
        <v>0</v>
      </c>
      <c r="P282" s="12" t="b">
        <v>0</v>
      </c>
      <c r="Q282" s="12" t="b">
        <v>0</v>
      </c>
      <c r="R282" s="12" t="b">
        <v>1</v>
      </c>
      <c r="S282" s="12" t="b">
        <v>1</v>
      </c>
      <c r="T282" s="12" t="b">
        <v>1</v>
      </c>
      <c r="U282" s="12" t="b">
        <v>0</v>
      </c>
      <c r="V282" s="12" t="b">
        <v>1</v>
      </c>
      <c r="W282" s="12" t="b">
        <v>0</v>
      </c>
      <c r="X282" s="12">
        <v>0</v>
      </c>
      <c r="Y282" s="12" t="b">
        <v>0</v>
      </c>
      <c r="Z282" s="12" t="b">
        <v>0</v>
      </c>
      <c r="AA282" s="12" t="b">
        <v>0</v>
      </c>
      <c r="AB282" s="12" t="b">
        <v>1</v>
      </c>
      <c r="AC282" s="12" t="b">
        <v>1</v>
      </c>
      <c r="AD282" s="12" t="b">
        <v>1</v>
      </c>
      <c r="AE282" s="12" t="b">
        <v>0</v>
      </c>
      <c r="AF282" s="12" t="b">
        <v>0</v>
      </c>
      <c r="AG282" s="12" t="b">
        <v>0</v>
      </c>
      <c r="AH282" s="12">
        <v>0</v>
      </c>
      <c r="AI282" s="12" t="b">
        <v>0</v>
      </c>
      <c r="AJ282" s="12" t="b">
        <v>0</v>
      </c>
      <c r="AK282" s="12" t="b">
        <v>1</v>
      </c>
      <c r="AL282" s="12">
        <v>0</v>
      </c>
      <c r="AM282" s="12" t="s">
        <v>51</v>
      </c>
      <c r="AN282" s="12">
        <v>0</v>
      </c>
    </row>
    <row r="283" spans="1:40" x14ac:dyDescent="0.3">
      <c r="A283" s="62" t="s">
        <v>2178</v>
      </c>
      <c r="B283" s="62"/>
      <c r="C283" s="63"/>
      <c r="D283" s="63"/>
      <c r="E283" s="12" t="s">
        <v>1221</v>
      </c>
      <c r="F283" s="12" t="s">
        <v>1222</v>
      </c>
      <c r="G283" s="12" t="b">
        <v>0</v>
      </c>
      <c r="H283" s="12" t="b">
        <v>1</v>
      </c>
      <c r="I283" s="12" t="b">
        <v>1</v>
      </c>
      <c r="J283" s="12" t="b">
        <v>1</v>
      </c>
      <c r="K283" s="12" t="b">
        <v>1</v>
      </c>
      <c r="L283" s="12" t="b">
        <v>1</v>
      </c>
      <c r="M283" s="12" t="b">
        <v>0</v>
      </c>
      <c r="N283" s="12">
        <v>0</v>
      </c>
      <c r="O283" s="12" t="b">
        <v>0</v>
      </c>
      <c r="P283" s="12" t="b">
        <v>0</v>
      </c>
      <c r="Q283" s="12" t="b">
        <v>0</v>
      </c>
      <c r="R283" s="12" t="b">
        <v>1</v>
      </c>
      <c r="S283" s="12" t="b">
        <v>1</v>
      </c>
      <c r="T283" s="12" t="b">
        <v>1</v>
      </c>
      <c r="U283" s="12" t="b">
        <v>0</v>
      </c>
      <c r="V283" s="12" t="b">
        <v>1</v>
      </c>
      <c r="W283" s="12" t="b">
        <v>0</v>
      </c>
      <c r="X283" s="12">
        <v>0</v>
      </c>
      <c r="Y283" s="12" t="b">
        <v>0</v>
      </c>
      <c r="Z283" s="12" t="b">
        <v>0</v>
      </c>
      <c r="AA283" s="12" t="b">
        <v>0</v>
      </c>
      <c r="AB283" s="12" t="b">
        <v>1</v>
      </c>
      <c r="AC283" s="12" t="b">
        <v>1</v>
      </c>
      <c r="AD283" s="12" t="b">
        <v>1</v>
      </c>
      <c r="AE283" s="12" t="b">
        <v>0</v>
      </c>
      <c r="AF283" s="12" t="b">
        <v>0</v>
      </c>
      <c r="AG283" s="12" t="b">
        <v>0</v>
      </c>
      <c r="AH283" s="12">
        <v>0</v>
      </c>
      <c r="AI283" s="12" t="b">
        <v>0</v>
      </c>
      <c r="AJ283" s="12" t="b">
        <v>0</v>
      </c>
      <c r="AK283" s="12" t="b">
        <v>1</v>
      </c>
      <c r="AL283" s="12">
        <v>0</v>
      </c>
      <c r="AM283" s="12" t="s">
        <v>51</v>
      </c>
      <c r="AN283" s="12">
        <v>0</v>
      </c>
    </row>
    <row r="284" spans="1:40" x14ac:dyDescent="0.3">
      <c r="A284" s="62" t="s">
        <v>2178</v>
      </c>
      <c r="B284" s="62"/>
      <c r="C284" s="63"/>
      <c r="D284" s="63"/>
      <c r="E284" s="12" t="s">
        <v>1211</v>
      </c>
      <c r="F284" s="12" t="s">
        <v>1212</v>
      </c>
      <c r="G284" s="12" t="b">
        <v>0</v>
      </c>
      <c r="H284" s="12" t="b">
        <v>1</v>
      </c>
      <c r="I284" s="12" t="b">
        <v>1</v>
      </c>
      <c r="J284" s="12" t="b">
        <v>1</v>
      </c>
      <c r="K284" s="12" t="b">
        <v>1</v>
      </c>
      <c r="L284" s="12" t="b">
        <v>1</v>
      </c>
      <c r="M284" s="12" t="b">
        <v>0</v>
      </c>
      <c r="N284" s="12">
        <v>0</v>
      </c>
      <c r="O284" s="12" t="b">
        <v>0</v>
      </c>
      <c r="P284" s="12" t="b">
        <v>0</v>
      </c>
      <c r="Q284" s="12" t="b">
        <v>0</v>
      </c>
      <c r="R284" s="12" t="b">
        <v>1</v>
      </c>
      <c r="S284" s="12" t="b">
        <v>1</v>
      </c>
      <c r="T284" s="12" t="b">
        <v>1</v>
      </c>
      <c r="U284" s="12" t="b">
        <v>0</v>
      </c>
      <c r="V284" s="12" t="b">
        <v>1</v>
      </c>
      <c r="W284" s="12" t="b">
        <v>0</v>
      </c>
      <c r="X284" s="12">
        <v>0</v>
      </c>
      <c r="Y284" s="12" t="b">
        <v>0</v>
      </c>
      <c r="Z284" s="12" t="b">
        <v>0</v>
      </c>
      <c r="AA284" s="12" t="b">
        <v>0</v>
      </c>
      <c r="AB284" s="12" t="b">
        <v>1</v>
      </c>
      <c r="AC284" s="12" t="b">
        <v>1</v>
      </c>
      <c r="AD284" s="12" t="b">
        <v>1</v>
      </c>
      <c r="AE284" s="12" t="b">
        <v>0</v>
      </c>
      <c r="AF284" s="12" t="b">
        <v>0</v>
      </c>
      <c r="AG284" s="12" t="b">
        <v>0</v>
      </c>
      <c r="AH284" s="12">
        <v>0</v>
      </c>
      <c r="AI284" s="12" t="b">
        <v>0</v>
      </c>
      <c r="AJ284" s="12" t="b">
        <v>0</v>
      </c>
      <c r="AK284" s="12" t="b">
        <v>1</v>
      </c>
      <c r="AL284" s="12">
        <v>0</v>
      </c>
      <c r="AM284" s="12" t="s">
        <v>51</v>
      </c>
      <c r="AN284" s="12">
        <v>0</v>
      </c>
    </row>
    <row r="285" spans="1:40" x14ac:dyDescent="0.3">
      <c r="A285" s="62" t="s">
        <v>2177</v>
      </c>
      <c r="B285" s="62"/>
      <c r="C285" s="63" t="s">
        <v>1464</v>
      </c>
      <c r="D285" s="63" t="s">
        <v>1630</v>
      </c>
      <c r="E285" s="12" t="s">
        <v>1758</v>
      </c>
      <c r="F285" s="12" t="s">
        <v>1584</v>
      </c>
      <c r="G285" s="12" t="b">
        <v>0</v>
      </c>
      <c r="H285" s="12" t="b">
        <v>1</v>
      </c>
      <c r="I285" s="12" t="b">
        <v>1</v>
      </c>
      <c r="J285" s="12" t="b">
        <v>1</v>
      </c>
      <c r="K285" s="12" t="b">
        <v>0</v>
      </c>
      <c r="L285" s="12" t="b">
        <v>0</v>
      </c>
      <c r="M285" s="12" t="b">
        <v>0</v>
      </c>
      <c r="N285" s="12">
        <v>0</v>
      </c>
      <c r="O285" s="12" t="b">
        <v>0</v>
      </c>
      <c r="P285" s="12" t="b">
        <v>0</v>
      </c>
      <c r="Q285" s="12" t="b">
        <v>0</v>
      </c>
      <c r="R285" s="12" t="b">
        <v>0</v>
      </c>
      <c r="S285" s="12" t="b">
        <v>0</v>
      </c>
      <c r="T285" s="12" t="b">
        <v>1</v>
      </c>
      <c r="U285" s="12" t="b">
        <v>0</v>
      </c>
      <c r="V285" s="12" t="b">
        <v>1</v>
      </c>
      <c r="W285" s="12" t="b">
        <v>0</v>
      </c>
      <c r="X285" s="12">
        <v>1</v>
      </c>
      <c r="Y285" s="12" t="b">
        <v>0</v>
      </c>
      <c r="Z285" s="12" t="b">
        <v>0</v>
      </c>
      <c r="AA285" s="12" t="b">
        <v>1</v>
      </c>
      <c r="AB285" s="12" t="b">
        <v>1</v>
      </c>
      <c r="AC285" s="12" t="b">
        <v>1</v>
      </c>
      <c r="AD285" s="12" t="b">
        <v>1</v>
      </c>
      <c r="AE285" s="12" t="b">
        <v>0</v>
      </c>
      <c r="AF285" s="12" t="b">
        <v>0</v>
      </c>
      <c r="AG285" s="12" t="b">
        <v>0</v>
      </c>
      <c r="AH285" s="12">
        <v>0</v>
      </c>
      <c r="AI285" s="12" t="b">
        <v>0</v>
      </c>
      <c r="AJ285" s="12" t="b">
        <v>0</v>
      </c>
      <c r="AK285" s="12" t="b">
        <v>1</v>
      </c>
      <c r="AL285" s="12">
        <v>1</v>
      </c>
      <c r="AM285" s="12" t="s">
        <v>900</v>
      </c>
      <c r="AN285" s="12">
        <v>1</v>
      </c>
    </row>
    <row r="286" spans="1:40" x14ac:dyDescent="0.3">
      <c r="A286" s="62" t="s">
        <v>2177</v>
      </c>
      <c r="B286" s="62"/>
      <c r="C286" s="63" t="s">
        <v>1466</v>
      </c>
      <c r="D286" s="63" t="s">
        <v>1630</v>
      </c>
      <c r="E286" s="12" t="s">
        <v>1758</v>
      </c>
      <c r="F286" s="12" t="s">
        <v>1584</v>
      </c>
      <c r="G286" s="12" t="b">
        <v>0</v>
      </c>
      <c r="H286" s="12" t="b">
        <v>1</v>
      </c>
      <c r="I286" s="12" t="b">
        <v>1</v>
      </c>
      <c r="J286" s="12" t="b">
        <v>1</v>
      </c>
      <c r="K286" s="12" t="b">
        <v>0</v>
      </c>
      <c r="L286" s="12" t="b">
        <v>0</v>
      </c>
      <c r="M286" s="12" t="b">
        <v>0</v>
      </c>
      <c r="N286" s="12">
        <v>0</v>
      </c>
      <c r="O286" s="12" t="b">
        <v>0</v>
      </c>
      <c r="P286" s="12" t="b">
        <v>0</v>
      </c>
      <c r="Q286" s="12" t="b">
        <v>0</v>
      </c>
      <c r="R286" s="12" t="b">
        <v>0</v>
      </c>
      <c r="S286" s="12" t="b">
        <v>0</v>
      </c>
      <c r="T286" s="12" t="b">
        <v>1</v>
      </c>
      <c r="U286" s="12" t="b">
        <v>0</v>
      </c>
      <c r="V286" s="12" t="b">
        <v>1</v>
      </c>
      <c r="W286" s="12" t="b">
        <v>0</v>
      </c>
      <c r="X286" s="12">
        <v>1</v>
      </c>
      <c r="Y286" s="12" t="b">
        <v>0</v>
      </c>
      <c r="Z286" s="12" t="b">
        <v>0</v>
      </c>
      <c r="AA286" s="12" t="b">
        <v>1</v>
      </c>
      <c r="AB286" s="12" t="b">
        <v>1</v>
      </c>
      <c r="AC286" s="12" t="b">
        <v>1</v>
      </c>
      <c r="AD286" s="12" t="b">
        <v>1</v>
      </c>
      <c r="AE286" s="12" t="b">
        <v>0</v>
      </c>
      <c r="AF286" s="12" t="b">
        <v>0</v>
      </c>
      <c r="AG286" s="12" t="b">
        <v>0</v>
      </c>
      <c r="AH286" s="12">
        <v>0</v>
      </c>
      <c r="AI286" s="12" t="b">
        <v>0</v>
      </c>
      <c r="AJ286" s="12" t="b">
        <v>0</v>
      </c>
      <c r="AK286" s="12" t="b">
        <v>1</v>
      </c>
      <c r="AL286" s="12">
        <v>1</v>
      </c>
      <c r="AM286" s="12" t="s">
        <v>900</v>
      </c>
      <c r="AN286" s="12">
        <v>1</v>
      </c>
    </row>
    <row r="287" spans="1:40" x14ac:dyDescent="0.3">
      <c r="A287" s="62" t="s">
        <v>2177</v>
      </c>
      <c r="B287" s="62"/>
      <c r="C287" s="63" t="s">
        <v>1467</v>
      </c>
      <c r="D287" s="63" t="s">
        <v>1630</v>
      </c>
      <c r="E287" s="12" t="s">
        <v>1758</v>
      </c>
      <c r="F287" s="12" t="s">
        <v>1584</v>
      </c>
      <c r="G287" s="12" t="b">
        <v>0</v>
      </c>
      <c r="H287" s="12" t="b">
        <v>1</v>
      </c>
      <c r="I287" s="12" t="b">
        <v>1</v>
      </c>
      <c r="J287" s="12" t="b">
        <v>1</v>
      </c>
      <c r="K287" s="12" t="b">
        <v>0</v>
      </c>
      <c r="L287" s="12" t="b">
        <v>0</v>
      </c>
      <c r="M287" s="12" t="b">
        <v>0</v>
      </c>
      <c r="N287" s="12">
        <v>0</v>
      </c>
      <c r="O287" s="12" t="b">
        <v>0</v>
      </c>
      <c r="P287" s="12" t="b">
        <v>0</v>
      </c>
      <c r="Q287" s="12" t="b">
        <v>0</v>
      </c>
      <c r="R287" s="12" t="b">
        <v>0</v>
      </c>
      <c r="S287" s="12" t="b">
        <v>0</v>
      </c>
      <c r="T287" s="12" t="b">
        <v>1</v>
      </c>
      <c r="U287" s="12" t="b">
        <v>0</v>
      </c>
      <c r="V287" s="12" t="b">
        <v>1</v>
      </c>
      <c r="W287" s="12" t="b">
        <v>0</v>
      </c>
      <c r="X287" s="12">
        <v>1</v>
      </c>
      <c r="Y287" s="12" t="b">
        <v>0</v>
      </c>
      <c r="Z287" s="12" t="b">
        <v>0</v>
      </c>
      <c r="AA287" s="12" t="b">
        <v>1</v>
      </c>
      <c r="AB287" s="12" t="b">
        <v>1</v>
      </c>
      <c r="AC287" s="12" t="b">
        <v>1</v>
      </c>
      <c r="AD287" s="12" t="b">
        <v>1</v>
      </c>
      <c r="AE287" s="12" t="b">
        <v>0</v>
      </c>
      <c r="AF287" s="12" t="b">
        <v>0</v>
      </c>
      <c r="AG287" s="12" t="b">
        <v>0</v>
      </c>
      <c r="AH287" s="12">
        <v>0</v>
      </c>
      <c r="AI287" s="12" t="b">
        <v>0</v>
      </c>
      <c r="AJ287" s="12" t="b">
        <v>0</v>
      </c>
      <c r="AK287" s="12" t="b">
        <v>1</v>
      </c>
      <c r="AL287" s="12">
        <v>1</v>
      </c>
      <c r="AM287" s="12" t="s">
        <v>900</v>
      </c>
      <c r="AN287" s="12">
        <v>1</v>
      </c>
    </row>
    <row r="288" spans="1:40" x14ac:dyDescent="0.3">
      <c r="A288" s="62" t="s">
        <v>2177</v>
      </c>
      <c r="B288" s="62"/>
      <c r="C288" s="63" t="s">
        <v>1468</v>
      </c>
      <c r="D288" s="63" t="s">
        <v>1630</v>
      </c>
      <c r="E288" s="12" t="s">
        <v>1758</v>
      </c>
      <c r="F288" s="12" t="s">
        <v>1584</v>
      </c>
      <c r="G288" s="12" t="b">
        <v>0</v>
      </c>
      <c r="H288" s="12" t="b">
        <v>1</v>
      </c>
      <c r="I288" s="12" t="b">
        <v>1</v>
      </c>
      <c r="J288" s="12" t="b">
        <v>1</v>
      </c>
      <c r="K288" s="12" t="b">
        <v>0</v>
      </c>
      <c r="L288" s="12" t="b">
        <v>0</v>
      </c>
      <c r="M288" s="12" t="b">
        <v>0</v>
      </c>
      <c r="N288" s="12">
        <v>0</v>
      </c>
      <c r="O288" s="12" t="b">
        <v>0</v>
      </c>
      <c r="P288" s="12" t="b">
        <v>0</v>
      </c>
      <c r="Q288" s="12" t="b">
        <v>0</v>
      </c>
      <c r="R288" s="12" t="b">
        <v>0</v>
      </c>
      <c r="S288" s="12" t="b">
        <v>0</v>
      </c>
      <c r="T288" s="12" t="b">
        <v>1</v>
      </c>
      <c r="U288" s="12" t="b">
        <v>0</v>
      </c>
      <c r="V288" s="12" t="b">
        <v>1</v>
      </c>
      <c r="W288" s="12" t="b">
        <v>0</v>
      </c>
      <c r="X288" s="12">
        <v>1</v>
      </c>
      <c r="Y288" s="12" t="b">
        <v>0</v>
      </c>
      <c r="Z288" s="12" t="b">
        <v>0</v>
      </c>
      <c r="AA288" s="12" t="b">
        <v>1</v>
      </c>
      <c r="AB288" s="12" t="b">
        <v>1</v>
      </c>
      <c r="AC288" s="12" t="b">
        <v>1</v>
      </c>
      <c r="AD288" s="12" t="b">
        <v>1</v>
      </c>
      <c r="AE288" s="12" t="b">
        <v>0</v>
      </c>
      <c r="AF288" s="12" t="b">
        <v>0</v>
      </c>
      <c r="AG288" s="12" t="b">
        <v>0</v>
      </c>
      <c r="AH288" s="12">
        <v>0</v>
      </c>
      <c r="AI288" s="12" t="b">
        <v>0</v>
      </c>
      <c r="AJ288" s="12" t="b">
        <v>0</v>
      </c>
      <c r="AK288" s="12" t="b">
        <v>1</v>
      </c>
      <c r="AL288" s="12">
        <v>1</v>
      </c>
      <c r="AM288" s="12" t="s">
        <v>900</v>
      </c>
      <c r="AN288" s="12">
        <v>1</v>
      </c>
    </row>
    <row r="289" spans="1:40" x14ac:dyDescent="0.3">
      <c r="A289" s="62" t="s">
        <v>2177</v>
      </c>
      <c r="B289" s="62"/>
      <c r="C289" s="63" t="s">
        <v>1469</v>
      </c>
      <c r="D289" s="63" t="s">
        <v>1630</v>
      </c>
      <c r="E289" s="12" t="s">
        <v>1758</v>
      </c>
      <c r="F289" s="12" t="s">
        <v>1584</v>
      </c>
      <c r="G289" s="12" t="b">
        <v>0</v>
      </c>
      <c r="H289" s="12" t="b">
        <v>1</v>
      </c>
      <c r="I289" s="12" t="b">
        <v>1</v>
      </c>
      <c r="J289" s="12" t="b">
        <v>1</v>
      </c>
      <c r="K289" s="12" t="b">
        <v>0</v>
      </c>
      <c r="L289" s="12" t="b">
        <v>0</v>
      </c>
      <c r="M289" s="12" t="b">
        <v>0</v>
      </c>
      <c r="N289" s="12">
        <v>0</v>
      </c>
      <c r="O289" s="12" t="b">
        <v>0</v>
      </c>
      <c r="P289" s="12" t="b">
        <v>0</v>
      </c>
      <c r="Q289" s="12" t="b">
        <v>0</v>
      </c>
      <c r="R289" s="12" t="b">
        <v>0</v>
      </c>
      <c r="S289" s="12" t="b">
        <v>0</v>
      </c>
      <c r="T289" s="12" t="b">
        <v>1</v>
      </c>
      <c r="U289" s="12" t="b">
        <v>0</v>
      </c>
      <c r="V289" s="12" t="b">
        <v>1</v>
      </c>
      <c r="W289" s="12" t="b">
        <v>0</v>
      </c>
      <c r="X289" s="12">
        <v>1</v>
      </c>
      <c r="Y289" s="12" t="b">
        <v>0</v>
      </c>
      <c r="Z289" s="12" t="b">
        <v>0</v>
      </c>
      <c r="AA289" s="12" t="b">
        <v>1</v>
      </c>
      <c r="AB289" s="12" t="b">
        <v>1</v>
      </c>
      <c r="AC289" s="12" t="b">
        <v>1</v>
      </c>
      <c r="AD289" s="12" t="b">
        <v>1</v>
      </c>
      <c r="AE289" s="12" t="b">
        <v>0</v>
      </c>
      <c r="AF289" s="12" t="b">
        <v>0</v>
      </c>
      <c r="AG289" s="12" t="b">
        <v>0</v>
      </c>
      <c r="AH289" s="12">
        <v>0</v>
      </c>
      <c r="AI289" s="12" t="b">
        <v>0</v>
      </c>
      <c r="AJ289" s="12" t="b">
        <v>0</v>
      </c>
      <c r="AK289" s="12" t="b">
        <v>1</v>
      </c>
      <c r="AL289" s="12">
        <v>1</v>
      </c>
      <c r="AM289" s="12" t="s">
        <v>900</v>
      </c>
      <c r="AN289" s="12">
        <v>1</v>
      </c>
    </row>
    <row r="290" spans="1:40" x14ac:dyDescent="0.3">
      <c r="A290" s="62" t="s">
        <v>2177</v>
      </c>
      <c r="B290" s="62"/>
      <c r="C290" s="63" t="s">
        <v>1470</v>
      </c>
      <c r="D290" s="63" t="s">
        <v>1630</v>
      </c>
      <c r="E290" s="12" t="s">
        <v>1758</v>
      </c>
      <c r="F290" s="12" t="s">
        <v>1584</v>
      </c>
      <c r="G290" s="12" t="b">
        <v>0</v>
      </c>
      <c r="H290" s="12" t="b">
        <v>1</v>
      </c>
      <c r="I290" s="12" t="b">
        <v>1</v>
      </c>
      <c r="J290" s="12" t="b">
        <v>1</v>
      </c>
      <c r="K290" s="12" t="b">
        <v>0</v>
      </c>
      <c r="L290" s="12" t="b">
        <v>0</v>
      </c>
      <c r="M290" s="12" t="b">
        <v>0</v>
      </c>
      <c r="N290" s="12">
        <v>0</v>
      </c>
      <c r="O290" s="12" t="b">
        <v>0</v>
      </c>
      <c r="P290" s="12" t="b">
        <v>0</v>
      </c>
      <c r="Q290" s="12" t="b">
        <v>0</v>
      </c>
      <c r="R290" s="12" t="b">
        <v>0</v>
      </c>
      <c r="S290" s="12" t="b">
        <v>0</v>
      </c>
      <c r="T290" s="12" t="b">
        <v>1</v>
      </c>
      <c r="U290" s="12" t="b">
        <v>0</v>
      </c>
      <c r="V290" s="12" t="b">
        <v>1</v>
      </c>
      <c r="W290" s="12" t="b">
        <v>0</v>
      </c>
      <c r="X290" s="12">
        <v>1</v>
      </c>
      <c r="Y290" s="12" t="b">
        <v>0</v>
      </c>
      <c r="Z290" s="12" t="b">
        <v>0</v>
      </c>
      <c r="AA290" s="12" t="b">
        <v>1</v>
      </c>
      <c r="AB290" s="12" t="b">
        <v>1</v>
      </c>
      <c r="AC290" s="12" t="b">
        <v>1</v>
      </c>
      <c r="AD290" s="12" t="b">
        <v>1</v>
      </c>
      <c r="AE290" s="12" t="b">
        <v>0</v>
      </c>
      <c r="AF290" s="12" t="b">
        <v>0</v>
      </c>
      <c r="AG290" s="12" t="b">
        <v>0</v>
      </c>
      <c r="AH290" s="12">
        <v>0</v>
      </c>
      <c r="AI290" s="12" t="b">
        <v>0</v>
      </c>
      <c r="AJ290" s="12" t="b">
        <v>0</v>
      </c>
      <c r="AK290" s="12" t="b">
        <v>1</v>
      </c>
      <c r="AL290" s="12">
        <v>1</v>
      </c>
      <c r="AM290" s="12" t="s">
        <v>900</v>
      </c>
      <c r="AN290" s="12">
        <v>1</v>
      </c>
    </row>
    <row r="291" spans="1:40" x14ac:dyDescent="0.3">
      <c r="A291" s="62" t="s">
        <v>2177</v>
      </c>
      <c r="B291" s="62"/>
      <c r="C291" s="63" t="s">
        <v>1934</v>
      </c>
      <c r="D291" s="63" t="s">
        <v>1630</v>
      </c>
      <c r="E291" s="12" t="s">
        <v>1758</v>
      </c>
      <c r="F291" s="12" t="s">
        <v>1584</v>
      </c>
      <c r="G291" s="12" t="b">
        <v>0</v>
      </c>
      <c r="H291" s="12" t="b">
        <v>1</v>
      </c>
      <c r="I291" s="12" t="b">
        <v>1</v>
      </c>
      <c r="J291" s="12" t="b">
        <v>1</v>
      </c>
      <c r="K291" s="12" t="b">
        <v>0</v>
      </c>
      <c r="L291" s="12" t="b">
        <v>0</v>
      </c>
      <c r="M291" s="12" t="b">
        <v>0</v>
      </c>
      <c r="N291" s="12">
        <v>0</v>
      </c>
      <c r="O291" s="12" t="b">
        <v>0</v>
      </c>
      <c r="P291" s="12" t="b">
        <v>0</v>
      </c>
      <c r="Q291" s="12" t="b">
        <v>0</v>
      </c>
      <c r="R291" s="12" t="b">
        <v>0</v>
      </c>
      <c r="S291" s="12" t="b">
        <v>0</v>
      </c>
      <c r="T291" s="12" t="b">
        <v>1</v>
      </c>
      <c r="U291" s="12" t="b">
        <v>0</v>
      </c>
      <c r="V291" s="12" t="b">
        <v>1</v>
      </c>
      <c r="W291" s="12" t="b">
        <v>0</v>
      </c>
      <c r="X291" s="12">
        <v>1</v>
      </c>
      <c r="Y291" s="12" t="b">
        <v>0</v>
      </c>
      <c r="Z291" s="12" t="b">
        <v>0</v>
      </c>
      <c r="AA291" s="12" t="b">
        <v>1</v>
      </c>
      <c r="AB291" s="12" t="b">
        <v>1</v>
      </c>
      <c r="AC291" s="12" t="b">
        <v>1</v>
      </c>
      <c r="AD291" s="12" t="b">
        <v>1</v>
      </c>
      <c r="AE291" s="12" t="b">
        <v>0</v>
      </c>
      <c r="AF291" s="12" t="b">
        <v>0</v>
      </c>
      <c r="AG291" s="12" t="b">
        <v>0</v>
      </c>
      <c r="AH291" s="12">
        <v>0</v>
      </c>
      <c r="AI291" s="12" t="b">
        <v>0</v>
      </c>
      <c r="AJ291" s="12" t="b">
        <v>0</v>
      </c>
      <c r="AK291" s="12" t="b">
        <v>1</v>
      </c>
      <c r="AL291" s="12">
        <v>1</v>
      </c>
      <c r="AM291" s="12" t="s">
        <v>900</v>
      </c>
      <c r="AN291" s="12">
        <v>1</v>
      </c>
    </row>
    <row r="292" spans="1:40" x14ac:dyDescent="0.3">
      <c r="A292" s="62" t="s">
        <v>2177</v>
      </c>
      <c r="B292" s="62"/>
      <c r="C292" s="63" t="s">
        <v>1935</v>
      </c>
      <c r="D292" s="63" t="s">
        <v>1630</v>
      </c>
      <c r="E292" s="12" t="s">
        <v>1758</v>
      </c>
      <c r="F292" s="12" t="s">
        <v>1584</v>
      </c>
      <c r="G292" s="12" t="b">
        <v>0</v>
      </c>
      <c r="H292" s="12" t="b">
        <v>1</v>
      </c>
      <c r="I292" s="12" t="b">
        <v>1</v>
      </c>
      <c r="J292" s="12" t="b">
        <v>1</v>
      </c>
      <c r="K292" s="12" t="b">
        <v>0</v>
      </c>
      <c r="L292" s="12" t="b">
        <v>0</v>
      </c>
      <c r="M292" s="12" t="b">
        <v>0</v>
      </c>
      <c r="N292" s="12">
        <v>0</v>
      </c>
      <c r="O292" s="12" t="b">
        <v>0</v>
      </c>
      <c r="P292" s="12" t="b">
        <v>0</v>
      </c>
      <c r="Q292" s="12" t="b">
        <v>0</v>
      </c>
      <c r="R292" s="12" t="b">
        <v>0</v>
      </c>
      <c r="S292" s="12" t="b">
        <v>0</v>
      </c>
      <c r="T292" s="12" t="b">
        <v>1</v>
      </c>
      <c r="U292" s="12" t="b">
        <v>0</v>
      </c>
      <c r="V292" s="12" t="b">
        <v>1</v>
      </c>
      <c r="W292" s="12" t="b">
        <v>0</v>
      </c>
      <c r="X292" s="12">
        <v>1</v>
      </c>
      <c r="Y292" s="12" t="b">
        <v>0</v>
      </c>
      <c r="Z292" s="12" t="b">
        <v>0</v>
      </c>
      <c r="AA292" s="12" t="b">
        <v>1</v>
      </c>
      <c r="AB292" s="12" t="b">
        <v>1</v>
      </c>
      <c r="AC292" s="12" t="b">
        <v>1</v>
      </c>
      <c r="AD292" s="12" t="b">
        <v>1</v>
      </c>
      <c r="AE292" s="12" t="b">
        <v>0</v>
      </c>
      <c r="AF292" s="12" t="b">
        <v>0</v>
      </c>
      <c r="AG292" s="12" t="b">
        <v>0</v>
      </c>
      <c r="AH292" s="12">
        <v>0</v>
      </c>
      <c r="AI292" s="12" t="b">
        <v>0</v>
      </c>
      <c r="AJ292" s="12" t="b">
        <v>0</v>
      </c>
      <c r="AK292" s="12" t="b">
        <v>1</v>
      </c>
      <c r="AL292" s="12">
        <v>1</v>
      </c>
      <c r="AM292" s="12" t="s">
        <v>900</v>
      </c>
      <c r="AN292" s="12">
        <v>1</v>
      </c>
    </row>
    <row r="293" spans="1:40" x14ac:dyDescent="0.3">
      <c r="A293" s="62" t="s">
        <v>2177</v>
      </c>
      <c r="B293" s="62"/>
      <c r="C293" s="63" t="s">
        <v>1936</v>
      </c>
      <c r="D293" s="63" t="s">
        <v>1630</v>
      </c>
      <c r="E293" s="12" t="s">
        <v>1758</v>
      </c>
      <c r="F293" s="12" t="s">
        <v>1584</v>
      </c>
      <c r="G293" s="12" t="b">
        <v>0</v>
      </c>
      <c r="H293" s="12" t="b">
        <v>1</v>
      </c>
      <c r="I293" s="12" t="b">
        <v>1</v>
      </c>
      <c r="J293" s="12" t="b">
        <v>1</v>
      </c>
      <c r="K293" s="12" t="b">
        <v>0</v>
      </c>
      <c r="L293" s="12" t="b">
        <v>0</v>
      </c>
      <c r="M293" s="12" t="b">
        <v>0</v>
      </c>
      <c r="N293" s="12">
        <v>0</v>
      </c>
      <c r="O293" s="12" t="b">
        <v>0</v>
      </c>
      <c r="P293" s="12" t="b">
        <v>0</v>
      </c>
      <c r="Q293" s="12" t="b">
        <v>0</v>
      </c>
      <c r="R293" s="12" t="b">
        <v>0</v>
      </c>
      <c r="S293" s="12" t="b">
        <v>0</v>
      </c>
      <c r="T293" s="12" t="b">
        <v>1</v>
      </c>
      <c r="U293" s="12" t="b">
        <v>0</v>
      </c>
      <c r="V293" s="12" t="b">
        <v>1</v>
      </c>
      <c r="W293" s="12" t="b">
        <v>0</v>
      </c>
      <c r="X293" s="12">
        <v>1</v>
      </c>
      <c r="Y293" s="12" t="b">
        <v>0</v>
      </c>
      <c r="Z293" s="12" t="b">
        <v>0</v>
      </c>
      <c r="AA293" s="12" t="b">
        <v>1</v>
      </c>
      <c r="AB293" s="12" t="b">
        <v>1</v>
      </c>
      <c r="AC293" s="12" t="b">
        <v>1</v>
      </c>
      <c r="AD293" s="12" t="b">
        <v>1</v>
      </c>
      <c r="AE293" s="12" t="b">
        <v>0</v>
      </c>
      <c r="AF293" s="12" t="b">
        <v>0</v>
      </c>
      <c r="AG293" s="12" t="b">
        <v>0</v>
      </c>
      <c r="AH293" s="12">
        <v>0</v>
      </c>
      <c r="AI293" s="12" t="b">
        <v>0</v>
      </c>
      <c r="AJ293" s="12" t="b">
        <v>0</v>
      </c>
      <c r="AK293" s="12" t="b">
        <v>1</v>
      </c>
      <c r="AL293" s="12">
        <v>1</v>
      </c>
      <c r="AM293" s="12" t="s">
        <v>900</v>
      </c>
      <c r="AN293" s="12">
        <v>1</v>
      </c>
    </row>
    <row r="294" spans="1:40" x14ac:dyDescent="0.3">
      <c r="A294" s="62" t="s">
        <v>2177</v>
      </c>
      <c r="B294" s="62"/>
      <c r="C294" s="63" t="s">
        <v>1937</v>
      </c>
      <c r="D294" s="63" t="s">
        <v>1630</v>
      </c>
      <c r="E294" s="12" t="s">
        <v>1758</v>
      </c>
      <c r="F294" s="12" t="s">
        <v>1584</v>
      </c>
      <c r="G294" s="12" t="b">
        <v>0</v>
      </c>
      <c r="H294" s="12" t="b">
        <v>1</v>
      </c>
      <c r="I294" s="12" t="b">
        <v>1</v>
      </c>
      <c r="J294" s="12" t="b">
        <v>1</v>
      </c>
      <c r="K294" s="12" t="b">
        <v>0</v>
      </c>
      <c r="L294" s="12" t="b">
        <v>0</v>
      </c>
      <c r="M294" s="12" t="b">
        <v>0</v>
      </c>
      <c r="N294" s="12">
        <v>0</v>
      </c>
      <c r="O294" s="12" t="b">
        <v>0</v>
      </c>
      <c r="P294" s="12" t="b">
        <v>0</v>
      </c>
      <c r="Q294" s="12" t="b">
        <v>0</v>
      </c>
      <c r="R294" s="12" t="b">
        <v>0</v>
      </c>
      <c r="S294" s="12" t="b">
        <v>0</v>
      </c>
      <c r="T294" s="12" t="b">
        <v>1</v>
      </c>
      <c r="U294" s="12" t="b">
        <v>0</v>
      </c>
      <c r="V294" s="12" t="b">
        <v>1</v>
      </c>
      <c r="W294" s="12" t="b">
        <v>0</v>
      </c>
      <c r="X294" s="12">
        <v>1</v>
      </c>
      <c r="Y294" s="12" t="b">
        <v>0</v>
      </c>
      <c r="Z294" s="12" t="b">
        <v>0</v>
      </c>
      <c r="AA294" s="12" t="b">
        <v>1</v>
      </c>
      <c r="AB294" s="12" t="b">
        <v>1</v>
      </c>
      <c r="AC294" s="12" t="b">
        <v>1</v>
      </c>
      <c r="AD294" s="12" t="b">
        <v>1</v>
      </c>
      <c r="AE294" s="12" t="b">
        <v>0</v>
      </c>
      <c r="AF294" s="12" t="b">
        <v>0</v>
      </c>
      <c r="AG294" s="12" t="b">
        <v>0</v>
      </c>
      <c r="AH294" s="12">
        <v>0</v>
      </c>
      <c r="AI294" s="12" t="b">
        <v>0</v>
      </c>
      <c r="AJ294" s="12" t="b">
        <v>0</v>
      </c>
      <c r="AK294" s="12" t="b">
        <v>1</v>
      </c>
      <c r="AL294" s="12">
        <v>1</v>
      </c>
      <c r="AM294" s="12" t="s">
        <v>900</v>
      </c>
      <c r="AN294" s="12">
        <v>1</v>
      </c>
    </row>
    <row r="295" spans="1:40" x14ac:dyDescent="0.3">
      <c r="A295" s="62" t="s">
        <v>2177</v>
      </c>
      <c r="B295" s="62"/>
      <c r="C295" s="63" t="s">
        <v>1938</v>
      </c>
      <c r="D295" s="63" t="s">
        <v>1630</v>
      </c>
      <c r="E295" s="12" t="s">
        <v>1758</v>
      </c>
      <c r="F295" s="12" t="s">
        <v>1584</v>
      </c>
      <c r="G295" s="12" t="b">
        <v>0</v>
      </c>
      <c r="H295" s="12" t="b">
        <v>1</v>
      </c>
      <c r="I295" s="12" t="b">
        <v>1</v>
      </c>
      <c r="J295" s="12" t="b">
        <v>1</v>
      </c>
      <c r="K295" s="12" t="b">
        <v>0</v>
      </c>
      <c r="L295" s="12" t="b">
        <v>0</v>
      </c>
      <c r="M295" s="12" t="b">
        <v>0</v>
      </c>
      <c r="N295" s="12">
        <v>0</v>
      </c>
      <c r="O295" s="12" t="b">
        <v>0</v>
      </c>
      <c r="P295" s="12" t="b">
        <v>0</v>
      </c>
      <c r="Q295" s="12" t="b">
        <v>0</v>
      </c>
      <c r="R295" s="12" t="b">
        <v>0</v>
      </c>
      <c r="S295" s="12" t="b">
        <v>0</v>
      </c>
      <c r="T295" s="12" t="b">
        <v>1</v>
      </c>
      <c r="U295" s="12" t="b">
        <v>0</v>
      </c>
      <c r="V295" s="12" t="b">
        <v>1</v>
      </c>
      <c r="W295" s="12" t="b">
        <v>0</v>
      </c>
      <c r="X295" s="12">
        <v>1</v>
      </c>
      <c r="Y295" s="12" t="b">
        <v>0</v>
      </c>
      <c r="Z295" s="12" t="b">
        <v>0</v>
      </c>
      <c r="AA295" s="12" t="b">
        <v>1</v>
      </c>
      <c r="AB295" s="12" t="b">
        <v>1</v>
      </c>
      <c r="AC295" s="12" t="b">
        <v>1</v>
      </c>
      <c r="AD295" s="12" t="b">
        <v>1</v>
      </c>
      <c r="AE295" s="12" t="b">
        <v>0</v>
      </c>
      <c r="AF295" s="12" t="b">
        <v>0</v>
      </c>
      <c r="AG295" s="12" t="b">
        <v>0</v>
      </c>
      <c r="AH295" s="12">
        <v>0</v>
      </c>
      <c r="AI295" s="12" t="b">
        <v>0</v>
      </c>
      <c r="AJ295" s="12" t="b">
        <v>0</v>
      </c>
      <c r="AK295" s="12" t="b">
        <v>1</v>
      </c>
      <c r="AL295" s="12">
        <v>1</v>
      </c>
      <c r="AM295" s="12" t="s">
        <v>900</v>
      </c>
      <c r="AN295" s="12">
        <v>1</v>
      </c>
    </row>
    <row r="296" spans="1:40" x14ac:dyDescent="0.3">
      <c r="A296" s="62" t="s">
        <v>2177</v>
      </c>
      <c r="B296" s="62"/>
      <c r="C296" s="63" t="s">
        <v>1939</v>
      </c>
      <c r="D296" s="63" t="s">
        <v>1630</v>
      </c>
      <c r="E296" s="12" t="s">
        <v>1758</v>
      </c>
      <c r="F296" s="12" t="s">
        <v>1584</v>
      </c>
      <c r="G296" s="12" t="b">
        <v>0</v>
      </c>
      <c r="H296" s="12" t="b">
        <v>1</v>
      </c>
      <c r="I296" s="12" t="b">
        <v>1</v>
      </c>
      <c r="J296" s="12" t="b">
        <v>1</v>
      </c>
      <c r="K296" s="12" t="b">
        <v>0</v>
      </c>
      <c r="L296" s="12" t="b">
        <v>0</v>
      </c>
      <c r="M296" s="12" t="b">
        <v>0</v>
      </c>
      <c r="N296" s="12">
        <v>0</v>
      </c>
      <c r="O296" s="12" t="b">
        <v>0</v>
      </c>
      <c r="P296" s="12" t="b">
        <v>0</v>
      </c>
      <c r="Q296" s="12" t="b">
        <v>0</v>
      </c>
      <c r="R296" s="12" t="b">
        <v>0</v>
      </c>
      <c r="S296" s="12" t="b">
        <v>0</v>
      </c>
      <c r="T296" s="12" t="b">
        <v>1</v>
      </c>
      <c r="U296" s="12" t="b">
        <v>0</v>
      </c>
      <c r="V296" s="12" t="b">
        <v>1</v>
      </c>
      <c r="W296" s="12" t="b">
        <v>0</v>
      </c>
      <c r="X296" s="12">
        <v>1</v>
      </c>
      <c r="Y296" s="12" t="b">
        <v>0</v>
      </c>
      <c r="Z296" s="12" t="b">
        <v>0</v>
      </c>
      <c r="AA296" s="12" t="b">
        <v>1</v>
      </c>
      <c r="AB296" s="12" t="b">
        <v>1</v>
      </c>
      <c r="AC296" s="12" t="b">
        <v>1</v>
      </c>
      <c r="AD296" s="12" t="b">
        <v>1</v>
      </c>
      <c r="AE296" s="12" t="b">
        <v>0</v>
      </c>
      <c r="AF296" s="12" t="b">
        <v>0</v>
      </c>
      <c r="AG296" s="12" t="b">
        <v>0</v>
      </c>
      <c r="AH296" s="12">
        <v>0</v>
      </c>
      <c r="AI296" s="12" t="b">
        <v>0</v>
      </c>
      <c r="AJ296" s="12" t="b">
        <v>0</v>
      </c>
      <c r="AK296" s="12" t="b">
        <v>1</v>
      </c>
      <c r="AL296" s="12">
        <v>1</v>
      </c>
      <c r="AM296" s="12" t="s">
        <v>900</v>
      </c>
      <c r="AN296" s="12">
        <v>1</v>
      </c>
    </row>
    <row r="297" spans="1:40" x14ac:dyDescent="0.3">
      <c r="A297" s="62" t="s">
        <v>2177</v>
      </c>
      <c r="B297" s="62"/>
      <c r="C297" s="63"/>
      <c r="D297" s="63"/>
      <c r="E297" s="12" t="s">
        <v>1003</v>
      </c>
      <c r="F297" s="12" t="s">
        <v>1190</v>
      </c>
      <c r="G297" s="12" t="b">
        <v>0</v>
      </c>
      <c r="H297" s="12" t="b">
        <v>1</v>
      </c>
      <c r="I297" s="12" t="b">
        <v>1</v>
      </c>
      <c r="J297" s="12" t="b">
        <v>1</v>
      </c>
      <c r="K297" s="12" t="b">
        <v>0</v>
      </c>
      <c r="L297" s="12" t="b">
        <v>1</v>
      </c>
      <c r="M297" s="12" t="b">
        <v>0</v>
      </c>
      <c r="N297" s="12">
        <v>0</v>
      </c>
      <c r="O297" s="12" t="b">
        <v>0</v>
      </c>
      <c r="P297" s="12" t="b">
        <v>0</v>
      </c>
      <c r="Q297" s="12" t="b">
        <v>0</v>
      </c>
      <c r="R297" s="12" t="b">
        <v>0</v>
      </c>
      <c r="S297" s="12" t="b">
        <v>0</v>
      </c>
      <c r="T297" s="12" t="b">
        <v>1</v>
      </c>
      <c r="U297" s="12" t="b">
        <v>0</v>
      </c>
      <c r="V297" s="12" t="b">
        <v>1</v>
      </c>
      <c r="W297" s="12" t="b">
        <v>0</v>
      </c>
      <c r="X297" s="12">
        <v>1</v>
      </c>
      <c r="Y297" s="12" t="b">
        <v>0</v>
      </c>
      <c r="Z297" s="12" t="b">
        <v>0</v>
      </c>
      <c r="AA297" s="12" t="b">
        <v>1</v>
      </c>
      <c r="AB297" s="12" t="b">
        <v>1</v>
      </c>
      <c r="AC297" s="12" t="b">
        <v>1</v>
      </c>
      <c r="AD297" s="12" t="b">
        <v>1</v>
      </c>
      <c r="AE297" s="12" t="b">
        <v>0</v>
      </c>
      <c r="AF297" s="12" t="b">
        <v>0</v>
      </c>
      <c r="AG297" s="12" t="b">
        <v>0</v>
      </c>
      <c r="AH297" s="12">
        <v>0</v>
      </c>
      <c r="AI297" s="12" t="b">
        <v>0</v>
      </c>
      <c r="AJ297" s="12" t="b">
        <v>0</v>
      </c>
      <c r="AK297" s="12" t="b">
        <v>1</v>
      </c>
      <c r="AL297" s="12">
        <v>0</v>
      </c>
      <c r="AM297" s="12" t="s">
        <v>900</v>
      </c>
      <c r="AN297" s="12">
        <v>0</v>
      </c>
    </row>
    <row r="298" spans="1:40" x14ac:dyDescent="0.3">
      <c r="A298" s="62" t="s">
        <v>2177</v>
      </c>
      <c r="B298" s="62"/>
      <c r="C298" s="63"/>
      <c r="D298" s="63"/>
      <c r="E298" s="12" t="s">
        <v>925</v>
      </c>
      <c r="F298" s="12" t="s">
        <v>1195</v>
      </c>
      <c r="G298" s="12" t="b">
        <v>0</v>
      </c>
      <c r="H298" s="12" t="b">
        <v>0</v>
      </c>
      <c r="I298" s="12" t="b">
        <v>0</v>
      </c>
      <c r="J298" s="12" t="b">
        <v>1</v>
      </c>
      <c r="K298" s="12" t="b">
        <v>0</v>
      </c>
      <c r="L298" s="12" t="b">
        <v>1</v>
      </c>
      <c r="M298" s="12" t="b">
        <v>0</v>
      </c>
      <c r="N298" s="12">
        <v>0</v>
      </c>
      <c r="O298" s="12" t="b">
        <v>0</v>
      </c>
      <c r="P298" s="12" t="b">
        <v>0</v>
      </c>
      <c r="Q298" s="12" t="b">
        <v>0</v>
      </c>
      <c r="R298" s="12" t="b">
        <v>0</v>
      </c>
      <c r="S298" s="12" t="b">
        <v>0</v>
      </c>
      <c r="T298" s="12" t="b">
        <v>1</v>
      </c>
      <c r="U298" s="12" t="b">
        <v>0</v>
      </c>
      <c r="V298" s="12" t="b">
        <v>1</v>
      </c>
      <c r="W298" s="12" t="b">
        <v>0</v>
      </c>
      <c r="X298" s="12">
        <v>1</v>
      </c>
      <c r="Y298" s="12" t="b">
        <v>0</v>
      </c>
      <c r="Z298" s="12" t="b">
        <v>0</v>
      </c>
      <c r="AA298" s="12" t="b">
        <v>0</v>
      </c>
      <c r="AB298" s="12" t="b">
        <v>0</v>
      </c>
      <c r="AC298" s="12" t="b">
        <v>0</v>
      </c>
      <c r="AD298" s="12" t="b">
        <v>1</v>
      </c>
      <c r="AE298" s="12" t="b">
        <v>0</v>
      </c>
      <c r="AF298" s="12" t="b">
        <v>1</v>
      </c>
      <c r="AG298" s="12" t="b">
        <v>0</v>
      </c>
      <c r="AH298" s="12">
        <v>1</v>
      </c>
      <c r="AI298" s="12" t="b">
        <v>0</v>
      </c>
      <c r="AJ298" s="12" t="b">
        <v>0</v>
      </c>
      <c r="AK298" s="12" t="b">
        <v>1</v>
      </c>
      <c r="AL298" s="12">
        <v>1</v>
      </c>
      <c r="AM298" s="12" t="s">
        <v>922</v>
      </c>
      <c r="AN298" s="12">
        <v>1</v>
      </c>
    </row>
    <row r="299" spans="1:40" x14ac:dyDescent="0.3">
      <c r="A299" s="62" t="s">
        <v>2177</v>
      </c>
      <c r="B299" s="62"/>
      <c r="C299" s="63"/>
      <c r="D299" s="63"/>
      <c r="E299" s="12" t="s">
        <v>1563</v>
      </c>
      <c r="F299" s="12" t="s">
        <v>1565</v>
      </c>
      <c r="G299" s="12" t="b">
        <v>0</v>
      </c>
      <c r="H299" s="12" t="b">
        <v>0</v>
      </c>
      <c r="I299" s="12" t="b">
        <v>0</v>
      </c>
      <c r="J299" s="12" t="b">
        <v>1</v>
      </c>
      <c r="K299" s="12" t="b">
        <v>0</v>
      </c>
      <c r="L299" s="12" t="b">
        <v>1</v>
      </c>
      <c r="M299" s="12" t="b">
        <v>0</v>
      </c>
      <c r="N299" s="12">
        <v>0</v>
      </c>
      <c r="O299" s="12" t="b">
        <v>0</v>
      </c>
      <c r="P299" s="12" t="b">
        <v>0</v>
      </c>
      <c r="Q299" s="12" t="b">
        <v>0</v>
      </c>
      <c r="R299" s="12" t="b">
        <v>0</v>
      </c>
      <c r="S299" s="12" t="b">
        <v>0</v>
      </c>
      <c r="T299" s="12" t="b">
        <v>1</v>
      </c>
      <c r="U299" s="12" t="b">
        <v>0</v>
      </c>
      <c r="V299" s="12" t="b">
        <v>1</v>
      </c>
      <c r="W299" s="12" t="b">
        <v>0</v>
      </c>
      <c r="X299" s="12">
        <v>1</v>
      </c>
      <c r="Y299" s="12" t="b">
        <v>0</v>
      </c>
      <c r="Z299" s="12" t="b">
        <v>0</v>
      </c>
      <c r="AA299" s="12" t="b">
        <v>0</v>
      </c>
      <c r="AB299" s="12" t="b">
        <v>0</v>
      </c>
      <c r="AC299" s="12" t="b">
        <v>0</v>
      </c>
      <c r="AD299" s="12" t="b">
        <v>1</v>
      </c>
      <c r="AE299" s="12" t="b">
        <v>0</v>
      </c>
      <c r="AF299" s="12" t="b">
        <v>1</v>
      </c>
      <c r="AG299" s="12" t="b">
        <v>0</v>
      </c>
      <c r="AH299" s="12">
        <v>1</v>
      </c>
      <c r="AI299" s="12" t="b">
        <v>0</v>
      </c>
      <c r="AJ299" s="12" t="b">
        <v>0</v>
      </c>
      <c r="AK299" s="12" t="b">
        <v>1</v>
      </c>
      <c r="AL299" s="12">
        <v>1</v>
      </c>
      <c r="AM299" s="12" t="s">
        <v>922</v>
      </c>
      <c r="AN299" s="12">
        <v>1</v>
      </c>
    </row>
    <row r="300" spans="1:40" x14ac:dyDescent="0.3">
      <c r="A300" s="62" t="s">
        <v>2177</v>
      </c>
      <c r="B300" s="62"/>
      <c r="C300" s="63"/>
      <c r="D300" s="63"/>
      <c r="E300" s="12" t="s">
        <v>906</v>
      </c>
      <c r="F300" s="12" t="s">
        <v>1202</v>
      </c>
      <c r="G300" s="12" t="b">
        <v>0</v>
      </c>
      <c r="H300" s="12" t="b">
        <v>1</v>
      </c>
      <c r="I300" s="12" t="b">
        <v>1</v>
      </c>
      <c r="J300" s="12" t="b">
        <v>1</v>
      </c>
      <c r="K300" s="12" t="b">
        <v>0</v>
      </c>
      <c r="L300" s="12" t="b">
        <v>0</v>
      </c>
      <c r="M300" s="12" t="b">
        <v>0</v>
      </c>
      <c r="N300" s="12">
        <v>0</v>
      </c>
      <c r="O300" s="12" t="b">
        <v>0</v>
      </c>
      <c r="P300" s="12" t="b">
        <v>0</v>
      </c>
      <c r="Q300" s="12" t="b">
        <v>0</v>
      </c>
      <c r="R300" s="12" t="b">
        <v>1</v>
      </c>
      <c r="S300" s="12" t="b">
        <v>1</v>
      </c>
      <c r="T300" s="12" t="b">
        <v>1</v>
      </c>
      <c r="U300" s="12" t="b">
        <v>0</v>
      </c>
      <c r="V300" s="12" t="b">
        <v>0</v>
      </c>
      <c r="W300" s="12" t="b">
        <v>0</v>
      </c>
      <c r="X300" s="12">
        <v>1</v>
      </c>
      <c r="Y300" s="12" t="b">
        <v>0</v>
      </c>
      <c r="Z300" s="12" t="b">
        <v>0</v>
      </c>
      <c r="AA300" s="12" t="b">
        <v>0</v>
      </c>
      <c r="AB300" s="12" t="b">
        <v>0</v>
      </c>
      <c r="AC300" s="12" t="b">
        <v>0</v>
      </c>
      <c r="AD300" s="12" t="b">
        <v>1</v>
      </c>
      <c r="AE300" s="12" t="b">
        <v>0</v>
      </c>
      <c r="AF300" s="12" t="b">
        <v>1</v>
      </c>
      <c r="AG300" s="12" t="b">
        <v>0</v>
      </c>
      <c r="AH300" s="12">
        <v>1</v>
      </c>
      <c r="AI300" s="12" t="b">
        <v>0</v>
      </c>
      <c r="AJ300" s="12" t="b">
        <v>0</v>
      </c>
      <c r="AK300" s="12" t="b">
        <v>1</v>
      </c>
      <c r="AL300" s="12">
        <v>1</v>
      </c>
      <c r="AM300" s="12" t="s">
        <v>1476</v>
      </c>
      <c r="AN300" s="12">
        <v>1</v>
      </c>
    </row>
    <row r="301" spans="1:40" x14ac:dyDescent="0.3">
      <c r="A301" s="62" t="s">
        <v>2177</v>
      </c>
      <c r="B301" s="62"/>
      <c r="C301" s="63"/>
      <c r="D301" s="63"/>
      <c r="E301" s="12" t="s">
        <v>910</v>
      </c>
      <c r="F301" s="12" t="s">
        <v>1200</v>
      </c>
      <c r="G301" s="12" t="b">
        <v>0</v>
      </c>
      <c r="H301" s="12" t="b">
        <v>1</v>
      </c>
      <c r="I301" s="12" t="b">
        <v>1</v>
      </c>
      <c r="J301" s="12" t="b">
        <v>1</v>
      </c>
      <c r="K301" s="12" t="b">
        <v>0</v>
      </c>
      <c r="L301" s="12" t="b">
        <v>0</v>
      </c>
      <c r="M301" s="12" t="b">
        <v>0</v>
      </c>
      <c r="N301" s="12">
        <v>0</v>
      </c>
      <c r="O301" s="12" t="b">
        <v>0</v>
      </c>
      <c r="P301" s="12" t="b">
        <v>0</v>
      </c>
      <c r="Q301" s="12" t="b">
        <v>0</v>
      </c>
      <c r="R301" s="12" t="b">
        <v>1</v>
      </c>
      <c r="S301" s="12" t="b">
        <v>1</v>
      </c>
      <c r="T301" s="12" t="b">
        <v>1</v>
      </c>
      <c r="U301" s="12" t="b">
        <v>0</v>
      </c>
      <c r="V301" s="12" t="b">
        <v>0</v>
      </c>
      <c r="W301" s="12" t="b">
        <v>0</v>
      </c>
      <c r="X301" s="12">
        <v>1</v>
      </c>
      <c r="Y301" s="12" t="b">
        <v>0</v>
      </c>
      <c r="Z301" s="12" t="b">
        <v>0</v>
      </c>
      <c r="AA301" s="12" t="b">
        <v>0</v>
      </c>
      <c r="AB301" s="12" t="b">
        <v>0</v>
      </c>
      <c r="AC301" s="12" t="b">
        <v>0</v>
      </c>
      <c r="AD301" s="12" t="b">
        <v>1</v>
      </c>
      <c r="AE301" s="12" t="b">
        <v>0</v>
      </c>
      <c r="AF301" s="12" t="b">
        <v>1</v>
      </c>
      <c r="AG301" s="12" t="b">
        <v>0</v>
      </c>
      <c r="AH301" s="12">
        <v>1</v>
      </c>
      <c r="AI301" s="12" t="b">
        <v>0</v>
      </c>
      <c r="AJ301" s="12" t="b">
        <v>0</v>
      </c>
      <c r="AK301" s="12" t="b">
        <v>1</v>
      </c>
      <c r="AL301" s="12">
        <v>1</v>
      </c>
      <c r="AM301" s="12" t="s">
        <v>1476</v>
      </c>
      <c r="AN301" s="12">
        <v>1</v>
      </c>
    </row>
    <row r="302" spans="1:40" x14ac:dyDescent="0.3">
      <c r="A302" s="62" t="s">
        <v>2177</v>
      </c>
      <c r="B302" s="62"/>
      <c r="C302" s="63"/>
      <c r="D302" s="63"/>
      <c r="E302" s="12" t="s">
        <v>1209</v>
      </c>
      <c r="F302" s="12" t="s">
        <v>1210</v>
      </c>
      <c r="G302" s="12" t="b">
        <v>0</v>
      </c>
      <c r="H302" s="12" t="b">
        <v>1</v>
      </c>
      <c r="I302" s="12" t="b">
        <v>1</v>
      </c>
      <c r="J302" s="12" t="b">
        <v>1</v>
      </c>
      <c r="K302" s="12" t="b">
        <v>0</v>
      </c>
      <c r="L302" s="12" t="b">
        <v>0</v>
      </c>
      <c r="M302" s="12" t="b">
        <v>0</v>
      </c>
      <c r="N302" s="12">
        <v>0</v>
      </c>
      <c r="O302" s="12" t="b">
        <v>0</v>
      </c>
      <c r="P302" s="12" t="b">
        <v>0</v>
      </c>
      <c r="Q302" s="12" t="b">
        <v>0</v>
      </c>
      <c r="R302" s="12" t="b">
        <v>0</v>
      </c>
      <c r="S302" s="12" t="b">
        <v>0</v>
      </c>
      <c r="T302" s="12" t="b">
        <v>1</v>
      </c>
      <c r="U302" s="12" t="b">
        <v>0</v>
      </c>
      <c r="V302" s="12" t="b">
        <v>1</v>
      </c>
      <c r="W302" s="12" t="b">
        <v>0</v>
      </c>
      <c r="X302" s="12">
        <v>1</v>
      </c>
      <c r="Y302" s="12" t="b">
        <v>0</v>
      </c>
      <c r="Z302" s="12" t="b">
        <v>0</v>
      </c>
      <c r="AA302" s="12" t="b">
        <v>1</v>
      </c>
      <c r="AB302" s="12" t="b">
        <v>1</v>
      </c>
      <c r="AC302" s="12" t="b">
        <v>1</v>
      </c>
      <c r="AD302" s="12" t="b">
        <v>1</v>
      </c>
      <c r="AE302" s="12" t="b">
        <v>0</v>
      </c>
      <c r="AF302" s="12" t="b">
        <v>0</v>
      </c>
      <c r="AG302" s="12" t="b">
        <v>0</v>
      </c>
      <c r="AH302" s="12">
        <v>0</v>
      </c>
      <c r="AI302" s="12" t="b">
        <v>0</v>
      </c>
      <c r="AJ302" s="12" t="b">
        <v>0</v>
      </c>
      <c r="AK302" s="12" t="b">
        <v>1</v>
      </c>
      <c r="AL302" s="12">
        <v>1</v>
      </c>
      <c r="AM302" s="12" t="s">
        <v>900</v>
      </c>
      <c r="AN302" s="12">
        <v>1</v>
      </c>
    </row>
    <row r="303" spans="1:40" x14ac:dyDescent="0.3">
      <c r="A303" s="62" t="s">
        <v>2177</v>
      </c>
      <c r="B303" s="62"/>
      <c r="C303" s="63"/>
      <c r="D303" s="63"/>
      <c r="E303" s="12" t="s">
        <v>1205</v>
      </c>
      <c r="F303" s="12" t="s">
        <v>1206</v>
      </c>
      <c r="G303" s="12" t="b">
        <v>0</v>
      </c>
      <c r="H303" s="12" t="b">
        <v>1</v>
      </c>
      <c r="I303" s="12" t="b">
        <v>1</v>
      </c>
      <c r="J303" s="12" t="b">
        <v>1</v>
      </c>
      <c r="K303" s="12" t="b">
        <v>0</v>
      </c>
      <c r="L303" s="12" t="b">
        <v>0</v>
      </c>
      <c r="M303" s="12" t="b">
        <v>0</v>
      </c>
      <c r="N303" s="12">
        <v>0</v>
      </c>
      <c r="O303" s="12" t="b">
        <v>0</v>
      </c>
      <c r="P303" s="12" t="b">
        <v>0</v>
      </c>
      <c r="Q303" s="12" t="b">
        <v>0</v>
      </c>
      <c r="R303" s="12" t="b">
        <v>0</v>
      </c>
      <c r="S303" s="12" t="b">
        <v>0</v>
      </c>
      <c r="T303" s="12" t="b">
        <v>1</v>
      </c>
      <c r="U303" s="12" t="b">
        <v>0</v>
      </c>
      <c r="V303" s="12" t="b">
        <v>1</v>
      </c>
      <c r="W303" s="12" t="b">
        <v>0</v>
      </c>
      <c r="X303" s="12">
        <v>1</v>
      </c>
      <c r="Y303" s="12" t="b">
        <v>0</v>
      </c>
      <c r="Z303" s="12" t="b">
        <v>0</v>
      </c>
      <c r="AA303" s="12" t="b">
        <v>1</v>
      </c>
      <c r="AB303" s="12" t="b">
        <v>1</v>
      </c>
      <c r="AC303" s="12" t="b">
        <v>1</v>
      </c>
      <c r="AD303" s="12" t="b">
        <v>1</v>
      </c>
      <c r="AE303" s="12" t="b">
        <v>0</v>
      </c>
      <c r="AF303" s="12" t="b">
        <v>0</v>
      </c>
      <c r="AG303" s="12" t="b">
        <v>0</v>
      </c>
      <c r="AH303" s="12">
        <v>0</v>
      </c>
      <c r="AI303" s="12" t="b">
        <v>0</v>
      </c>
      <c r="AJ303" s="12" t="b">
        <v>0</v>
      </c>
      <c r="AK303" s="12" t="b">
        <v>1</v>
      </c>
      <c r="AL303" s="12">
        <v>1</v>
      </c>
      <c r="AM303" s="12" t="s">
        <v>900</v>
      </c>
      <c r="AN303" s="12">
        <v>1</v>
      </c>
    </row>
    <row r="304" spans="1:40" x14ac:dyDescent="0.3">
      <c r="A304" s="62" t="s">
        <v>2177</v>
      </c>
      <c r="B304" s="62"/>
      <c r="C304" s="63" t="s">
        <v>1464</v>
      </c>
      <c r="D304" s="52" t="s">
        <v>1630</v>
      </c>
      <c r="E304" s="12" t="s">
        <v>1761</v>
      </c>
      <c r="F304" s="12" t="s">
        <v>1549</v>
      </c>
      <c r="G304" s="12" t="b">
        <v>1</v>
      </c>
      <c r="H304" s="12" t="b">
        <v>1</v>
      </c>
      <c r="I304" s="12" t="b">
        <v>1</v>
      </c>
      <c r="J304" s="12" t="b">
        <v>1</v>
      </c>
      <c r="K304" s="12" t="b">
        <v>0</v>
      </c>
      <c r="L304" s="12" t="b">
        <v>0</v>
      </c>
      <c r="M304" s="12" t="b">
        <v>0</v>
      </c>
      <c r="N304" s="12">
        <v>0</v>
      </c>
      <c r="O304" s="12" t="b">
        <v>0</v>
      </c>
      <c r="P304" s="12" t="b">
        <v>0</v>
      </c>
      <c r="Q304" s="12" t="b">
        <v>0</v>
      </c>
      <c r="R304" s="12" t="b">
        <v>0</v>
      </c>
      <c r="S304" s="12" t="b">
        <v>0</v>
      </c>
      <c r="T304" s="12" t="b">
        <v>1</v>
      </c>
      <c r="U304" s="12" t="b">
        <v>0</v>
      </c>
      <c r="V304" s="12" t="b">
        <v>1</v>
      </c>
      <c r="W304" s="12" t="b">
        <v>0</v>
      </c>
      <c r="X304" s="12">
        <v>1</v>
      </c>
      <c r="Y304" s="12" t="b">
        <v>0</v>
      </c>
      <c r="Z304" s="12" t="b">
        <v>0</v>
      </c>
      <c r="AA304" s="12" t="b">
        <v>0</v>
      </c>
      <c r="AB304" s="12" t="b">
        <v>0</v>
      </c>
      <c r="AC304" s="12" t="b">
        <v>0</v>
      </c>
      <c r="AD304" s="12" t="b">
        <v>1</v>
      </c>
      <c r="AE304" s="12" t="b">
        <v>0</v>
      </c>
      <c r="AF304" s="12" t="b">
        <v>1</v>
      </c>
      <c r="AG304" s="12" t="b">
        <v>1</v>
      </c>
      <c r="AH304" s="12">
        <v>1</v>
      </c>
      <c r="AI304" s="12" t="b">
        <v>0</v>
      </c>
      <c r="AJ304" s="12" t="b">
        <v>0</v>
      </c>
      <c r="AK304" s="12" t="b">
        <v>1</v>
      </c>
      <c r="AL304" s="12">
        <v>1</v>
      </c>
      <c r="AM304" s="12" t="s">
        <v>900</v>
      </c>
      <c r="AN304" s="12">
        <v>1</v>
      </c>
    </row>
    <row r="305" spans="1:40" x14ac:dyDescent="0.3">
      <c r="A305" s="62" t="s">
        <v>2177</v>
      </c>
      <c r="B305" s="62"/>
      <c r="C305" s="63" t="s">
        <v>1466</v>
      </c>
      <c r="D305" s="52" t="s">
        <v>1630</v>
      </c>
      <c r="E305" s="12" t="s">
        <v>1761</v>
      </c>
      <c r="F305" s="12" t="s">
        <v>1549</v>
      </c>
      <c r="G305" s="12" t="b">
        <v>1</v>
      </c>
      <c r="H305" s="12" t="b">
        <v>1</v>
      </c>
      <c r="I305" s="12" t="b">
        <v>1</v>
      </c>
      <c r="J305" s="12" t="b">
        <v>1</v>
      </c>
      <c r="K305" s="12" t="b">
        <v>0</v>
      </c>
      <c r="L305" s="12" t="b">
        <v>0</v>
      </c>
      <c r="M305" s="12" t="b">
        <v>0</v>
      </c>
      <c r="N305" s="12">
        <v>0</v>
      </c>
      <c r="O305" s="12" t="b">
        <v>0</v>
      </c>
      <c r="P305" s="12" t="b">
        <v>0</v>
      </c>
      <c r="Q305" s="12" t="b">
        <v>0</v>
      </c>
      <c r="R305" s="12" t="b">
        <v>0</v>
      </c>
      <c r="S305" s="12" t="b">
        <v>0</v>
      </c>
      <c r="T305" s="12" t="b">
        <v>1</v>
      </c>
      <c r="U305" s="12" t="b">
        <v>0</v>
      </c>
      <c r="V305" s="12" t="b">
        <v>1</v>
      </c>
      <c r="W305" s="12" t="b">
        <v>0</v>
      </c>
      <c r="X305" s="12">
        <v>1</v>
      </c>
      <c r="Y305" s="12" t="b">
        <v>0</v>
      </c>
      <c r="Z305" s="12" t="b">
        <v>0</v>
      </c>
      <c r="AA305" s="12" t="b">
        <v>0</v>
      </c>
      <c r="AB305" s="12" t="b">
        <v>0</v>
      </c>
      <c r="AC305" s="12" t="b">
        <v>0</v>
      </c>
      <c r="AD305" s="12" t="b">
        <v>1</v>
      </c>
      <c r="AE305" s="12" t="b">
        <v>0</v>
      </c>
      <c r="AF305" s="12" t="b">
        <v>1</v>
      </c>
      <c r="AG305" s="12" t="b">
        <v>1</v>
      </c>
      <c r="AH305" s="12">
        <v>1</v>
      </c>
      <c r="AI305" s="12" t="b">
        <v>0</v>
      </c>
      <c r="AJ305" s="12" t="b">
        <v>0</v>
      </c>
      <c r="AK305" s="12" t="b">
        <v>1</v>
      </c>
      <c r="AL305" s="12">
        <v>1</v>
      </c>
      <c r="AM305" s="12" t="s">
        <v>900</v>
      </c>
      <c r="AN305" s="12">
        <v>1</v>
      </c>
    </row>
    <row r="306" spans="1:40" x14ac:dyDescent="0.3">
      <c r="A306" s="62" t="s">
        <v>2177</v>
      </c>
      <c r="B306" s="62"/>
      <c r="C306" s="63" t="s">
        <v>1467</v>
      </c>
      <c r="D306" s="52" t="s">
        <v>1630</v>
      </c>
      <c r="E306" s="12" t="s">
        <v>1761</v>
      </c>
      <c r="F306" s="12" t="s">
        <v>1549</v>
      </c>
      <c r="G306" s="12" t="b">
        <v>1</v>
      </c>
      <c r="H306" s="12" t="b">
        <v>1</v>
      </c>
      <c r="I306" s="12" t="b">
        <v>1</v>
      </c>
      <c r="J306" s="12" t="b">
        <v>1</v>
      </c>
      <c r="K306" s="12" t="b">
        <v>0</v>
      </c>
      <c r="L306" s="12" t="b">
        <v>0</v>
      </c>
      <c r="M306" s="12" t="b">
        <v>0</v>
      </c>
      <c r="N306" s="12">
        <v>0</v>
      </c>
      <c r="O306" s="12" t="b">
        <v>0</v>
      </c>
      <c r="P306" s="12" t="b">
        <v>0</v>
      </c>
      <c r="Q306" s="12" t="b">
        <v>0</v>
      </c>
      <c r="R306" s="12" t="b">
        <v>0</v>
      </c>
      <c r="S306" s="12" t="b">
        <v>0</v>
      </c>
      <c r="T306" s="12" t="b">
        <v>1</v>
      </c>
      <c r="U306" s="12" t="b">
        <v>0</v>
      </c>
      <c r="V306" s="12" t="b">
        <v>1</v>
      </c>
      <c r="W306" s="12" t="b">
        <v>0</v>
      </c>
      <c r="X306" s="12">
        <v>1</v>
      </c>
      <c r="Y306" s="12" t="b">
        <v>0</v>
      </c>
      <c r="Z306" s="12" t="b">
        <v>0</v>
      </c>
      <c r="AA306" s="12" t="b">
        <v>0</v>
      </c>
      <c r="AB306" s="12" t="b">
        <v>0</v>
      </c>
      <c r="AC306" s="12" t="b">
        <v>0</v>
      </c>
      <c r="AD306" s="12" t="b">
        <v>1</v>
      </c>
      <c r="AE306" s="12" t="b">
        <v>0</v>
      </c>
      <c r="AF306" s="12" t="b">
        <v>1</v>
      </c>
      <c r="AG306" s="12" t="b">
        <v>1</v>
      </c>
      <c r="AH306" s="12">
        <v>1</v>
      </c>
      <c r="AI306" s="12" t="b">
        <v>0</v>
      </c>
      <c r="AJ306" s="12" t="b">
        <v>0</v>
      </c>
      <c r="AK306" s="12" t="b">
        <v>1</v>
      </c>
      <c r="AL306" s="12">
        <v>1</v>
      </c>
      <c r="AM306" s="12" t="s">
        <v>900</v>
      </c>
      <c r="AN306" s="12">
        <v>1</v>
      </c>
    </row>
    <row r="307" spans="1:40" x14ac:dyDescent="0.3">
      <c r="A307" s="62" t="s">
        <v>2177</v>
      </c>
      <c r="B307" s="62"/>
      <c r="C307" s="63" t="s">
        <v>1468</v>
      </c>
      <c r="D307" s="52" t="s">
        <v>1630</v>
      </c>
      <c r="E307" s="12" t="s">
        <v>1761</v>
      </c>
      <c r="F307" s="12" t="s">
        <v>1549</v>
      </c>
      <c r="G307" s="12" t="b">
        <v>1</v>
      </c>
      <c r="H307" s="12" t="b">
        <v>1</v>
      </c>
      <c r="I307" s="12" t="b">
        <v>1</v>
      </c>
      <c r="J307" s="12" t="b">
        <v>1</v>
      </c>
      <c r="K307" s="12" t="b">
        <v>0</v>
      </c>
      <c r="L307" s="12" t="b">
        <v>0</v>
      </c>
      <c r="M307" s="12" t="b">
        <v>0</v>
      </c>
      <c r="N307" s="12">
        <v>0</v>
      </c>
      <c r="O307" s="12" t="b">
        <v>0</v>
      </c>
      <c r="P307" s="12" t="b">
        <v>0</v>
      </c>
      <c r="Q307" s="12" t="b">
        <v>0</v>
      </c>
      <c r="R307" s="12" t="b">
        <v>0</v>
      </c>
      <c r="S307" s="12" t="b">
        <v>0</v>
      </c>
      <c r="T307" s="12" t="b">
        <v>1</v>
      </c>
      <c r="U307" s="12" t="b">
        <v>0</v>
      </c>
      <c r="V307" s="12" t="b">
        <v>1</v>
      </c>
      <c r="W307" s="12" t="b">
        <v>0</v>
      </c>
      <c r="X307" s="12">
        <v>1</v>
      </c>
      <c r="Y307" s="12" t="b">
        <v>0</v>
      </c>
      <c r="Z307" s="12" t="b">
        <v>0</v>
      </c>
      <c r="AA307" s="12" t="b">
        <v>0</v>
      </c>
      <c r="AB307" s="12" t="b">
        <v>0</v>
      </c>
      <c r="AC307" s="12" t="b">
        <v>0</v>
      </c>
      <c r="AD307" s="12" t="b">
        <v>1</v>
      </c>
      <c r="AE307" s="12" t="b">
        <v>0</v>
      </c>
      <c r="AF307" s="12" t="b">
        <v>1</v>
      </c>
      <c r="AG307" s="12" t="b">
        <v>1</v>
      </c>
      <c r="AH307" s="12">
        <v>1</v>
      </c>
      <c r="AI307" s="12" t="b">
        <v>0</v>
      </c>
      <c r="AJ307" s="12" t="b">
        <v>0</v>
      </c>
      <c r="AK307" s="12" t="b">
        <v>1</v>
      </c>
      <c r="AL307" s="12">
        <v>1</v>
      </c>
      <c r="AM307" s="12" t="s">
        <v>900</v>
      </c>
      <c r="AN307" s="12">
        <v>1</v>
      </c>
    </row>
    <row r="308" spans="1:40" x14ac:dyDescent="0.3">
      <c r="A308" s="62" t="s">
        <v>2177</v>
      </c>
      <c r="B308" s="62"/>
      <c r="C308" s="63" t="s">
        <v>1469</v>
      </c>
      <c r="D308" s="52" t="s">
        <v>1630</v>
      </c>
      <c r="E308" s="12" t="s">
        <v>1761</v>
      </c>
      <c r="F308" s="12" t="s">
        <v>1549</v>
      </c>
      <c r="G308" s="12" t="b">
        <v>1</v>
      </c>
      <c r="H308" s="12" t="b">
        <v>1</v>
      </c>
      <c r="I308" s="12" t="b">
        <v>1</v>
      </c>
      <c r="J308" s="12" t="b">
        <v>1</v>
      </c>
      <c r="K308" s="12" t="b">
        <v>0</v>
      </c>
      <c r="L308" s="12" t="b">
        <v>0</v>
      </c>
      <c r="M308" s="12" t="b">
        <v>0</v>
      </c>
      <c r="N308" s="12">
        <v>0</v>
      </c>
      <c r="O308" s="12" t="b">
        <v>0</v>
      </c>
      <c r="P308" s="12" t="b">
        <v>0</v>
      </c>
      <c r="Q308" s="12" t="b">
        <v>0</v>
      </c>
      <c r="R308" s="12" t="b">
        <v>0</v>
      </c>
      <c r="S308" s="12" t="b">
        <v>0</v>
      </c>
      <c r="T308" s="12" t="b">
        <v>1</v>
      </c>
      <c r="U308" s="12" t="b">
        <v>0</v>
      </c>
      <c r="V308" s="12" t="b">
        <v>1</v>
      </c>
      <c r="W308" s="12" t="b">
        <v>0</v>
      </c>
      <c r="X308" s="12">
        <v>1</v>
      </c>
      <c r="Y308" s="12" t="b">
        <v>0</v>
      </c>
      <c r="Z308" s="12" t="b">
        <v>0</v>
      </c>
      <c r="AA308" s="12" t="b">
        <v>0</v>
      </c>
      <c r="AB308" s="12" t="b">
        <v>0</v>
      </c>
      <c r="AC308" s="12" t="b">
        <v>0</v>
      </c>
      <c r="AD308" s="12" t="b">
        <v>1</v>
      </c>
      <c r="AE308" s="12" t="b">
        <v>0</v>
      </c>
      <c r="AF308" s="12" t="b">
        <v>1</v>
      </c>
      <c r="AG308" s="12" t="b">
        <v>1</v>
      </c>
      <c r="AH308" s="12">
        <v>1</v>
      </c>
      <c r="AI308" s="12" t="b">
        <v>0</v>
      </c>
      <c r="AJ308" s="12" t="b">
        <v>0</v>
      </c>
      <c r="AK308" s="12" t="b">
        <v>1</v>
      </c>
      <c r="AL308" s="12">
        <v>1</v>
      </c>
      <c r="AM308" s="12" t="s">
        <v>900</v>
      </c>
      <c r="AN308" s="12">
        <v>1</v>
      </c>
    </row>
    <row r="309" spans="1:40" x14ac:dyDescent="0.3">
      <c r="A309" s="62" t="s">
        <v>2177</v>
      </c>
      <c r="B309" s="62"/>
      <c r="C309" s="63" t="s">
        <v>1470</v>
      </c>
      <c r="D309" s="52" t="s">
        <v>1630</v>
      </c>
      <c r="E309" s="12" t="s">
        <v>1761</v>
      </c>
      <c r="F309" s="12" t="s">
        <v>1549</v>
      </c>
      <c r="G309" s="12" t="b">
        <v>1</v>
      </c>
      <c r="H309" s="12" t="b">
        <v>1</v>
      </c>
      <c r="I309" s="12" t="b">
        <v>1</v>
      </c>
      <c r="J309" s="12" t="b">
        <v>1</v>
      </c>
      <c r="K309" s="12" t="b">
        <v>0</v>
      </c>
      <c r="L309" s="12" t="b">
        <v>0</v>
      </c>
      <c r="M309" s="12" t="b">
        <v>0</v>
      </c>
      <c r="N309" s="12">
        <v>0</v>
      </c>
      <c r="O309" s="12" t="b">
        <v>0</v>
      </c>
      <c r="P309" s="12" t="b">
        <v>0</v>
      </c>
      <c r="Q309" s="12" t="b">
        <v>0</v>
      </c>
      <c r="R309" s="12" t="b">
        <v>0</v>
      </c>
      <c r="S309" s="12" t="b">
        <v>0</v>
      </c>
      <c r="T309" s="12" t="b">
        <v>1</v>
      </c>
      <c r="U309" s="12" t="b">
        <v>0</v>
      </c>
      <c r="V309" s="12" t="b">
        <v>1</v>
      </c>
      <c r="W309" s="12" t="b">
        <v>0</v>
      </c>
      <c r="X309" s="12">
        <v>1</v>
      </c>
      <c r="Y309" s="12" t="b">
        <v>0</v>
      </c>
      <c r="Z309" s="12" t="b">
        <v>0</v>
      </c>
      <c r="AA309" s="12" t="b">
        <v>0</v>
      </c>
      <c r="AB309" s="12" t="b">
        <v>0</v>
      </c>
      <c r="AC309" s="12" t="b">
        <v>0</v>
      </c>
      <c r="AD309" s="12" t="b">
        <v>1</v>
      </c>
      <c r="AE309" s="12" t="b">
        <v>0</v>
      </c>
      <c r="AF309" s="12" t="b">
        <v>1</v>
      </c>
      <c r="AG309" s="12" t="b">
        <v>1</v>
      </c>
      <c r="AH309" s="12">
        <v>1</v>
      </c>
      <c r="AI309" s="12" t="b">
        <v>0</v>
      </c>
      <c r="AJ309" s="12" t="b">
        <v>0</v>
      </c>
      <c r="AK309" s="12" t="b">
        <v>1</v>
      </c>
      <c r="AL309" s="12">
        <v>1</v>
      </c>
      <c r="AM309" s="12" t="s">
        <v>900</v>
      </c>
      <c r="AN309" s="12">
        <v>1</v>
      </c>
    </row>
    <row r="310" spans="1:40" x14ac:dyDescent="0.3">
      <c r="A310" s="62" t="s">
        <v>2177</v>
      </c>
      <c r="B310" s="62"/>
      <c r="C310" s="63" t="s">
        <v>1934</v>
      </c>
      <c r="D310" s="52" t="s">
        <v>1630</v>
      </c>
      <c r="E310" s="12" t="s">
        <v>1761</v>
      </c>
      <c r="F310" s="12" t="s">
        <v>1549</v>
      </c>
      <c r="G310" s="12" t="b">
        <v>1</v>
      </c>
      <c r="H310" s="12" t="b">
        <v>1</v>
      </c>
      <c r="I310" s="12" t="b">
        <v>1</v>
      </c>
      <c r="J310" s="12" t="b">
        <v>1</v>
      </c>
      <c r="K310" s="12" t="b">
        <v>0</v>
      </c>
      <c r="L310" s="12" t="b">
        <v>0</v>
      </c>
      <c r="M310" s="12" t="b">
        <v>0</v>
      </c>
      <c r="N310" s="12">
        <v>0</v>
      </c>
      <c r="O310" s="12" t="b">
        <v>0</v>
      </c>
      <c r="P310" s="12" t="b">
        <v>0</v>
      </c>
      <c r="Q310" s="12" t="b">
        <v>0</v>
      </c>
      <c r="R310" s="12" t="b">
        <v>0</v>
      </c>
      <c r="S310" s="12" t="b">
        <v>0</v>
      </c>
      <c r="T310" s="12" t="b">
        <v>1</v>
      </c>
      <c r="U310" s="12" t="b">
        <v>0</v>
      </c>
      <c r="V310" s="12" t="b">
        <v>1</v>
      </c>
      <c r="W310" s="12" t="b">
        <v>0</v>
      </c>
      <c r="X310" s="12">
        <v>1</v>
      </c>
      <c r="Y310" s="12" t="b">
        <v>0</v>
      </c>
      <c r="Z310" s="12" t="b">
        <v>0</v>
      </c>
      <c r="AA310" s="12" t="b">
        <v>0</v>
      </c>
      <c r="AB310" s="12" t="b">
        <v>0</v>
      </c>
      <c r="AC310" s="12" t="b">
        <v>0</v>
      </c>
      <c r="AD310" s="12" t="b">
        <v>1</v>
      </c>
      <c r="AE310" s="12" t="b">
        <v>0</v>
      </c>
      <c r="AF310" s="12" t="b">
        <v>1</v>
      </c>
      <c r="AG310" s="12" t="b">
        <v>1</v>
      </c>
      <c r="AH310" s="12">
        <v>1</v>
      </c>
      <c r="AI310" s="12" t="b">
        <v>0</v>
      </c>
      <c r="AJ310" s="12" t="b">
        <v>0</v>
      </c>
      <c r="AK310" s="12" t="b">
        <v>1</v>
      </c>
      <c r="AL310" s="12">
        <v>1</v>
      </c>
      <c r="AM310" s="12" t="s">
        <v>900</v>
      </c>
      <c r="AN310" s="12">
        <v>1</v>
      </c>
    </row>
    <row r="311" spans="1:40" x14ac:dyDescent="0.3">
      <c r="A311" s="62" t="s">
        <v>2177</v>
      </c>
      <c r="B311" s="62"/>
      <c r="C311" s="63" t="s">
        <v>1935</v>
      </c>
      <c r="D311" s="52" t="s">
        <v>1630</v>
      </c>
      <c r="E311" s="12" t="s">
        <v>1761</v>
      </c>
      <c r="F311" s="12" t="s">
        <v>1549</v>
      </c>
      <c r="G311" s="12" t="b">
        <v>1</v>
      </c>
      <c r="H311" s="12" t="b">
        <v>1</v>
      </c>
      <c r="I311" s="12" t="b">
        <v>1</v>
      </c>
      <c r="J311" s="12" t="b">
        <v>1</v>
      </c>
      <c r="K311" s="12" t="b">
        <v>0</v>
      </c>
      <c r="L311" s="12" t="b">
        <v>0</v>
      </c>
      <c r="M311" s="12" t="b">
        <v>0</v>
      </c>
      <c r="N311" s="12">
        <v>0</v>
      </c>
      <c r="O311" s="12" t="b">
        <v>0</v>
      </c>
      <c r="P311" s="12" t="b">
        <v>0</v>
      </c>
      <c r="Q311" s="12" t="b">
        <v>0</v>
      </c>
      <c r="R311" s="12" t="b">
        <v>0</v>
      </c>
      <c r="S311" s="12" t="b">
        <v>0</v>
      </c>
      <c r="T311" s="12" t="b">
        <v>1</v>
      </c>
      <c r="U311" s="12" t="b">
        <v>0</v>
      </c>
      <c r="V311" s="12" t="b">
        <v>1</v>
      </c>
      <c r="W311" s="12" t="b">
        <v>0</v>
      </c>
      <c r="X311" s="12">
        <v>1</v>
      </c>
      <c r="Y311" s="12" t="b">
        <v>0</v>
      </c>
      <c r="Z311" s="12" t="b">
        <v>0</v>
      </c>
      <c r="AA311" s="12" t="b">
        <v>0</v>
      </c>
      <c r="AB311" s="12" t="b">
        <v>0</v>
      </c>
      <c r="AC311" s="12" t="b">
        <v>0</v>
      </c>
      <c r="AD311" s="12" t="b">
        <v>1</v>
      </c>
      <c r="AE311" s="12" t="b">
        <v>0</v>
      </c>
      <c r="AF311" s="12" t="b">
        <v>1</v>
      </c>
      <c r="AG311" s="12" t="b">
        <v>1</v>
      </c>
      <c r="AH311" s="12">
        <v>1</v>
      </c>
      <c r="AI311" s="12" t="b">
        <v>0</v>
      </c>
      <c r="AJ311" s="12" t="b">
        <v>0</v>
      </c>
      <c r="AK311" s="12" t="b">
        <v>1</v>
      </c>
      <c r="AL311" s="12">
        <v>1</v>
      </c>
      <c r="AM311" s="12" t="s">
        <v>900</v>
      </c>
      <c r="AN311" s="12">
        <v>1</v>
      </c>
    </row>
    <row r="312" spans="1:40" x14ac:dyDescent="0.3">
      <c r="A312" s="62" t="s">
        <v>2177</v>
      </c>
      <c r="B312" s="62"/>
      <c r="C312" s="63" t="s">
        <v>1936</v>
      </c>
      <c r="D312" s="52" t="s">
        <v>1630</v>
      </c>
      <c r="E312" s="12" t="s">
        <v>1761</v>
      </c>
      <c r="F312" s="12" t="s">
        <v>1549</v>
      </c>
      <c r="G312" s="12" t="b">
        <v>1</v>
      </c>
      <c r="H312" s="12" t="b">
        <v>1</v>
      </c>
      <c r="I312" s="12" t="b">
        <v>1</v>
      </c>
      <c r="J312" s="12" t="b">
        <v>1</v>
      </c>
      <c r="K312" s="12" t="b">
        <v>0</v>
      </c>
      <c r="L312" s="12" t="b">
        <v>0</v>
      </c>
      <c r="M312" s="12" t="b">
        <v>0</v>
      </c>
      <c r="N312" s="12">
        <v>0</v>
      </c>
      <c r="O312" s="12" t="b">
        <v>0</v>
      </c>
      <c r="P312" s="12" t="b">
        <v>0</v>
      </c>
      <c r="Q312" s="12" t="b">
        <v>0</v>
      </c>
      <c r="R312" s="12" t="b">
        <v>0</v>
      </c>
      <c r="S312" s="12" t="b">
        <v>0</v>
      </c>
      <c r="T312" s="12" t="b">
        <v>1</v>
      </c>
      <c r="U312" s="12" t="b">
        <v>0</v>
      </c>
      <c r="V312" s="12" t="b">
        <v>1</v>
      </c>
      <c r="W312" s="12" t="b">
        <v>0</v>
      </c>
      <c r="X312" s="12">
        <v>1</v>
      </c>
      <c r="Y312" s="12" t="b">
        <v>0</v>
      </c>
      <c r="Z312" s="12" t="b">
        <v>0</v>
      </c>
      <c r="AA312" s="12" t="b">
        <v>0</v>
      </c>
      <c r="AB312" s="12" t="b">
        <v>0</v>
      </c>
      <c r="AC312" s="12" t="b">
        <v>0</v>
      </c>
      <c r="AD312" s="12" t="b">
        <v>1</v>
      </c>
      <c r="AE312" s="12" t="b">
        <v>0</v>
      </c>
      <c r="AF312" s="12" t="b">
        <v>1</v>
      </c>
      <c r="AG312" s="12" t="b">
        <v>1</v>
      </c>
      <c r="AH312" s="12">
        <v>1</v>
      </c>
      <c r="AI312" s="12" t="b">
        <v>0</v>
      </c>
      <c r="AJ312" s="12" t="b">
        <v>0</v>
      </c>
      <c r="AK312" s="12" t="b">
        <v>1</v>
      </c>
      <c r="AL312" s="12">
        <v>1</v>
      </c>
      <c r="AM312" s="12" t="s">
        <v>900</v>
      </c>
      <c r="AN312" s="12">
        <v>1</v>
      </c>
    </row>
    <row r="313" spans="1:40" x14ac:dyDescent="0.3">
      <c r="A313" s="62" t="s">
        <v>2177</v>
      </c>
      <c r="B313" s="62"/>
      <c r="C313" s="63" t="s">
        <v>1937</v>
      </c>
      <c r="D313" s="52" t="s">
        <v>1630</v>
      </c>
      <c r="E313" s="12" t="s">
        <v>1761</v>
      </c>
      <c r="F313" s="12" t="s">
        <v>1549</v>
      </c>
      <c r="G313" s="12" t="b">
        <v>1</v>
      </c>
      <c r="H313" s="12" t="b">
        <v>1</v>
      </c>
      <c r="I313" s="12" t="b">
        <v>1</v>
      </c>
      <c r="J313" s="12" t="b">
        <v>1</v>
      </c>
      <c r="K313" s="12" t="b">
        <v>0</v>
      </c>
      <c r="L313" s="12" t="b">
        <v>0</v>
      </c>
      <c r="M313" s="12" t="b">
        <v>0</v>
      </c>
      <c r="N313" s="12">
        <v>0</v>
      </c>
      <c r="O313" s="12" t="b">
        <v>0</v>
      </c>
      <c r="P313" s="12" t="b">
        <v>0</v>
      </c>
      <c r="Q313" s="12" t="b">
        <v>0</v>
      </c>
      <c r="R313" s="12" t="b">
        <v>0</v>
      </c>
      <c r="S313" s="12" t="b">
        <v>0</v>
      </c>
      <c r="T313" s="12" t="b">
        <v>1</v>
      </c>
      <c r="U313" s="12" t="b">
        <v>0</v>
      </c>
      <c r="V313" s="12" t="b">
        <v>1</v>
      </c>
      <c r="W313" s="12" t="b">
        <v>0</v>
      </c>
      <c r="X313" s="12">
        <v>1</v>
      </c>
      <c r="Y313" s="12" t="b">
        <v>0</v>
      </c>
      <c r="Z313" s="12" t="b">
        <v>0</v>
      </c>
      <c r="AA313" s="12" t="b">
        <v>0</v>
      </c>
      <c r="AB313" s="12" t="b">
        <v>0</v>
      </c>
      <c r="AC313" s="12" t="b">
        <v>0</v>
      </c>
      <c r="AD313" s="12" t="b">
        <v>1</v>
      </c>
      <c r="AE313" s="12" t="b">
        <v>0</v>
      </c>
      <c r="AF313" s="12" t="b">
        <v>1</v>
      </c>
      <c r="AG313" s="12" t="b">
        <v>1</v>
      </c>
      <c r="AH313" s="12">
        <v>1</v>
      </c>
      <c r="AI313" s="12" t="b">
        <v>0</v>
      </c>
      <c r="AJ313" s="12" t="b">
        <v>0</v>
      </c>
      <c r="AK313" s="12" t="b">
        <v>1</v>
      </c>
      <c r="AL313" s="12">
        <v>1</v>
      </c>
      <c r="AM313" s="12" t="s">
        <v>900</v>
      </c>
      <c r="AN313" s="12">
        <v>1</v>
      </c>
    </row>
    <row r="314" spans="1:40" x14ac:dyDescent="0.3">
      <c r="A314" s="62" t="s">
        <v>2177</v>
      </c>
      <c r="B314" s="62"/>
      <c r="C314" s="63" t="s">
        <v>1938</v>
      </c>
      <c r="D314" s="52" t="s">
        <v>1630</v>
      </c>
      <c r="E314" s="12" t="s">
        <v>1761</v>
      </c>
      <c r="F314" s="12" t="s">
        <v>1549</v>
      </c>
      <c r="G314" s="12" t="b">
        <v>1</v>
      </c>
      <c r="H314" s="12" t="b">
        <v>1</v>
      </c>
      <c r="I314" s="12" t="b">
        <v>1</v>
      </c>
      <c r="J314" s="12" t="b">
        <v>1</v>
      </c>
      <c r="K314" s="12" t="b">
        <v>0</v>
      </c>
      <c r="L314" s="12" t="b">
        <v>0</v>
      </c>
      <c r="M314" s="12" t="b">
        <v>0</v>
      </c>
      <c r="N314" s="12">
        <v>0</v>
      </c>
      <c r="O314" s="12" t="b">
        <v>0</v>
      </c>
      <c r="P314" s="12" t="b">
        <v>0</v>
      </c>
      <c r="Q314" s="12" t="b">
        <v>0</v>
      </c>
      <c r="R314" s="12" t="b">
        <v>0</v>
      </c>
      <c r="S314" s="12" t="b">
        <v>0</v>
      </c>
      <c r="T314" s="12" t="b">
        <v>1</v>
      </c>
      <c r="U314" s="12" t="b">
        <v>0</v>
      </c>
      <c r="V314" s="12" t="b">
        <v>1</v>
      </c>
      <c r="W314" s="12" t="b">
        <v>0</v>
      </c>
      <c r="X314" s="12">
        <v>1</v>
      </c>
      <c r="Y314" s="12" t="b">
        <v>0</v>
      </c>
      <c r="Z314" s="12" t="b">
        <v>0</v>
      </c>
      <c r="AA314" s="12" t="b">
        <v>0</v>
      </c>
      <c r="AB314" s="12" t="b">
        <v>0</v>
      </c>
      <c r="AC314" s="12" t="b">
        <v>0</v>
      </c>
      <c r="AD314" s="12" t="b">
        <v>1</v>
      </c>
      <c r="AE314" s="12" t="b">
        <v>0</v>
      </c>
      <c r="AF314" s="12" t="b">
        <v>1</v>
      </c>
      <c r="AG314" s="12" t="b">
        <v>1</v>
      </c>
      <c r="AH314" s="12">
        <v>1</v>
      </c>
      <c r="AI314" s="12" t="b">
        <v>0</v>
      </c>
      <c r="AJ314" s="12" t="b">
        <v>0</v>
      </c>
      <c r="AK314" s="12" t="b">
        <v>1</v>
      </c>
      <c r="AL314" s="12">
        <v>1</v>
      </c>
      <c r="AM314" s="12" t="s">
        <v>900</v>
      </c>
      <c r="AN314" s="12">
        <v>1</v>
      </c>
    </row>
    <row r="315" spans="1:40" x14ac:dyDescent="0.3">
      <c r="A315" s="62" t="s">
        <v>2177</v>
      </c>
      <c r="B315" s="62"/>
      <c r="C315" s="63" t="s">
        <v>1939</v>
      </c>
      <c r="D315" s="52" t="s">
        <v>1630</v>
      </c>
      <c r="E315" s="12" t="s">
        <v>1761</v>
      </c>
      <c r="F315" s="12" t="s">
        <v>1549</v>
      </c>
      <c r="G315" s="12" t="b">
        <v>1</v>
      </c>
      <c r="H315" s="12" t="b">
        <v>1</v>
      </c>
      <c r="I315" s="12" t="b">
        <v>1</v>
      </c>
      <c r="J315" s="12" t="b">
        <v>1</v>
      </c>
      <c r="K315" s="12" t="b">
        <v>0</v>
      </c>
      <c r="L315" s="12" t="b">
        <v>0</v>
      </c>
      <c r="M315" s="12" t="b">
        <v>0</v>
      </c>
      <c r="N315" s="12">
        <v>0</v>
      </c>
      <c r="O315" s="12" t="b">
        <v>0</v>
      </c>
      <c r="P315" s="12" t="b">
        <v>0</v>
      </c>
      <c r="Q315" s="12" t="b">
        <v>0</v>
      </c>
      <c r="R315" s="12" t="b">
        <v>0</v>
      </c>
      <c r="S315" s="12" t="b">
        <v>0</v>
      </c>
      <c r="T315" s="12" t="b">
        <v>1</v>
      </c>
      <c r="U315" s="12" t="b">
        <v>0</v>
      </c>
      <c r="V315" s="12" t="b">
        <v>1</v>
      </c>
      <c r="W315" s="12" t="b">
        <v>0</v>
      </c>
      <c r="X315" s="12">
        <v>1</v>
      </c>
      <c r="Y315" s="12" t="b">
        <v>0</v>
      </c>
      <c r="Z315" s="12" t="b">
        <v>0</v>
      </c>
      <c r="AA315" s="12" t="b">
        <v>0</v>
      </c>
      <c r="AB315" s="12" t="b">
        <v>0</v>
      </c>
      <c r="AC315" s="12" t="b">
        <v>0</v>
      </c>
      <c r="AD315" s="12" t="b">
        <v>1</v>
      </c>
      <c r="AE315" s="12" t="b">
        <v>0</v>
      </c>
      <c r="AF315" s="12" t="b">
        <v>1</v>
      </c>
      <c r="AG315" s="12" t="b">
        <v>1</v>
      </c>
      <c r="AH315" s="12">
        <v>1</v>
      </c>
      <c r="AI315" s="12" t="b">
        <v>0</v>
      </c>
      <c r="AJ315" s="12" t="b">
        <v>0</v>
      </c>
      <c r="AK315" s="12" t="b">
        <v>1</v>
      </c>
      <c r="AL315" s="12">
        <v>1</v>
      </c>
      <c r="AM315" s="12" t="s">
        <v>900</v>
      </c>
      <c r="AN315" s="12">
        <v>1</v>
      </c>
    </row>
    <row r="316" spans="1:40" x14ac:dyDescent="0.3">
      <c r="A316" s="62" t="s">
        <v>2177</v>
      </c>
      <c r="B316" s="62"/>
      <c r="C316" s="63"/>
      <c r="D316" s="63"/>
      <c r="E316" s="12" t="s">
        <v>1017</v>
      </c>
      <c r="F316" s="12" t="s">
        <v>1233</v>
      </c>
      <c r="G316" s="12" t="b">
        <v>1</v>
      </c>
      <c r="H316" s="12" t="b">
        <v>1</v>
      </c>
      <c r="I316" s="12" t="b">
        <v>1</v>
      </c>
      <c r="J316" s="12" t="b">
        <v>1</v>
      </c>
      <c r="K316" s="12" t="b">
        <v>0</v>
      </c>
      <c r="L316" s="12" t="b">
        <v>0</v>
      </c>
      <c r="M316" s="12" t="b">
        <v>0</v>
      </c>
      <c r="N316" s="12">
        <v>0</v>
      </c>
      <c r="O316" s="12" t="b">
        <v>0</v>
      </c>
      <c r="P316" s="12" t="b">
        <v>0</v>
      </c>
      <c r="Q316" s="12" t="b">
        <v>0</v>
      </c>
      <c r="R316" s="12" t="b">
        <v>0</v>
      </c>
      <c r="S316" s="12" t="b">
        <v>0</v>
      </c>
      <c r="T316" s="12" t="b">
        <v>1</v>
      </c>
      <c r="U316" s="12" t="b">
        <v>0</v>
      </c>
      <c r="V316" s="12" t="b">
        <v>1</v>
      </c>
      <c r="W316" s="12" t="b">
        <v>0</v>
      </c>
      <c r="X316" s="12">
        <v>1</v>
      </c>
      <c r="Y316" s="12" t="b">
        <v>0</v>
      </c>
      <c r="Z316" s="12" t="b">
        <v>0</v>
      </c>
      <c r="AA316" s="12" t="b">
        <v>0</v>
      </c>
      <c r="AB316" s="12" t="b">
        <v>0</v>
      </c>
      <c r="AC316" s="12" t="b">
        <v>0</v>
      </c>
      <c r="AD316" s="12" t="b">
        <v>1</v>
      </c>
      <c r="AE316" s="12" t="b">
        <v>0</v>
      </c>
      <c r="AF316" s="12" t="b">
        <v>1</v>
      </c>
      <c r="AG316" s="12" t="b">
        <v>0</v>
      </c>
      <c r="AH316" s="12">
        <v>1</v>
      </c>
      <c r="AI316" s="12" t="b">
        <v>0</v>
      </c>
      <c r="AJ316" s="12" t="b">
        <v>0</v>
      </c>
      <c r="AK316" s="12" t="b">
        <v>1</v>
      </c>
      <c r="AL316" s="12">
        <v>1</v>
      </c>
      <c r="AM316" s="12" t="s">
        <v>900</v>
      </c>
      <c r="AN316" s="12">
        <v>1</v>
      </c>
    </row>
    <row r="317" spans="1:40" x14ac:dyDescent="0.3">
      <c r="A317" s="62" t="s">
        <v>2177</v>
      </c>
      <c r="B317" s="62"/>
      <c r="C317" s="63"/>
      <c r="D317" s="63"/>
      <c r="E317" s="12" t="s">
        <v>1019</v>
      </c>
      <c r="F317" s="12" t="s">
        <v>1234</v>
      </c>
      <c r="G317" s="12" t="b">
        <v>0</v>
      </c>
      <c r="H317" s="12" t="b">
        <v>1</v>
      </c>
      <c r="I317" s="12" t="b">
        <v>1</v>
      </c>
      <c r="J317" s="12" t="b">
        <v>1</v>
      </c>
      <c r="K317" s="12" t="b">
        <v>0</v>
      </c>
      <c r="L317" s="12" t="b">
        <v>1</v>
      </c>
      <c r="M317" s="12" t="b">
        <v>0</v>
      </c>
      <c r="N317" s="12">
        <v>0</v>
      </c>
      <c r="O317" s="12" t="b">
        <v>0</v>
      </c>
      <c r="P317" s="12" t="b">
        <v>0</v>
      </c>
      <c r="Q317" s="12" t="b">
        <v>0</v>
      </c>
      <c r="R317" s="12" t="b">
        <v>0</v>
      </c>
      <c r="S317" s="12" t="b">
        <v>0</v>
      </c>
      <c r="T317" s="12" t="b">
        <v>1</v>
      </c>
      <c r="U317" s="12" t="b">
        <v>0</v>
      </c>
      <c r="V317" s="12" t="b">
        <v>1</v>
      </c>
      <c r="W317" s="12" t="b">
        <v>0</v>
      </c>
      <c r="X317" s="12">
        <v>1</v>
      </c>
      <c r="Y317" s="12" t="b">
        <v>0</v>
      </c>
      <c r="Z317" s="12" t="b">
        <v>0</v>
      </c>
      <c r="AA317" s="12" t="b">
        <v>1</v>
      </c>
      <c r="AB317" s="12" t="b">
        <v>1</v>
      </c>
      <c r="AC317" s="12" t="b">
        <v>1</v>
      </c>
      <c r="AD317" s="12" t="b">
        <v>1</v>
      </c>
      <c r="AE317" s="12" t="b">
        <v>0</v>
      </c>
      <c r="AF317" s="12" t="b">
        <v>0</v>
      </c>
      <c r="AG317" s="12" t="b">
        <v>0</v>
      </c>
      <c r="AH317" s="12">
        <v>0</v>
      </c>
      <c r="AI317" s="12" t="b">
        <v>0</v>
      </c>
      <c r="AJ317" s="12" t="b">
        <v>0</v>
      </c>
      <c r="AK317" s="12" t="b">
        <v>1</v>
      </c>
      <c r="AL317" s="12">
        <v>1</v>
      </c>
      <c r="AM317" s="12" t="s">
        <v>900</v>
      </c>
      <c r="AN317" s="12">
        <v>1</v>
      </c>
    </row>
    <row r="318" spans="1:40" x14ac:dyDescent="0.3">
      <c r="A318" s="62" t="s">
        <v>2177</v>
      </c>
      <c r="B318" s="62"/>
      <c r="C318" s="63"/>
      <c r="D318" s="63"/>
      <c r="E318" s="12" t="s">
        <v>1314</v>
      </c>
      <c r="F318" s="12" t="s">
        <v>1315</v>
      </c>
      <c r="G318" s="12" t="b">
        <v>0</v>
      </c>
      <c r="H318" s="12" t="b">
        <v>1</v>
      </c>
      <c r="I318" s="12" t="b">
        <v>1</v>
      </c>
      <c r="J318" s="12" t="b">
        <v>1</v>
      </c>
      <c r="K318" s="12" t="b">
        <v>0</v>
      </c>
      <c r="L318" s="12" t="b">
        <v>0</v>
      </c>
      <c r="M318" s="12" t="b">
        <v>0</v>
      </c>
      <c r="N318" s="12">
        <v>0</v>
      </c>
      <c r="O318" s="12" t="b">
        <v>0</v>
      </c>
      <c r="P318" s="12" t="b">
        <v>0</v>
      </c>
      <c r="Q318" s="12" t="b">
        <v>0</v>
      </c>
      <c r="R318" s="12" t="b">
        <v>0</v>
      </c>
      <c r="S318" s="12" t="b">
        <v>0</v>
      </c>
      <c r="T318" s="12" t="b">
        <v>0</v>
      </c>
      <c r="U318" s="12" t="b">
        <v>0</v>
      </c>
      <c r="V318" s="12" t="b">
        <v>0</v>
      </c>
      <c r="W318" s="12" t="b">
        <v>0</v>
      </c>
      <c r="X318" s="12">
        <v>12</v>
      </c>
      <c r="Y318" s="12" t="b">
        <v>0</v>
      </c>
      <c r="Z318" s="12" t="b">
        <v>0</v>
      </c>
      <c r="AA318" s="12" t="b">
        <v>0</v>
      </c>
      <c r="AB318" s="12" t="b">
        <v>0</v>
      </c>
      <c r="AC318" s="12" t="b">
        <v>0</v>
      </c>
      <c r="AD318" s="12" t="b">
        <v>0</v>
      </c>
      <c r="AE318" s="12" t="b">
        <v>0</v>
      </c>
      <c r="AF318" s="12" t="b">
        <v>0</v>
      </c>
      <c r="AG318" s="12" t="b">
        <v>0</v>
      </c>
      <c r="AH318" s="12">
        <v>5</v>
      </c>
      <c r="AI318" s="12" t="b">
        <v>0</v>
      </c>
      <c r="AJ318" s="12" t="b">
        <v>0</v>
      </c>
      <c r="AK318" s="12" t="b">
        <v>1</v>
      </c>
      <c r="AL318" s="12">
        <v>1</v>
      </c>
      <c r="AM318" s="12" t="s">
        <v>1476</v>
      </c>
      <c r="AN318" s="12">
        <v>1</v>
      </c>
    </row>
    <row r="319" spans="1:40" x14ac:dyDescent="0.3">
      <c r="A319" s="62" t="s">
        <v>2177</v>
      </c>
      <c r="B319" s="62"/>
      <c r="C319" s="63"/>
      <c r="D319" s="63"/>
      <c r="E319" s="12" t="s">
        <v>1316</v>
      </c>
      <c r="F319" s="12" t="s">
        <v>1317</v>
      </c>
      <c r="G319" s="12" t="b">
        <v>0</v>
      </c>
      <c r="H319" s="12" t="b">
        <v>1</v>
      </c>
      <c r="I319" s="12" t="b">
        <v>1</v>
      </c>
      <c r="J319" s="12" t="b">
        <v>1</v>
      </c>
      <c r="K319" s="12" t="b">
        <v>0</v>
      </c>
      <c r="L319" s="12" t="b">
        <v>1</v>
      </c>
      <c r="M319" s="12" t="b">
        <v>0</v>
      </c>
      <c r="N319" s="12">
        <v>0</v>
      </c>
      <c r="O319" s="12" t="b">
        <v>0</v>
      </c>
      <c r="P319" s="12" t="b">
        <v>0</v>
      </c>
      <c r="Q319" s="12" t="b">
        <v>0</v>
      </c>
      <c r="R319" s="12" t="b">
        <v>0</v>
      </c>
      <c r="S319" s="12" t="b">
        <v>0</v>
      </c>
      <c r="T319" s="12" t="b">
        <v>0</v>
      </c>
      <c r="U319" s="12" t="b">
        <v>0</v>
      </c>
      <c r="V319" s="12" t="b">
        <v>0</v>
      </c>
      <c r="W319" s="12" t="b">
        <v>0</v>
      </c>
      <c r="X319" s="12">
        <v>12</v>
      </c>
      <c r="Y319" s="12" t="b">
        <v>0</v>
      </c>
      <c r="Z319" s="12" t="b">
        <v>0</v>
      </c>
      <c r="AA319" s="12" t="b">
        <v>0</v>
      </c>
      <c r="AB319" s="12" t="b">
        <v>0</v>
      </c>
      <c r="AC319" s="12" t="b">
        <v>0</v>
      </c>
      <c r="AD319" s="12" t="b">
        <v>0</v>
      </c>
      <c r="AE319" s="12" t="b">
        <v>0</v>
      </c>
      <c r="AF319" s="12" t="b">
        <v>0</v>
      </c>
      <c r="AG319" s="12" t="b">
        <v>0</v>
      </c>
      <c r="AH319" s="12">
        <v>7</v>
      </c>
      <c r="AI319" s="12" t="b">
        <v>0</v>
      </c>
      <c r="AJ319" s="12" t="b">
        <v>0</v>
      </c>
      <c r="AK319" s="12" t="b">
        <v>1</v>
      </c>
      <c r="AL319" s="12">
        <v>1</v>
      </c>
      <c r="AM319" s="12" t="s">
        <v>1476</v>
      </c>
      <c r="AN319" s="12">
        <v>1</v>
      </c>
    </row>
    <row r="320" spans="1:40" x14ac:dyDescent="0.3">
      <c r="A320" s="62" t="s">
        <v>2177</v>
      </c>
      <c r="B320" s="62"/>
      <c r="C320" s="63"/>
      <c r="D320" s="63"/>
      <c r="E320" s="12" t="s">
        <v>1524</v>
      </c>
      <c r="F320" s="12" t="s">
        <v>1568</v>
      </c>
      <c r="G320" s="12" t="b">
        <v>0</v>
      </c>
      <c r="H320" s="12" t="b">
        <v>1</v>
      </c>
      <c r="I320" s="12" t="b">
        <v>1</v>
      </c>
      <c r="J320" s="12" t="b">
        <v>1</v>
      </c>
      <c r="K320" s="12" t="b">
        <v>0</v>
      </c>
      <c r="L320" s="12" t="b">
        <v>0</v>
      </c>
      <c r="M320" s="12" t="b">
        <v>0</v>
      </c>
      <c r="N320" s="12">
        <v>0</v>
      </c>
      <c r="O320" s="12" t="b">
        <v>0</v>
      </c>
      <c r="P320" s="12" t="b">
        <v>0</v>
      </c>
      <c r="Q320" s="12" t="b">
        <v>0</v>
      </c>
      <c r="R320" s="12" t="b">
        <v>0</v>
      </c>
      <c r="S320" s="12" t="b">
        <v>0</v>
      </c>
      <c r="T320" s="12" t="b">
        <v>0</v>
      </c>
      <c r="U320" s="12" t="b">
        <v>0</v>
      </c>
      <c r="V320" s="12" t="b">
        <v>0</v>
      </c>
      <c r="W320" s="12" t="b">
        <v>0</v>
      </c>
      <c r="X320" s="12">
        <v>1</v>
      </c>
      <c r="Y320" s="12" t="b">
        <v>0</v>
      </c>
      <c r="Z320" s="12" t="b">
        <v>0</v>
      </c>
      <c r="AA320" s="12" t="b">
        <v>1</v>
      </c>
      <c r="AB320" s="12" t="b">
        <v>1</v>
      </c>
      <c r="AC320" s="12" t="b">
        <v>1</v>
      </c>
      <c r="AD320" s="12" t="b">
        <v>1</v>
      </c>
      <c r="AE320" s="12" t="b">
        <v>0</v>
      </c>
      <c r="AF320" s="12" t="b">
        <v>0</v>
      </c>
      <c r="AG320" s="12" t="b">
        <v>0</v>
      </c>
      <c r="AH320" s="12">
        <v>1</v>
      </c>
      <c r="AI320" s="12" t="b">
        <v>0</v>
      </c>
      <c r="AJ320" s="12" t="b">
        <v>0</v>
      </c>
      <c r="AK320" s="12" t="b">
        <v>1</v>
      </c>
      <c r="AL320" s="12">
        <v>0</v>
      </c>
      <c r="AM320" s="12" t="s">
        <v>922</v>
      </c>
      <c r="AN320" s="12">
        <v>0</v>
      </c>
    </row>
    <row r="321" spans="1:40" x14ac:dyDescent="0.3">
      <c r="A321" s="62" t="s">
        <v>2177</v>
      </c>
      <c r="B321" s="62"/>
      <c r="C321" s="63"/>
      <c r="D321" s="63"/>
      <c r="E321" s="12" t="s">
        <v>1260</v>
      </c>
      <c r="F321" s="12" t="s">
        <v>1261</v>
      </c>
      <c r="G321" s="12" t="b">
        <v>0</v>
      </c>
      <c r="H321" s="12" t="b">
        <v>0</v>
      </c>
      <c r="I321" s="12" t="b">
        <v>0</v>
      </c>
      <c r="J321" s="12" t="b">
        <v>1</v>
      </c>
      <c r="K321" s="12" t="b">
        <v>0</v>
      </c>
      <c r="L321" s="12" t="b">
        <v>1</v>
      </c>
      <c r="M321" s="12" t="b">
        <v>0</v>
      </c>
      <c r="N321" s="12">
        <v>0</v>
      </c>
      <c r="O321" s="12" t="b">
        <v>0</v>
      </c>
      <c r="P321" s="12" t="b">
        <v>0</v>
      </c>
      <c r="Q321" s="12" t="b">
        <v>0</v>
      </c>
      <c r="R321" s="12" t="b">
        <v>0</v>
      </c>
      <c r="S321" s="12" t="b">
        <v>0</v>
      </c>
      <c r="T321" s="12" t="b">
        <v>1</v>
      </c>
      <c r="U321" s="12" t="b">
        <v>0</v>
      </c>
      <c r="V321" s="12" t="b">
        <v>1</v>
      </c>
      <c r="W321" s="12" t="b">
        <v>0</v>
      </c>
      <c r="X321" s="12">
        <v>1</v>
      </c>
      <c r="Y321" s="12" t="b">
        <v>0</v>
      </c>
      <c r="Z321" s="12" t="b">
        <v>0</v>
      </c>
      <c r="AA321" s="12" t="b">
        <v>0</v>
      </c>
      <c r="AB321" s="12" t="b">
        <v>0</v>
      </c>
      <c r="AC321" s="12" t="b">
        <v>0</v>
      </c>
      <c r="AD321" s="12" t="b">
        <v>1</v>
      </c>
      <c r="AE321" s="12" t="b">
        <v>0</v>
      </c>
      <c r="AF321" s="12" t="b">
        <v>1</v>
      </c>
      <c r="AG321" s="12" t="b">
        <v>0</v>
      </c>
      <c r="AH321" s="12">
        <v>1</v>
      </c>
      <c r="AI321" s="12" t="b">
        <v>0</v>
      </c>
      <c r="AJ321" s="12" t="b">
        <v>0</v>
      </c>
      <c r="AK321" s="12" t="b">
        <v>1</v>
      </c>
      <c r="AL321" s="12">
        <v>0</v>
      </c>
      <c r="AM321" s="12" t="s">
        <v>922</v>
      </c>
      <c r="AN321" s="12">
        <v>0</v>
      </c>
    </row>
    <row r="322" spans="1:40" x14ac:dyDescent="0.3">
      <c r="A322" s="62" t="s">
        <v>2177</v>
      </c>
      <c r="B322" s="62"/>
      <c r="C322" s="63"/>
      <c r="D322" s="63"/>
      <c r="E322" s="12" t="s">
        <v>1262</v>
      </c>
      <c r="F322" s="12" t="s">
        <v>1263</v>
      </c>
      <c r="G322" s="12" t="b">
        <v>0</v>
      </c>
      <c r="H322" s="12" t="b">
        <v>0</v>
      </c>
      <c r="I322" s="12" t="b">
        <v>0</v>
      </c>
      <c r="J322" s="12" t="b">
        <v>1</v>
      </c>
      <c r="K322" s="12" t="b">
        <v>0</v>
      </c>
      <c r="L322" s="12" t="b">
        <v>1</v>
      </c>
      <c r="M322" s="12" t="b">
        <v>0</v>
      </c>
      <c r="N322" s="12">
        <v>0</v>
      </c>
      <c r="O322" s="12" t="b">
        <v>0</v>
      </c>
      <c r="P322" s="12" t="b">
        <v>0</v>
      </c>
      <c r="Q322" s="12" t="b">
        <v>0</v>
      </c>
      <c r="R322" s="12" t="b">
        <v>0</v>
      </c>
      <c r="S322" s="12" t="b">
        <v>0</v>
      </c>
      <c r="T322" s="12" t="b">
        <v>1</v>
      </c>
      <c r="U322" s="12" t="b">
        <v>0</v>
      </c>
      <c r="V322" s="12" t="b">
        <v>1</v>
      </c>
      <c r="W322" s="12" t="b">
        <v>0</v>
      </c>
      <c r="X322" s="12">
        <v>1</v>
      </c>
      <c r="Y322" s="12" t="b">
        <v>0</v>
      </c>
      <c r="Z322" s="12" t="b">
        <v>0</v>
      </c>
      <c r="AA322" s="12" t="b">
        <v>0</v>
      </c>
      <c r="AB322" s="12" t="b">
        <v>0</v>
      </c>
      <c r="AC322" s="12" t="b">
        <v>0</v>
      </c>
      <c r="AD322" s="12" t="b">
        <v>1</v>
      </c>
      <c r="AE322" s="12" t="b">
        <v>0</v>
      </c>
      <c r="AF322" s="12" t="b">
        <v>1</v>
      </c>
      <c r="AG322" s="12" t="b">
        <v>0</v>
      </c>
      <c r="AH322" s="12">
        <v>1</v>
      </c>
      <c r="AI322" s="12" t="b">
        <v>0</v>
      </c>
      <c r="AJ322" s="12" t="b">
        <v>0</v>
      </c>
      <c r="AK322" s="12" t="b">
        <v>1</v>
      </c>
      <c r="AL322" s="12">
        <v>0</v>
      </c>
      <c r="AM322" s="12" t="s">
        <v>922</v>
      </c>
      <c r="AN322" s="12">
        <v>0</v>
      </c>
    </row>
    <row r="323" spans="1:40" x14ac:dyDescent="0.3">
      <c r="A323" s="62" t="s">
        <v>2177</v>
      </c>
      <c r="B323" s="62"/>
      <c r="C323" s="63"/>
      <c r="D323" s="63"/>
      <c r="E323" s="12" t="s">
        <v>1264</v>
      </c>
      <c r="F323" s="12" t="s">
        <v>1265</v>
      </c>
      <c r="G323" s="12" t="b">
        <v>0</v>
      </c>
      <c r="H323" s="12" t="b">
        <v>0</v>
      </c>
      <c r="I323" s="12" t="b">
        <v>0</v>
      </c>
      <c r="J323" s="12" t="b">
        <v>1</v>
      </c>
      <c r="K323" s="12" t="b">
        <v>0</v>
      </c>
      <c r="L323" s="12" t="b">
        <v>1</v>
      </c>
      <c r="M323" s="12" t="b">
        <v>0</v>
      </c>
      <c r="N323" s="12">
        <v>0</v>
      </c>
      <c r="O323" s="12" t="b">
        <v>0</v>
      </c>
      <c r="P323" s="12" t="b">
        <v>0</v>
      </c>
      <c r="Q323" s="12" t="b">
        <v>0</v>
      </c>
      <c r="R323" s="12" t="b">
        <v>0</v>
      </c>
      <c r="S323" s="12" t="b">
        <v>0</v>
      </c>
      <c r="T323" s="12" t="b">
        <v>1</v>
      </c>
      <c r="U323" s="12" t="b">
        <v>0</v>
      </c>
      <c r="V323" s="12" t="b">
        <v>1</v>
      </c>
      <c r="W323" s="12" t="b">
        <v>0</v>
      </c>
      <c r="X323" s="12">
        <v>1</v>
      </c>
      <c r="Y323" s="12" t="b">
        <v>0</v>
      </c>
      <c r="Z323" s="12" t="b">
        <v>0</v>
      </c>
      <c r="AA323" s="12" t="b">
        <v>0</v>
      </c>
      <c r="AB323" s="12" t="b">
        <v>0</v>
      </c>
      <c r="AC323" s="12" t="b">
        <v>0</v>
      </c>
      <c r="AD323" s="12" t="b">
        <v>1</v>
      </c>
      <c r="AE323" s="12" t="b">
        <v>0</v>
      </c>
      <c r="AF323" s="12" t="b">
        <v>1</v>
      </c>
      <c r="AG323" s="12" t="b">
        <v>0</v>
      </c>
      <c r="AH323" s="12">
        <v>1</v>
      </c>
      <c r="AI323" s="12" t="b">
        <v>0</v>
      </c>
      <c r="AJ323" s="12" t="b">
        <v>0</v>
      </c>
      <c r="AK323" s="12" t="b">
        <v>1</v>
      </c>
      <c r="AL323" s="12">
        <v>0</v>
      </c>
      <c r="AM323" s="12" t="s">
        <v>922</v>
      </c>
      <c r="AN323" s="12">
        <v>0</v>
      </c>
    </row>
    <row r="324" spans="1:40" x14ac:dyDescent="0.3">
      <c r="A324" s="62" t="s">
        <v>2177</v>
      </c>
      <c r="B324" s="62"/>
      <c r="C324" s="63"/>
      <c r="D324" s="63"/>
      <c r="E324" s="12" t="s">
        <v>1266</v>
      </c>
      <c r="F324" s="12" t="s">
        <v>1267</v>
      </c>
      <c r="G324" s="12" t="b">
        <v>0</v>
      </c>
      <c r="H324" s="12" t="b">
        <v>0</v>
      </c>
      <c r="I324" s="12" t="b">
        <v>0</v>
      </c>
      <c r="J324" s="12" t="b">
        <v>1</v>
      </c>
      <c r="K324" s="12" t="b">
        <v>0</v>
      </c>
      <c r="L324" s="12" t="b">
        <v>1</v>
      </c>
      <c r="M324" s="12" t="b">
        <v>0</v>
      </c>
      <c r="N324" s="12">
        <v>0</v>
      </c>
      <c r="O324" s="12" t="b">
        <v>0</v>
      </c>
      <c r="P324" s="12" t="b">
        <v>0</v>
      </c>
      <c r="Q324" s="12" t="b">
        <v>0</v>
      </c>
      <c r="R324" s="12" t="b">
        <v>0</v>
      </c>
      <c r="S324" s="12" t="b">
        <v>0</v>
      </c>
      <c r="T324" s="12" t="b">
        <v>1</v>
      </c>
      <c r="U324" s="12" t="b">
        <v>0</v>
      </c>
      <c r="V324" s="12" t="b">
        <v>1</v>
      </c>
      <c r="W324" s="12" t="b">
        <v>0</v>
      </c>
      <c r="X324" s="12">
        <v>1</v>
      </c>
      <c r="Y324" s="12" t="b">
        <v>0</v>
      </c>
      <c r="Z324" s="12" t="b">
        <v>0</v>
      </c>
      <c r="AA324" s="12" t="b">
        <v>0</v>
      </c>
      <c r="AB324" s="12" t="b">
        <v>0</v>
      </c>
      <c r="AC324" s="12" t="b">
        <v>0</v>
      </c>
      <c r="AD324" s="12" t="b">
        <v>1</v>
      </c>
      <c r="AE324" s="12" t="b">
        <v>0</v>
      </c>
      <c r="AF324" s="12" t="b">
        <v>1</v>
      </c>
      <c r="AG324" s="12" t="b">
        <v>0</v>
      </c>
      <c r="AH324" s="12">
        <v>1</v>
      </c>
      <c r="AI324" s="12" t="b">
        <v>0</v>
      </c>
      <c r="AJ324" s="12" t="b">
        <v>0</v>
      </c>
      <c r="AK324" s="12" t="b">
        <v>1</v>
      </c>
      <c r="AL324" s="12">
        <v>0</v>
      </c>
      <c r="AM324" s="12" t="s">
        <v>922</v>
      </c>
      <c r="AN324" s="12">
        <v>0</v>
      </c>
    </row>
    <row r="325" spans="1:40" x14ac:dyDescent="0.3">
      <c r="A325" s="62" t="s">
        <v>2177</v>
      </c>
      <c r="B325" s="62"/>
      <c r="C325" s="63"/>
      <c r="D325" s="63"/>
      <c r="E325" s="12" t="s">
        <v>1284</v>
      </c>
      <c r="F325" s="12" t="s">
        <v>1285</v>
      </c>
      <c r="G325" s="12" t="b">
        <v>0</v>
      </c>
      <c r="H325" s="12" t="b">
        <v>1</v>
      </c>
      <c r="I325" s="12" t="b">
        <v>1</v>
      </c>
      <c r="J325" s="12" t="b">
        <v>1</v>
      </c>
      <c r="K325" s="12" t="b">
        <v>0</v>
      </c>
      <c r="L325" s="12" t="b">
        <v>0</v>
      </c>
      <c r="M325" s="12" t="b">
        <v>0</v>
      </c>
      <c r="N325" s="12">
        <v>0</v>
      </c>
      <c r="O325" s="12" t="b">
        <v>0</v>
      </c>
      <c r="P325" s="12" t="b">
        <v>0</v>
      </c>
      <c r="Q325" s="12" t="b">
        <v>0</v>
      </c>
      <c r="R325" s="12" t="b">
        <v>0</v>
      </c>
      <c r="S325" s="12" t="b">
        <v>0</v>
      </c>
      <c r="T325" s="12" t="b">
        <v>1</v>
      </c>
      <c r="U325" s="12" t="b">
        <v>0</v>
      </c>
      <c r="V325" s="12" t="b">
        <v>1</v>
      </c>
      <c r="W325" s="12" t="b">
        <v>0</v>
      </c>
      <c r="X325" s="12">
        <v>1</v>
      </c>
      <c r="Y325" s="12" t="b">
        <v>0</v>
      </c>
      <c r="Z325" s="12" t="b">
        <v>0</v>
      </c>
      <c r="AA325" s="12" t="b">
        <v>1</v>
      </c>
      <c r="AB325" s="12" t="b">
        <v>1</v>
      </c>
      <c r="AC325" s="12" t="b">
        <v>1</v>
      </c>
      <c r="AD325" s="12" t="b">
        <v>1</v>
      </c>
      <c r="AE325" s="12" t="b">
        <v>0</v>
      </c>
      <c r="AF325" s="12" t="b">
        <v>0</v>
      </c>
      <c r="AG325" s="12" t="b">
        <v>0</v>
      </c>
      <c r="AH325" s="12">
        <v>0</v>
      </c>
      <c r="AI325" s="12" t="b">
        <v>0</v>
      </c>
      <c r="AJ325" s="12" t="b">
        <v>0</v>
      </c>
      <c r="AK325" s="12" t="b">
        <v>1</v>
      </c>
      <c r="AL325" s="12">
        <v>0</v>
      </c>
      <c r="AM325" s="12" t="s">
        <v>900</v>
      </c>
      <c r="AN325" s="12">
        <v>0</v>
      </c>
    </row>
    <row r="326" spans="1:40" x14ac:dyDescent="0.3">
      <c r="A326" s="62" t="s">
        <v>2177</v>
      </c>
      <c r="B326" s="62"/>
      <c r="C326" s="63"/>
      <c r="D326" s="63"/>
      <c r="E326" s="12" t="s">
        <v>1294</v>
      </c>
      <c r="F326" s="12" t="s">
        <v>1295</v>
      </c>
      <c r="G326" s="12" t="b">
        <v>0</v>
      </c>
      <c r="H326" s="12" t="b">
        <v>1</v>
      </c>
      <c r="I326" s="12" t="b">
        <v>1</v>
      </c>
      <c r="J326" s="12" t="b">
        <v>1</v>
      </c>
      <c r="K326" s="12" t="b">
        <v>0</v>
      </c>
      <c r="L326" s="12" t="b">
        <v>0</v>
      </c>
      <c r="M326" s="12" t="b">
        <v>0</v>
      </c>
      <c r="N326" s="12">
        <v>0</v>
      </c>
      <c r="O326" s="12" t="b">
        <v>0</v>
      </c>
      <c r="P326" s="12" t="b">
        <v>0</v>
      </c>
      <c r="Q326" s="12" t="b">
        <v>0</v>
      </c>
      <c r="R326" s="12" t="b">
        <v>0</v>
      </c>
      <c r="S326" s="12" t="b">
        <v>0</v>
      </c>
      <c r="T326" s="12" t="b">
        <v>1</v>
      </c>
      <c r="U326" s="12" t="b">
        <v>0</v>
      </c>
      <c r="V326" s="12" t="b">
        <v>1</v>
      </c>
      <c r="W326" s="12" t="b">
        <v>0</v>
      </c>
      <c r="X326" s="12">
        <v>1</v>
      </c>
      <c r="Y326" s="12" t="b">
        <v>0</v>
      </c>
      <c r="Z326" s="12" t="b">
        <v>0</v>
      </c>
      <c r="AA326" s="12" t="b">
        <v>0</v>
      </c>
      <c r="AB326" s="12" t="b">
        <v>0</v>
      </c>
      <c r="AC326" s="12" t="b">
        <v>0</v>
      </c>
      <c r="AD326" s="12" t="b">
        <v>1</v>
      </c>
      <c r="AE326" s="12" t="b">
        <v>0</v>
      </c>
      <c r="AF326" s="12" t="b">
        <v>1</v>
      </c>
      <c r="AG326" s="12" t="b">
        <v>0</v>
      </c>
      <c r="AH326" s="12">
        <v>1</v>
      </c>
      <c r="AI326" s="12" t="b">
        <v>0</v>
      </c>
      <c r="AJ326" s="12" t="b">
        <v>0</v>
      </c>
      <c r="AK326" s="12" t="b">
        <v>1</v>
      </c>
      <c r="AL326" s="12">
        <v>1</v>
      </c>
      <c r="AM326" s="12" t="s">
        <v>1476</v>
      </c>
      <c r="AN326" s="12">
        <v>1</v>
      </c>
    </row>
    <row r="327" spans="1:40" x14ac:dyDescent="0.3">
      <c r="A327" s="62" t="s">
        <v>2177</v>
      </c>
      <c r="B327" s="62"/>
      <c r="C327" s="63"/>
      <c r="D327" s="63"/>
      <c r="E327" s="12" t="s">
        <v>1833</v>
      </c>
      <c r="F327" s="12" t="s">
        <v>1834</v>
      </c>
      <c r="G327" s="12" t="b">
        <v>0</v>
      </c>
      <c r="H327" s="12" t="b">
        <v>1</v>
      </c>
      <c r="I327" s="12" t="b">
        <v>1</v>
      </c>
      <c r="J327" s="12" t="b">
        <v>1</v>
      </c>
      <c r="K327" s="12" t="b">
        <v>0</v>
      </c>
      <c r="L327" s="12" t="b">
        <v>0</v>
      </c>
      <c r="M327" s="12" t="b">
        <v>0</v>
      </c>
      <c r="N327" s="12">
        <v>0</v>
      </c>
      <c r="O327" s="12" t="b">
        <v>0</v>
      </c>
      <c r="P327" s="12" t="b">
        <v>0</v>
      </c>
      <c r="Q327" s="12" t="b">
        <v>0</v>
      </c>
      <c r="R327" s="12" t="b">
        <v>0</v>
      </c>
      <c r="S327" s="12" t="b">
        <v>0</v>
      </c>
      <c r="T327" s="12" t="b">
        <v>0</v>
      </c>
      <c r="U327" s="12" t="b">
        <v>0</v>
      </c>
      <c r="V327" s="12" t="b">
        <v>1</v>
      </c>
      <c r="W327" s="12" t="b">
        <v>0</v>
      </c>
      <c r="X327" s="12">
        <v>1</v>
      </c>
      <c r="Y327" s="12" t="b">
        <v>0</v>
      </c>
      <c r="Z327" s="12" t="b">
        <v>0</v>
      </c>
      <c r="AA327" s="12" t="b">
        <v>0</v>
      </c>
      <c r="AB327" s="12" t="b">
        <v>0</v>
      </c>
      <c r="AC327" s="12" t="b">
        <v>0</v>
      </c>
      <c r="AD327" s="12" t="b">
        <v>0</v>
      </c>
      <c r="AE327" s="12" t="b">
        <v>0</v>
      </c>
      <c r="AF327" s="12" t="b">
        <v>1</v>
      </c>
      <c r="AG327" s="12" t="b">
        <v>0</v>
      </c>
      <c r="AH327" s="12">
        <v>1</v>
      </c>
      <c r="AI327" s="12" t="b">
        <v>0</v>
      </c>
      <c r="AJ327" s="12" t="b">
        <v>0</v>
      </c>
      <c r="AK327" s="12" t="b">
        <v>1</v>
      </c>
      <c r="AL327" s="12">
        <v>1</v>
      </c>
      <c r="AM327" s="12" t="s">
        <v>922</v>
      </c>
      <c r="AN327" s="12">
        <v>1</v>
      </c>
    </row>
    <row r="328" spans="1:40" x14ac:dyDescent="0.3">
      <c r="A328" s="62" t="s">
        <v>2177</v>
      </c>
      <c r="B328" s="62"/>
      <c r="C328" s="63"/>
      <c r="D328" s="63"/>
      <c r="E328" s="12" t="s">
        <v>1223</v>
      </c>
      <c r="F328" s="12" t="s">
        <v>1224</v>
      </c>
      <c r="G328" s="12" t="b">
        <v>0</v>
      </c>
      <c r="H328" s="12" t="b">
        <v>1</v>
      </c>
      <c r="I328" s="12" t="b">
        <v>1</v>
      </c>
      <c r="J328" s="12" t="b">
        <v>1</v>
      </c>
      <c r="K328" s="12" t="b">
        <v>1</v>
      </c>
      <c r="L328" s="12" t="b">
        <v>1</v>
      </c>
      <c r="M328" s="12" t="b">
        <v>0</v>
      </c>
      <c r="N328" s="12">
        <v>0</v>
      </c>
      <c r="O328" s="12" t="b">
        <v>0</v>
      </c>
      <c r="P328" s="12" t="b">
        <v>0</v>
      </c>
      <c r="Q328" s="12" t="b">
        <v>0</v>
      </c>
      <c r="R328" s="12" t="b">
        <v>1</v>
      </c>
      <c r="S328" s="12" t="b">
        <v>1</v>
      </c>
      <c r="T328" s="12" t="b">
        <v>1</v>
      </c>
      <c r="U328" s="12" t="b">
        <v>0</v>
      </c>
      <c r="V328" s="12" t="b">
        <v>1</v>
      </c>
      <c r="W328" s="12" t="b">
        <v>0</v>
      </c>
      <c r="X328" s="12">
        <v>0</v>
      </c>
      <c r="Y328" s="12" t="b">
        <v>0</v>
      </c>
      <c r="Z328" s="12" t="b">
        <v>0</v>
      </c>
      <c r="AA328" s="12" t="b">
        <v>0</v>
      </c>
      <c r="AB328" s="12" t="b">
        <v>1</v>
      </c>
      <c r="AC328" s="12" t="b">
        <v>1</v>
      </c>
      <c r="AD328" s="12" t="b">
        <v>1</v>
      </c>
      <c r="AE328" s="12" t="b">
        <v>0</v>
      </c>
      <c r="AF328" s="12" t="b">
        <v>0</v>
      </c>
      <c r="AG328" s="12" t="b">
        <v>0</v>
      </c>
      <c r="AH328" s="12">
        <v>0</v>
      </c>
      <c r="AI328" s="12" t="b">
        <v>0</v>
      </c>
      <c r="AJ328" s="12" t="b">
        <v>0</v>
      </c>
      <c r="AK328" s="12" t="b">
        <v>1</v>
      </c>
      <c r="AL328" s="12">
        <v>0</v>
      </c>
      <c r="AM328" s="12" t="s">
        <v>51</v>
      </c>
      <c r="AN328" s="12">
        <v>0</v>
      </c>
    </row>
    <row r="329" spans="1:40" x14ac:dyDescent="0.3">
      <c r="A329" s="62" t="s">
        <v>2177</v>
      </c>
      <c r="B329" s="62"/>
      <c r="C329" s="63"/>
      <c r="D329" s="63"/>
      <c r="E329" s="12" t="s">
        <v>1213</v>
      </c>
      <c r="F329" s="12" t="s">
        <v>1214</v>
      </c>
      <c r="G329" s="12" t="b">
        <v>0</v>
      </c>
      <c r="H329" s="12" t="b">
        <v>1</v>
      </c>
      <c r="I329" s="12" t="b">
        <v>1</v>
      </c>
      <c r="J329" s="12" t="b">
        <v>1</v>
      </c>
      <c r="K329" s="12" t="b">
        <v>1</v>
      </c>
      <c r="L329" s="12" t="b">
        <v>1</v>
      </c>
      <c r="M329" s="12" t="b">
        <v>0</v>
      </c>
      <c r="N329" s="12">
        <v>0</v>
      </c>
      <c r="O329" s="12" t="b">
        <v>0</v>
      </c>
      <c r="P329" s="12" t="b">
        <v>0</v>
      </c>
      <c r="Q329" s="12" t="b">
        <v>0</v>
      </c>
      <c r="R329" s="12" t="b">
        <v>1</v>
      </c>
      <c r="S329" s="12" t="b">
        <v>1</v>
      </c>
      <c r="T329" s="12" t="b">
        <v>1</v>
      </c>
      <c r="U329" s="12" t="b">
        <v>0</v>
      </c>
      <c r="V329" s="12" t="b">
        <v>1</v>
      </c>
      <c r="W329" s="12" t="b">
        <v>0</v>
      </c>
      <c r="X329" s="12">
        <v>0</v>
      </c>
      <c r="Y329" s="12" t="b">
        <v>0</v>
      </c>
      <c r="Z329" s="12" t="b">
        <v>0</v>
      </c>
      <c r="AA329" s="12" t="b">
        <v>0</v>
      </c>
      <c r="AB329" s="12" t="b">
        <v>1</v>
      </c>
      <c r="AC329" s="12" t="b">
        <v>1</v>
      </c>
      <c r="AD329" s="12" t="b">
        <v>1</v>
      </c>
      <c r="AE329" s="12" t="b">
        <v>0</v>
      </c>
      <c r="AF329" s="12" t="b">
        <v>0</v>
      </c>
      <c r="AG329" s="12" t="b">
        <v>0</v>
      </c>
      <c r="AH329" s="12">
        <v>0</v>
      </c>
      <c r="AI329" s="12" t="b">
        <v>0</v>
      </c>
      <c r="AJ329" s="12" t="b">
        <v>0</v>
      </c>
      <c r="AK329" s="12" t="b">
        <v>1</v>
      </c>
      <c r="AL329" s="12">
        <v>0</v>
      </c>
      <c r="AM329" s="12" t="s">
        <v>51</v>
      </c>
      <c r="AN329" s="12">
        <v>0</v>
      </c>
    </row>
    <row r="330" spans="1:40" x14ac:dyDescent="0.3">
      <c r="A330" s="62" t="s">
        <v>2180</v>
      </c>
      <c r="B330" s="62"/>
      <c r="C330" s="63" t="s">
        <v>1464</v>
      </c>
      <c r="D330" s="63" t="s">
        <v>1630</v>
      </c>
      <c r="E330" s="12" t="s">
        <v>1758</v>
      </c>
      <c r="F330" s="12" t="s">
        <v>1584</v>
      </c>
      <c r="G330" s="12" t="b">
        <v>0</v>
      </c>
      <c r="H330" s="12" t="b">
        <v>1</v>
      </c>
      <c r="I330" s="12" t="b">
        <v>1</v>
      </c>
      <c r="J330" s="12" t="b">
        <v>1</v>
      </c>
      <c r="K330" s="12" t="b">
        <v>0</v>
      </c>
      <c r="L330" s="12" t="b">
        <v>0</v>
      </c>
      <c r="M330" s="12" t="b">
        <v>0</v>
      </c>
      <c r="N330" s="12">
        <v>0</v>
      </c>
      <c r="O330" s="12" t="b">
        <v>0</v>
      </c>
      <c r="P330" s="12" t="b">
        <v>0</v>
      </c>
      <c r="Q330" s="12" t="b">
        <v>0</v>
      </c>
      <c r="R330" s="12" t="b">
        <v>0</v>
      </c>
      <c r="S330" s="12" t="b">
        <v>0</v>
      </c>
      <c r="T330" s="12" t="b">
        <v>1</v>
      </c>
      <c r="U330" s="12" t="b">
        <v>0</v>
      </c>
      <c r="V330" s="12" t="b">
        <v>1</v>
      </c>
      <c r="W330" s="12" t="b">
        <v>0</v>
      </c>
      <c r="X330" s="12">
        <v>1</v>
      </c>
      <c r="Y330" s="12" t="b">
        <v>0</v>
      </c>
      <c r="Z330" s="12" t="b">
        <v>0</v>
      </c>
      <c r="AA330" s="12" t="b">
        <v>1</v>
      </c>
      <c r="AB330" s="12" t="b">
        <v>1</v>
      </c>
      <c r="AC330" s="12" t="b">
        <v>1</v>
      </c>
      <c r="AD330" s="12" t="b">
        <v>1</v>
      </c>
      <c r="AE330" s="12" t="b">
        <v>0</v>
      </c>
      <c r="AF330" s="12" t="b">
        <v>0</v>
      </c>
      <c r="AG330" s="12" t="b">
        <v>0</v>
      </c>
      <c r="AH330" s="12">
        <v>0</v>
      </c>
      <c r="AI330" s="12" t="b">
        <v>0</v>
      </c>
      <c r="AJ330" s="12" t="b">
        <v>0</v>
      </c>
      <c r="AK330" s="12" t="b">
        <v>1</v>
      </c>
      <c r="AL330" s="12">
        <v>1</v>
      </c>
      <c r="AM330" s="12" t="s">
        <v>900</v>
      </c>
      <c r="AN330" s="12">
        <v>1</v>
      </c>
    </row>
    <row r="331" spans="1:40" x14ac:dyDescent="0.3">
      <c r="A331" s="62" t="s">
        <v>2180</v>
      </c>
      <c r="B331" s="62"/>
      <c r="C331" s="63" t="s">
        <v>1466</v>
      </c>
      <c r="D331" s="63" t="s">
        <v>1630</v>
      </c>
      <c r="E331" s="12" t="s">
        <v>1758</v>
      </c>
      <c r="F331" s="12" t="s">
        <v>1584</v>
      </c>
      <c r="G331" s="12" t="b">
        <v>0</v>
      </c>
      <c r="H331" s="12" t="b">
        <v>1</v>
      </c>
      <c r="I331" s="12" t="b">
        <v>1</v>
      </c>
      <c r="J331" s="12" t="b">
        <v>1</v>
      </c>
      <c r="K331" s="12" t="b">
        <v>0</v>
      </c>
      <c r="L331" s="12" t="b">
        <v>0</v>
      </c>
      <c r="M331" s="12" t="b">
        <v>0</v>
      </c>
      <c r="N331" s="12">
        <v>0</v>
      </c>
      <c r="O331" s="12" t="b">
        <v>0</v>
      </c>
      <c r="P331" s="12" t="b">
        <v>0</v>
      </c>
      <c r="Q331" s="12" t="b">
        <v>0</v>
      </c>
      <c r="R331" s="12" t="b">
        <v>0</v>
      </c>
      <c r="S331" s="12" t="b">
        <v>0</v>
      </c>
      <c r="T331" s="12" t="b">
        <v>1</v>
      </c>
      <c r="U331" s="12" t="b">
        <v>0</v>
      </c>
      <c r="V331" s="12" t="b">
        <v>1</v>
      </c>
      <c r="W331" s="12" t="b">
        <v>0</v>
      </c>
      <c r="X331" s="12">
        <v>1</v>
      </c>
      <c r="Y331" s="12" t="b">
        <v>0</v>
      </c>
      <c r="Z331" s="12" t="b">
        <v>0</v>
      </c>
      <c r="AA331" s="12" t="b">
        <v>1</v>
      </c>
      <c r="AB331" s="12" t="b">
        <v>1</v>
      </c>
      <c r="AC331" s="12" t="b">
        <v>1</v>
      </c>
      <c r="AD331" s="12" t="b">
        <v>1</v>
      </c>
      <c r="AE331" s="12" t="b">
        <v>0</v>
      </c>
      <c r="AF331" s="12" t="b">
        <v>0</v>
      </c>
      <c r="AG331" s="12" t="b">
        <v>0</v>
      </c>
      <c r="AH331" s="12">
        <v>0</v>
      </c>
      <c r="AI331" s="12" t="b">
        <v>0</v>
      </c>
      <c r="AJ331" s="12" t="b">
        <v>0</v>
      </c>
      <c r="AK331" s="12" t="b">
        <v>1</v>
      </c>
      <c r="AL331" s="12">
        <v>1</v>
      </c>
      <c r="AM331" s="12" t="s">
        <v>900</v>
      </c>
      <c r="AN331" s="12">
        <v>1</v>
      </c>
    </row>
    <row r="332" spans="1:40" x14ac:dyDescent="0.3">
      <c r="A332" s="62" t="s">
        <v>2180</v>
      </c>
      <c r="B332" s="62"/>
      <c r="C332" s="63" t="s">
        <v>1467</v>
      </c>
      <c r="D332" s="63" t="s">
        <v>1630</v>
      </c>
      <c r="E332" s="12" t="s">
        <v>1758</v>
      </c>
      <c r="F332" s="12" t="s">
        <v>1584</v>
      </c>
      <c r="G332" s="12" t="b">
        <v>0</v>
      </c>
      <c r="H332" s="12" t="b">
        <v>1</v>
      </c>
      <c r="I332" s="12" t="b">
        <v>1</v>
      </c>
      <c r="J332" s="12" t="b">
        <v>1</v>
      </c>
      <c r="K332" s="12" t="b">
        <v>0</v>
      </c>
      <c r="L332" s="12" t="b">
        <v>0</v>
      </c>
      <c r="M332" s="12" t="b">
        <v>0</v>
      </c>
      <c r="N332" s="12">
        <v>0</v>
      </c>
      <c r="O332" s="12" t="b">
        <v>0</v>
      </c>
      <c r="P332" s="12" t="b">
        <v>0</v>
      </c>
      <c r="Q332" s="12" t="b">
        <v>0</v>
      </c>
      <c r="R332" s="12" t="b">
        <v>0</v>
      </c>
      <c r="S332" s="12" t="b">
        <v>0</v>
      </c>
      <c r="T332" s="12" t="b">
        <v>1</v>
      </c>
      <c r="U332" s="12" t="b">
        <v>0</v>
      </c>
      <c r="V332" s="12" t="b">
        <v>1</v>
      </c>
      <c r="W332" s="12" t="b">
        <v>0</v>
      </c>
      <c r="X332" s="12">
        <v>1</v>
      </c>
      <c r="Y332" s="12" t="b">
        <v>0</v>
      </c>
      <c r="Z332" s="12" t="b">
        <v>0</v>
      </c>
      <c r="AA332" s="12" t="b">
        <v>1</v>
      </c>
      <c r="AB332" s="12" t="b">
        <v>1</v>
      </c>
      <c r="AC332" s="12" t="b">
        <v>1</v>
      </c>
      <c r="AD332" s="12" t="b">
        <v>1</v>
      </c>
      <c r="AE332" s="12" t="b">
        <v>0</v>
      </c>
      <c r="AF332" s="12" t="b">
        <v>0</v>
      </c>
      <c r="AG332" s="12" t="b">
        <v>0</v>
      </c>
      <c r="AH332" s="12">
        <v>0</v>
      </c>
      <c r="AI332" s="12" t="b">
        <v>0</v>
      </c>
      <c r="AJ332" s="12" t="b">
        <v>0</v>
      </c>
      <c r="AK332" s="12" t="b">
        <v>1</v>
      </c>
      <c r="AL332" s="12">
        <v>1</v>
      </c>
      <c r="AM332" s="12" t="s">
        <v>900</v>
      </c>
      <c r="AN332" s="12">
        <v>1</v>
      </c>
    </row>
    <row r="333" spans="1:40" x14ac:dyDescent="0.3">
      <c r="A333" s="62" t="s">
        <v>2180</v>
      </c>
      <c r="B333" s="62"/>
      <c r="C333" s="63" t="s">
        <v>1468</v>
      </c>
      <c r="D333" s="63" t="s">
        <v>1630</v>
      </c>
      <c r="E333" s="12" t="s">
        <v>1758</v>
      </c>
      <c r="F333" s="12" t="s">
        <v>1584</v>
      </c>
      <c r="G333" s="12" t="b">
        <v>0</v>
      </c>
      <c r="H333" s="12" t="b">
        <v>1</v>
      </c>
      <c r="I333" s="12" t="b">
        <v>1</v>
      </c>
      <c r="J333" s="12" t="b">
        <v>1</v>
      </c>
      <c r="K333" s="12" t="b">
        <v>0</v>
      </c>
      <c r="L333" s="12" t="b">
        <v>0</v>
      </c>
      <c r="M333" s="12" t="b">
        <v>0</v>
      </c>
      <c r="N333" s="12">
        <v>0</v>
      </c>
      <c r="O333" s="12" t="b">
        <v>0</v>
      </c>
      <c r="P333" s="12" t="b">
        <v>0</v>
      </c>
      <c r="Q333" s="12" t="b">
        <v>0</v>
      </c>
      <c r="R333" s="12" t="b">
        <v>0</v>
      </c>
      <c r="S333" s="12" t="b">
        <v>0</v>
      </c>
      <c r="T333" s="12" t="b">
        <v>1</v>
      </c>
      <c r="U333" s="12" t="b">
        <v>0</v>
      </c>
      <c r="V333" s="12" t="b">
        <v>1</v>
      </c>
      <c r="W333" s="12" t="b">
        <v>0</v>
      </c>
      <c r="X333" s="12">
        <v>1</v>
      </c>
      <c r="Y333" s="12" t="b">
        <v>0</v>
      </c>
      <c r="Z333" s="12" t="b">
        <v>0</v>
      </c>
      <c r="AA333" s="12" t="b">
        <v>1</v>
      </c>
      <c r="AB333" s="12" t="b">
        <v>1</v>
      </c>
      <c r="AC333" s="12" t="b">
        <v>1</v>
      </c>
      <c r="AD333" s="12" t="b">
        <v>1</v>
      </c>
      <c r="AE333" s="12" t="b">
        <v>0</v>
      </c>
      <c r="AF333" s="12" t="b">
        <v>0</v>
      </c>
      <c r="AG333" s="12" t="b">
        <v>0</v>
      </c>
      <c r="AH333" s="12">
        <v>0</v>
      </c>
      <c r="AI333" s="12" t="b">
        <v>0</v>
      </c>
      <c r="AJ333" s="12" t="b">
        <v>0</v>
      </c>
      <c r="AK333" s="12" t="b">
        <v>1</v>
      </c>
      <c r="AL333" s="12">
        <v>1</v>
      </c>
      <c r="AM333" s="12" t="s">
        <v>900</v>
      </c>
      <c r="AN333" s="12">
        <v>1</v>
      </c>
    </row>
    <row r="334" spans="1:40" x14ac:dyDescent="0.3">
      <c r="A334" s="62" t="s">
        <v>2180</v>
      </c>
      <c r="B334" s="62"/>
      <c r="C334" s="63" t="s">
        <v>1469</v>
      </c>
      <c r="D334" s="63" t="s">
        <v>1630</v>
      </c>
      <c r="E334" s="12" t="s">
        <v>1758</v>
      </c>
      <c r="F334" s="12" t="s">
        <v>1584</v>
      </c>
      <c r="G334" s="12" t="b">
        <v>0</v>
      </c>
      <c r="H334" s="12" t="b">
        <v>1</v>
      </c>
      <c r="I334" s="12" t="b">
        <v>1</v>
      </c>
      <c r="J334" s="12" t="b">
        <v>1</v>
      </c>
      <c r="K334" s="12" t="b">
        <v>0</v>
      </c>
      <c r="L334" s="12" t="b">
        <v>0</v>
      </c>
      <c r="M334" s="12" t="b">
        <v>0</v>
      </c>
      <c r="N334" s="12">
        <v>0</v>
      </c>
      <c r="O334" s="12" t="b">
        <v>0</v>
      </c>
      <c r="P334" s="12" t="b">
        <v>0</v>
      </c>
      <c r="Q334" s="12" t="b">
        <v>0</v>
      </c>
      <c r="R334" s="12" t="b">
        <v>0</v>
      </c>
      <c r="S334" s="12" t="b">
        <v>0</v>
      </c>
      <c r="T334" s="12" t="b">
        <v>1</v>
      </c>
      <c r="U334" s="12" t="b">
        <v>0</v>
      </c>
      <c r="V334" s="12" t="b">
        <v>1</v>
      </c>
      <c r="W334" s="12" t="b">
        <v>0</v>
      </c>
      <c r="X334" s="12">
        <v>1</v>
      </c>
      <c r="Y334" s="12" t="b">
        <v>0</v>
      </c>
      <c r="Z334" s="12" t="b">
        <v>0</v>
      </c>
      <c r="AA334" s="12" t="b">
        <v>1</v>
      </c>
      <c r="AB334" s="12" t="b">
        <v>1</v>
      </c>
      <c r="AC334" s="12" t="b">
        <v>1</v>
      </c>
      <c r="AD334" s="12" t="b">
        <v>1</v>
      </c>
      <c r="AE334" s="12" t="b">
        <v>0</v>
      </c>
      <c r="AF334" s="12" t="b">
        <v>0</v>
      </c>
      <c r="AG334" s="12" t="b">
        <v>0</v>
      </c>
      <c r="AH334" s="12">
        <v>0</v>
      </c>
      <c r="AI334" s="12" t="b">
        <v>0</v>
      </c>
      <c r="AJ334" s="12" t="b">
        <v>0</v>
      </c>
      <c r="AK334" s="12" t="b">
        <v>1</v>
      </c>
      <c r="AL334" s="12">
        <v>1</v>
      </c>
      <c r="AM334" s="12" t="s">
        <v>900</v>
      </c>
      <c r="AN334" s="12">
        <v>1</v>
      </c>
    </row>
    <row r="335" spans="1:40" x14ac:dyDescent="0.3">
      <c r="A335" s="62" t="s">
        <v>2180</v>
      </c>
      <c r="B335" s="62"/>
      <c r="C335" s="63" t="s">
        <v>1470</v>
      </c>
      <c r="D335" s="63" t="s">
        <v>1630</v>
      </c>
      <c r="E335" s="12" t="s">
        <v>1758</v>
      </c>
      <c r="F335" s="12" t="s">
        <v>1584</v>
      </c>
      <c r="G335" s="12" t="b">
        <v>0</v>
      </c>
      <c r="H335" s="12" t="b">
        <v>1</v>
      </c>
      <c r="I335" s="12" t="b">
        <v>1</v>
      </c>
      <c r="J335" s="12" t="b">
        <v>1</v>
      </c>
      <c r="K335" s="12" t="b">
        <v>0</v>
      </c>
      <c r="L335" s="12" t="b">
        <v>0</v>
      </c>
      <c r="M335" s="12" t="b">
        <v>0</v>
      </c>
      <c r="N335" s="12">
        <v>0</v>
      </c>
      <c r="O335" s="12" t="b">
        <v>0</v>
      </c>
      <c r="P335" s="12" t="b">
        <v>0</v>
      </c>
      <c r="Q335" s="12" t="b">
        <v>0</v>
      </c>
      <c r="R335" s="12" t="b">
        <v>0</v>
      </c>
      <c r="S335" s="12" t="b">
        <v>0</v>
      </c>
      <c r="T335" s="12" t="b">
        <v>1</v>
      </c>
      <c r="U335" s="12" t="b">
        <v>0</v>
      </c>
      <c r="V335" s="12" t="b">
        <v>1</v>
      </c>
      <c r="W335" s="12" t="b">
        <v>0</v>
      </c>
      <c r="X335" s="12">
        <v>1</v>
      </c>
      <c r="Y335" s="12" t="b">
        <v>0</v>
      </c>
      <c r="Z335" s="12" t="b">
        <v>0</v>
      </c>
      <c r="AA335" s="12" t="b">
        <v>1</v>
      </c>
      <c r="AB335" s="12" t="b">
        <v>1</v>
      </c>
      <c r="AC335" s="12" t="b">
        <v>1</v>
      </c>
      <c r="AD335" s="12" t="b">
        <v>1</v>
      </c>
      <c r="AE335" s="12" t="b">
        <v>0</v>
      </c>
      <c r="AF335" s="12" t="b">
        <v>0</v>
      </c>
      <c r="AG335" s="12" t="b">
        <v>0</v>
      </c>
      <c r="AH335" s="12">
        <v>0</v>
      </c>
      <c r="AI335" s="12" t="b">
        <v>0</v>
      </c>
      <c r="AJ335" s="12" t="b">
        <v>0</v>
      </c>
      <c r="AK335" s="12" t="b">
        <v>1</v>
      </c>
      <c r="AL335" s="12">
        <v>1</v>
      </c>
      <c r="AM335" s="12" t="s">
        <v>900</v>
      </c>
      <c r="AN335" s="12">
        <v>1</v>
      </c>
    </row>
    <row r="336" spans="1:40" x14ac:dyDescent="0.3">
      <c r="A336" s="62" t="s">
        <v>2180</v>
      </c>
      <c r="B336" s="62"/>
      <c r="C336" s="63" t="s">
        <v>1934</v>
      </c>
      <c r="D336" s="63" t="s">
        <v>1630</v>
      </c>
      <c r="E336" s="12" t="s">
        <v>1758</v>
      </c>
      <c r="F336" s="12" t="s">
        <v>1584</v>
      </c>
      <c r="G336" s="12" t="b">
        <v>0</v>
      </c>
      <c r="H336" s="12" t="b">
        <v>1</v>
      </c>
      <c r="I336" s="12" t="b">
        <v>1</v>
      </c>
      <c r="J336" s="12" t="b">
        <v>1</v>
      </c>
      <c r="K336" s="12" t="b">
        <v>0</v>
      </c>
      <c r="L336" s="12" t="b">
        <v>0</v>
      </c>
      <c r="M336" s="12" t="b">
        <v>0</v>
      </c>
      <c r="N336" s="12">
        <v>0</v>
      </c>
      <c r="O336" s="12" t="b">
        <v>0</v>
      </c>
      <c r="P336" s="12" t="b">
        <v>0</v>
      </c>
      <c r="Q336" s="12" t="b">
        <v>0</v>
      </c>
      <c r="R336" s="12" t="b">
        <v>0</v>
      </c>
      <c r="S336" s="12" t="b">
        <v>0</v>
      </c>
      <c r="T336" s="12" t="b">
        <v>1</v>
      </c>
      <c r="U336" s="12" t="b">
        <v>0</v>
      </c>
      <c r="V336" s="12" t="b">
        <v>1</v>
      </c>
      <c r="W336" s="12" t="b">
        <v>0</v>
      </c>
      <c r="X336" s="12">
        <v>1</v>
      </c>
      <c r="Y336" s="12" t="b">
        <v>0</v>
      </c>
      <c r="Z336" s="12" t="b">
        <v>0</v>
      </c>
      <c r="AA336" s="12" t="b">
        <v>1</v>
      </c>
      <c r="AB336" s="12" t="b">
        <v>1</v>
      </c>
      <c r="AC336" s="12" t="b">
        <v>1</v>
      </c>
      <c r="AD336" s="12" t="b">
        <v>1</v>
      </c>
      <c r="AE336" s="12" t="b">
        <v>0</v>
      </c>
      <c r="AF336" s="12" t="b">
        <v>0</v>
      </c>
      <c r="AG336" s="12" t="b">
        <v>0</v>
      </c>
      <c r="AH336" s="12">
        <v>0</v>
      </c>
      <c r="AI336" s="12" t="b">
        <v>0</v>
      </c>
      <c r="AJ336" s="12" t="b">
        <v>0</v>
      </c>
      <c r="AK336" s="12" t="b">
        <v>1</v>
      </c>
      <c r="AL336" s="12">
        <v>1</v>
      </c>
      <c r="AM336" s="12" t="s">
        <v>900</v>
      </c>
      <c r="AN336" s="12">
        <v>1</v>
      </c>
    </row>
    <row r="337" spans="1:40" x14ac:dyDescent="0.3">
      <c r="A337" s="62" t="s">
        <v>2180</v>
      </c>
      <c r="B337" s="62"/>
      <c r="C337" s="63" t="s">
        <v>1935</v>
      </c>
      <c r="D337" s="63" t="s">
        <v>1630</v>
      </c>
      <c r="E337" s="12" t="s">
        <v>1758</v>
      </c>
      <c r="F337" s="12" t="s">
        <v>1584</v>
      </c>
      <c r="G337" s="12" t="b">
        <v>0</v>
      </c>
      <c r="H337" s="12" t="b">
        <v>1</v>
      </c>
      <c r="I337" s="12" t="b">
        <v>1</v>
      </c>
      <c r="J337" s="12" t="b">
        <v>1</v>
      </c>
      <c r="K337" s="12" t="b">
        <v>0</v>
      </c>
      <c r="L337" s="12" t="b">
        <v>0</v>
      </c>
      <c r="M337" s="12" t="b">
        <v>0</v>
      </c>
      <c r="N337" s="12">
        <v>0</v>
      </c>
      <c r="O337" s="12" t="b">
        <v>0</v>
      </c>
      <c r="P337" s="12" t="b">
        <v>0</v>
      </c>
      <c r="Q337" s="12" t="b">
        <v>0</v>
      </c>
      <c r="R337" s="12" t="b">
        <v>0</v>
      </c>
      <c r="S337" s="12" t="b">
        <v>0</v>
      </c>
      <c r="T337" s="12" t="b">
        <v>1</v>
      </c>
      <c r="U337" s="12" t="b">
        <v>0</v>
      </c>
      <c r="V337" s="12" t="b">
        <v>1</v>
      </c>
      <c r="W337" s="12" t="b">
        <v>0</v>
      </c>
      <c r="X337" s="12">
        <v>1</v>
      </c>
      <c r="Y337" s="12" t="b">
        <v>0</v>
      </c>
      <c r="Z337" s="12" t="b">
        <v>0</v>
      </c>
      <c r="AA337" s="12" t="b">
        <v>1</v>
      </c>
      <c r="AB337" s="12" t="b">
        <v>1</v>
      </c>
      <c r="AC337" s="12" t="b">
        <v>1</v>
      </c>
      <c r="AD337" s="12" t="b">
        <v>1</v>
      </c>
      <c r="AE337" s="12" t="b">
        <v>0</v>
      </c>
      <c r="AF337" s="12" t="b">
        <v>0</v>
      </c>
      <c r="AG337" s="12" t="b">
        <v>0</v>
      </c>
      <c r="AH337" s="12">
        <v>0</v>
      </c>
      <c r="AI337" s="12" t="b">
        <v>0</v>
      </c>
      <c r="AJ337" s="12" t="b">
        <v>0</v>
      </c>
      <c r="AK337" s="12" t="b">
        <v>1</v>
      </c>
      <c r="AL337" s="12">
        <v>1</v>
      </c>
      <c r="AM337" s="12" t="s">
        <v>900</v>
      </c>
      <c r="AN337" s="12">
        <v>1</v>
      </c>
    </row>
    <row r="338" spans="1:40" x14ac:dyDescent="0.3">
      <c r="A338" s="62" t="s">
        <v>2180</v>
      </c>
      <c r="B338" s="62"/>
      <c r="C338" s="63" t="s">
        <v>1936</v>
      </c>
      <c r="D338" s="63" t="s">
        <v>1630</v>
      </c>
      <c r="E338" s="12" t="s">
        <v>1758</v>
      </c>
      <c r="F338" s="12" t="s">
        <v>1584</v>
      </c>
      <c r="G338" s="12" t="b">
        <v>0</v>
      </c>
      <c r="H338" s="12" t="b">
        <v>1</v>
      </c>
      <c r="I338" s="12" t="b">
        <v>1</v>
      </c>
      <c r="J338" s="12" t="b">
        <v>1</v>
      </c>
      <c r="K338" s="12" t="b">
        <v>0</v>
      </c>
      <c r="L338" s="12" t="b">
        <v>0</v>
      </c>
      <c r="M338" s="12" t="b">
        <v>0</v>
      </c>
      <c r="N338" s="12">
        <v>0</v>
      </c>
      <c r="O338" s="12" t="b">
        <v>0</v>
      </c>
      <c r="P338" s="12" t="b">
        <v>0</v>
      </c>
      <c r="Q338" s="12" t="b">
        <v>0</v>
      </c>
      <c r="R338" s="12" t="b">
        <v>0</v>
      </c>
      <c r="S338" s="12" t="b">
        <v>0</v>
      </c>
      <c r="T338" s="12" t="b">
        <v>1</v>
      </c>
      <c r="U338" s="12" t="b">
        <v>0</v>
      </c>
      <c r="V338" s="12" t="b">
        <v>1</v>
      </c>
      <c r="W338" s="12" t="b">
        <v>0</v>
      </c>
      <c r="X338" s="12">
        <v>1</v>
      </c>
      <c r="Y338" s="12" t="b">
        <v>0</v>
      </c>
      <c r="Z338" s="12" t="b">
        <v>0</v>
      </c>
      <c r="AA338" s="12" t="b">
        <v>1</v>
      </c>
      <c r="AB338" s="12" t="b">
        <v>1</v>
      </c>
      <c r="AC338" s="12" t="b">
        <v>1</v>
      </c>
      <c r="AD338" s="12" t="b">
        <v>1</v>
      </c>
      <c r="AE338" s="12" t="b">
        <v>0</v>
      </c>
      <c r="AF338" s="12" t="b">
        <v>0</v>
      </c>
      <c r="AG338" s="12" t="b">
        <v>0</v>
      </c>
      <c r="AH338" s="12">
        <v>0</v>
      </c>
      <c r="AI338" s="12" t="b">
        <v>0</v>
      </c>
      <c r="AJ338" s="12" t="b">
        <v>0</v>
      </c>
      <c r="AK338" s="12" t="b">
        <v>1</v>
      </c>
      <c r="AL338" s="12">
        <v>1</v>
      </c>
      <c r="AM338" s="12" t="s">
        <v>900</v>
      </c>
      <c r="AN338" s="12">
        <v>1</v>
      </c>
    </row>
    <row r="339" spans="1:40" x14ac:dyDescent="0.3">
      <c r="A339" s="62" t="s">
        <v>2180</v>
      </c>
      <c r="B339" s="62"/>
      <c r="C339" s="63" t="s">
        <v>1937</v>
      </c>
      <c r="D339" s="63" t="s">
        <v>1630</v>
      </c>
      <c r="E339" s="12" t="s">
        <v>1758</v>
      </c>
      <c r="F339" s="12" t="s">
        <v>1584</v>
      </c>
      <c r="G339" s="12" t="b">
        <v>0</v>
      </c>
      <c r="H339" s="12" t="b">
        <v>1</v>
      </c>
      <c r="I339" s="12" t="b">
        <v>1</v>
      </c>
      <c r="J339" s="12" t="b">
        <v>1</v>
      </c>
      <c r="K339" s="12" t="b">
        <v>0</v>
      </c>
      <c r="L339" s="12" t="b">
        <v>0</v>
      </c>
      <c r="M339" s="12" t="b">
        <v>0</v>
      </c>
      <c r="N339" s="12">
        <v>0</v>
      </c>
      <c r="O339" s="12" t="b">
        <v>0</v>
      </c>
      <c r="P339" s="12" t="b">
        <v>0</v>
      </c>
      <c r="Q339" s="12" t="b">
        <v>0</v>
      </c>
      <c r="R339" s="12" t="b">
        <v>0</v>
      </c>
      <c r="S339" s="12" t="b">
        <v>0</v>
      </c>
      <c r="T339" s="12" t="b">
        <v>1</v>
      </c>
      <c r="U339" s="12" t="b">
        <v>0</v>
      </c>
      <c r="V339" s="12" t="b">
        <v>1</v>
      </c>
      <c r="W339" s="12" t="b">
        <v>0</v>
      </c>
      <c r="X339" s="12">
        <v>1</v>
      </c>
      <c r="Y339" s="12" t="b">
        <v>0</v>
      </c>
      <c r="Z339" s="12" t="b">
        <v>0</v>
      </c>
      <c r="AA339" s="12" t="b">
        <v>1</v>
      </c>
      <c r="AB339" s="12" t="b">
        <v>1</v>
      </c>
      <c r="AC339" s="12" t="b">
        <v>1</v>
      </c>
      <c r="AD339" s="12" t="b">
        <v>1</v>
      </c>
      <c r="AE339" s="12" t="b">
        <v>0</v>
      </c>
      <c r="AF339" s="12" t="b">
        <v>0</v>
      </c>
      <c r="AG339" s="12" t="b">
        <v>0</v>
      </c>
      <c r="AH339" s="12">
        <v>0</v>
      </c>
      <c r="AI339" s="12" t="b">
        <v>0</v>
      </c>
      <c r="AJ339" s="12" t="b">
        <v>0</v>
      </c>
      <c r="AK339" s="12" t="b">
        <v>1</v>
      </c>
      <c r="AL339" s="12">
        <v>1</v>
      </c>
      <c r="AM339" s="12" t="s">
        <v>900</v>
      </c>
      <c r="AN339" s="12">
        <v>1</v>
      </c>
    </row>
    <row r="340" spans="1:40" x14ac:dyDescent="0.3">
      <c r="A340" s="62" t="s">
        <v>2180</v>
      </c>
      <c r="B340" s="62"/>
      <c r="C340" s="63" t="s">
        <v>1938</v>
      </c>
      <c r="D340" s="63" t="s">
        <v>1630</v>
      </c>
      <c r="E340" s="12" t="s">
        <v>1758</v>
      </c>
      <c r="F340" s="12" t="s">
        <v>1584</v>
      </c>
      <c r="G340" s="12" t="b">
        <v>0</v>
      </c>
      <c r="H340" s="12" t="b">
        <v>1</v>
      </c>
      <c r="I340" s="12" t="b">
        <v>1</v>
      </c>
      <c r="J340" s="12" t="b">
        <v>1</v>
      </c>
      <c r="K340" s="12" t="b">
        <v>0</v>
      </c>
      <c r="L340" s="12" t="b">
        <v>0</v>
      </c>
      <c r="M340" s="12" t="b">
        <v>0</v>
      </c>
      <c r="N340" s="12">
        <v>0</v>
      </c>
      <c r="O340" s="12" t="b">
        <v>0</v>
      </c>
      <c r="P340" s="12" t="b">
        <v>0</v>
      </c>
      <c r="Q340" s="12" t="b">
        <v>0</v>
      </c>
      <c r="R340" s="12" t="b">
        <v>0</v>
      </c>
      <c r="S340" s="12" t="b">
        <v>0</v>
      </c>
      <c r="T340" s="12" t="b">
        <v>1</v>
      </c>
      <c r="U340" s="12" t="b">
        <v>0</v>
      </c>
      <c r="V340" s="12" t="b">
        <v>1</v>
      </c>
      <c r="W340" s="12" t="b">
        <v>0</v>
      </c>
      <c r="X340" s="12">
        <v>1</v>
      </c>
      <c r="Y340" s="12" t="b">
        <v>0</v>
      </c>
      <c r="Z340" s="12" t="b">
        <v>0</v>
      </c>
      <c r="AA340" s="12" t="b">
        <v>1</v>
      </c>
      <c r="AB340" s="12" t="b">
        <v>1</v>
      </c>
      <c r="AC340" s="12" t="b">
        <v>1</v>
      </c>
      <c r="AD340" s="12" t="b">
        <v>1</v>
      </c>
      <c r="AE340" s="12" t="b">
        <v>0</v>
      </c>
      <c r="AF340" s="12" t="b">
        <v>0</v>
      </c>
      <c r="AG340" s="12" t="b">
        <v>0</v>
      </c>
      <c r="AH340" s="12">
        <v>0</v>
      </c>
      <c r="AI340" s="12" t="b">
        <v>0</v>
      </c>
      <c r="AJ340" s="12" t="b">
        <v>0</v>
      </c>
      <c r="AK340" s="12" t="b">
        <v>1</v>
      </c>
      <c r="AL340" s="12">
        <v>1</v>
      </c>
      <c r="AM340" s="12" t="s">
        <v>900</v>
      </c>
      <c r="AN340" s="12">
        <v>1</v>
      </c>
    </row>
    <row r="341" spans="1:40" x14ac:dyDescent="0.3">
      <c r="A341" s="62" t="s">
        <v>2180</v>
      </c>
      <c r="B341" s="62"/>
      <c r="C341" s="63" t="s">
        <v>1939</v>
      </c>
      <c r="D341" s="63" t="s">
        <v>1630</v>
      </c>
      <c r="E341" s="12" t="s">
        <v>1758</v>
      </c>
      <c r="F341" s="12" t="s">
        <v>1584</v>
      </c>
      <c r="G341" s="12" t="b">
        <v>0</v>
      </c>
      <c r="H341" s="12" t="b">
        <v>1</v>
      </c>
      <c r="I341" s="12" t="b">
        <v>1</v>
      </c>
      <c r="J341" s="12" t="b">
        <v>1</v>
      </c>
      <c r="K341" s="12" t="b">
        <v>0</v>
      </c>
      <c r="L341" s="12" t="b">
        <v>0</v>
      </c>
      <c r="M341" s="12" t="b">
        <v>0</v>
      </c>
      <c r="N341" s="12">
        <v>0</v>
      </c>
      <c r="O341" s="12" t="b">
        <v>0</v>
      </c>
      <c r="P341" s="12" t="b">
        <v>0</v>
      </c>
      <c r="Q341" s="12" t="b">
        <v>0</v>
      </c>
      <c r="R341" s="12" t="b">
        <v>0</v>
      </c>
      <c r="S341" s="12" t="b">
        <v>0</v>
      </c>
      <c r="T341" s="12" t="b">
        <v>1</v>
      </c>
      <c r="U341" s="12" t="b">
        <v>0</v>
      </c>
      <c r="V341" s="12" t="b">
        <v>1</v>
      </c>
      <c r="W341" s="12" t="b">
        <v>0</v>
      </c>
      <c r="X341" s="12">
        <v>1</v>
      </c>
      <c r="Y341" s="12" t="b">
        <v>0</v>
      </c>
      <c r="Z341" s="12" t="b">
        <v>0</v>
      </c>
      <c r="AA341" s="12" t="b">
        <v>1</v>
      </c>
      <c r="AB341" s="12" t="b">
        <v>1</v>
      </c>
      <c r="AC341" s="12" t="b">
        <v>1</v>
      </c>
      <c r="AD341" s="12" t="b">
        <v>1</v>
      </c>
      <c r="AE341" s="12" t="b">
        <v>0</v>
      </c>
      <c r="AF341" s="12" t="b">
        <v>0</v>
      </c>
      <c r="AG341" s="12" t="b">
        <v>0</v>
      </c>
      <c r="AH341" s="12">
        <v>0</v>
      </c>
      <c r="AI341" s="12" t="b">
        <v>0</v>
      </c>
      <c r="AJ341" s="12" t="b">
        <v>0</v>
      </c>
      <c r="AK341" s="12" t="b">
        <v>1</v>
      </c>
      <c r="AL341" s="12">
        <v>1</v>
      </c>
      <c r="AM341" s="12" t="s">
        <v>900</v>
      </c>
      <c r="AN341" s="12">
        <v>1</v>
      </c>
    </row>
    <row r="342" spans="1:40" x14ac:dyDescent="0.3">
      <c r="A342" s="62" t="s">
        <v>2180</v>
      </c>
      <c r="B342" s="62"/>
      <c r="C342" s="63" t="s">
        <v>1464</v>
      </c>
      <c r="D342" s="52" t="s">
        <v>1481</v>
      </c>
      <c r="E342" s="12" t="s">
        <v>1759</v>
      </c>
      <c r="F342" s="12" t="s">
        <v>1582</v>
      </c>
      <c r="G342" s="12" t="b">
        <v>0</v>
      </c>
      <c r="H342" s="12" t="b">
        <v>1</v>
      </c>
      <c r="I342" s="12" t="b">
        <v>1</v>
      </c>
      <c r="J342" s="12" t="b">
        <v>1</v>
      </c>
      <c r="K342" s="12" t="b">
        <v>0</v>
      </c>
      <c r="L342" s="12" t="b">
        <v>0</v>
      </c>
      <c r="M342" s="12" t="b">
        <v>0</v>
      </c>
      <c r="N342" s="12">
        <v>0</v>
      </c>
      <c r="O342" s="12" t="b">
        <v>0</v>
      </c>
      <c r="P342" s="12" t="b">
        <v>0</v>
      </c>
      <c r="Q342" s="12" t="b">
        <v>0</v>
      </c>
      <c r="R342" s="12" t="b">
        <v>0</v>
      </c>
      <c r="S342" s="12" t="b">
        <v>0</v>
      </c>
      <c r="T342" s="12" t="b">
        <v>1</v>
      </c>
      <c r="U342" s="12" t="b">
        <v>0</v>
      </c>
      <c r="V342" s="12" t="b">
        <v>1</v>
      </c>
      <c r="W342" s="12" t="b">
        <v>0</v>
      </c>
      <c r="X342" s="12">
        <v>1</v>
      </c>
      <c r="Y342" s="12" t="b">
        <v>0</v>
      </c>
      <c r="Z342" s="12" t="b">
        <v>0</v>
      </c>
      <c r="AA342" s="12" t="b">
        <v>1</v>
      </c>
      <c r="AB342" s="12" t="b">
        <v>1</v>
      </c>
      <c r="AC342" s="12" t="b">
        <v>1</v>
      </c>
      <c r="AD342" s="12" t="b">
        <v>1</v>
      </c>
      <c r="AE342" s="12" t="b">
        <v>0</v>
      </c>
      <c r="AF342" s="12" t="b">
        <v>0</v>
      </c>
      <c r="AG342" s="12" t="b">
        <v>0</v>
      </c>
      <c r="AH342" s="12">
        <v>0</v>
      </c>
      <c r="AI342" s="12" t="b">
        <v>0</v>
      </c>
      <c r="AJ342" s="12" t="b">
        <v>0</v>
      </c>
      <c r="AK342" s="12" t="b">
        <v>1</v>
      </c>
      <c r="AL342" s="12">
        <v>1</v>
      </c>
      <c r="AM342" s="12" t="s">
        <v>900</v>
      </c>
      <c r="AN342" s="12">
        <v>1</v>
      </c>
    </row>
    <row r="343" spans="1:40" x14ac:dyDescent="0.3">
      <c r="A343" s="62" t="s">
        <v>2180</v>
      </c>
      <c r="B343" s="62"/>
      <c r="C343" s="63" t="s">
        <v>1466</v>
      </c>
      <c r="D343" s="52" t="s">
        <v>1481</v>
      </c>
      <c r="E343" s="12" t="s">
        <v>1759</v>
      </c>
      <c r="F343" s="12" t="s">
        <v>1582</v>
      </c>
      <c r="G343" s="12" t="b">
        <v>0</v>
      </c>
      <c r="H343" s="12" t="b">
        <v>1</v>
      </c>
      <c r="I343" s="12" t="b">
        <v>1</v>
      </c>
      <c r="J343" s="12" t="b">
        <v>1</v>
      </c>
      <c r="K343" s="12" t="b">
        <v>0</v>
      </c>
      <c r="L343" s="12" t="b">
        <v>0</v>
      </c>
      <c r="M343" s="12" t="b">
        <v>0</v>
      </c>
      <c r="N343" s="12">
        <v>0</v>
      </c>
      <c r="O343" s="12" t="b">
        <v>0</v>
      </c>
      <c r="P343" s="12" t="b">
        <v>0</v>
      </c>
      <c r="Q343" s="12" t="b">
        <v>0</v>
      </c>
      <c r="R343" s="12" t="b">
        <v>0</v>
      </c>
      <c r="S343" s="12" t="b">
        <v>0</v>
      </c>
      <c r="T343" s="12" t="b">
        <v>1</v>
      </c>
      <c r="U343" s="12" t="b">
        <v>0</v>
      </c>
      <c r="V343" s="12" t="b">
        <v>1</v>
      </c>
      <c r="W343" s="12" t="b">
        <v>0</v>
      </c>
      <c r="X343" s="12">
        <v>1</v>
      </c>
      <c r="Y343" s="12" t="b">
        <v>0</v>
      </c>
      <c r="Z343" s="12" t="b">
        <v>0</v>
      </c>
      <c r="AA343" s="12" t="b">
        <v>1</v>
      </c>
      <c r="AB343" s="12" t="b">
        <v>1</v>
      </c>
      <c r="AC343" s="12" t="b">
        <v>1</v>
      </c>
      <c r="AD343" s="12" t="b">
        <v>1</v>
      </c>
      <c r="AE343" s="12" t="b">
        <v>0</v>
      </c>
      <c r="AF343" s="12" t="b">
        <v>0</v>
      </c>
      <c r="AG343" s="12" t="b">
        <v>0</v>
      </c>
      <c r="AH343" s="12">
        <v>0</v>
      </c>
      <c r="AI343" s="12" t="b">
        <v>0</v>
      </c>
      <c r="AJ343" s="12" t="b">
        <v>0</v>
      </c>
      <c r="AK343" s="12" t="b">
        <v>1</v>
      </c>
      <c r="AL343" s="12">
        <v>1</v>
      </c>
      <c r="AM343" s="12" t="s">
        <v>900</v>
      </c>
      <c r="AN343" s="12">
        <v>1</v>
      </c>
    </row>
    <row r="344" spans="1:40" x14ac:dyDescent="0.3">
      <c r="A344" s="62" t="s">
        <v>2180</v>
      </c>
      <c r="B344" s="62"/>
      <c r="C344" s="63" t="s">
        <v>1467</v>
      </c>
      <c r="D344" s="52" t="s">
        <v>1481</v>
      </c>
      <c r="E344" s="12" t="s">
        <v>1759</v>
      </c>
      <c r="F344" s="12" t="s">
        <v>1582</v>
      </c>
      <c r="G344" s="12" t="b">
        <v>0</v>
      </c>
      <c r="H344" s="12" t="b">
        <v>1</v>
      </c>
      <c r="I344" s="12" t="b">
        <v>1</v>
      </c>
      <c r="J344" s="12" t="b">
        <v>1</v>
      </c>
      <c r="K344" s="12" t="b">
        <v>0</v>
      </c>
      <c r="L344" s="12" t="b">
        <v>0</v>
      </c>
      <c r="M344" s="12" t="b">
        <v>0</v>
      </c>
      <c r="N344" s="12">
        <v>0</v>
      </c>
      <c r="O344" s="12" t="b">
        <v>0</v>
      </c>
      <c r="P344" s="12" t="b">
        <v>0</v>
      </c>
      <c r="Q344" s="12" t="b">
        <v>0</v>
      </c>
      <c r="R344" s="12" t="b">
        <v>0</v>
      </c>
      <c r="S344" s="12" t="b">
        <v>0</v>
      </c>
      <c r="T344" s="12" t="b">
        <v>1</v>
      </c>
      <c r="U344" s="12" t="b">
        <v>0</v>
      </c>
      <c r="V344" s="12" t="b">
        <v>1</v>
      </c>
      <c r="W344" s="12" t="b">
        <v>0</v>
      </c>
      <c r="X344" s="12">
        <v>1</v>
      </c>
      <c r="Y344" s="12" t="b">
        <v>0</v>
      </c>
      <c r="Z344" s="12" t="b">
        <v>0</v>
      </c>
      <c r="AA344" s="12" t="b">
        <v>1</v>
      </c>
      <c r="AB344" s="12" t="b">
        <v>1</v>
      </c>
      <c r="AC344" s="12" t="b">
        <v>1</v>
      </c>
      <c r="AD344" s="12" t="b">
        <v>1</v>
      </c>
      <c r="AE344" s="12" t="b">
        <v>0</v>
      </c>
      <c r="AF344" s="12" t="b">
        <v>0</v>
      </c>
      <c r="AG344" s="12" t="b">
        <v>0</v>
      </c>
      <c r="AH344" s="12">
        <v>0</v>
      </c>
      <c r="AI344" s="12" t="b">
        <v>0</v>
      </c>
      <c r="AJ344" s="12" t="b">
        <v>0</v>
      </c>
      <c r="AK344" s="12" t="b">
        <v>1</v>
      </c>
      <c r="AL344" s="12">
        <v>1</v>
      </c>
      <c r="AM344" s="12" t="s">
        <v>900</v>
      </c>
      <c r="AN344" s="12">
        <v>1</v>
      </c>
    </row>
    <row r="345" spans="1:40" x14ac:dyDescent="0.3">
      <c r="A345" s="62" t="s">
        <v>2180</v>
      </c>
      <c r="B345" s="62"/>
      <c r="C345" s="63" t="s">
        <v>1468</v>
      </c>
      <c r="D345" s="52" t="s">
        <v>1481</v>
      </c>
      <c r="E345" s="12" t="s">
        <v>1759</v>
      </c>
      <c r="F345" s="12" t="s">
        <v>1582</v>
      </c>
      <c r="G345" s="12" t="b">
        <v>0</v>
      </c>
      <c r="H345" s="12" t="b">
        <v>1</v>
      </c>
      <c r="I345" s="12" t="b">
        <v>1</v>
      </c>
      <c r="J345" s="12" t="b">
        <v>1</v>
      </c>
      <c r="K345" s="12" t="b">
        <v>0</v>
      </c>
      <c r="L345" s="12" t="b">
        <v>0</v>
      </c>
      <c r="M345" s="12" t="b">
        <v>0</v>
      </c>
      <c r="N345" s="12">
        <v>0</v>
      </c>
      <c r="O345" s="12" t="b">
        <v>0</v>
      </c>
      <c r="P345" s="12" t="b">
        <v>0</v>
      </c>
      <c r="Q345" s="12" t="b">
        <v>0</v>
      </c>
      <c r="R345" s="12" t="b">
        <v>0</v>
      </c>
      <c r="S345" s="12" t="b">
        <v>0</v>
      </c>
      <c r="T345" s="12" t="b">
        <v>1</v>
      </c>
      <c r="U345" s="12" t="b">
        <v>0</v>
      </c>
      <c r="V345" s="12" t="b">
        <v>1</v>
      </c>
      <c r="W345" s="12" t="b">
        <v>0</v>
      </c>
      <c r="X345" s="12">
        <v>1</v>
      </c>
      <c r="Y345" s="12" t="b">
        <v>0</v>
      </c>
      <c r="Z345" s="12" t="b">
        <v>0</v>
      </c>
      <c r="AA345" s="12" t="b">
        <v>1</v>
      </c>
      <c r="AB345" s="12" t="b">
        <v>1</v>
      </c>
      <c r="AC345" s="12" t="b">
        <v>1</v>
      </c>
      <c r="AD345" s="12" t="b">
        <v>1</v>
      </c>
      <c r="AE345" s="12" t="b">
        <v>0</v>
      </c>
      <c r="AF345" s="12" t="b">
        <v>0</v>
      </c>
      <c r="AG345" s="12" t="b">
        <v>0</v>
      </c>
      <c r="AH345" s="12">
        <v>0</v>
      </c>
      <c r="AI345" s="12" t="b">
        <v>0</v>
      </c>
      <c r="AJ345" s="12" t="b">
        <v>0</v>
      </c>
      <c r="AK345" s="12" t="b">
        <v>1</v>
      </c>
      <c r="AL345" s="12">
        <v>1</v>
      </c>
      <c r="AM345" s="12" t="s">
        <v>900</v>
      </c>
      <c r="AN345" s="12">
        <v>1</v>
      </c>
    </row>
    <row r="346" spans="1:40" x14ac:dyDescent="0.3">
      <c r="A346" s="62" t="s">
        <v>2180</v>
      </c>
      <c r="B346" s="62"/>
      <c r="C346" s="63" t="s">
        <v>1469</v>
      </c>
      <c r="D346" s="52" t="s">
        <v>1481</v>
      </c>
      <c r="E346" s="12" t="s">
        <v>1759</v>
      </c>
      <c r="F346" s="12" t="s">
        <v>1582</v>
      </c>
      <c r="G346" s="12" t="b">
        <v>0</v>
      </c>
      <c r="H346" s="12" t="b">
        <v>1</v>
      </c>
      <c r="I346" s="12" t="b">
        <v>1</v>
      </c>
      <c r="J346" s="12" t="b">
        <v>1</v>
      </c>
      <c r="K346" s="12" t="b">
        <v>0</v>
      </c>
      <c r="L346" s="12" t="b">
        <v>0</v>
      </c>
      <c r="M346" s="12" t="b">
        <v>0</v>
      </c>
      <c r="N346" s="12">
        <v>0</v>
      </c>
      <c r="O346" s="12" t="b">
        <v>0</v>
      </c>
      <c r="P346" s="12" t="b">
        <v>0</v>
      </c>
      <c r="Q346" s="12" t="b">
        <v>0</v>
      </c>
      <c r="R346" s="12" t="b">
        <v>0</v>
      </c>
      <c r="S346" s="12" t="b">
        <v>0</v>
      </c>
      <c r="T346" s="12" t="b">
        <v>1</v>
      </c>
      <c r="U346" s="12" t="b">
        <v>0</v>
      </c>
      <c r="V346" s="12" t="b">
        <v>1</v>
      </c>
      <c r="W346" s="12" t="b">
        <v>0</v>
      </c>
      <c r="X346" s="12">
        <v>1</v>
      </c>
      <c r="Y346" s="12" t="b">
        <v>0</v>
      </c>
      <c r="Z346" s="12" t="b">
        <v>0</v>
      </c>
      <c r="AA346" s="12" t="b">
        <v>1</v>
      </c>
      <c r="AB346" s="12" t="b">
        <v>1</v>
      </c>
      <c r="AC346" s="12" t="b">
        <v>1</v>
      </c>
      <c r="AD346" s="12" t="b">
        <v>1</v>
      </c>
      <c r="AE346" s="12" t="b">
        <v>0</v>
      </c>
      <c r="AF346" s="12" t="b">
        <v>0</v>
      </c>
      <c r="AG346" s="12" t="b">
        <v>0</v>
      </c>
      <c r="AH346" s="12">
        <v>0</v>
      </c>
      <c r="AI346" s="12" t="b">
        <v>0</v>
      </c>
      <c r="AJ346" s="12" t="b">
        <v>0</v>
      </c>
      <c r="AK346" s="12" t="b">
        <v>1</v>
      </c>
      <c r="AL346" s="12">
        <v>1</v>
      </c>
      <c r="AM346" s="12" t="s">
        <v>900</v>
      </c>
      <c r="AN346" s="12">
        <v>1</v>
      </c>
    </row>
    <row r="347" spans="1:40" x14ac:dyDescent="0.3">
      <c r="A347" s="62" t="s">
        <v>2180</v>
      </c>
      <c r="B347" s="62"/>
      <c r="C347" s="63" t="s">
        <v>1470</v>
      </c>
      <c r="D347" s="52" t="s">
        <v>1481</v>
      </c>
      <c r="E347" s="12" t="s">
        <v>1759</v>
      </c>
      <c r="F347" s="12" t="s">
        <v>1582</v>
      </c>
      <c r="G347" s="12" t="b">
        <v>0</v>
      </c>
      <c r="H347" s="12" t="b">
        <v>1</v>
      </c>
      <c r="I347" s="12" t="b">
        <v>1</v>
      </c>
      <c r="J347" s="12" t="b">
        <v>1</v>
      </c>
      <c r="K347" s="12" t="b">
        <v>0</v>
      </c>
      <c r="L347" s="12" t="b">
        <v>0</v>
      </c>
      <c r="M347" s="12" t="b">
        <v>0</v>
      </c>
      <c r="N347" s="12">
        <v>0</v>
      </c>
      <c r="O347" s="12" t="b">
        <v>0</v>
      </c>
      <c r="P347" s="12" t="b">
        <v>0</v>
      </c>
      <c r="Q347" s="12" t="b">
        <v>0</v>
      </c>
      <c r="R347" s="12" t="b">
        <v>0</v>
      </c>
      <c r="S347" s="12" t="b">
        <v>0</v>
      </c>
      <c r="T347" s="12" t="b">
        <v>1</v>
      </c>
      <c r="U347" s="12" t="b">
        <v>0</v>
      </c>
      <c r="V347" s="12" t="b">
        <v>1</v>
      </c>
      <c r="W347" s="12" t="b">
        <v>0</v>
      </c>
      <c r="X347" s="12">
        <v>1</v>
      </c>
      <c r="Y347" s="12" t="b">
        <v>0</v>
      </c>
      <c r="Z347" s="12" t="b">
        <v>0</v>
      </c>
      <c r="AA347" s="12" t="b">
        <v>1</v>
      </c>
      <c r="AB347" s="12" t="b">
        <v>1</v>
      </c>
      <c r="AC347" s="12" t="b">
        <v>1</v>
      </c>
      <c r="AD347" s="12" t="b">
        <v>1</v>
      </c>
      <c r="AE347" s="12" t="b">
        <v>0</v>
      </c>
      <c r="AF347" s="12" t="b">
        <v>0</v>
      </c>
      <c r="AG347" s="12" t="b">
        <v>0</v>
      </c>
      <c r="AH347" s="12">
        <v>0</v>
      </c>
      <c r="AI347" s="12" t="b">
        <v>0</v>
      </c>
      <c r="AJ347" s="12" t="b">
        <v>0</v>
      </c>
      <c r="AK347" s="12" t="b">
        <v>1</v>
      </c>
      <c r="AL347" s="12">
        <v>1</v>
      </c>
      <c r="AM347" s="12" t="s">
        <v>900</v>
      </c>
      <c r="AN347" s="12">
        <v>1</v>
      </c>
    </row>
    <row r="348" spans="1:40" x14ac:dyDescent="0.3">
      <c r="A348" s="62" t="s">
        <v>2180</v>
      </c>
      <c r="B348" s="62"/>
      <c r="C348" s="63" t="s">
        <v>1934</v>
      </c>
      <c r="D348" s="63" t="s">
        <v>1481</v>
      </c>
      <c r="E348" s="12" t="s">
        <v>1759</v>
      </c>
      <c r="F348" s="12" t="s">
        <v>1582</v>
      </c>
      <c r="G348" s="12" t="b">
        <v>0</v>
      </c>
      <c r="H348" s="12" t="b">
        <v>1</v>
      </c>
      <c r="I348" s="12" t="b">
        <v>1</v>
      </c>
      <c r="J348" s="12" t="b">
        <v>1</v>
      </c>
      <c r="K348" s="12" t="b">
        <v>0</v>
      </c>
      <c r="L348" s="12" t="b">
        <v>0</v>
      </c>
      <c r="M348" s="12" t="b">
        <v>0</v>
      </c>
      <c r="N348" s="12">
        <v>0</v>
      </c>
      <c r="O348" s="12" t="b">
        <v>0</v>
      </c>
      <c r="P348" s="12" t="b">
        <v>0</v>
      </c>
      <c r="Q348" s="12" t="b">
        <v>0</v>
      </c>
      <c r="R348" s="12" t="b">
        <v>0</v>
      </c>
      <c r="S348" s="12" t="b">
        <v>0</v>
      </c>
      <c r="T348" s="12" t="b">
        <v>1</v>
      </c>
      <c r="U348" s="12" t="b">
        <v>0</v>
      </c>
      <c r="V348" s="12" t="b">
        <v>1</v>
      </c>
      <c r="W348" s="12" t="b">
        <v>0</v>
      </c>
      <c r="X348" s="12">
        <v>1</v>
      </c>
      <c r="Y348" s="12" t="b">
        <v>0</v>
      </c>
      <c r="Z348" s="12" t="b">
        <v>0</v>
      </c>
      <c r="AA348" s="12" t="b">
        <v>1</v>
      </c>
      <c r="AB348" s="12" t="b">
        <v>1</v>
      </c>
      <c r="AC348" s="12" t="b">
        <v>1</v>
      </c>
      <c r="AD348" s="12" t="b">
        <v>1</v>
      </c>
      <c r="AE348" s="12" t="b">
        <v>0</v>
      </c>
      <c r="AF348" s="12" t="b">
        <v>0</v>
      </c>
      <c r="AG348" s="12" t="b">
        <v>0</v>
      </c>
      <c r="AH348" s="12">
        <v>0</v>
      </c>
      <c r="AI348" s="12" t="b">
        <v>0</v>
      </c>
      <c r="AJ348" s="12" t="b">
        <v>0</v>
      </c>
      <c r="AK348" s="12" t="b">
        <v>1</v>
      </c>
      <c r="AL348" s="12">
        <v>1</v>
      </c>
      <c r="AM348" s="12" t="s">
        <v>900</v>
      </c>
      <c r="AN348" s="12">
        <v>1</v>
      </c>
    </row>
    <row r="349" spans="1:40" x14ac:dyDescent="0.3">
      <c r="A349" s="62" t="s">
        <v>2180</v>
      </c>
      <c r="B349" s="62"/>
      <c r="C349" s="63" t="s">
        <v>1935</v>
      </c>
      <c r="D349" s="63" t="s">
        <v>1481</v>
      </c>
      <c r="E349" s="12" t="s">
        <v>1759</v>
      </c>
      <c r="F349" s="12" t="s">
        <v>1582</v>
      </c>
      <c r="G349" s="12" t="b">
        <v>0</v>
      </c>
      <c r="H349" s="12" t="b">
        <v>1</v>
      </c>
      <c r="I349" s="12" t="b">
        <v>1</v>
      </c>
      <c r="J349" s="12" t="b">
        <v>1</v>
      </c>
      <c r="K349" s="12" t="b">
        <v>0</v>
      </c>
      <c r="L349" s="12" t="b">
        <v>0</v>
      </c>
      <c r="M349" s="12" t="b">
        <v>0</v>
      </c>
      <c r="N349" s="12">
        <v>0</v>
      </c>
      <c r="O349" s="12" t="b">
        <v>0</v>
      </c>
      <c r="P349" s="12" t="b">
        <v>0</v>
      </c>
      <c r="Q349" s="12" t="b">
        <v>0</v>
      </c>
      <c r="R349" s="12" t="b">
        <v>0</v>
      </c>
      <c r="S349" s="12" t="b">
        <v>0</v>
      </c>
      <c r="T349" s="12" t="b">
        <v>1</v>
      </c>
      <c r="U349" s="12" t="b">
        <v>0</v>
      </c>
      <c r="V349" s="12" t="b">
        <v>1</v>
      </c>
      <c r="W349" s="12" t="b">
        <v>0</v>
      </c>
      <c r="X349" s="12">
        <v>1</v>
      </c>
      <c r="Y349" s="12" t="b">
        <v>0</v>
      </c>
      <c r="Z349" s="12" t="b">
        <v>0</v>
      </c>
      <c r="AA349" s="12" t="b">
        <v>1</v>
      </c>
      <c r="AB349" s="12" t="b">
        <v>1</v>
      </c>
      <c r="AC349" s="12" t="b">
        <v>1</v>
      </c>
      <c r="AD349" s="12" t="b">
        <v>1</v>
      </c>
      <c r="AE349" s="12" t="b">
        <v>0</v>
      </c>
      <c r="AF349" s="12" t="b">
        <v>0</v>
      </c>
      <c r="AG349" s="12" t="b">
        <v>0</v>
      </c>
      <c r="AH349" s="12">
        <v>0</v>
      </c>
      <c r="AI349" s="12" t="b">
        <v>0</v>
      </c>
      <c r="AJ349" s="12" t="b">
        <v>0</v>
      </c>
      <c r="AK349" s="12" t="b">
        <v>1</v>
      </c>
      <c r="AL349" s="12">
        <v>1</v>
      </c>
      <c r="AM349" s="12" t="s">
        <v>900</v>
      </c>
      <c r="AN349" s="12">
        <v>1</v>
      </c>
    </row>
    <row r="350" spans="1:40" x14ac:dyDescent="0.3">
      <c r="A350" s="62" t="s">
        <v>2180</v>
      </c>
      <c r="B350" s="62"/>
      <c r="C350" s="63" t="s">
        <v>1936</v>
      </c>
      <c r="D350" s="63" t="s">
        <v>1481</v>
      </c>
      <c r="E350" s="12" t="s">
        <v>1759</v>
      </c>
      <c r="F350" s="12" t="s">
        <v>1582</v>
      </c>
      <c r="G350" s="12" t="b">
        <v>0</v>
      </c>
      <c r="H350" s="12" t="b">
        <v>1</v>
      </c>
      <c r="I350" s="12" t="b">
        <v>1</v>
      </c>
      <c r="J350" s="12" t="b">
        <v>1</v>
      </c>
      <c r="K350" s="12" t="b">
        <v>0</v>
      </c>
      <c r="L350" s="12" t="b">
        <v>0</v>
      </c>
      <c r="M350" s="12" t="b">
        <v>0</v>
      </c>
      <c r="N350" s="12">
        <v>0</v>
      </c>
      <c r="O350" s="12" t="b">
        <v>0</v>
      </c>
      <c r="P350" s="12" t="b">
        <v>0</v>
      </c>
      <c r="Q350" s="12" t="b">
        <v>0</v>
      </c>
      <c r="R350" s="12" t="b">
        <v>0</v>
      </c>
      <c r="S350" s="12" t="b">
        <v>0</v>
      </c>
      <c r="T350" s="12" t="b">
        <v>1</v>
      </c>
      <c r="U350" s="12" t="b">
        <v>0</v>
      </c>
      <c r="V350" s="12" t="b">
        <v>1</v>
      </c>
      <c r="W350" s="12" t="b">
        <v>0</v>
      </c>
      <c r="X350" s="12">
        <v>1</v>
      </c>
      <c r="Y350" s="12" t="b">
        <v>0</v>
      </c>
      <c r="Z350" s="12" t="b">
        <v>0</v>
      </c>
      <c r="AA350" s="12" t="b">
        <v>1</v>
      </c>
      <c r="AB350" s="12" t="b">
        <v>1</v>
      </c>
      <c r="AC350" s="12" t="b">
        <v>1</v>
      </c>
      <c r="AD350" s="12" t="b">
        <v>1</v>
      </c>
      <c r="AE350" s="12" t="b">
        <v>0</v>
      </c>
      <c r="AF350" s="12" t="b">
        <v>0</v>
      </c>
      <c r="AG350" s="12" t="b">
        <v>0</v>
      </c>
      <c r="AH350" s="12">
        <v>0</v>
      </c>
      <c r="AI350" s="12" t="b">
        <v>0</v>
      </c>
      <c r="AJ350" s="12" t="b">
        <v>0</v>
      </c>
      <c r="AK350" s="12" t="b">
        <v>1</v>
      </c>
      <c r="AL350" s="12">
        <v>1</v>
      </c>
      <c r="AM350" s="12" t="s">
        <v>900</v>
      </c>
      <c r="AN350" s="12">
        <v>1</v>
      </c>
    </row>
    <row r="351" spans="1:40" x14ac:dyDescent="0.3">
      <c r="A351" s="62" t="s">
        <v>2180</v>
      </c>
      <c r="B351" s="62"/>
      <c r="C351" s="63" t="s">
        <v>1937</v>
      </c>
      <c r="D351" s="63" t="s">
        <v>1481</v>
      </c>
      <c r="E351" s="12" t="s">
        <v>1759</v>
      </c>
      <c r="F351" s="12" t="s">
        <v>1582</v>
      </c>
      <c r="G351" s="12" t="b">
        <v>0</v>
      </c>
      <c r="H351" s="12" t="b">
        <v>1</v>
      </c>
      <c r="I351" s="12" t="b">
        <v>1</v>
      </c>
      <c r="J351" s="12" t="b">
        <v>1</v>
      </c>
      <c r="K351" s="12" t="b">
        <v>0</v>
      </c>
      <c r="L351" s="12" t="b">
        <v>0</v>
      </c>
      <c r="M351" s="12" t="b">
        <v>0</v>
      </c>
      <c r="N351" s="12">
        <v>0</v>
      </c>
      <c r="O351" s="12" t="b">
        <v>0</v>
      </c>
      <c r="P351" s="12" t="b">
        <v>0</v>
      </c>
      <c r="Q351" s="12" t="b">
        <v>0</v>
      </c>
      <c r="R351" s="12" t="b">
        <v>0</v>
      </c>
      <c r="S351" s="12" t="b">
        <v>0</v>
      </c>
      <c r="T351" s="12" t="b">
        <v>1</v>
      </c>
      <c r="U351" s="12" t="b">
        <v>0</v>
      </c>
      <c r="V351" s="12" t="b">
        <v>1</v>
      </c>
      <c r="W351" s="12" t="b">
        <v>0</v>
      </c>
      <c r="X351" s="12">
        <v>1</v>
      </c>
      <c r="Y351" s="12" t="b">
        <v>0</v>
      </c>
      <c r="Z351" s="12" t="b">
        <v>0</v>
      </c>
      <c r="AA351" s="12" t="b">
        <v>1</v>
      </c>
      <c r="AB351" s="12" t="b">
        <v>1</v>
      </c>
      <c r="AC351" s="12" t="b">
        <v>1</v>
      </c>
      <c r="AD351" s="12" t="b">
        <v>1</v>
      </c>
      <c r="AE351" s="12" t="b">
        <v>0</v>
      </c>
      <c r="AF351" s="12" t="b">
        <v>0</v>
      </c>
      <c r="AG351" s="12" t="b">
        <v>0</v>
      </c>
      <c r="AH351" s="12">
        <v>0</v>
      </c>
      <c r="AI351" s="12" t="b">
        <v>0</v>
      </c>
      <c r="AJ351" s="12" t="b">
        <v>0</v>
      </c>
      <c r="AK351" s="12" t="b">
        <v>1</v>
      </c>
      <c r="AL351" s="12">
        <v>1</v>
      </c>
      <c r="AM351" s="12" t="s">
        <v>900</v>
      </c>
      <c r="AN351" s="12">
        <v>1</v>
      </c>
    </row>
    <row r="352" spans="1:40" x14ac:dyDescent="0.3">
      <c r="A352" s="62" t="s">
        <v>2180</v>
      </c>
      <c r="B352" s="62"/>
      <c r="C352" s="63" t="s">
        <v>1938</v>
      </c>
      <c r="D352" s="63" t="s">
        <v>1481</v>
      </c>
      <c r="E352" s="12" t="s">
        <v>1759</v>
      </c>
      <c r="F352" s="12" t="s">
        <v>1582</v>
      </c>
      <c r="G352" s="12" t="b">
        <v>0</v>
      </c>
      <c r="H352" s="12" t="b">
        <v>1</v>
      </c>
      <c r="I352" s="12" t="b">
        <v>1</v>
      </c>
      <c r="J352" s="12" t="b">
        <v>1</v>
      </c>
      <c r="K352" s="12" t="b">
        <v>0</v>
      </c>
      <c r="L352" s="12" t="b">
        <v>0</v>
      </c>
      <c r="M352" s="12" t="b">
        <v>0</v>
      </c>
      <c r="N352" s="12">
        <v>0</v>
      </c>
      <c r="O352" s="12" t="b">
        <v>0</v>
      </c>
      <c r="P352" s="12" t="b">
        <v>0</v>
      </c>
      <c r="Q352" s="12" t="b">
        <v>0</v>
      </c>
      <c r="R352" s="12" t="b">
        <v>0</v>
      </c>
      <c r="S352" s="12" t="b">
        <v>0</v>
      </c>
      <c r="T352" s="12" t="b">
        <v>1</v>
      </c>
      <c r="U352" s="12" t="b">
        <v>0</v>
      </c>
      <c r="V352" s="12" t="b">
        <v>1</v>
      </c>
      <c r="W352" s="12" t="b">
        <v>0</v>
      </c>
      <c r="X352" s="12">
        <v>1</v>
      </c>
      <c r="Y352" s="12" t="b">
        <v>0</v>
      </c>
      <c r="Z352" s="12" t="b">
        <v>0</v>
      </c>
      <c r="AA352" s="12" t="b">
        <v>1</v>
      </c>
      <c r="AB352" s="12" t="b">
        <v>1</v>
      </c>
      <c r="AC352" s="12" t="b">
        <v>1</v>
      </c>
      <c r="AD352" s="12" t="b">
        <v>1</v>
      </c>
      <c r="AE352" s="12" t="b">
        <v>0</v>
      </c>
      <c r="AF352" s="12" t="b">
        <v>0</v>
      </c>
      <c r="AG352" s="12" t="b">
        <v>0</v>
      </c>
      <c r="AH352" s="12">
        <v>0</v>
      </c>
      <c r="AI352" s="12" t="b">
        <v>0</v>
      </c>
      <c r="AJ352" s="12" t="b">
        <v>0</v>
      </c>
      <c r="AK352" s="12" t="b">
        <v>1</v>
      </c>
      <c r="AL352" s="12">
        <v>1</v>
      </c>
      <c r="AM352" s="12" t="s">
        <v>900</v>
      </c>
      <c r="AN352" s="12">
        <v>1</v>
      </c>
    </row>
    <row r="353" spans="1:40" x14ac:dyDescent="0.3">
      <c r="A353" s="62" t="s">
        <v>2180</v>
      </c>
      <c r="B353" s="62"/>
      <c r="C353" s="63" t="s">
        <v>1939</v>
      </c>
      <c r="D353" s="63" t="s">
        <v>1481</v>
      </c>
      <c r="E353" s="12" t="s">
        <v>1759</v>
      </c>
      <c r="F353" s="12" t="s">
        <v>1582</v>
      </c>
      <c r="G353" s="12" t="b">
        <v>0</v>
      </c>
      <c r="H353" s="12" t="b">
        <v>1</v>
      </c>
      <c r="I353" s="12" t="b">
        <v>1</v>
      </c>
      <c r="J353" s="12" t="b">
        <v>1</v>
      </c>
      <c r="K353" s="12" t="b">
        <v>0</v>
      </c>
      <c r="L353" s="12" t="b">
        <v>0</v>
      </c>
      <c r="M353" s="12" t="b">
        <v>0</v>
      </c>
      <c r="N353" s="12">
        <v>0</v>
      </c>
      <c r="O353" s="12" t="b">
        <v>0</v>
      </c>
      <c r="P353" s="12" t="b">
        <v>0</v>
      </c>
      <c r="Q353" s="12" t="b">
        <v>0</v>
      </c>
      <c r="R353" s="12" t="b">
        <v>0</v>
      </c>
      <c r="S353" s="12" t="b">
        <v>0</v>
      </c>
      <c r="T353" s="12" t="b">
        <v>1</v>
      </c>
      <c r="U353" s="12" t="b">
        <v>0</v>
      </c>
      <c r="V353" s="12" t="b">
        <v>1</v>
      </c>
      <c r="W353" s="12" t="b">
        <v>0</v>
      </c>
      <c r="X353" s="12">
        <v>1</v>
      </c>
      <c r="Y353" s="12" t="b">
        <v>0</v>
      </c>
      <c r="Z353" s="12" t="b">
        <v>0</v>
      </c>
      <c r="AA353" s="12" t="b">
        <v>1</v>
      </c>
      <c r="AB353" s="12" t="b">
        <v>1</v>
      </c>
      <c r="AC353" s="12" t="b">
        <v>1</v>
      </c>
      <c r="AD353" s="12" t="b">
        <v>1</v>
      </c>
      <c r="AE353" s="12" t="b">
        <v>0</v>
      </c>
      <c r="AF353" s="12" t="b">
        <v>0</v>
      </c>
      <c r="AG353" s="12" t="b">
        <v>0</v>
      </c>
      <c r="AH353" s="12">
        <v>0</v>
      </c>
      <c r="AI353" s="12" t="b">
        <v>0</v>
      </c>
      <c r="AJ353" s="12" t="b">
        <v>0</v>
      </c>
      <c r="AK353" s="12" t="b">
        <v>1</v>
      </c>
      <c r="AL353" s="12">
        <v>1</v>
      </c>
      <c r="AM353" s="12" t="s">
        <v>900</v>
      </c>
      <c r="AN353" s="12">
        <v>1</v>
      </c>
    </row>
    <row r="354" spans="1:40" x14ac:dyDescent="0.3">
      <c r="A354" s="62" t="s">
        <v>2180</v>
      </c>
      <c r="B354" s="62"/>
      <c r="C354" s="63"/>
      <c r="D354" s="63"/>
      <c r="E354" s="12" t="s">
        <v>1003</v>
      </c>
      <c r="F354" s="12" t="s">
        <v>1190</v>
      </c>
      <c r="G354" s="12" t="b">
        <v>0</v>
      </c>
      <c r="H354" s="12" t="b">
        <v>1</v>
      </c>
      <c r="I354" s="12" t="b">
        <v>1</v>
      </c>
      <c r="J354" s="12" t="b">
        <v>1</v>
      </c>
      <c r="K354" s="12" t="b">
        <v>0</v>
      </c>
      <c r="L354" s="12" t="b">
        <v>1</v>
      </c>
      <c r="M354" s="12" t="b">
        <v>0</v>
      </c>
      <c r="N354" s="12">
        <v>0</v>
      </c>
      <c r="O354" s="12" t="b">
        <v>0</v>
      </c>
      <c r="P354" s="12" t="b">
        <v>0</v>
      </c>
      <c r="Q354" s="12" t="b">
        <v>0</v>
      </c>
      <c r="R354" s="12" t="b">
        <v>0</v>
      </c>
      <c r="S354" s="12" t="b">
        <v>0</v>
      </c>
      <c r="T354" s="12" t="b">
        <v>1</v>
      </c>
      <c r="U354" s="12" t="b">
        <v>0</v>
      </c>
      <c r="V354" s="12" t="b">
        <v>1</v>
      </c>
      <c r="W354" s="12" t="b">
        <v>0</v>
      </c>
      <c r="X354" s="12">
        <v>1</v>
      </c>
      <c r="Y354" s="12" t="b">
        <v>0</v>
      </c>
      <c r="Z354" s="12" t="b">
        <v>0</v>
      </c>
      <c r="AA354" s="12" t="b">
        <v>1</v>
      </c>
      <c r="AB354" s="12" t="b">
        <v>1</v>
      </c>
      <c r="AC354" s="12" t="b">
        <v>1</v>
      </c>
      <c r="AD354" s="12" t="b">
        <v>1</v>
      </c>
      <c r="AE354" s="12" t="b">
        <v>0</v>
      </c>
      <c r="AF354" s="12" t="b">
        <v>0</v>
      </c>
      <c r="AG354" s="12" t="b">
        <v>0</v>
      </c>
      <c r="AH354" s="12">
        <v>0</v>
      </c>
      <c r="AI354" s="12" t="b">
        <v>0</v>
      </c>
      <c r="AJ354" s="12" t="b">
        <v>0</v>
      </c>
      <c r="AK354" s="12" t="b">
        <v>1</v>
      </c>
      <c r="AL354" s="12">
        <v>0</v>
      </c>
      <c r="AM354" s="12" t="s">
        <v>900</v>
      </c>
      <c r="AN354" s="12">
        <v>0</v>
      </c>
    </row>
    <row r="355" spans="1:40" x14ac:dyDescent="0.3">
      <c r="A355" s="62" t="s">
        <v>2180</v>
      </c>
      <c r="B355" s="62"/>
      <c r="C355" s="63"/>
      <c r="D355" s="63"/>
      <c r="E355" s="12" t="s">
        <v>1005</v>
      </c>
      <c r="F355" s="12" t="s">
        <v>1191</v>
      </c>
      <c r="G355" s="12" t="b">
        <v>0</v>
      </c>
      <c r="H355" s="12" t="b">
        <v>1</v>
      </c>
      <c r="I355" s="12" t="b">
        <v>1</v>
      </c>
      <c r="J355" s="12" t="b">
        <v>1</v>
      </c>
      <c r="K355" s="12" t="b">
        <v>0</v>
      </c>
      <c r="L355" s="12" t="b">
        <v>1</v>
      </c>
      <c r="M355" s="12" t="b">
        <v>0</v>
      </c>
      <c r="N355" s="12">
        <v>0</v>
      </c>
      <c r="O355" s="12" t="b">
        <v>0</v>
      </c>
      <c r="P355" s="12" t="b">
        <v>0</v>
      </c>
      <c r="Q355" s="12" t="b">
        <v>0</v>
      </c>
      <c r="R355" s="12" t="b">
        <v>0</v>
      </c>
      <c r="S355" s="12" t="b">
        <v>0</v>
      </c>
      <c r="T355" s="12" t="b">
        <v>1</v>
      </c>
      <c r="U355" s="12" t="b">
        <v>0</v>
      </c>
      <c r="V355" s="12" t="b">
        <v>1</v>
      </c>
      <c r="W355" s="12" t="b">
        <v>0</v>
      </c>
      <c r="X355" s="12">
        <v>1</v>
      </c>
      <c r="Y355" s="12" t="b">
        <v>0</v>
      </c>
      <c r="Z355" s="12" t="b">
        <v>0</v>
      </c>
      <c r="AA355" s="12" t="b">
        <v>1</v>
      </c>
      <c r="AB355" s="12" t="b">
        <v>1</v>
      </c>
      <c r="AC355" s="12" t="b">
        <v>1</v>
      </c>
      <c r="AD355" s="12" t="b">
        <v>1</v>
      </c>
      <c r="AE355" s="12" t="b">
        <v>0</v>
      </c>
      <c r="AF355" s="12" t="b">
        <v>0</v>
      </c>
      <c r="AG355" s="12" t="b">
        <v>0</v>
      </c>
      <c r="AH355" s="12">
        <v>0</v>
      </c>
      <c r="AI355" s="12" t="b">
        <v>0</v>
      </c>
      <c r="AJ355" s="12" t="b">
        <v>0</v>
      </c>
      <c r="AK355" s="12" t="b">
        <v>1</v>
      </c>
      <c r="AL355" s="12">
        <v>0</v>
      </c>
      <c r="AM355" s="12" t="s">
        <v>900</v>
      </c>
      <c r="AN355" s="12">
        <v>0</v>
      </c>
    </row>
    <row r="356" spans="1:40" x14ac:dyDescent="0.3">
      <c r="A356" s="62" t="s">
        <v>2180</v>
      </c>
      <c r="B356" s="62"/>
      <c r="C356" s="63"/>
      <c r="D356" s="63"/>
      <c r="E356" s="12" t="s">
        <v>925</v>
      </c>
      <c r="F356" s="12" t="s">
        <v>1195</v>
      </c>
      <c r="G356" s="12" t="b">
        <v>0</v>
      </c>
      <c r="H356" s="12" t="b">
        <v>0</v>
      </c>
      <c r="I356" s="12" t="b">
        <v>0</v>
      </c>
      <c r="J356" s="12" t="b">
        <v>1</v>
      </c>
      <c r="K356" s="12" t="b">
        <v>0</v>
      </c>
      <c r="L356" s="12" t="b">
        <v>1</v>
      </c>
      <c r="M356" s="12" t="b">
        <v>0</v>
      </c>
      <c r="N356" s="12">
        <v>0</v>
      </c>
      <c r="O356" s="12" t="b">
        <v>0</v>
      </c>
      <c r="P356" s="12" t="b">
        <v>0</v>
      </c>
      <c r="Q356" s="12" t="b">
        <v>0</v>
      </c>
      <c r="R356" s="12" t="b">
        <v>0</v>
      </c>
      <c r="S356" s="12" t="b">
        <v>0</v>
      </c>
      <c r="T356" s="12" t="b">
        <v>1</v>
      </c>
      <c r="U356" s="12" t="b">
        <v>0</v>
      </c>
      <c r="V356" s="12" t="b">
        <v>1</v>
      </c>
      <c r="W356" s="12" t="b">
        <v>0</v>
      </c>
      <c r="X356" s="12">
        <v>1</v>
      </c>
      <c r="Y356" s="12" t="b">
        <v>0</v>
      </c>
      <c r="Z356" s="12" t="b">
        <v>0</v>
      </c>
      <c r="AA356" s="12" t="b">
        <v>0</v>
      </c>
      <c r="AB356" s="12" t="b">
        <v>0</v>
      </c>
      <c r="AC356" s="12" t="b">
        <v>0</v>
      </c>
      <c r="AD356" s="12" t="b">
        <v>1</v>
      </c>
      <c r="AE356" s="12" t="b">
        <v>0</v>
      </c>
      <c r="AF356" s="12" t="b">
        <v>1</v>
      </c>
      <c r="AG356" s="12" t="b">
        <v>0</v>
      </c>
      <c r="AH356" s="12">
        <v>1</v>
      </c>
      <c r="AI356" s="12" t="b">
        <v>0</v>
      </c>
      <c r="AJ356" s="12" t="b">
        <v>0</v>
      </c>
      <c r="AK356" s="12" t="b">
        <v>1</v>
      </c>
      <c r="AL356" s="12">
        <v>1</v>
      </c>
      <c r="AM356" s="12" t="s">
        <v>922</v>
      </c>
      <c r="AN356" s="12">
        <v>1</v>
      </c>
    </row>
    <row r="357" spans="1:40" x14ac:dyDescent="0.3">
      <c r="A357" s="62" t="s">
        <v>2180</v>
      </c>
      <c r="B357" s="62"/>
      <c r="C357" s="63"/>
      <c r="D357" s="63"/>
      <c r="E357" s="12" t="s">
        <v>927</v>
      </c>
      <c r="F357" s="12" t="s">
        <v>1196</v>
      </c>
      <c r="G357" s="12" t="b">
        <v>0</v>
      </c>
      <c r="H357" s="12" t="b">
        <v>0</v>
      </c>
      <c r="I357" s="12" t="b">
        <v>0</v>
      </c>
      <c r="J357" s="12" t="b">
        <v>1</v>
      </c>
      <c r="K357" s="12" t="b">
        <v>0</v>
      </c>
      <c r="L357" s="12" t="b">
        <v>1</v>
      </c>
      <c r="M357" s="12" t="b">
        <v>0</v>
      </c>
      <c r="N357" s="12">
        <v>0</v>
      </c>
      <c r="O357" s="12" t="b">
        <v>0</v>
      </c>
      <c r="P357" s="12" t="b">
        <v>0</v>
      </c>
      <c r="Q357" s="12" t="b">
        <v>0</v>
      </c>
      <c r="R357" s="12" t="b">
        <v>0</v>
      </c>
      <c r="S357" s="12" t="b">
        <v>0</v>
      </c>
      <c r="T357" s="12" t="b">
        <v>1</v>
      </c>
      <c r="U357" s="12" t="b">
        <v>0</v>
      </c>
      <c r="V357" s="12" t="b">
        <v>1</v>
      </c>
      <c r="W357" s="12" t="b">
        <v>0</v>
      </c>
      <c r="X357" s="12">
        <v>1</v>
      </c>
      <c r="Y357" s="12" t="b">
        <v>0</v>
      </c>
      <c r="Z357" s="12" t="b">
        <v>0</v>
      </c>
      <c r="AA357" s="12" t="b">
        <v>0</v>
      </c>
      <c r="AB357" s="12" t="b">
        <v>0</v>
      </c>
      <c r="AC357" s="12" t="b">
        <v>0</v>
      </c>
      <c r="AD357" s="12" t="b">
        <v>1</v>
      </c>
      <c r="AE357" s="12" t="b">
        <v>0</v>
      </c>
      <c r="AF357" s="12" t="b">
        <v>1</v>
      </c>
      <c r="AG357" s="12" t="b">
        <v>0</v>
      </c>
      <c r="AH357" s="12">
        <v>1</v>
      </c>
      <c r="AI357" s="12" t="b">
        <v>0</v>
      </c>
      <c r="AJ357" s="12" t="b">
        <v>0</v>
      </c>
      <c r="AK357" s="12" t="b">
        <v>1</v>
      </c>
      <c r="AL357" s="12">
        <v>1</v>
      </c>
      <c r="AM357" s="12" t="s">
        <v>922</v>
      </c>
      <c r="AN357" s="12">
        <v>1</v>
      </c>
    </row>
    <row r="358" spans="1:40" x14ac:dyDescent="0.3">
      <c r="A358" s="62" t="s">
        <v>2180</v>
      </c>
      <c r="B358" s="62"/>
      <c r="C358" s="63"/>
      <c r="D358" s="63"/>
      <c r="E358" s="12" t="s">
        <v>1563</v>
      </c>
      <c r="F358" s="12" t="s">
        <v>1565</v>
      </c>
      <c r="G358" s="12" t="b">
        <v>0</v>
      </c>
      <c r="H358" s="12" t="b">
        <v>0</v>
      </c>
      <c r="I358" s="12" t="b">
        <v>0</v>
      </c>
      <c r="J358" s="12" t="b">
        <v>1</v>
      </c>
      <c r="K358" s="12" t="b">
        <v>0</v>
      </c>
      <c r="L358" s="12" t="b">
        <v>1</v>
      </c>
      <c r="M358" s="12" t="b">
        <v>0</v>
      </c>
      <c r="N358" s="12">
        <v>0</v>
      </c>
      <c r="O358" s="12" t="b">
        <v>0</v>
      </c>
      <c r="P358" s="12" t="b">
        <v>0</v>
      </c>
      <c r="Q358" s="12" t="b">
        <v>0</v>
      </c>
      <c r="R358" s="12" t="b">
        <v>0</v>
      </c>
      <c r="S358" s="12" t="b">
        <v>0</v>
      </c>
      <c r="T358" s="12" t="b">
        <v>1</v>
      </c>
      <c r="U358" s="12" t="b">
        <v>0</v>
      </c>
      <c r="V358" s="12" t="b">
        <v>1</v>
      </c>
      <c r="W358" s="12" t="b">
        <v>0</v>
      </c>
      <c r="X358" s="12">
        <v>1</v>
      </c>
      <c r="Y358" s="12" t="b">
        <v>0</v>
      </c>
      <c r="Z358" s="12" t="b">
        <v>0</v>
      </c>
      <c r="AA358" s="12" t="b">
        <v>0</v>
      </c>
      <c r="AB358" s="12" t="b">
        <v>0</v>
      </c>
      <c r="AC358" s="12" t="b">
        <v>0</v>
      </c>
      <c r="AD358" s="12" t="b">
        <v>1</v>
      </c>
      <c r="AE358" s="12" t="b">
        <v>0</v>
      </c>
      <c r="AF358" s="12" t="b">
        <v>1</v>
      </c>
      <c r="AG358" s="12" t="b">
        <v>0</v>
      </c>
      <c r="AH358" s="12">
        <v>1</v>
      </c>
      <c r="AI358" s="12" t="b">
        <v>0</v>
      </c>
      <c r="AJ358" s="12" t="b">
        <v>0</v>
      </c>
      <c r="AK358" s="12" t="b">
        <v>1</v>
      </c>
      <c r="AL358" s="12">
        <v>1</v>
      </c>
      <c r="AM358" s="12" t="s">
        <v>922</v>
      </c>
      <c r="AN358" s="12">
        <v>1</v>
      </c>
    </row>
    <row r="359" spans="1:40" x14ac:dyDescent="0.3">
      <c r="A359" s="62" t="s">
        <v>2180</v>
      </c>
      <c r="B359" s="62"/>
      <c r="C359" s="63"/>
      <c r="D359" s="63"/>
      <c r="E359" s="12" t="s">
        <v>906</v>
      </c>
      <c r="F359" s="12" t="s">
        <v>1202</v>
      </c>
      <c r="G359" s="12" t="b">
        <v>0</v>
      </c>
      <c r="H359" s="12" t="b">
        <v>1</v>
      </c>
      <c r="I359" s="12" t="b">
        <v>1</v>
      </c>
      <c r="J359" s="12" t="b">
        <v>1</v>
      </c>
      <c r="K359" s="12" t="b">
        <v>0</v>
      </c>
      <c r="L359" s="12" t="b">
        <v>0</v>
      </c>
      <c r="M359" s="12" t="b">
        <v>0</v>
      </c>
      <c r="N359" s="12">
        <v>0</v>
      </c>
      <c r="O359" s="12" t="b">
        <v>0</v>
      </c>
      <c r="P359" s="12" t="b">
        <v>0</v>
      </c>
      <c r="Q359" s="12" t="b">
        <v>0</v>
      </c>
      <c r="R359" s="12" t="b">
        <v>1</v>
      </c>
      <c r="S359" s="12" t="b">
        <v>1</v>
      </c>
      <c r="T359" s="12" t="b">
        <v>1</v>
      </c>
      <c r="U359" s="12" t="b">
        <v>0</v>
      </c>
      <c r="V359" s="12" t="b">
        <v>0</v>
      </c>
      <c r="W359" s="12" t="b">
        <v>0</v>
      </c>
      <c r="X359" s="12">
        <v>1</v>
      </c>
      <c r="Y359" s="12" t="b">
        <v>0</v>
      </c>
      <c r="Z359" s="12" t="b">
        <v>0</v>
      </c>
      <c r="AA359" s="12" t="b">
        <v>0</v>
      </c>
      <c r="AB359" s="12" t="b">
        <v>0</v>
      </c>
      <c r="AC359" s="12" t="b">
        <v>0</v>
      </c>
      <c r="AD359" s="12" t="b">
        <v>1</v>
      </c>
      <c r="AE359" s="12" t="b">
        <v>0</v>
      </c>
      <c r="AF359" s="12" t="b">
        <v>1</v>
      </c>
      <c r="AG359" s="12" t="b">
        <v>0</v>
      </c>
      <c r="AH359" s="12">
        <v>1</v>
      </c>
      <c r="AI359" s="12" t="b">
        <v>0</v>
      </c>
      <c r="AJ359" s="12" t="b">
        <v>0</v>
      </c>
      <c r="AK359" s="12" t="b">
        <v>1</v>
      </c>
      <c r="AL359" s="12">
        <v>1</v>
      </c>
      <c r="AM359" s="12" t="s">
        <v>1476</v>
      </c>
      <c r="AN359" s="12">
        <v>1</v>
      </c>
    </row>
    <row r="360" spans="1:40" x14ac:dyDescent="0.3">
      <c r="A360" s="62" t="s">
        <v>2180</v>
      </c>
      <c r="B360" s="62"/>
      <c r="C360" s="63"/>
      <c r="D360" s="63"/>
      <c r="E360" s="12" t="s">
        <v>910</v>
      </c>
      <c r="F360" s="12" t="s">
        <v>1200</v>
      </c>
      <c r="G360" s="12" t="b">
        <v>0</v>
      </c>
      <c r="H360" s="12" t="b">
        <v>1</v>
      </c>
      <c r="I360" s="12" t="b">
        <v>1</v>
      </c>
      <c r="J360" s="12" t="b">
        <v>1</v>
      </c>
      <c r="K360" s="12" t="b">
        <v>0</v>
      </c>
      <c r="L360" s="12" t="b">
        <v>0</v>
      </c>
      <c r="M360" s="12" t="b">
        <v>0</v>
      </c>
      <c r="N360" s="12">
        <v>0</v>
      </c>
      <c r="O360" s="12" t="b">
        <v>0</v>
      </c>
      <c r="P360" s="12" t="b">
        <v>0</v>
      </c>
      <c r="Q360" s="12" t="b">
        <v>0</v>
      </c>
      <c r="R360" s="12" t="b">
        <v>1</v>
      </c>
      <c r="S360" s="12" t="b">
        <v>1</v>
      </c>
      <c r="T360" s="12" t="b">
        <v>1</v>
      </c>
      <c r="U360" s="12" t="b">
        <v>0</v>
      </c>
      <c r="V360" s="12" t="b">
        <v>0</v>
      </c>
      <c r="W360" s="12" t="b">
        <v>0</v>
      </c>
      <c r="X360" s="12">
        <v>1</v>
      </c>
      <c r="Y360" s="12" t="b">
        <v>0</v>
      </c>
      <c r="Z360" s="12" t="b">
        <v>0</v>
      </c>
      <c r="AA360" s="12" t="b">
        <v>0</v>
      </c>
      <c r="AB360" s="12" t="b">
        <v>0</v>
      </c>
      <c r="AC360" s="12" t="b">
        <v>0</v>
      </c>
      <c r="AD360" s="12" t="b">
        <v>1</v>
      </c>
      <c r="AE360" s="12" t="b">
        <v>0</v>
      </c>
      <c r="AF360" s="12" t="b">
        <v>1</v>
      </c>
      <c r="AG360" s="12" t="b">
        <v>0</v>
      </c>
      <c r="AH360" s="12">
        <v>1</v>
      </c>
      <c r="AI360" s="12" t="b">
        <v>0</v>
      </c>
      <c r="AJ360" s="12" t="b">
        <v>0</v>
      </c>
      <c r="AK360" s="12" t="b">
        <v>1</v>
      </c>
      <c r="AL360" s="12">
        <v>1</v>
      </c>
      <c r="AM360" s="12" t="s">
        <v>1476</v>
      </c>
      <c r="AN360" s="12">
        <v>1</v>
      </c>
    </row>
    <row r="361" spans="1:40" x14ac:dyDescent="0.3">
      <c r="A361" s="62" t="s">
        <v>2180</v>
      </c>
      <c r="B361" s="62"/>
      <c r="C361" s="63"/>
      <c r="D361" s="63"/>
      <c r="E361" s="12" t="s">
        <v>1209</v>
      </c>
      <c r="F361" s="12" t="s">
        <v>1210</v>
      </c>
      <c r="G361" s="12" t="b">
        <v>0</v>
      </c>
      <c r="H361" s="12" t="b">
        <v>1</v>
      </c>
      <c r="I361" s="12" t="b">
        <v>1</v>
      </c>
      <c r="J361" s="12" t="b">
        <v>1</v>
      </c>
      <c r="K361" s="12" t="b">
        <v>0</v>
      </c>
      <c r="L361" s="12" t="b">
        <v>0</v>
      </c>
      <c r="M361" s="12" t="b">
        <v>0</v>
      </c>
      <c r="N361" s="12">
        <v>0</v>
      </c>
      <c r="O361" s="12" t="b">
        <v>0</v>
      </c>
      <c r="P361" s="12" t="b">
        <v>0</v>
      </c>
      <c r="Q361" s="12" t="b">
        <v>0</v>
      </c>
      <c r="R361" s="12" t="b">
        <v>0</v>
      </c>
      <c r="S361" s="12" t="b">
        <v>0</v>
      </c>
      <c r="T361" s="12" t="b">
        <v>1</v>
      </c>
      <c r="U361" s="12" t="b">
        <v>0</v>
      </c>
      <c r="V361" s="12" t="b">
        <v>1</v>
      </c>
      <c r="W361" s="12" t="b">
        <v>0</v>
      </c>
      <c r="X361" s="12">
        <v>1</v>
      </c>
      <c r="Y361" s="12" t="b">
        <v>0</v>
      </c>
      <c r="Z361" s="12" t="b">
        <v>0</v>
      </c>
      <c r="AA361" s="12" t="b">
        <v>1</v>
      </c>
      <c r="AB361" s="12" t="b">
        <v>1</v>
      </c>
      <c r="AC361" s="12" t="b">
        <v>1</v>
      </c>
      <c r="AD361" s="12" t="b">
        <v>1</v>
      </c>
      <c r="AE361" s="12" t="b">
        <v>0</v>
      </c>
      <c r="AF361" s="12" t="b">
        <v>0</v>
      </c>
      <c r="AG361" s="12" t="b">
        <v>0</v>
      </c>
      <c r="AH361" s="12">
        <v>0</v>
      </c>
      <c r="AI361" s="12" t="b">
        <v>0</v>
      </c>
      <c r="AJ361" s="12" t="b">
        <v>0</v>
      </c>
      <c r="AK361" s="12" t="b">
        <v>1</v>
      </c>
      <c r="AL361" s="12">
        <v>1</v>
      </c>
      <c r="AM361" s="12" t="s">
        <v>900</v>
      </c>
      <c r="AN361" s="12">
        <v>1</v>
      </c>
    </row>
    <row r="362" spans="1:40" x14ac:dyDescent="0.3">
      <c r="A362" s="62" t="s">
        <v>2180</v>
      </c>
      <c r="B362" s="62"/>
      <c r="C362" s="63"/>
      <c r="D362" s="63"/>
      <c r="E362" s="12" t="s">
        <v>1205</v>
      </c>
      <c r="F362" s="12" t="s">
        <v>1206</v>
      </c>
      <c r="G362" s="12" t="b">
        <v>0</v>
      </c>
      <c r="H362" s="12" t="b">
        <v>1</v>
      </c>
      <c r="I362" s="12" t="b">
        <v>1</v>
      </c>
      <c r="J362" s="12" t="b">
        <v>1</v>
      </c>
      <c r="K362" s="12" t="b">
        <v>0</v>
      </c>
      <c r="L362" s="12" t="b">
        <v>0</v>
      </c>
      <c r="M362" s="12" t="b">
        <v>0</v>
      </c>
      <c r="N362" s="12">
        <v>0</v>
      </c>
      <c r="O362" s="12" t="b">
        <v>0</v>
      </c>
      <c r="P362" s="12" t="b">
        <v>0</v>
      </c>
      <c r="Q362" s="12" t="b">
        <v>0</v>
      </c>
      <c r="R362" s="12" t="b">
        <v>0</v>
      </c>
      <c r="S362" s="12" t="b">
        <v>0</v>
      </c>
      <c r="T362" s="12" t="b">
        <v>1</v>
      </c>
      <c r="U362" s="12" t="b">
        <v>0</v>
      </c>
      <c r="V362" s="12" t="b">
        <v>1</v>
      </c>
      <c r="W362" s="12" t="b">
        <v>0</v>
      </c>
      <c r="X362" s="12">
        <v>1</v>
      </c>
      <c r="Y362" s="12" t="b">
        <v>0</v>
      </c>
      <c r="Z362" s="12" t="b">
        <v>0</v>
      </c>
      <c r="AA362" s="12" t="b">
        <v>1</v>
      </c>
      <c r="AB362" s="12" t="b">
        <v>1</v>
      </c>
      <c r="AC362" s="12" t="b">
        <v>1</v>
      </c>
      <c r="AD362" s="12" t="b">
        <v>1</v>
      </c>
      <c r="AE362" s="12" t="b">
        <v>0</v>
      </c>
      <c r="AF362" s="12" t="b">
        <v>0</v>
      </c>
      <c r="AG362" s="12" t="b">
        <v>0</v>
      </c>
      <c r="AH362" s="12">
        <v>0</v>
      </c>
      <c r="AI362" s="12" t="b">
        <v>0</v>
      </c>
      <c r="AJ362" s="12" t="b">
        <v>0</v>
      </c>
      <c r="AK362" s="12" t="b">
        <v>1</v>
      </c>
      <c r="AL362" s="12">
        <v>1</v>
      </c>
      <c r="AM362" s="12" t="s">
        <v>900</v>
      </c>
      <c r="AN362" s="12">
        <v>1</v>
      </c>
    </row>
    <row r="363" spans="1:40" x14ac:dyDescent="0.3">
      <c r="A363" s="62" t="s">
        <v>2180</v>
      </c>
      <c r="B363" s="62"/>
      <c r="C363" s="63" t="s">
        <v>1464</v>
      </c>
      <c r="D363" s="52" t="s">
        <v>1630</v>
      </c>
      <c r="E363" s="12" t="s">
        <v>1761</v>
      </c>
      <c r="F363" s="12" t="s">
        <v>1549</v>
      </c>
      <c r="G363" s="12" t="b">
        <v>1</v>
      </c>
      <c r="H363" s="12" t="b">
        <v>1</v>
      </c>
      <c r="I363" s="12" t="b">
        <v>1</v>
      </c>
      <c r="J363" s="12" t="b">
        <v>1</v>
      </c>
      <c r="K363" s="12" t="b">
        <v>0</v>
      </c>
      <c r="L363" s="12" t="b">
        <v>0</v>
      </c>
      <c r="M363" s="12" t="b">
        <v>0</v>
      </c>
      <c r="N363" s="12">
        <v>0</v>
      </c>
      <c r="O363" s="12" t="b">
        <v>0</v>
      </c>
      <c r="P363" s="12" t="b">
        <v>0</v>
      </c>
      <c r="Q363" s="12" t="b">
        <v>0</v>
      </c>
      <c r="R363" s="12" t="b">
        <v>0</v>
      </c>
      <c r="S363" s="12" t="b">
        <v>0</v>
      </c>
      <c r="T363" s="12" t="b">
        <v>1</v>
      </c>
      <c r="U363" s="12" t="b">
        <v>0</v>
      </c>
      <c r="V363" s="12" t="b">
        <v>1</v>
      </c>
      <c r="W363" s="12" t="b">
        <v>0</v>
      </c>
      <c r="X363" s="12">
        <v>1</v>
      </c>
      <c r="Y363" s="12" t="b">
        <v>0</v>
      </c>
      <c r="Z363" s="12" t="b">
        <v>0</v>
      </c>
      <c r="AA363" s="12" t="b">
        <v>0</v>
      </c>
      <c r="AB363" s="12" t="b">
        <v>0</v>
      </c>
      <c r="AC363" s="12" t="b">
        <v>0</v>
      </c>
      <c r="AD363" s="12" t="b">
        <v>1</v>
      </c>
      <c r="AE363" s="12" t="b">
        <v>0</v>
      </c>
      <c r="AF363" s="12" t="b">
        <v>1</v>
      </c>
      <c r="AG363" s="12" t="b">
        <v>1</v>
      </c>
      <c r="AH363" s="12">
        <v>1</v>
      </c>
      <c r="AI363" s="12" t="b">
        <v>0</v>
      </c>
      <c r="AJ363" s="12" t="b">
        <v>0</v>
      </c>
      <c r="AK363" s="12" t="b">
        <v>1</v>
      </c>
      <c r="AL363" s="12">
        <v>1</v>
      </c>
      <c r="AM363" s="12" t="s">
        <v>900</v>
      </c>
      <c r="AN363" s="12">
        <v>1</v>
      </c>
    </row>
    <row r="364" spans="1:40" x14ac:dyDescent="0.3">
      <c r="A364" s="62" t="s">
        <v>2180</v>
      </c>
      <c r="B364" s="62"/>
      <c r="C364" s="63" t="s">
        <v>1466</v>
      </c>
      <c r="D364" s="52" t="s">
        <v>1630</v>
      </c>
      <c r="E364" s="12" t="s">
        <v>1761</v>
      </c>
      <c r="F364" s="12" t="s">
        <v>1549</v>
      </c>
      <c r="G364" s="12" t="b">
        <v>1</v>
      </c>
      <c r="H364" s="12" t="b">
        <v>1</v>
      </c>
      <c r="I364" s="12" t="b">
        <v>1</v>
      </c>
      <c r="J364" s="12" t="b">
        <v>1</v>
      </c>
      <c r="K364" s="12" t="b">
        <v>0</v>
      </c>
      <c r="L364" s="12" t="b">
        <v>0</v>
      </c>
      <c r="M364" s="12" t="b">
        <v>0</v>
      </c>
      <c r="N364" s="12">
        <v>0</v>
      </c>
      <c r="O364" s="12" t="b">
        <v>0</v>
      </c>
      <c r="P364" s="12" t="b">
        <v>0</v>
      </c>
      <c r="Q364" s="12" t="b">
        <v>0</v>
      </c>
      <c r="R364" s="12" t="b">
        <v>0</v>
      </c>
      <c r="S364" s="12" t="b">
        <v>0</v>
      </c>
      <c r="T364" s="12" t="b">
        <v>1</v>
      </c>
      <c r="U364" s="12" t="b">
        <v>0</v>
      </c>
      <c r="V364" s="12" t="b">
        <v>1</v>
      </c>
      <c r="W364" s="12" t="b">
        <v>0</v>
      </c>
      <c r="X364" s="12">
        <v>1</v>
      </c>
      <c r="Y364" s="12" t="b">
        <v>0</v>
      </c>
      <c r="Z364" s="12" t="b">
        <v>0</v>
      </c>
      <c r="AA364" s="12" t="b">
        <v>0</v>
      </c>
      <c r="AB364" s="12" t="b">
        <v>0</v>
      </c>
      <c r="AC364" s="12" t="b">
        <v>0</v>
      </c>
      <c r="AD364" s="12" t="b">
        <v>1</v>
      </c>
      <c r="AE364" s="12" t="b">
        <v>0</v>
      </c>
      <c r="AF364" s="12" t="b">
        <v>1</v>
      </c>
      <c r="AG364" s="12" t="b">
        <v>1</v>
      </c>
      <c r="AH364" s="12">
        <v>1</v>
      </c>
      <c r="AI364" s="12" t="b">
        <v>0</v>
      </c>
      <c r="AJ364" s="12" t="b">
        <v>0</v>
      </c>
      <c r="AK364" s="12" t="b">
        <v>1</v>
      </c>
      <c r="AL364" s="12">
        <v>1</v>
      </c>
      <c r="AM364" s="12" t="s">
        <v>900</v>
      </c>
      <c r="AN364" s="12">
        <v>1</v>
      </c>
    </row>
    <row r="365" spans="1:40" x14ac:dyDescent="0.3">
      <c r="A365" s="62" t="s">
        <v>2180</v>
      </c>
      <c r="B365" s="62"/>
      <c r="C365" s="63" t="s">
        <v>1467</v>
      </c>
      <c r="D365" s="52" t="s">
        <v>1630</v>
      </c>
      <c r="E365" s="12" t="s">
        <v>1761</v>
      </c>
      <c r="F365" s="12" t="s">
        <v>1549</v>
      </c>
      <c r="G365" s="12" t="b">
        <v>1</v>
      </c>
      <c r="H365" s="12" t="b">
        <v>1</v>
      </c>
      <c r="I365" s="12" t="b">
        <v>1</v>
      </c>
      <c r="J365" s="12" t="b">
        <v>1</v>
      </c>
      <c r="K365" s="12" t="b">
        <v>0</v>
      </c>
      <c r="L365" s="12" t="b">
        <v>0</v>
      </c>
      <c r="M365" s="12" t="b">
        <v>0</v>
      </c>
      <c r="N365" s="12">
        <v>0</v>
      </c>
      <c r="O365" s="12" t="b">
        <v>0</v>
      </c>
      <c r="P365" s="12" t="b">
        <v>0</v>
      </c>
      <c r="Q365" s="12" t="b">
        <v>0</v>
      </c>
      <c r="R365" s="12" t="b">
        <v>0</v>
      </c>
      <c r="S365" s="12" t="b">
        <v>0</v>
      </c>
      <c r="T365" s="12" t="b">
        <v>1</v>
      </c>
      <c r="U365" s="12" t="b">
        <v>0</v>
      </c>
      <c r="V365" s="12" t="b">
        <v>1</v>
      </c>
      <c r="W365" s="12" t="b">
        <v>0</v>
      </c>
      <c r="X365" s="12">
        <v>1</v>
      </c>
      <c r="Y365" s="12" t="b">
        <v>0</v>
      </c>
      <c r="Z365" s="12" t="b">
        <v>0</v>
      </c>
      <c r="AA365" s="12" t="b">
        <v>0</v>
      </c>
      <c r="AB365" s="12" t="b">
        <v>0</v>
      </c>
      <c r="AC365" s="12" t="b">
        <v>0</v>
      </c>
      <c r="AD365" s="12" t="b">
        <v>1</v>
      </c>
      <c r="AE365" s="12" t="b">
        <v>0</v>
      </c>
      <c r="AF365" s="12" t="b">
        <v>1</v>
      </c>
      <c r="AG365" s="12" t="b">
        <v>1</v>
      </c>
      <c r="AH365" s="12">
        <v>1</v>
      </c>
      <c r="AI365" s="12" t="b">
        <v>0</v>
      </c>
      <c r="AJ365" s="12" t="b">
        <v>0</v>
      </c>
      <c r="AK365" s="12" t="b">
        <v>1</v>
      </c>
      <c r="AL365" s="12">
        <v>1</v>
      </c>
      <c r="AM365" s="12" t="s">
        <v>900</v>
      </c>
      <c r="AN365" s="12">
        <v>1</v>
      </c>
    </row>
    <row r="366" spans="1:40" x14ac:dyDescent="0.3">
      <c r="A366" s="62" t="s">
        <v>2180</v>
      </c>
      <c r="B366" s="62"/>
      <c r="C366" s="63" t="s">
        <v>1468</v>
      </c>
      <c r="D366" s="52" t="s">
        <v>1630</v>
      </c>
      <c r="E366" s="12" t="s">
        <v>1761</v>
      </c>
      <c r="F366" s="12" t="s">
        <v>1549</v>
      </c>
      <c r="G366" s="12" t="b">
        <v>1</v>
      </c>
      <c r="H366" s="12" t="b">
        <v>1</v>
      </c>
      <c r="I366" s="12" t="b">
        <v>1</v>
      </c>
      <c r="J366" s="12" t="b">
        <v>1</v>
      </c>
      <c r="K366" s="12" t="b">
        <v>0</v>
      </c>
      <c r="L366" s="12" t="b">
        <v>0</v>
      </c>
      <c r="M366" s="12" t="b">
        <v>0</v>
      </c>
      <c r="N366" s="12">
        <v>0</v>
      </c>
      <c r="O366" s="12" t="b">
        <v>0</v>
      </c>
      <c r="P366" s="12" t="b">
        <v>0</v>
      </c>
      <c r="Q366" s="12" t="b">
        <v>0</v>
      </c>
      <c r="R366" s="12" t="b">
        <v>0</v>
      </c>
      <c r="S366" s="12" t="b">
        <v>0</v>
      </c>
      <c r="T366" s="12" t="b">
        <v>1</v>
      </c>
      <c r="U366" s="12" t="b">
        <v>0</v>
      </c>
      <c r="V366" s="12" t="b">
        <v>1</v>
      </c>
      <c r="W366" s="12" t="b">
        <v>0</v>
      </c>
      <c r="X366" s="12">
        <v>1</v>
      </c>
      <c r="Y366" s="12" t="b">
        <v>0</v>
      </c>
      <c r="Z366" s="12" t="b">
        <v>0</v>
      </c>
      <c r="AA366" s="12" t="b">
        <v>0</v>
      </c>
      <c r="AB366" s="12" t="b">
        <v>0</v>
      </c>
      <c r="AC366" s="12" t="b">
        <v>0</v>
      </c>
      <c r="AD366" s="12" t="b">
        <v>1</v>
      </c>
      <c r="AE366" s="12" t="b">
        <v>0</v>
      </c>
      <c r="AF366" s="12" t="b">
        <v>1</v>
      </c>
      <c r="AG366" s="12" t="b">
        <v>1</v>
      </c>
      <c r="AH366" s="12">
        <v>1</v>
      </c>
      <c r="AI366" s="12" t="b">
        <v>0</v>
      </c>
      <c r="AJ366" s="12" t="b">
        <v>0</v>
      </c>
      <c r="AK366" s="12" t="b">
        <v>1</v>
      </c>
      <c r="AL366" s="12">
        <v>1</v>
      </c>
      <c r="AM366" s="12" t="s">
        <v>900</v>
      </c>
      <c r="AN366" s="12">
        <v>1</v>
      </c>
    </row>
    <row r="367" spans="1:40" x14ac:dyDescent="0.3">
      <c r="A367" s="62" t="s">
        <v>2180</v>
      </c>
      <c r="B367" s="62"/>
      <c r="C367" s="63" t="s">
        <v>1469</v>
      </c>
      <c r="D367" s="52" t="s">
        <v>1630</v>
      </c>
      <c r="E367" s="12" t="s">
        <v>1761</v>
      </c>
      <c r="F367" s="12" t="s">
        <v>1549</v>
      </c>
      <c r="G367" s="12" t="b">
        <v>1</v>
      </c>
      <c r="H367" s="12" t="b">
        <v>1</v>
      </c>
      <c r="I367" s="12" t="b">
        <v>1</v>
      </c>
      <c r="J367" s="12" t="b">
        <v>1</v>
      </c>
      <c r="K367" s="12" t="b">
        <v>0</v>
      </c>
      <c r="L367" s="12" t="b">
        <v>0</v>
      </c>
      <c r="M367" s="12" t="b">
        <v>0</v>
      </c>
      <c r="N367" s="12">
        <v>0</v>
      </c>
      <c r="O367" s="12" t="b">
        <v>0</v>
      </c>
      <c r="P367" s="12" t="b">
        <v>0</v>
      </c>
      <c r="Q367" s="12" t="b">
        <v>0</v>
      </c>
      <c r="R367" s="12" t="b">
        <v>0</v>
      </c>
      <c r="S367" s="12" t="b">
        <v>0</v>
      </c>
      <c r="T367" s="12" t="b">
        <v>1</v>
      </c>
      <c r="U367" s="12" t="b">
        <v>0</v>
      </c>
      <c r="V367" s="12" t="b">
        <v>1</v>
      </c>
      <c r="W367" s="12" t="b">
        <v>0</v>
      </c>
      <c r="X367" s="12">
        <v>1</v>
      </c>
      <c r="Y367" s="12" t="b">
        <v>0</v>
      </c>
      <c r="Z367" s="12" t="b">
        <v>0</v>
      </c>
      <c r="AA367" s="12" t="b">
        <v>0</v>
      </c>
      <c r="AB367" s="12" t="b">
        <v>0</v>
      </c>
      <c r="AC367" s="12" t="b">
        <v>0</v>
      </c>
      <c r="AD367" s="12" t="b">
        <v>1</v>
      </c>
      <c r="AE367" s="12" t="b">
        <v>0</v>
      </c>
      <c r="AF367" s="12" t="b">
        <v>1</v>
      </c>
      <c r="AG367" s="12" t="b">
        <v>1</v>
      </c>
      <c r="AH367" s="12">
        <v>1</v>
      </c>
      <c r="AI367" s="12" t="b">
        <v>0</v>
      </c>
      <c r="AJ367" s="12" t="b">
        <v>0</v>
      </c>
      <c r="AK367" s="12" t="b">
        <v>1</v>
      </c>
      <c r="AL367" s="12">
        <v>1</v>
      </c>
      <c r="AM367" s="12" t="s">
        <v>900</v>
      </c>
      <c r="AN367" s="12">
        <v>1</v>
      </c>
    </row>
    <row r="368" spans="1:40" x14ac:dyDescent="0.3">
      <c r="A368" s="62" t="s">
        <v>2180</v>
      </c>
      <c r="B368" s="62"/>
      <c r="C368" s="63" t="s">
        <v>1470</v>
      </c>
      <c r="D368" s="52" t="s">
        <v>1630</v>
      </c>
      <c r="E368" s="12" t="s">
        <v>1761</v>
      </c>
      <c r="F368" s="12" t="s">
        <v>1549</v>
      </c>
      <c r="G368" s="12" t="b">
        <v>1</v>
      </c>
      <c r="H368" s="12" t="b">
        <v>1</v>
      </c>
      <c r="I368" s="12" t="b">
        <v>1</v>
      </c>
      <c r="J368" s="12" t="b">
        <v>1</v>
      </c>
      <c r="K368" s="12" t="b">
        <v>0</v>
      </c>
      <c r="L368" s="12" t="b">
        <v>0</v>
      </c>
      <c r="M368" s="12" t="b">
        <v>0</v>
      </c>
      <c r="N368" s="12">
        <v>0</v>
      </c>
      <c r="O368" s="12" t="b">
        <v>0</v>
      </c>
      <c r="P368" s="12" t="b">
        <v>0</v>
      </c>
      <c r="Q368" s="12" t="b">
        <v>0</v>
      </c>
      <c r="R368" s="12" t="b">
        <v>0</v>
      </c>
      <c r="S368" s="12" t="b">
        <v>0</v>
      </c>
      <c r="T368" s="12" t="b">
        <v>1</v>
      </c>
      <c r="U368" s="12" t="b">
        <v>0</v>
      </c>
      <c r="V368" s="12" t="b">
        <v>1</v>
      </c>
      <c r="W368" s="12" t="b">
        <v>0</v>
      </c>
      <c r="X368" s="12">
        <v>1</v>
      </c>
      <c r="Y368" s="12" t="b">
        <v>0</v>
      </c>
      <c r="Z368" s="12" t="b">
        <v>0</v>
      </c>
      <c r="AA368" s="12" t="b">
        <v>0</v>
      </c>
      <c r="AB368" s="12" t="b">
        <v>0</v>
      </c>
      <c r="AC368" s="12" t="b">
        <v>0</v>
      </c>
      <c r="AD368" s="12" t="b">
        <v>1</v>
      </c>
      <c r="AE368" s="12" t="b">
        <v>0</v>
      </c>
      <c r="AF368" s="12" t="b">
        <v>1</v>
      </c>
      <c r="AG368" s="12" t="b">
        <v>1</v>
      </c>
      <c r="AH368" s="12">
        <v>1</v>
      </c>
      <c r="AI368" s="12" t="b">
        <v>0</v>
      </c>
      <c r="AJ368" s="12" t="b">
        <v>0</v>
      </c>
      <c r="AK368" s="12" t="b">
        <v>1</v>
      </c>
      <c r="AL368" s="12">
        <v>1</v>
      </c>
      <c r="AM368" s="12" t="s">
        <v>900</v>
      </c>
      <c r="AN368" s="12">
        <v>1</v>
      </c>
    </row>
    <row r="369" spans="1:40" x14ac:dyDescent="0.3">
      <c r="A369" s="62" t="s">
        <v>2180</v>
      </c>
      <c r="B369" s="62"/>
      <c r="C369" s="63" t="s">
        <v>1464</v>
      </c>
      <c r="D369" s="52" t="s">
        <v>1631</v>
      </c>
      <c r="E369" s="12" t="s">
        <v>1761</v>
      </c>
      <c r="F369" s="12" t="s">
        <v>1550</v>
      </c>
      <c r="G369" s="12" t="b">
        <v>1</v>
      </c>
      <c r="H369" s="12" t="b">
        <v>1</v>
      </c>
      <c r="I369" s="12" t="b">
        <v>1</v>
      </c>
      <c r="J369" s="12" t="b">
        <v>1</v>
      </c>
      <c r="K369" s="12" t="b">
        <v>0</v>
      </c>
      <c r="L369" s="12" t="b">
        <v>0</v>
      </c>
      <c r="M369" s="12" t="b">
        <v>0</v>
      </c>
      <c r="N369" s="12">
        <v>0</v>
      </c>
      <c r="O369" s="12" t="b">
        <v>0</v>
      </c>
      <c r="P369" s="12" t="b">
        <v>0</v>
      </c>
      <c r="Q369" s="12" t="b">
        <v>0</v>
      </c>
      <c r="R369" s="12" t="b">
        <v>0</v>
      </c>
      <c r="S369" s="12" t="b">
        <v>0</v>
      </c>
      <c r="T369" s="12" t="b">
        <v>1</v>
      </c>
      <c r="U369" s="12" t="b">
        <v>0</v>
      </c>
      <c r="V369" s="12" t="b">
        <v>1</v>
      </c>
      <c r="W369" s="12" t="b">
        <v>0</v>
      </c>
      <c r="X369" s="12">
        <v>1</v>
      </c>
      <c r="Y369" s="12" t="b">
        <v>0</v>
      </c>
      <c r="Z369" s="12" t="b">
        <v>0</v>
      </c>
      <c r="AA369" s="12" t="b">
        <v>0</v>
      </c>
      <c r="AB369" s="12" t="b">
        <v>0</v>
      </c>
      <c r="AC369" s="12" t="b">
        <v>0</v>
      </c>
      <c r="AD369" s="12" t="b">
        <v>1</v>
      </c>
      <c r="AE369" s="12" t="b">
        <v>0</v>
      </c>
      <c r="AF369" s="12" t="b">
        <v>1</v>
      </c>
      <c r="AG369" s="12" t="b">
        <v>1</v>
      </c>
      <c r="AH369" s="12">
        <v>1</v>
      </c>
      <c r="AI369" s="12" t="b">
        <v>0</v>
      </c>
      <c r="AJ369" s="12" t="b">
        <v>0</v>
      </c>
      <c r="AK369" s="12" t="b">
        <v>1</v>
      </c>
      <c r="AL369" s="12">
        <v>1</v>
      </c>
      <c r="AM369" s="12" t="s">
        <v>900</v>
      </c>
      <c r="AN369" s="12">
        <v>1</v>
      </c>
    </row>
    <row r="370" spans="1:40" x14ac:dyDescent="0.3">
      <c r="A370" s="62" t="s">
        <v>2180</v>
      </c>
      <c r="B370" s="62"/>
      <c r="C370" s="63" t="s">
        <v>1466</v>
      </c>
      <c r="D370" s="52" t="s">
        <v>1631</v>
      </c>
      <c r="E370" s="12" t="s">
        <v>1761</v>
      </c>
      <c r="F370" s="12" t="s">
        <v>1550</v>
      </c>
      <c r="G370" s="12" t="b">
        <v>1</v>
      </c>
      <c r="H370" s="12" t="b">
        <v>1</v>
      </c>
      <c r="I370" s="12" t="b">
        <v>1</v>
      </c>
      <c r="J370" s="12" t="b">
        <v>1</v>
      </c>
      <c r="K370" s="12" t="b">
        <v>0</v>
      </c>
      <c r="L370" s="12" t="b">
        <v>0</v>
      </c>
      <c r="M370" s="12" t="b">
        <v>0</v>
      </c>
      <c r="N370" s="12">
        <v>0</v>
      </c>
      <c r="O370" s="12" t="b">
        <v>0</v>
      </c>
      <c r="P370" s="12" t="b">
        <v>0</v>
      </c>
      <c r="Q370" s="12" t="b">
        <v>0</v>
      </c>
      <c r="R370" s="12" t="b">
        <v>0</v>
      </c>
      <c r="S370" s="12" t="b">
        <v>0</v>
      </c>
      <c r="T370" s="12" t="b">
        <v>1</v>
      </c>
      <c r="U370" s="12" t="b">
        <v>0</v>
      </c>
      <c r="V370" s="12" t="b">
        <v>1</v>
      </c>
      <c r="W370" s="12" t="b">
        <v>0</v>
      </c>
      <c r="X370" s="12">
        <v>1</v>
      </c>
      <c r="Y370" s="12" t="b">
        <v>0</v>
      </c>
      <c r="Z370" s="12" t="b">
        <v>0</v>
      </c>
      <c r="AA370" s="12" t="b">
        <v>0</v>
      </c>
      <c r="AB370" s="12" t="b">
        <v>0</v>
      </c>
      <c r="AC370" s="12" t="b">
        <v>0</v>
      </c>
      <c r="AD370" s="12" t="b">
        <v>1</v>
      </c>
      <c r="AE370" s="12" t="b">
        <v>0</v>
      </c>
      <c r="AF370" s="12" t="b">
        <v>1</v>
      </c>
      <c r="AG370" s="12" t="b">
        <v>1</v>
      </c>
      <c r="AH370" s="12">
        <v>1</v>
      </c>
      <c r="AI370" s="12" t="b">
        <v>0</v>
      </c>
      <c r="AJ370" s="12" t="b">
        <v>0</v>
      </c>
      <c r="AK370" s="12" t="b">
        <v>1</v>
      </c>
      <c r="AL370" s="12">
        <v>1</v>
      </c>
      <c r="AM370" s="12" t="s">
        <v>900</v>
      </c>
      <c r="AN370" s="12">
        <v>1</v>
      </c>
    </row>
    <row r="371" spans="1:40" x14ac:dyDescent="0.3">
      <c r="A371" s="62" t="s">
        <v>2180</v>
      </c>
      <c r="B371" s="62"/>
      <c r="C371" s="63" t="s">
        <v>1467</v>
      </c>
      <c r="D371" s="52" t="s">
        <v>1631</v>
      </c>
      <c r="E371" s="12" t="s">
        <v>1761</v>
      </c>
      <c r="F371" s="12" t="s">
        <v>1550</v>
      </c>
      <c r="G371" s="12" t="b">
        <v>1</v>
      </c>
      <c r="H371" s="12" t="b">
        <v>1</v>
      </c>
      <c r="I371" s="12" t="b">
        <v>1</v>
      </c>
      <c r="J371" s="12" t="b">
        <v>1</v>
      </c>
      <c r="K371" s="12" t="b">
        <v>0</v>
      </c>
      <c r="L371" s="12" t="b">
        <v>0</v>
      </c>
      <c r="M371" s="12" t="b">
        <v>0</v>
      </c>
      <c r="N371" s="12">
        <v>0</v>
      </c>
      <c r="O371" s="12" t="b">
        <v>0</v>
      </c>
      <c r="P371" s="12" t="b">
        <v>0</v>
      </c>
      <c r="Q371" s="12" t="b">
        <v>0</v>
      </c>
      <c r="R371" s="12" t="b">
        <v>0</v>
      </c>
      <c r="S371" s="12" t="b">
        <v>0</v>
      </c>
      <c r="T371" s="12" t="b">
        <v>1</v>
      </c>
      <c r="U371" s="12" t="b">
        <v>0</v>
      </c>
      <c r="V371" s="12" t="b">
        <v>1</v>
      </c>
      <c r="W371" s="12" t="b">
        <v>0</v>
      </c>
      <c r="X371" s="12">
        <v>1</v>
      </c>
      <c r="Y371" s="12" t="b">
        <v>0</v>
      </c>
      <c r="Z371" s="12" t="b">
        <v>0</v>
      </c>
      <c r="AA371" s="12" t="b">
        <v>0</v>
      </c>
      <c r="AB371" s="12" t="b">
        <v>0</v>
      </c>
      <c r="AC371" s="12" t="b">
        <v>0</v>
      </c>
      <c r="AD371" s="12" t="b">
        <v>1</v>
      </c>
      <c r="AE371" s="12" t="b">
        <v>0</v>
      </c>
      <c r="AF371" s="12" t="b">
        <v>1</v>
      </c>
      <c r="AG371" s="12" t="b">
        <v>1</v>
      </c>
      <c r="AH371" s="12">
        <v>1</v>
      </c>
      <c r="AI371" s="12" t="b">
        <v>0</v>
      </c>
      <c r="AJ371" s="12" t="b">
        <v>0</v>
      </c>
      <c r="AK371" s="12" t="b">
        <v>1</v>
      </c>
      <c r="AL371" s="12">
        <v>1</v>
      </c>
      <c r="AM371" s="12" t="s">
        <v>900</v>
      </c>
      <c r="AN371" s="12">
        <v>1</v>
      </c>
    </row>
    <row r="372" spans="1:40" x14ac:dyDescent="0.3">
      <c r="A372" s="62" t="s">
        <v>2180</v>
      </c>
      <c r="B372" s="62"/>
      <c r="C372" s="63" t="s">
        <v>1468</v>
      </c>
      <c r="D372" s="52" t="s">
        <v>1631</v>
      </c>
      <c r="E372" s="12" t="s">
        <v>1761</v>
      </c>
      <c r="F372" s="12" t="s">
        <v>1550</v>
      </c>
      <c r="G372" s="12" t="b">
        <v>1</v>
      </c>
      <c r="H372" s="12" t="b">
        <v>1</v>
      </c>
      <c r="I372" s="12" t="b">
        <v>1</v>
      </c>
      <c r="J372" s="12" t="b">
        <v>1</v>
      </c>
      <c r="K372" s="12" t="b">
        <v>0</v>
      </c>
      <c r="L372" s="12" t="b">
        <v>0</v>
      </c>
      <c r="M372" s="12" t="b">
        <v>0</v>
      </c>
      <c r="N372" s="12">
        <v>0</v>
      </c>
      <c r="O372" s="12" t="b">
        <v>0</v>
      </c>
      <c r="P372" s="12" t="b">
        <v>0</v>
      </c>
      <c r="Q372" s="12" t="b">
        <v>0</v>
      </c>
      <c r="R372" s="12" t="b">
        <v>0</v>
      </c>
      <c r="S372" s="12" t="b">
        <v>0</v>
      </c>
      <c r="T372" s="12" t="b">
        <v>1</v>
      </c>
      <c r="U372" s="12" t="b">
        <v>0</v>
      </c>
      <c r="V372" s="12" t="b">
        <v>1</v>
      </c>
      <c r="W372" s="12" t="b">
        <v>0</v>
      </c>
      <c r="X372" s="12">
        <v>1</v>
      </c>
      <c r="Y372" s="12" t="b">
        <v>0</v>
      </c>
      <c r="Z372" s="12" t="b">
        <v>0</v>
      </c>
      <c r="AA372" s="12" t="b">
        <v>0</v>
      </c>
      <c r="AB372" s="12" t="b">
        <v>0</v>
      </c>
      <c r="AC372" s="12" t="b">
        <v>0</v>
      </c>
      <c r="AD372" s="12" t="b">
        <v>1</v>
      </c>
      <c r="AE372" s="12" t="b">
        <v>0</v>
      </c>
      <c r="AF372" s="12" t="b">
        <v>1</v>
      </c>
      <c r="AG372" s="12" t="b">
        <v>1</v>
      </c>
      <c r="AH372" s="12">
        <v>1</v>
      </c>
      <c r="AI372" s="12" t="b">
        <v>0</v>
      </c>
      <c r="AJ372" s="12" t="b">
        <v>0</v>
      </c>
      <c r="AK372" s="12" t="b">
        <v>1</v>
      </c>
      <c r="AL372" s="12">
        <v>1</v>
      </c>
      <c r="AM372" s="12" t="s">
        <v>900</v>
      </c>
      <c r="AN372" s="12">
        <v>1</v>
      </c>
    </row>
    <row r="373" spans="1:40" x14ac:dyDescent="0.3">
      <c r="A373" s="62" t="s">
        <v>2180</v>
      </c>
      <c r="B373" s="62"/>
      <c r="C373" s="63" t="s">
        <v>1469</v>
      </c>
      <c r="D373" s="52" t="s">
        <v>1631</v>
      </c>
      <c r="E373" s="12" t="s">
        <v>1761</v>
      </c>
      <c r="F373" s="12" t="s">
        <v>1550</v>
      </c>
      <c r="G373" s="12" t="b">
        <v>1</v>
      </c>
      <c r="H373" s="12" t="b">
        <v>1</v>
      </c>
      <c r="I373" s="12" t="b">
        <v>1</v>
      </c>
      <c r="J373" s="12" t="b">
        <v>1</v>
      </c>
      <c r="K373" s="12" t="b">
        <v>0</v>
      </c>
      <c r="L373" s="12" t="b">
        <v>0</v>
      </c>
      <c r="M373" s="12" t="b">
        <v>0</v>
      </c>
      <c r="N373" s="12">
        <v>0</v>
      </c>
      <c r="O373" s="12" t="b">
        <v>0</v>
      </c>
      <c r="P373" s="12" t="b">
        <v>0</v>
      </c>
      <c r="Q373" s="12" t="b">
        <v>0</v>
      </c>
      <c r="R373" s="12" t="b">
        <v>0</v>
      </c>
      <c r="S373" s="12" t="b">
        <v>0</v>
      </c>
      <c r="T373" s="12" t="b">
        <v>1</v>
      </c>
      <c r="U373" s="12" t="b">
        <v>0</v>
      </c>
      <c r="V373" s="12" t="b">
        <v>1</v>
      </c>
      <c r="W373" s="12" t="b">
        <v>0</v>
      </c>
      <c r="X373" s="12">
        <v>1</v>
      </c>
      <c r="Y373" s="12" t="b">
        <v>0</v>
      </c>
      <c r="Z373" s="12" t="b">
        <v>0</v>
      </c>
      <c r="AA373" s="12" t="b">
        <v>0</v>
      </c>
      <c r="AB373" s="12" t="b">
        <v>0</v>
      </c>
      <c r="AC373" s="12" t="b">
        <v>0</v>
      </c>
      <c r="AD373" s="12" t="b">
        <v>1</v>
      </c>
      <c r="AE373" s="12" t="b">
        <v>0</v>
      </c>
      <c r="AF373" s="12" t="b">
        <v>1</v>
      </c>
      <c r="AG373" s="12" t="b">
        <v>1</v>
      </c>
      <c r="AH373" s="12">
        <v>1</v>
      </c>
      <c r="AI373" s="12" t="b">
        <v>0</v>
      </c>
      <c r="AJ373" s="12" t="b">
        <v>0</v>
      </c>
      <c r="AK373" s="12" t="b">
        <v>1</v>
      </c>
      <c r="AL373" s="12">
        <v>1</v>
      </c>
      <c r="AM373" s="12" t="s">
        <v>900</v>
      </c>
      <c r="AN373" s="12">
        <v>1</v>
      </c>
    </row>
    <row r="374" spans="1:40" x14ac:dyDescent="0.3">
      <c r="A374" s="62" t="s">
        <v>2180</v>
      </c>
      <c r="B374" s="62"/>
      <c r="C374" s="63" t="s">
        <v>1470</v>
      </c>
      <c r="D374" s="52" t="s">
        <v>1631</v>
      </c>
      <c r="E374" s="12" t="s">
        <v>1761</v>
      </c>
      <c r="F374" s="12" t="s">
        <v>1550</v>
      </c>
      <c r="G374" s="12" t="b">
        <v>1</v>
      </c>
      <c r="H374" s="12" t="b">
        <v>1</v>
      </c>
      <c r="I374" s="12" t="b">
        <v>1</v>
      </c>
      <c r="J374" s="12" t="b">
        <v>1</v>
      </c>
      <c r="K374" s="12" t="b">
        <v>0</v>
      </c>
      <c r="L374" s="12" t="b">
        <v>0</v>
      </c>
      <c r="M374" s="12" t="b">
        <v>0</v>
      </c>
      <c r="N374" s="12">
        <v>0</v>
      </c>
      <c r="O374" s="12" t="b">
        <v>0</v>
      </c>
      <c r="P374" s="12" t="b">
        <v>0</v>
      </c>
      <c r="Q374" s="12" t="b">
        <v>0</v>
      </c>
      <c r="R374" s="12" t="b">
        <v>0</v>
      </c>
      <c r="S374" s="12" t="b">
        <v>0</v>
      </c>
      <c r="T374" s="12" t="b">
        <v>1</v>
      </c>
      <c r="U374" s="12" t="b">
        <v>0</v>
      </c>
      <c r="V374" s="12" t="b">
        <v>1</v>
      </c>
      <c r="W374" s="12" t="b">
        <v>0</v>
      </c>
      <c r="X374" s="12">
        <v>1</v>
      </c>
      <c r="Y374" s="12" t="b">
        <v>0</v>
      </c>
      <c r="Z374" s="12" t="b">
        <v>0</v>
      </c>
      <c r="AA374" s="12" t="b">
        <v>0</v>
      </c>
      <c r="AB374" s="12" t="b">
        <v>0</v>
      </c>
      <c r="AC374" s="12" t="b">
        <v>0</v>
      </c>
      <c r="AD374" s="12" t="b">
        <v>1</v>
      </c>
      <c r="AE374" s="12" t="b">
        <v>0</v>
      </c>
      <c r="AF374" s="12" t="b">
        <v>1</v>
      </c>
      <c r="AG374" s="12" t="b">
        <v>1</v>
      </c>
      <c r="AH374" s="12">
        <v>1</v>
      </c>
      <c r="AI374" s="12" t="b">
        <v>0</v>
      </c>
      <c r="AJ374" s="12" t="b">
        <v>0</v>
      </c>
      <c r="AK374" s="12" t="b">
        <v>1</v>
      </c>
      <c r="AL374" s="12">
        <v>1</v>
      </c>
      <c r="AM374" s="12" t="s">
        <v>900</v>
      </c>
      <c r="AN374" s="12">
        <v>1</v>
      </c>
    </row>
    <row r="375" spans="1:40" x14ac:dyDescent="0.3">
      <c r="A375" s="62" t="s">
        <v>2180</v>
      </c>
      <c r="B375" s="62"/>
      <c r="C375" s="63" t="s">
        <v>1934</v>
      </c>
      <c r="D375" s="52" t="s">
        <v>1630</v>
      </c>
      <c r="E375" s="12" t="s">
        <v>1761</v>
      </c>
      <c r="F375" s="12" t="s">
        <v>1549</v>
      </c>
      <c r="G375" s="12" t="b">
        <v>1</v>
      </c>
      <c r="H375" s="12" t="b">
        <v>1</v>
      </c>
      <c r="I375" s="12" t="b">
        <v>1</v>
      </c>
      <c r="J375" s="12" t="b">
        <v>1</v>
      </c>
      <c r="K375" s="12" t="b">
        <v>0</v>
      </c>
      <c r="L375" s="12" t="b">
        <v>0</v>
      </c>
      <c r="M375" s="12" t="b">
        <v>0</v>
      </c>
      <c r="N375" s="12">
        <v>0</v>
      </c>
      <c r="O375" s="12" t="b">
        <v>0</v>
      </c>
      <c r="P375" s="12" t="b">
        <v>0</v>
      </c>
      <c r="Q375" s="12" t="b">
        <v>0</v>
      </c>
      <c r="R375" s="12" t="b">
        <v>0</v>
      </c>
      <c r="S375" s="12" t="b">
        <v>0</v>
      </c>
      <c r="T375" s="12" t="b">
        <v>1</v>
      </c>
      <c r="U375" s="12" t="b">
        <v>0</v>
      </c>
      <c r="V375" s="12" t="b">
        <v>1</v>
      </c>
      <c r="W375" s="12" t="b">
        <v>0</v>
      </c>
      <c r="X375" s="12">
        <v>1</v>
      </c>
      <c r="Y375" s="12" t="b">
        <v>0</v>
      </c>
      <c r="Z375" s="12" t="b">
        <v>0</v>
      </c>
      <c r="AA375" s="12" t="b">
        <v>0</v>
      </c>
      <c r="AB375" s="12" t="b">
        <v>0</v>
      </c>
      <c r="AC375" s="12" t="b">
        <v>0</v>
      </c>
      <c r="AD375" s="12" t="b">
        <v>1</v>
      </c>
      <c r="AE375" s="12" t="b">
        <v>0</v>
      </c>
      <c r="AF375" s="12" t="b">
        <v>1</v>
      </c>
      <c r="AG375" s="12" t="b">
        <v>1</v>
      </c>
      <c r="AH375" s="12">
        <v>1</v>
      </c>
      <c r="AI375" s="12" t="b">
        <v>0</v>
      </c>
      <c r="AJ375" s="12" t="b">
        <v>0</v>
      </c>
      <c r="AK375" s="12" t="b">
        <v>1</v>
      </c>
      <c r="AL375" s="12">
        <v>1</v>
      </c>
      <c r="AM375" s="12" t="s">
        <v>900</v>
      </c>
      <c r="AN375" s="12">
        <v>1</v>
      </c>
    </row>
    <row r="376" spans="1:40" x14ac:dyDescent="0.3">
      <c r="A376" s="62" t="s">
        <v>2180</v>
      </c>
      <c r="B376" s="62"/>
      <c r="C376" s="63" t="s">
        <v>1935</v>
      </c>
      <c r="D376" s="52" t="s">
        <v>1630</v>
      </c>
      <c r="E376" s="12" t="s">
        <v>1761</v>
      </c>
      <c r="F376" s="12" t="s">
        <v>1549</v>
      </c>
      <c r="G376" s="12" t="b">
        <v>1</v>
      </c>
      <c r="H376" s="12" t="b">
        <v>1</v>
      </c>
      <c r="I376" s="12" t="b">
        <v>1</v>
      </c>
      <c r="J376" s="12" t="b">
        <v>1</v>
      </c>
      <c r="K376" s="12" t="b">
        <v>0</v>
      </c>
      <c r="L376" s="12" t="b">
        <v>0</v>
      </c>
      <c r="M376" s="12" t="b">
        <v>0</v>
      </c>
      <c r="N376" s="12">
        <v>0</v>
      </c>
      <c r="O376" s="12" t="b">
        <v>0</v>
      </c>
      <c r="P376" s="12" t="b">
        <v>0</v>
      </c>
      <c r="Q376" s="12" t="b">
        <v>0</v>
      </c>
      <c r="R376" s="12" t="b">
        <v>0</v>
      </c>
      <c r="S376" s="12" t="b">
        <v>0</v>
      </c>
      <c r="T376" s="12" t="b">
        <v>1</v>
      </c>
      <c r="U376" s="12" t="b">
        <v>0</v>
      </c>
      <c r="V376" s="12" t="b">
        <v>1</v>
      </c>
      <c r="W376" s="12" t="b">
        <v>0</v>
      </c>
      <c r="X376" s="12">
        <v>1</v>
      </c>
      <c r="Y376" s="12" t="b">
        <v>0</v>
      </c>
      <c r="Z376" s="12" t="b">
        <v>0</v>
      </c>
      <c r="AA376" s="12" t="b">
        <v>0</v>
      </c>
      <c r="AB376" s="12" t="b">
        <v>0</v>
      </c>
      <c r="AC376" s="12" t="b">
        <v>0</v>
      </c>
      <c r="AD376" s="12" t="b">
        <v>1</v>
      </c>
      <c r="AE376" s="12" t="b">
        <v>0</v>
      </c>
      <c r="AF376" s="12" t="b">
        <v>1</v>
      </c>
      <c r="AG376" s="12" t="b">
        <v>1</v>
      </c>
      <c r="AH376" s="12">
        <v>1</v>
      </c>
      <c r="AI376" s="12" t="b">
        <v>0</v>
      </c>
      <c r="AJ376" s="12" t="b">
        <v>0</v>
      </c>
      <c r="AK376" s="12" t="b">
        <v>1</v>
      </c>
      <c r="AL376" s="12">
        <v>1</v>
      </c>
      <c r="AM376" s="12" t="s">
        <v>900</v>
      </c>
      <c r="AN376" s="12">
        <v>1</v>
      </c>
    </row>
    <row r="377" spans="1:40" x14ac:dyDescent="0.3">
      <c r="A377" s="62" t="s">
        <v>2180</v>
      </c>
      <c r="B377" s="62"/>
      <c r="C377" s="63" t="s">
        <v>1936</v>
      </c>
      <c r="D377" s="52" t="s">
        <v>1630</v>
      </c>
      <c r="E377" s="12" t="s">
        <v>1761</v>
      </c>
      <c r="F377" s="12" t="s">
        <v>1549</v>
      </c>
      <c r="G377" s="12" t="b">
        <v>1</v>
      </c>
      <c r="H377" s="12" t="b">
        <v>1</v>
      </c>
      <c r="I377" s="12" t="b">
        <v>1</v>
      </c>
      <c r="J377" s="12" t="b">
        <v>1</v>
      </c>
      <c r="K377" s="12" t="b">
        <v>0</v>
      </c>
      <c r="L377" s="12" t="b">
        <v>0</v>
      </c>
      <c r="M377" s="12" t="b">
        <v>0</v>
      </c>
      <c r="N377" s="12">
        <v>0</v>
      </c>
      <c r="O377" s="12" t="b">
        <v>0</v>
      </c>
      <c r="P377" s="12" t="b">
        <v>0</v>
      </c>
      <c r="Q377" s="12" t="b">
        <v>0</v>
      </c>
      <c r="R377" s="12" t="b">
        <v>0</v>
      </c>
      <c r="S377" s="12" t="b">
        <v>0</v>
      </c>
      <c r="T377" s="12" t="b">
        <v>1</v>
      </c>
      <c r="U377" s="12" t="b">
        <v>0</v>
      </c>
      <c r="V377" s="12" t="b">
        <v>1</v>
      </c>
      <c r="W377" s="12" t="b">
        <v>0</v>
      </c>
      <c r="X377" s="12">
        <v>1</v>
      </c>
      <c r="Y377" s="12" t="b">
        <v>0</v>
      </c>
      <c r="Z377" s="12" t="b">
        <v>0</v>
      </c>
      <c r="AA377" s="12" t="b">
        <v>0</v>
      </c>
      <c r="AB377" s="12" t="b">
        <v>0</v>
      </c>
      <c r="AC377" s="12" t="b">
        <v>0</v>
      </c>
      <c r="AD377" s="12" t="b">
        <v>1</v>
      </c>
      <c r="AE377" s="12" t="b">
        <v>0</v>
      </c>
      <c r="AF377" s="12" t="b">
        <v>1</v>
      </c>
      <c r="AG377" s="12" t="b">
        <v>1</v>
      </c>
      <c r="AH377" s="12">
        <v>1</v>
      </c>
      <c r="AI377" s="12" t="b">
        <v>0</v>
      </c>
      <c r="AJ377" s="12" t="b">
        <v>0</v>
      </c>
      <c r="AK377" s="12" t="b">
        <v>1</v>
      </c>
      <c r="AL377" s="12">
        <v>1</v>
      </c>
      <c r="AM377" s="12" t="s">
        <v>900</v>
      </c>
      <c r="AN377" s="12">
        <v>1</v>
      </c>
    </row>
    <row r="378" spans="1:40" x14ac:dyDescent="0.3">
      <c r="A378" s="62" t="s">
        <v>2180</v>
      </c>
      <c r="B378" s="62"/>
      <c r="C378" s="63" t="s">
        <v>1937</v>
      </c>
      <c r="D378" s="52" t="s">
        <v>1630</v>
      </c>
      <c r="E378" s="12" t="s">
        <v>1761</v>
      </c>
      <c r="F378" s="12" t="s">
        <v>1549</v>
      </c>
      <c r="G378" s="12" t="b">
        <v>1</v>
      </c>
      <c r="H378" s="12" t="b">
        <v>1</v>
      </c>
      <c r="I378" s="12" t="b">
        <v>1</v>
      </c>
      <c r="J378" s="12" t="b">
        <v>1</v>
      </c>
      <c r="K378" s="12" t="b">
        <v>0</v>
      </c>
      <c r="L378" s="12" t="b">
        <v>0</v>
      </c>
      <c r="M378" s="12" t="b">
        <v>0</v>
      </c>
      <c r="N378" s="12">
        <v>0</v>
      </c>
      <c r="O378" s="12" t="b">
        <v>0</v>
      </c>
      <c r="P378" s="12" t="b">
        <v>0</v>
      </c>
      <c r="Q378" s="12" t="b">
        <v>0</v>
      </c>
      <c r="R378" s="12" t="b">
        <v>0</v>
      </c>
      <c r="S378" s="12" t="b">
        <v>0</v>
      </c>
      <c r="T378" s="12" t="b">
        <v>1</v>
      </c>
      <c r="U378" s="12" t="b">
        <v>0</v>
      </c>
      <c r="V378" s="12" t="b">
        <v>1</v>
      </c>
      <c r="W378" s="12" t="b">
        <v>0</v>
      </c>
      <c r="X378" s="12">
        <v>1</v>
      </c>
      <c r="Y378" s="12" t="b">
        <v>0</v>
      </c>
      <c r="Z378" s="12" t="b">
        <v>0</v>
      </c>
      <c r="AA378" s="12" t="b">
        <v>0</v>
      </c>
      <c r="AB378" s="12" t="b">
        <v>0</v>
      </c>
      <c r="AC378" s="12" t="b">
        <v>0</v>
      </c>
      <c r="AD378" s="12" t="b">
        <v>1</v>
      </c>
      <c r="AE378" s="12" t="b">
        <v>0</v>
      </c>
      <c r="AF378" s="12" t="b">
        <v>1</v>
      </c>
      <c r="AG378" s="12" t="b">
        <v>1</v>
      </c>
      <c r="AH378" s="12">
        <v>1</v>
      </c>
      <c r="AI378" s="12" t="b">
        <v>0</v>
      </c>
      <c r="AJ378" s="12" t="b">
        <v>0</v>
      </c>
      <c r="AK378" s="12" t="b">
        <v>1</v>
      </c>
      <c r="AL378" s="12">
        <v>1</v>
      </c>
      <c r="AM378" s="12" t="s">
        <v>900</v>
      </c>
      <c r="AN378" s="12">
        <v>1</v>
      </c>
    </row>
    <row r="379" spans="1:40" x14ac:dyDescent="0.3">
      <c r="A379" s="62" t="s">
        <v>2180</v>
      </c>
      <c r="B379" s="62"/>
      <c r="C379" s="63" t="s">
        <v>1938</v>
      </c>
      <c r="D379" s="52" t="s">
        <v>1630</v>
      </c>
      <c r="E379" s="12" t="s">
        <v>1761</v>
      </c>
      <c r="F379" s="12" t="s">
        <v>1549</v>
      </c>
      <c r="G379" s="12" t="b">
        <v>1</v>
      </c>
      <c r="H379" s="12" t="b">
        <v>1</v>
      </c>
      <c r="I379" s="12" t="b">
        <v>1</v>
      </c>
      <c r="J379" s="12" t="b">
        <v>1</v>
      </c>
      <c r="K379" s="12" t="b">
        <v>0</v>
      </c>
      <c r="L379" s="12" t="b">
        <v>0</v>
      </c>
      <c r="M379" s="12" t="b">
        <v>0</v>
      </c>
      <c r="N379" s="12">
        <v>0</v>
      </c>
      <c r="O379" s="12" t="b">
        <v>0</v>
      </c>
      <c r="P379" s="12" t="b">
        <v>0</v>
      </c>
      <c r="Q379" s="12" t="b">
        <v>0</v>
      </c>
      <c r="R379" s="12" t="b">
        <v>0</v>
      </c>
      <c r="S379" s="12" t="b">
        <v>0</v>
      </c>
      <c r="T379" s="12" t="b">
        <v>1</v>
      </c>
      <c r="U379" s="12" t="b">
        <v>0</v>
      </c>
      <c r="V379" s="12" t="b">
        <v>1</v>
      </c>
      <c r="W379" s="12" t="b">
        <v>0</v>
      </c>
      <c r="X379" s="12">
        <v>1</v>
      </c>
      <c r="Y379" s="12" t="b">
        <v>0</v>
      </c>
      <c r="Z379" s="12" t="b">
        <v>0</v>
      </c>
      <c r="AA379" s="12" t="b">
        <v>0</v>
      </c>
      <c r="AB379" s="12" t="b">
        <v>0</v>
      </c>
      <c r="AC379" s="12" t="b">
        <v>0</v>
      </c>
      <c r="AD379" s="12" t="b">
        <v>1</v>
      </c>
      <c r="AE379" s="12" t="b">
        <v>0</v>
      </c>
      <c r="AF379" s="12" t="b">
        <v>1</v>
      </c>
      <c r="AG379" s="12" t="b">
        <v>1</v>
      </c>
      <c r="AH379" s="12">
        <v>1</v>
      </c>
      <c r="AI379" s="12" t="b">
        <v>0</v>
      </c>
      <c r="AJ379" s="12" t="b">
        <v>0</v>
      </c>
      <c r="AK379" s="12" t="b">
        <v>1</v>
      </c>
      <c r="AL379" s="12">
        <v>1</v>
      </c>
      <c r="AM379" s="12" t="s">
        <v>900</v>
      </c>
      <c r="AN379" s="12">
        <v>1</v>
      </c>
    </row>
    <row r="380" spans="1:40" x14ac:dyDescent="0.3">
      <c r="A380" s="62" t="s">
        <v>2180</v>
      </c>
      <c r="B380" s="62"/>
      <c r="C380" s="63" t="s">
        <v>1939</v>
      </c>
      <c r="D380" s="52" t="s">
        <v>1630</v>
      </c>
      <c r="E380" s="12" t="s">
        <v>1761</v>
      </c>
      <c r="F380" s="12" t="s">
        <v>1549</v>
      </c>
      <c r="G380" s="12" t="b">
        <v>1</v>
      </c>
      <c r="H380" s="12" t="b">
        <v>1</v>
      </c>
      <c r="I380" s="12" t="b">
        <v>1</v>
      </c>
      <c r="J380" s="12" t="b">
        <v>1</v>
      </c>
      <c r="K380" s="12" t="b">
        <v>0</v>
      </c>
      <c r="L380" s="12" t="b">
        <v>0</v>
      </c>
      <c r="M380" s="12" t="b">
        <v>0</v>
      </c>
      <c r="N380" s="12">
        <v>0</v>
      </c>
      <c r="O380" s="12" t="b">
        <v>0</v>
      </c>
      <c r="P380" s="12" t="b">
        <v>0</v>
      </c>
      <c r="Q380" s="12" t="b">
        <v>0</v>
      </c>
      <c r="R380" s="12" t="b">
        <v>0</v>
      </c>
      <c r="S380" s="12" t="b">
        <v>0</v>
      </c>
      <c r="T380" s="12" t="b">
        <v>1</v>
      </c>
      <c r="U380" s="12" t="b">
        <v>0</v>
      </c>
      <c r="V380" s="12" t="b">
        <v>1</v>
      </c>
      <c r="W380" s="12" t="b">
        <v>0</v>
      </c>
      <c r="X380" s="12">
        <v>1</v>
      </c>
      <c r="Y380" s="12" t="b">
        <v>0</v>
      </c>
      <c r="Z380" s="12" t="b">
        <v>0</v>
      </c>
      <c r="AA380" s="12" t="b">
        <v>0</v>
      </c>
      <c r="AB380" s="12" t="b">
        <v>0</v>
      </c>
      <c r="AC380" s="12" t="b">
        <v>0</v>
      </c>
      <c r="AD380" s="12" t="b">
        <v>1</v>
      </c>
      <c r="AE380" s="12" t="b">
        <v>0</v>
      </c>
      <c r="AF380" s="12" t="b">
        <v>1</v>
      </c>
      <c r="AG380" s="12" t="b">
        <v>1</v>
      </c>
      <c r="AH380" s="12">
        <v>1</v>
      </c>
      <c r="AI380" s="12" t="b">
        <v>0</v>
      </c>
      <c r="AJ380" s="12" t="b">
        <v>0</v>
      </c>
      <c r="AK380" s="12" t="b">
        <v>1</v>
      </c>
      <c r="AL380" s="12">
        <v>1</v>
      </c>
      <c r="AM380" s="12" t="s">
        <v>900</v>
      </c>
      <c r="AN380" s="12">
        <v>1</v>
      </c>
    </row>
    <row r="381" spans="1:40" x14ac:dyDescent="0.3">
      <c r="A381" s="62" t="s">
        <v>2180</v>
      </c>
      <c r="B381" s="62"/>
      <c r="C381" s="63" t="s">
        <v>1934</v>
      </c>
      <c r="D381" s="52" t="s">
        <v>1631</v>
      </c>
      <c r="E381" s="12" t="s">
        <v>1761</v>
      </c>
      <c r="F381" s="12" t="s">
        <v>1550</v>
      </c>
      <c r="G381" s="12" t="b">
        <v>1</v>
      </c>
      <c r="H381" s="12" t="b">
        <v>1</v>
      </c>
      <c r="I381" s="12" t="b">
        <v>1</v>
      </c>
      <c r="J381" s="12" t="b">
        <v>1</v>
      </c>
      <c r="K381" s="12" t="b">
        <v>0</v>
      </c>
      <c r="L381" s="12" t="b">
        <v>0</v>
      </c>
      <c r="M381" s="12" t="b">
        <v>0</v>
      </c>
      <c r="N381" s="12">
        <v>0</v>
      </c>
      <c r="O381" s="12" t="b">
        <v>0</v>
      </c>
      <c r="P381" s="12" t="b">
        <v>0</v>
      </c>
      <c r="Q381" s="12" t="b">
        <v>0</v>
      </c>
      <c r="R381" s="12" t="b">
        <v>0</v>
      </c>
      <c r="S381" s="12" t="b">
        <v>0</v>
      </c>
      <c r="T381" s="12" t="b">
        <v>1</v>
      </c>
      <c r="U381" s="12" t="b">
        <v>0</v>
      </c>
      <c r="V381" s="12" t="b">
        <v>1</v>
      </c>
      <c r="W381" s="12" t="b">
        <v>0</v>
      </c>
      <c r="X381" s="12">
        <v>1</v>
      </c>
      <c r="Y381" s="12" t="b">
        <v>0</v>
      </c>
      <c r="Z381" s="12" t="b">
        <v>0</v>
      </c>
      <c r="AA381" s="12" t="b">
        <v>0</v>
      </c>
      <c r="AB381" s="12" t="b">
        <v>0</v>
      </c>
      <c r="AC381" s="12" t="b">
        <v>0</v>
      </c>
      <c r="AD381" s="12" t="b">
        <v>1</v>
      </c>
      <c r="AE381" s="12" t="b">
        <v>0</v>
      </c>
      <c r="AF381" s="12" t="b">
        <v>1</v>
      </c>
      <c r="AG381" s="12" t="b">
        <v>1</v>
      </c>
      <c r="AH381" s="12">
        <v>1</v>
      </c>
      <c r="AI381" s="12" t="b">
        <v>0</v>
      </c>
      <c r="AJ381" s="12" t="b">
        <v>0</v>
      </c>
      <c r="AK381" s="12" t="b">
        <v>1</v>
      </c>
      <c r="AL381" s="12">
        <v>1</v>
      </c>
      <c r="AM381" s="12" t="s">
        <v>900</v>
      </c>
      <c r="AN381" s="12">
        <v>1</v>
      </c>
    </row>
    <row r="382" spans="1:40" x14ac:dyDescent="0.3">
      <c r="A382" s="62" t="s">
        <v>2180</v>
      </c>
      <c r="B382" s="62"/>
      <c r="C382" s="63" t="s">
        <v>1935</v>
      </c>
      <c r="D382" s="52" t="s">
        <v>1631</v>
      </c>
      <c r="E382" s="12" t="s">
        <v>1761</v>
      </c>
      <c r="F382" s="12" t="s">
        <v>1550</v>
      </c>
      <c r="G382" s="12" t="b">
        <v>1</v>
      </c>
      <c r="H382" s="12" t="b">
        <v>1</v>
      </c>
      <c r="I382" s="12" t="b">
        <v>1</v>
      </c>
      <c r="J382" s="12" t="b">
        <v>1</v>
      </c>
      <c r="K382" s="12" t="b">
        <v>0</v>
      </c>
      <c r="L382" s="12" t="b">
        <v>0</v>
      </c>
      <c r="M382" s="12" t="b">
        <v>0</v>
      </c>
      <c r="N382" s="12">
        <v>0</v>
      </c>
      <c r="O382" s="12" t="b">
        <v>0</v>
      </c>
      <c r="P382" s="12" t="b">
        <v>0</v>
      </c>
      <c r="Q382" s="12" t="b">
        <v>0</v>
      </c>
      <c r="R382" s="12" t="b">
        <v>0</v>
      </c>
      <c r="S382" s="12" t="b">
        <v>0</v>
      </c>
      <c r="T382" s="12" t="b">
        <v>1</v>
      </c>
      <c r="U382" s="12" t="b">
        <v>0</v>
      </c>
      <c r="V382" s="12" t="b">
        <v>1</v>
      </c>
      <c r="W382" s="12" t="b">
        <v>0</v>
      </c>
      <c r="X382" s="12">
        <v>1</v>
      </c>
      <c r="Y382" s="12" t="b">
        <v>0</v>
      </c>
      <c r="Z382" s="12" t="b">
        <v>0</v>
      </c>
      <c r="AA382" s="12" t="b">
        <v>0</v>
      </c>
      <c r="AB382" s="12" t="b">
        <v>0</v>
      </c>
      <c r="AC382" s="12" t="b">
        <v>0</v>
      </c>
      <c r="AD382" s="12" t="b">
        <v>1</v>
      </c>
      <c r="AE382" s="12" t="b">
        <v>0</v>
      </c>
      <c r="AF382" s="12" t="b">
        <v>1</v>
      </c>
      <c r="AG382" s="12" t="b">
        <v>1</v>
      </c>
      <c r="AH382" s="12">
        <v>1</v>
      </c>
      <c r="AI382" s="12" t="b">
        <v>0</v>
      </c>
      <c r="AJ382" s="12" t="b">
        <v>0</v>
      </c>
      <c r="AK382" s="12" t="b">
        <v>1</v>
      </c>
      <c r="AL382" s="12">
        <v>1</v>
      </c>
      <c r="AM382" s="12" t="s">
        <v>900</v>
      </c>
      <c r="AN382" s="12">
        <v>1</v>
      </c>
    </row>
    <row r="383" spans="1:40" x14ac:dyDescent="0.3">
      <c r="A383" s="62" t="s">
        <v>2180</v>
      </c>
      <c r="B383" s="62"/>
      <c r="C383" s="63" t="s">
        <v>1936</v>
      </c>
      <c r="D383" s="52" t="s">
        <v>1631</v>
      </c>
      <c r="E383" s="12" t="s">
        <v>1761</v>
      </c>
      <c r="F383" s="12" t="s">
        <v>1550</v>
      </c>
      <c r="G383" s="12" t="b">
        <v>1</v>
      </c>
      <c r="H383" s="12" t="b">
        <v>1</v>
      </c>
      <c r="I383" s="12" t="b">
        <v>1</v>
      </c>
      <c r="J383" s="12" t="b">
        <v>1</v>
      </c>
      <c r="K383" s="12" t="b">
        <v>0</v>
      </c>
      <c r="L383" s="12" t="b">
        <v>0</v>
      </c>
      <c r="M383" s="12" t="b">
        <v>0</v>
      </c>
      <c r="N383" s="12">
        <v>0</v>
      </c>
      <c r="O383" s="12" t="b">
        <v>0</v>
      </c>
      <c r="P383" s="12" t="b">
        <v>0</v>
      </c>
      <c r="Q383" s="12" t="b">
        <v>0</v>
      </c>
      <c r="R383" s="12" t="b">
        <v>0</v>
      </c>
      <c r="S383" s="12" t="b">
        <v>0</v>
      </c>
      <c r="T383" s="12" t="b">
        <v>1</v>
      </c>
      <c r="U383" s="12" t="b">
        <v>0</v>
      </c>
      <c r="V383" s="12" t="b">
        <v>1</v>
      </c>
      <c r="W383" s="12" t="b">
        <v>0</v>
      </c>
      <c r="X383" s="12">
        <v>1</v>
      </c>
      <c r="Y383" s="12" t="b">
        <v>0</v>
      </c>
      <c r="Z383" s="12" t="b">
        <v>0</v>
      </c>
      <c r="AA383" s="12" t="b">
        <v>0</v>
      </c>
      <c r="AB383" s="12" t="b">
        <v>0</v>
      </c>
      <c r="AC383" s="12" t="b">
        <v>0</v>
      </c>
      <c r="AD383" s="12" t="b">
        <v>1</v>
      </c>
      <c r="AE383" s="12" t="b">
        <v>0</v>
      </c>
      <c r="AF383" s="12" t="b">
        <v>1</v>
      </c>
      <c r="AG383" s="12" t="b">
        <v>1</v>
      </c>
      <c r="AH383" s="12">
        <v>1</v>
      </c>
      <c r="AI383" s="12" t="b">
        <v>0</v>
      </c>
      <c r="AJ383" s="12" t="b">
        <v>0</v>
      </c>
      <c r="AK383" s="12" t="b">
        <v>1</v>
      </c>
      <c r="AL383" s="12">
        <v>1</v>
      </c>
      <c r="AM383" s="12" t="s">
        <v>900</v>
      </c>
      <c r="AN383" s="12">
        <v>1</v>
      </c>
    </row>
    <row r="384" spans="1:40" x14ac:dyDescent="0.3">
      <c r="A384" s="62" t="s">
        <v>2180</v>
      </c>
      <c r="B384" s="62"/>
      <c r="C384" s="63" t="s">
        <v>1937</v>
      </c>
      <c r="D384" s="52" t="s">
        <v>1631</v>
      </c>
      <c r="E384" s="12" t="s">
        <v>1761</v>
      </c>
      <c r="F384" s="12" t="s">
        <v>1550</v>
      </c>
      <c r="G384" s="12" t="b">
        <v>1</v>
      </c>
      <c r="H384" s="12" t="b">
        <v>1</v>
      </c>
      <c r="I384" s="12" t="b">
        <v>1</v>
      </c>
      <c r="J384" s="12" t="b">
        <v>1</v>
      </c>
      <c r="K384" s="12" t="b">
        <v>0</v>
      </c>
      <c r="L384" s="12" t="b">
        <v>0</v>
      </c>
      <c r="M384" s="12" t="b">
        <v>0</v>
      </c>
      <c r="N384" s="12">
        <v>0</v>
      </c>
      <c r="O384" s="12" t="b">
        <v>0</v>
      </c>
      <c r="P384" s="12" t="b">
        <v>0</v>
      </c>
      <c r="Q384" s="12" t="b">
        <v>0</v>
      </c>
      <c r="R384" s="12" t="b">
        <v>0</v>
      </c>
      <c r="S384" s="12" t="b">
        <v>0</v>
      </c>
      <c r="T384" s="12" t="b">
        <v>1</v>
      </c>
      <c r="U384" s="12" t="b">
        <v>0</v>
      </c>
      <c r="V384" s="12" t="b">
        <v>1</v>
      </c>
      <c r="W384" s="12" t="b">
        <v>0</v>
      </c>
      <c r="X384" s="12">
        <v>1</v>
      </c>
      <c r="Y384" s="12" t="b">
        <v>0</v>
      </c>
      <c r="Z384" s="12" t="b">
        <v>0</v>
      </c>
      <c r="AA384" s="12" t="b">
        <v>0</v>
      </c>
      <c r="AB384" s="12" t="b">
        <v>0</v>
      </c>
      <c r="AC384" s="12" t="b">
        <v>0</v>
      </c>
      <c r="AD384" s="12" t="b">
        <v>1</v>
      </c>
      <c r="AE384" s="12" t="b">
        <v>0</v>
      </c>
      <c r="AF384" s="12" t="b">
        <v>1</v>
      </c>
      <c r="AG384" s="12" t="b">
        <v>1</v>
      </c>
      <c r="AH384" s="12">
        <v>1</v>
      </c>
      <c r="AI384" s="12" t="b">
        <v>0</v>
      </c>
      <c r="AJ384" s="12" t="b">
        <v>0</v>
      </c>
      <c r="AK384" s="12" t="b">
        <v>1</v>
      </c>
      <c r="AL384" s="12">
        <v>1</v>
      </c>
      <c r="AM384" s="12" t="s">
        <v>900</v>
      </c>
      <c r="AN384" s="12">
        <v>1</v>
      </c>
    </row>
    <row r="385" spans="1:40" x14ac:dyDescent="0.3">
      <c r="A385" s="62" t="s">
        <v>2180</v>
      </c>
      <c r="B385" s="62"/>
      <c r="C385" s="63" t="s">
        <v>1938</v>
      </c>
      <c r="D385" s="52" t="s">
        <v>1631</v>
      </c>
      <c r="E385" s="12" t="s">
        <v>1761</v>
      </c>
      <c r="F385" s="12" t="s">
        <v>1550</v>
      </c>
      <c r="G385" s="12" t="b">
        <v>1</v>
      </c>
      <c r="H385" s="12" t="b">
        <v>1</v>
      </c>
      <c r="I385" s="12" t="b">
        <v>1</v>
      </c>
      <c r="J385" s="12" t="b">
        <v>1</v>
      </c>
      <c r="K385" s="12" t="b">
        <v>0</v>
      </c>
      <c r="L385" s="12" t="b">
        <v>0</v>
      </c>
      <c r="M385" s="12" t="b">
        <v>0</v>
      </c>
      <c r="N385" s="12">
        <v>0</v>
      </c>
      <c r="O385" s="12" t="b">
        <v>0</v>
      </c>
      <c r="P385" s="12" t="b">
        <v>0</v>
      </c>
      <c r="Q385" s="12" t="b">
        <v>0</v>
      </c>
      <c r="R385" s="12" t="b">
        <v>0</v>
      </c>
      <c r="S385" s="12" t="b">
        <v>0</v>
      </c>
      <c r="T385" s="12" t="b">
        <v>1</v>
      </c>
      <c r="U385" s="12" t="b">
        <v>0</v>
      </c>
      <c r="V385" s="12" t="b">
        <v>1</v>
      </c>
      <c r="W385" s="12" t="b">
        <v>0</v>
      </c>
      <c r="X385" s="12">
        <v>1</v>
      </c>
      <c r="Y385" s="12" t="b">
        <v>0</v>
      </c>
      <c r="Z385" s="12" t="b">
        <v>0</v>
      </c>
      <c r="AA385" s="12" t="b">
        <v>0</v>
      </c>
      <c r="AB385" s="12" t="b">
        <v>0</v>
      </c>
      <c r="AC385" s="12" t="b">
        <v>0</v>
      </c>
      <c r="AD385" s="12" t="b">
        <v>1</v>
      </c>
      <c r="AE385" s="12" t="b">
        <v>0</v>
      </c>
      <c r="AF385" s="12" t="b">
        <v>1</v>
      </c>
      <c r="AG385" s="12" t="b">
        <v>1</v>
      </c>
      <c r="AH385" s="12">
        <v>1</v>
      </c>
      <c r="AI385" s="12" t="b">
        <v>0</v>
      </c>
      <c r="AJ385" s="12" t="b">
        <v>0</v>
      </c>
      <c r="AK385" s="12" t="b">
        <v>1</v>
      </c>
      <c r="AL385" s="12">
        <v>1</v>
      </c>
      <c r="AM385" s="12" t="s">
        <v>900</v>
      </c>
      <c r="AN385" s="12">
        <v>1</v>
      </c>
    </row>
    <row r="386" spans="1:40" x14ac:dyDescent="0.3">
      <c r="A386" s="62" t="s">
        <v>2180</v>
      </c>
      <c r="B386" s="62"/>
      <c r="C386" s="63" t="s">
        <v>1939</v>
      </c>
      <c r="D386" s="52" t="s">
        <v>1631</v>
      </c>
      <c r="E386" s="12" t="s">
        <v>1761</v>
      </c>
      <c r="F386" s="12" t="s">
        <v>1550</v>
      </c>
      <c r="G386" s="12" t="b">
        <v>1</v>
      </c>
      <c r="H386" s="12" t="b">
        <v>1</v>
      </c>
      <c r="I386" s="12" t="b">
        <v>1</v>
      </c>
      <c r="J386" s="12" t="b">
        <v>1</v>
      </c>
      <c r="K386" s="12" t="b">
        <v>0</v>
      </c>
      <c r="L386" s="12" t="b">
        <v>0</v>
      </c>
      <c r="M386" s="12" t="b">
        <v>0</v>
      </c>
      <c r="N386" s="12">
        <v>0</v>
      </c>
      <c r="O386" s="12" t="b">
        <v>0</v>
      </c>
      <c r="P386" s="12" t="b">
        <v>0</v>
      </c>
      <c r="Q386" s="12" t="b">
        <v>0</v>
      </c>
      <c r="R386" s="12" t="b">
        <v>0</v>
      </c>
      <c r="S386" s="12" t="b">
        <v>0</v>
      </c>
      <c r="T386" s="12" t="b">
        <v>1</v>
      </c>
      <c r="U386" s="12" t="b">
        <v>0</v>
      </c>
      <c r="V386" s="12" t="b">
        <v>1</v>
      </c>
      <c r="W386" s="12" t="b">
        <v>0</v>
      </c>
      <c r="X386" s="12">
        <v>1</v>
      </c>
      <c r="Y386" s="12" t="b">
        <v>0</v>
      </c>
      <c r="Z386" s="12" t="b">
        <v>0</v>
      </c>
      <c r="AA386" s="12" t="b">
        <v>0</v>
      </c>
      <c r="AB386" s="12" t="b">
        <v>0</v>
      </c>
      <c r="AC386" s="12" t="b">
        <v>0</v>
      </c>
      <c r="AD386" s="12" t="b">
        <v>1</v>
      </c>
      <c r="AE386" s="12" t="b">
        <v>0</v>
      </c>
      <c r="AF386" s="12" t="b">
        <v>1</v>
      </c>
      <c r="AG386" s="12" t="b">
        <v>1</v>
      </c>
      <c r="AH386" s="12">
        <v>1</v>
      </c>
      <c r="AI386" s="12" t="b">
        <v>0</v>
      </c>
      <c r="AJ386" s="12" t="b">
        <v>0</v>
      </c>
      <c r="AK386" s="12" t="b">
        <v>1</v>
      </c>
      <c r="AL386" s="12">
        <v>1</v>
      </c>
      <c r="AM386" s="12" t="s">
        <v>900</v>
      </c>
      <c r="AN386" s="12">
        <v>1</v>
      </c>
    </row>
    <row r="387" spans="1:40" x14ac:dyDescent="0.3">
      <c r="A387" s="62" t="s">
        <v>2180</v>
      </c>
      <c r="B387" s="62"/>
      <c r="C387" s="63"/>
      <c r="D387" s="63"/>
      <c r="E387" s="12" t="s">
        <v>1017</v>
      </c>
      <c r="F387" s="12" t="s">
        <v>1233</v>
      </c>
      <c r="G387" s="12" t="b">
        <v>1</v>
      </c>
      <c r="H387" s="12" t="b">
        <v>1</v>
      </c>
      <c r="I387" s="12" t="b">
        <v>1</v>
      </c>
      <c r="J387" s="12" t="b">
        <v>1</v>
      </c>
      <c r="K387" s="12" t="b">
        <v>0</v>
      </c>
      <c r="L387" s="12" t="b">
        <v>0</v>
      </c>
      <c r="M387" s="12" t="b">
        <v>0</v>
      </c>
      <c r="N387" s="12">
        <v>0</v>
      </c>
      <c r="O387" s="12" t="b">
        <v>0</v>
      </c>
      <c r="P387" s="12" t="b">
        <v>0</v>
      </c>
      <c r="Q387" s="12" t="b">
        <v>0</v>
      </c>
      <c r="R387" s="12" t="b">
        <v>0</v>
      </c>
      <c r="S387" s="12" t="b">
        <v>0</v>
      </c>
      <c r="T387" s="12" t="b">
        <v>1</v>
      </c>
      <c r="U387" s="12" t="b">
        <v>0</v>
      </c>
      <c r="V387" s="12" t="b">
        <v>1</v>
      </c>
      <c r="W387" s="12" t="b">
        <v>0</v>
      </c>
      <c r="X387" s="12">
        <v>1</v>
      </c>
      <c r="Y387" s="12" t="b">
        <v>0</v>
      </c>
      <c r="Z387" s="12" t="b">
        <v>0</v>
      </c>
      <c r="AA387" s="12" t="b">
        <v>0</v>
      </c>
      <c r="AB387" s="12" t="b">
        <v>0</v>
      </c>
      <c r="AC387" s="12" t="b">
        <v>0</v>
      </c>
      <c r="AD387" s="12" t="b">
        <v>1</v>
      </c>
      <c r="AE387" s="12" t="b">
        <v>0</v>
      </c>
      <c r="AF387" s="12" t="b">
        <v>1</v>
      </c>
      <c r="AG387" s="12" t="b">
        <v>0</v>
      </c>
      <c r="AH387" s="12">
        <v>1</v>
      </c>
      <c r="AI387" s="12" t="b">
        <v>0</v>
      </c>
      <c r="AJ387" s="12" t="b">
        <v>0</v>
      </c>
      <c r="AK387" s="12" t="b">
        <v>1</v>
      </c>
      <c r="AL387" s="12">
        <v>1</v>
      </c>
      <c r="AM387" s="12" t="s">
        <v>900</v>
      </c>
      <c r="AN387" s="12">
        <v>1</v>
      </c>
    </row>
    <row r="388" spans="1:40" x14ac:dyDescent="0.3">
      <c r="A388" s="62" t="s">
        <v>2180</v>
      </c>
      <c r="B388" s="62"/>
      <c r="C388" s="63"/>
      <c r="D388" s="63"/>
      <c r="E388" s="12" t="s">
        <v>1019</v>
      </c>
      <c r="F388" s="12" t="s">
        <v>1234</v>
      </c>
      <c r="G388" s="12" t="b">
        <v>0</v>
      </c>
      <c r="H388" s="12" t="b">
        <v>1</v>
      </c>
      <c r="I388" s="12" t="b">
        <v>1</v>
      </c>
      <c r="J388" s="12" t="b">
        <v>1</v>
      </c>
      <c r="K388" s="12" t="b">
        <v>0</v>
      </c>
      <c r="L388" s="12" t="b">
        <v>1</v>
      </c>
      <c r="M388" s="12" t="b">
        <v>0</v>
      </c>
      <c r="N388" s="12">
        <v>0</v>
      </c>
      <c r="O388" s="12" t="b">
        <v>0</v>
      </c>
      <c r="P388" s="12" t="b">
        <v>0</v>
      </c>
      <c r="Q388" s="12" t="b">
        <v>0</v>
      </c>
      <c r="R388" s="12" t="b">
        <v>0</v>
      </c>
      <c r="S388" s="12" t="b">
        <v>0</v>
      </c>
      <c r="T388" s="12" t="b">
        <v>1</v>
      </c>
      <c r="U388" s="12" t="b">
        <v>0</v>
      </c>
      <c r="V388" s="12" t="b">
        <v>1</v>
      </c>
      <c r="W388" s="12" t="b">
        <v>0</v>
      </c>
      <c r="X388" s="12">
        <v>1</v>
      </c>
      <c r="Y388" s="12" t="b">
        <v>0</v>
      </c>
      <c r="Z388" s="12" t="b">
        <v>0</v>
      </c>
      <c r="AA388" s="12" t="b">
        <v>1</v>
      </c>
      <c r="AB388" s="12" t="b">
        <v>1</v>
      </c>
      <c r="AC388" s="12" t="b">
        <v>1</v>
      </c>
      <c r="AD388" s="12" t="b">
        <v>1</v>
      </c>
      <c r="AE388" s="12" t="b">
        <v>0</v>
      </c>
      <c r="AF388" s="12" t="b">
        <v>0</v>
      </c>
      <c r="AG388" s="12" t="b">
        <v>0</v>
      </c>
      <c r="AH388" s="12">
        <v>0</v>
      </c>
      <c r="AI388" s="12" t="b">
        <v>0</v>
      </c>
      <c r="AJ388" s="12" t="b">
        <v>0</v>
      </c>
      <c r="AK388" s="12" t="b">
        <v>1</v>
      </c>
      <c r="AL388" s="12">
        <v>1</v>
      </c>
      <c r="AM388" s="12" t="s">
        <v>900</v>
      </c>
      <c r="AN388" s="12">
        <v>1</v>
      </c>
    </row>
    <row r="389" spans="1:40" x14ac:dyDescent="0.3">
      <c r="A389" s="62" t="s">
        <v>2180</v>
      </c>
      <c r="B389" s="62"/>
      <c r="C389" s="63"/>
      <c r="D389" s="63"/>
      <c r="E389" s="12" t="s">
        <v>1314</v>
      </c>
      <c r="F389" s="12" t="s">
        <v>1315</v>
      </c>
      <c r="G389" s="12" t="b">
        <v>0</v>
      </c>
      <c r="H389" s="12" t="b">
        <v>1</v>
      </c>
      <c r="I389" s="12" t="b">
        <v>1</v>
      </c>
      <c r="J389" s="12" t="b">
        <v>1</v>
      </c>
      <c r="K389" s="12" t="b">
        <v>0</v>
      </c>
      <c r="L389" s="12" t="b">
        <v>0</v>
      </c>
      <c r="M389" s="12" t="b">
        <v>0</v>
      </c>
      <c r="N389" s="12">
        <v>0</v>
      </c>
      <c r="O389" s="12" t="b">
        <v>0</v>
      </c>
      <c r="P389" s="12" t="b">
        <v>0</v>
      </c>
      <c r="Q389" s="12" t="b">
        <v>0</v>
      </c>
      <c r="R389" s="12" t="b">
        <v>0</v>
      </c>
      <c r="S389" s="12" t="b">
        <v>0</v>
      </c>
      <c r="T389" s="12" t="b">
        <v>0</v>
      </c>
      <c r="U389" s="12" t="b">
        <v>0</v>
      </c>
      <c r="V389" s="12" t="b">
        <v>0</v>
      </c>
      <c r="W389" s="12" t="b">
        <v>0</v>
      </c>
      <c r="X389" s="12">
        <v>12</v>
      </c>
      <c r="Y389" s="12" t="b">
        <v>0</v>
      </c>
      <c r="Z389" s="12" t="b">
        <v>0</v>
      </c>
      <c r="AA389" s="12" t="b">
        <v>0</v>
      </c>
      <c r="AB389" s="12" t="b">
        <v>0</v>
      </c>
      <c r="AC389" s="12" t="b">
        <v>0</v>
      </c>
      <c r="AD389" s="12" t="b">
        <v>0</v>
      </c>
      <c r="AE389" s="12" t="b">
        <v>0</v>
      </c>
      <c r="AF389" s="12" t="b">
        <v>0</v>
      </c>
      <c r="AG389" s="12" t="b">
        <v>0</v>
      </c>
      <c r="AH389" s="12">
        <v>5</v>
      </c>
      <c r="AI389" s="12" t="b">
        <v>0</v>
      </c>
      <c r="AJ389" s="12" t="b">
        <v>0</v>
      </c>
      <c r="AK389" s="12" t="b">
        <v>1</v>
      </c>
      <c r="AL389" s="12">
        <v>1</v>
      </c>
      <c r="AM389" s="12" t="s">
        <v>1476</v>
      </c>
      <c r="AN389" s="12">
        <v>1</v>
      </c>
    </row>
    <row r="390" spans="1:40" x14ac:dyDescent="0.3">
      <c r="A390" s="62" t="s">
        <v>2180</v>
      </c>
      <c r="B390" s="62"/>
      <c r="C390" s="63"/>
      <c r="D390" s="63"/>
      <c r="E390" s="12" t="s">
        <v>1316</v>
      </c>
      <c r="F390" s="12" t="s">
        <v>1317</v>
      </c>
      <c r="G390" s="12" t="b">
        <v>0</v>
      </c>
      <c r="H390" s="12" t="b">
        <v>1</v>
      </c>
      <c r="I390" s="12" t="b">
        <v>1</v>
      </c>
      <c r="J390" s="12" t="b">
        <v>1</v>
      </c>
      <c r="K390" s="12" t="b">
        <v>0</v>
      </c>
      <c r="L390" s="12" t="b">
        <v>1</v>
      </c>
      <c r="M390" s="12" t="b">
        <v>0</v>
      </c>
      <c r="N390" s="12">
        <v>0</v>
      </c>
      <c r="O390" s="12" t="b">
        <v>0</v>
      </c>
      <c r="P390" s="12" t="b">
        <v>0</v>
      </c>
      <c r="Q390" s="12" t="b">
        <v>0</v>
      </c>
      <c r="R390" s="12" t="b">
        <v>0</v>
      </c>
      <c r="S390" s="12" t="b">
        <v>0</v>
      </c>
      <c r="T390" s="12" t="b">
        <v>0</v>
      </c>
      <c r="U390" s="12" t="b">
        <v>0</v>
      </c>
      <c r="V390" s="12" t="b">
        <v>0</v>
      </c>
      <c r="W390" s="12" t="b">
        <v>0</v>
      </c>
      <c r="X390" s="12">
        <v>12</v>
      </c>
      <c r="Y390" s="12" t="b">
        <v>0</v>
      </c>
      <c r="Z390" s="12" t="b">
        <v>0</v>
      </c>
      <c r="AA390" s="12" t="b">
        <v>0</v>
      </c>
      <c r="AB390" s="12" t="b">
        <v>0</v>
      </c>
      <c r="AC390" s="12" t="b">
        <v>0</v>
      </c>
      <c r="AD390" s="12" t="b">
        <v>0</v>
      </c>
      <c r="AE390" s="12" t="b">
        <v>0</v>
      </c>
      <c r="AF390" s="12" t="b">
        <v>0</v>
      </c>
      <c r="AG390" s="12" t="b">
        <v>0</v>
      </c>
      <c r="AH390" s="12">
        <v>7</v>
      </c>
      <c r="AI390" s="12" t="b">
        <v>0</v>
      </c>
      <c r="AJ390" s="12" t="b">
        <v>0</v>
      </c>
      <c r="AK390" s="12" t="b">
        <v>1</v>
      </c>
      <c r="AL390" s="12">
        <v>1</v>
      </c>
      <c r="AM390" s="12" t="s">
        <v>1476</v>
      </c>
      <c r="AN390" s="12">
        <v>1</v>
      </c>
    </row>
    <row r="391" spans="1:40" x14ac:dyDescent="0.3">
      <c r="A391" s="62" t="s">
        <v>2180</v>
      </c>
      <c r="B391" s="62"/>
      <c r="C391" s="63"/>
      <c r="D391" s="63"/>
      <c r="E391" s="12" t="s">
        <v>1318</v>
      </c>
      <c r="F391" s="12" t="s">
        <v>1319</v>
      </c>
      <c r="G391" s="12" t="b">
        <v>0</v>
      </c>
      <c r="H391" s="12" t="b">
        <v>1</v>
      </c>
      <c r="I391" s="12" t="b">
        <v>1</v>
      </c>
      <c r="J391" s="12" t="b">
        <v>1</v>
      </c>
      <c r="K391" s="12" t="b">
        <v>0</v>
      </c>
      <c r="L391" s="12" t="b">
        <v>0</v>
      </c>
      <c r="M391" s="12" t="b">
        <v>0</v>
      </c>
      <c r="N391" s="12">
        <v>0</v>
      </c>
      <c r="O391" s="12" t="b">
        <v>0</v>
      </c>
      <c r="P391" s="12" t="b">
        <v>0</v>
      </c>
      <c r="Q391" s="12" t="b">
        <v>0</v>
      </c>
      <c r="R391" s="12" t="b">
        <v>0</v>
      </c>
      <c r="S391" s="12" t="b">
        <v>0</v>
      </c>
      <c r="T391" s="12" t="b">
        <v>0</v>
      </c>
      <c r="U391" s="12" t="b">
        <v>0</v>
      </c>
      <c r="V391" s="12" t="b">
        <v>0</v>
      </c>
      <c r="W391" s="12" t="b">
        <v>0</v>
      </c>
      <c r="X391" s="12">
        <v>12</v>
      </c>
      <c r="Y391" s="12" t="b">
        <v>0</v>
      </c>
      <c r="Z391" s="12" t="b">
        <v>0</v>
      </c>
      <c r="AA391" s="12" t="b">
        <v>0</v>
      </c>
      <c r="AB391" s="12" t="b">
        <v>0</v>
      </c>
      <c r="AC391" s="12" t="b">
        <v>0</v>
      </c>
      <c r="AD391" s="12" t="b">
        <v>0</v>
      </c>
      <c r="AE391" s="12" t="b">
        <v>0</v>
      </c>
      <c r="AF391" s="12" t="b">
        <v>0</v>
      </c>
      <c r="AG391" s="12" t="b">
        <v>0</v>
      </c>
      <c r="AH391" s="12">
        <v>5</v>
      </c>
      <c r="AI391" s="12" t="b">
        <v>0</v>
      </c>
      <c r="AJ391" s="12" t="b">
        <v>0</v>
      </c>
      <c r="AK391" s="12" t="b">
        <v>1</v>
      </c>
      <c r="AL391" s="12">
        <v>1</v>
      </c>
      <c r="AM391" s="12" t="s">
        <v>1476</v>
      </c>
      <c r="AN391" s="12">
        <v>1</v>
      </c>
    </row>
    <row r="392" spans="1:40" x14ac:dyDescent="0.3">
      <c r="A392" s="62" t="s">
        <v>2180</v>
      </c>
      <c r="B392" s="62"/>
      <c r="C392" s="63"/>
      <c r="D392" s="63"/>
      <c r="E392" s="12" t="s">
        <v>1320</v>
      </c>
      <c r="F392" s="12" t="s">
        <v>1321</v>
      </c>
      <c r="G392" s="12" t="b">
        <v>0</v>
      </c>
      <c r="H392" s="12" t="b">
        <v>1</v>
      </c>
      <c r="I392" s="12" t="b">
        <v>1</v>
      </c>
      <c r="J392" s="12" t="b">
        <v>1</v>
      </c>
      <c r="K392" s="12" t="b">
        <v>0</v>
      </c>
      <c r="L392" s="12" t="b">
        <v>1</v>
      </c>
      <c r="M392" s="12" t="b">
        <v>0</v>
      </c>
      <c r="N392" s="12">
        <v>0</v>
      </c>
      <c r="O392" s="12" t="b">
        <v>0</v>
      </c>
      <c r="P392" s="12" t="b">
        <v>0</v>
      </c>
      <c r="Q392" s="12" t="b">
        <v>0</v>
      </c>
      <c r="R392" s="12" t="b">
        <v>0</v>
      </c>
      <c r="S392" s="12" t="b">
        <v>0</v>
      </c>
      <c r="T392" s="12" t="b">
        <v>0</v>
      </c>
      <c r="U392" s="12" t="b">
        <v>0</v>
      </c>
      <c r="V392" s="12" t="b">
        <v>0</v>
      </c>
      <c r="W392" s="12" t="b">
        <v>0</v>
      </c>
      <c r="X392" s="12">
        <v>12</v>
      </c>
      <c r="Y392" s="12" t="b">
        <v>0</v>
      </c>
      <c r="Z392" s="12" t="b">
        <v>0</v>
      </c>
      <c r="AA392" s="12" t="b">
        <v>0</v>
      </c>
      <c r="AB392" s="12" t="b">
        <v>0</v>
      </c>
      <c r="AC392" s="12" t="b">
        <v>0</v>
      </c>
      <c r="AD392" s="12" t="b">
        <v>0</v>
      </c>
      <c r="AE392" s="12" t="b">
        <v>0</v>
      </c>
      <c r="AF392" s="12" t="b">
        <v>0</v>
      </c>
      <c r="AG392" s="12" t="b">
        <v>0</v>
      </c>
      <c r="AH392" s="12">
        <v>7</v>
      </c>
      <c r="AI392" s="12" t="b">
        <v>0</v>
      </c>
      <c r="AJ392" s="12" t="b">
        <v>0</v>
      </c>
      <c r="AK392" s="12" t="b">
        <v>1</v>
      </c>
      <c r="AL392" s="12">
        <v>1</v>
      </c>
      <c r="AM392" s="12" t="s">
        <v>1476</v>
      </c>
      <c r="AN392" s="12">
        <v>1</v>
      </c>
    </row>
    <row r="393" spans="1:40" x14ac:dyDescent="0.3">
      <c r="A393" s="62" t="s">
        <v>2180</v>
      </c>
      <c r="B393" s="62"/>
      <c r="C393" s="63"/>
      <c r="D393" s="63"/>
      <c r="E393" s="12" t="s">
        <v>1524</v>
      </c>
      <c r="F393" s="12" t="s">
        <v>1568</v>
      </c>
      <c r="G393" s="12" t="b">
        <v>0</v>
      </c>
      <c r="H393" s="12" t="b">
        <v>1</v>
      </c>
      <c r="I393" s="12" t="b">
        <v>1</v>
      </c>
      <c r="J393" s="12" t="b">
        <v>1</v>
      </c>
      <c r="K393" s="12" t="b">
        <v>0</v>
      </c>
      <c r="L393" s="12" t="b">
        <v>0</v>
      </c>
      <c r="M393" s="12" t="b">
        <v>0</v>
      </c>
      <c r="N393" s="12">
        <v>0</v>
      </c>
      <c r="O393" s="12" t="b">
        <v>0</v>
      </c>
      <c r="P393" s="12" t="b">
        <v>0</v>
      </c>
      <c r="Q393" s="12" t="b">
        <v>0</v>
      </c>
      <c r="R393" s="12" t="b">
        <v>0</v>
      </c>
      <c r="S393" s="12" t="b">
        <v>0</v>
      </c>
      <c r="T393" s="12" t="b">
        <v>0</v>
      </c>
      <c r="U393" s="12" t="b">
        <v>0</v>
      </c>
      <c r="V393" s="12" t="b">
        <v>0</v>
      </c>
      <c r="W393" s="12" t="b">
        <v>0</v>
      </c>
      <c r="X393" s="12">
        <v>1</v>
      </c>
      <c r="Y393" s="12" t="b">
        <v>0</v>
      </c>
      <c r="Z393" s="12" t="b">
        <v>0</v>
      </c>
      <c r="AA393" s="12" t="b">
        <v>1</v>
      </c>
      <c r="AB393" s="12" t="b">
        <v>1</v>
      </c>
      <c r="AC393" s="12" t="b">
        <v>1</v>
      </c>
      <c r="AD393" s="12" t="b">
        <v>1</v>
      </c>
      <c r="AE393" s="12" t="b">
        <v>0</v>
      </c>
      <c r="AF393" s="12" t="b">
        <v>0</v>
      </c>
      <c r="AG393" s="12" t="b">
        <v>0</v>
      </c>
      <c r="AH393" s="12">
        <v>1</v>
      </c>
      <c r="AI393" s="12" t="b">
        <v>0</v>
      </c>
      <c r="AJ393" s="12" t="b">
        <v>0</v>
      </c>
      <c r="AK393" s="12" t="b">
        <v>1</v>
      </c>
      <c r="AL393" s="12">
        <v>0</v>
      </c>
      <c r="AM393" s="12" t="s">
        <v>922</v>
      </c>
      <c r="AN393" s="12">
        <v>0</v>
      </c>
    </row>
    <row r="394" spans="1:40" x14ac:dyDescent="0.3">
      <c r="A394" s="62" t="s">
        <v>2180</v>
      </c>
      <c r="B394" s="62"/>
      <c r="C394" s="63"/>
      <c r="D394" s="63"/>
      <c r="E394" s="12" t="s">
        <v>1525</v>
      </c>
      <c r="F394" s="12" t="s">
        <v>1569</v>
      </c>
      <c r="G394" s="12" t="b">
        <v>0</v>
      </c>
      <c r="H394" s="12" t="b">
        <v>1</v>
      </c>
      <c r="I394" s="12" t="b">
        <v>1</v>
      </c>
      <c r="J394" s="12" t="b">
        <v>1</v>
      </c>
      <c r="K394" s="12" t="b">
        <v>0</v>
      </c>
      <c r="L394" s="12" t="b">
        <v>0</v>
      </c>
      <c r="M394" s="12" t="b">
        <v>0</v>
      </c>
      <c r="N394" s="12">
        <v>0</v>
      </c>
      <c r="O394" s="12" t="b">
        <v>0</v>
      </c>
      <c r="P394" s="12" t="b">
        <v>0</v>
      </c>
      <c r="Q394" s="12" t="b">
        <v>0</v>
      </c>
      <c r="R394" s="12" t="b">
        <v>0</v>
      </c>
      <c r="S394" s="12" t="b">
        <v>0</v>
      </c>
      <c r="T394" s="12" t="b">
        <v>0</v>
      </c>
      <c r="U394" s="12" t="b">
        <v>0</v>
      </c>
      <c r="V394" s="12" t="b">
        <v>0</v>
      </c>
      <c r="W394" s="12" t="b">
        <v>0</v>
      </c>
      <c r="X394" s="12">
        <v>1</v>
      </c>
      <c r="Y394" s="12" t="b">
        <v>0</v>
      </c>
      <c r="Z394" s="12" t="b">
        <v>0</v>
      </c>
      <c r="AA394" s="12" t="b">
        <v>1</v>
      </c>
      <c r="AB394" s="12" t="b">
        <v>1</v>
      </c>
      <c r="AC394" s="12" t="b">
        <v>1</v>
      </c>
      <c r="AD394" s="12" t="b">
        <v>1</v>
      </c>
      <c r="AE394" s="12" t="b">
        <v>0</v>
      </c>
      <c r="AF394" s="12" t="b">
        <v>0</v>
      </c>
      <c r="AG394" s="12" t="b">
        <v>0</v>
      </c>
      <c r="AH394" s="12">
        <v>1</v>
      </c>
      <c r="AI394" s="12" t="b">
        <v>0</v>
      </c>
      <c r="AJ394" s="12" t="b">
        <v>0</v>
      </c>
      <c r="AK394" s="12" t="b">
        <v>1</v>
      </c>
      <c r="AL394" s="12">
        <v>0</v>
      </c>
      <c r="AM394" s="12" t="s">
        <v>922</v>
      </c>
      <c r="AN394" s="12">
        <v>0</v>
      </c>
    </row>
    <row r="395" spans="1:40" x14ac:dyDescent="0.3">
      <c r="A395" s="62" t="s">
        <v>2180</v>
      </c>
      <c r="B395" s="62"/>
      <c r="C395" s="63"/>
      <c r="D395" s="63"/>
      <c r="E395" s="12" t="s">
        <v>1264</v>
      </c>
      <c r="F395" s="12" t="s">
        <v>1265</v>
      </c>
      <c r="G395" s="12" t="b">
        <v>0</v>
      </c>
      <c r="H395" s="12" t="b">
        <v>0</v>
      </c>
      <c r="I395" s="12" t="b">
        <v>0</v>
      </c>
      <c r="J395" s="12" t="b">
        <v>1</v>
      </c>
      <c r="K395" s="12" t="b">
        <v>0</v>
      </c>
      <c r="L395" s="12" t="b">
        <v>1</v>
      </c>
      <c r="M395" s="12" t="b">
        <v>0</v>
      </c>
      <c r="N395" s="12">
        <v>0</v>
      </c>
      <c r="O395" s="12" t="b">
        <v>0</v>
      </c>
      <c r="P395" s="12" t="b">
        <v>0</v>
      </c>
      <c r="Q395" s="12" t="b">
        <v>0</v>
      </c>
      <c r="R395" s="12" t="b">
        <v>0</v>
      </c>
      <c r="S395" s="12" t="b">
        <v>0</v>
      </c>
      <c r="T395" s="12" t="b">
        <v>1</v>
      </c>
      <c r="U395" s="12" t="b">
        <v>0</v>
      </c>
      <c r="V395" s="12" t="b">
        <v>1</v>
      </c>
      <c r="W395" s="12" t="b">
        <v>0</v>
      </c>
      <c r="X395" s="12">
        <v>1</v>
      </c>
      <c r="Y395" s="12" t="b">
        <v>0</v>
      </c>
      <c r="Z395" s="12" t="b">
        <v>0</v>
      </c>
      <c r="AA395" s="12" t="b">
        <v>0</v>
      </c>
      <c r="AB395" s="12" t="b">
        <v>0</v>
      </c>
      <c r="AC395" s="12" t="b">
        <v>0</v>
      </c>
      <c r="AD395" s="12" t="b">
        <v>1</v>
      </c>
      <c r="AE395" s="12" t="b">
        <v>0</v>
      </c>
      <c r="AF395" s="12" t="b">
        <v>1</v>
      </c>
      <c r="AG395" s="12" t="b">
        <v>0</v>
      </c>
      <c r="AH395" s="12">
        <v>1</v>
      </c>
      <c r="AI395" s="12" t="b">
        <v>0</v>
      </c>
      <c r="AJ395" s="12" t="b">
        <v>0</v>
      </c>
      <c r="AK395" s="12" t="b">
        <v>1</v>
      </c>
      <c r="AL395" s="12">
        <v>0</v>
      </c>
      <c r="AM395" s="12" t="s">
        <v>922</v>
      </c>
      <c r="AN395" s="12">
        <v>0</v>
      </c>
    </row>
    <row r="396" spans="1:40" x14ac:dyDescent="0.3">
      <c r="A396" s="62" t="s">
        <v>2180</v>
      </c>
      <c r="B396" s="62"/>
      <c r="C396" s="63"/>
      <c r="D396" s="63"/>
      <c r="E396" s="12" t="s">
        <v>1266</v>
      </c>
      <c r="F396" s="12" t="s">
        <v>1267</v>
      </c>
      <c r="G396" s="12" t="b">
        <v>0</v>
      </c>
      <c r="H396" s="12" t="b">
        <v>0</v>
      </c>
      <c r="I396" s="12" t="b">
        <v>0</v>
      </c>
      <c r="J396" s="12" t="b">
        <v>1</v>
      </c>
      <c r="K396" s="12" t="b">
        <v>0</v>
      </c>
      <c r="L396" s="12" t="b">
        <v>1</v>
      </c>
      <c r="M396" s="12" t="b">
        <v>0</v>
      </c>
      <c r="N396" s="12">
        <v>0</v>
      </c>
      <c r="O396" s="12" t="b">
        <v>0</v>
      </c>
      <c r="P396" s="12" t="b">
        <v>0</v>
      </c>
      <c r="Q396" s="12" t="b">
        <v>0</v>
      </c>
      <c r="R396" s="12" t="b">
        <v>0</v>
      </c>
      <c r="S396" s="12" t="b">
        <v>0</v>
      </c>
      <c r="T396" s="12" t="b">
        <v>1</v>
      </c>
      <c r="U396" s="12" t="b">
        <v>0</v>
      </c>
      <c r="V396" s="12" t="b">
        <v>1</v>
      </c>
      <c r="W396" s="12" t="b">
        <v>0</v>
      </c>
      <c r="X396" s="12">
        <v>1</v>
      </c>
      <c r="Y396" s="12" t="b">
        <v>0</v>
      </c>
      <c r="Z396" s="12" t="b">
        <v>0</v>
      </c>
      <c r="AA396" s="12" t="b">
        <v>0</v>
      </c>
      <c r="AB396" s="12" t="b">
        <v>0</v>
      </c>
      <c r="AC396" s="12" t="b">
        <v>0</v>
      </c>
      <c r="AD396" s="12" t="b">
        <v>1</v>
      </c>
      <c r="AE396" s="12" t="b">
        <v>0</v>
      </c>
      <c r="AF396" s="12" t="b">
        <v>1</v>
      </c>
      <c r="AG396" s="12" t="b">
        <v>0</v>
      </c>
      <c r="AH396" s="12">
        <v>1</v>
      </c>
      <c r="AI396" s="12" t="b">
        <v>0</v>
      </c>
      <c r="AJ396" s="12" t="b">
        <v>0</v>
      </c>
      <c r="AK396" s="12" t="b">
        <v>1</v>
      </c>
      <c r="AL396" s="12">
        <v>0</v>
      </c>
      <c r="AM396" s="12" t="s">
        <v>922</v>
      </c>
      <c r="AN396" s="12">
        <v>0</v>
      </c>
    </row>
    <row r="397" spans="1:40" x14ac:dyDescent="0.3">
      <c r="A397" s="62" t="s">
        <v>2180</v>
      </c>
      <c r="B397" s="62"/>
      <c r="C397" s="63"/>
      <c r="D397" s="63"/>
      <c r="E397" s="12" t="s">
        <v>1268</v>
      </c>
      <c r="F397" s="12" t="s">
        <v>1269</v>
      </c>
      <c r="G397" s="12" t="b">
        <v>0</v>
      </c>
      <c r="H397" s="12" t="b">
        <v>0</v>
      </c>
      <c r="I397" s="12" t="b">
        <v>0</v>
      </c>
      <c r="J397" s="12" t="b">
        <v>1</v>
      </c>
      <c r="K397" s="12" t="b">
        <v>0</v>
      </c>
      <c r="L397" s="12" t="b">
        <v>1</v>
      </c>
      <c r="M397" s="12" t="b">
        <v>0</v>
      </c>
      <c r="N397" s="12">
        <v>0</v>
      </c>
      <c r="O397" s="12" t="b">
        <v>0</v>
      </c>
      <c r="P397" s="12" t="b">
        <v>0</v>
      </c>
      <c r="Q397" s="12" t="b">
        <v>0</v>
      </c>
      <c r="R397" s="12" t="b">
        <v>0</v>
      </c>
      <c r="S397" s="12" t="b">
        <v>0</v>
      </c>
      <c r="T397" s="12" t="b">
        <v>1</v>
      </c>
      <c r="U397" s="12" t="b">
        <v>0</v>
      </c>
      <c r="V397" s="12" t="b">
        <v>1</v>
      </c>
      <c r="W397" s="12" t="b">
        <v>0</v>
      </c>
      <c r="X397" s="12">
        <v>1</v>
      </c>
      <c r="Y397" s="12" t="b">
        <v>0</v>
      </c>
      <c r="Z397" s="12" t="b">
        <v>0</v>
      </c>
      <c r="AA397" s="12" t="b">
        <v>0</v>
      </c>
      <c r="AB397" s="12" t="b">
        <v>0</v>
      </c>
      <c r="AC397" s="12" t="b">
        <v>0</v>
      </c>
      <c r="AD397" s="12" t="b">
        <v>1</v>
      </c>
      <c r="AE397" s="12" t="b">
        <v>0</v>
      </c>
      <c r="AF397" s="12" t="b">
        <v>1</v>
      </c>
      <c r="AG397" s="12" t="b">
        <v>0</v>
      </c>
      <c r="AH397" s="12">
        <v>1</v>
      </c>
      <c r="AI397" s="12" t="b">
        <v>0</v>
      </c>
      <c r="AJ397" s="12" t="b">
        <v>0</v>
      </c>
      <c r="AK397" s="12" t="b">
        <v>1</v>
      </c>
      <c r="AL397" s="12">
        <v>0</v>
      </c>
      <c r="AM397" s="12" t="s">
        <v>922</v>
      </c>
      <c r="AN397" s="12">
        <v>0</v>
      </c>
    </row>
    <row r="398" spans="1:40" x14ac:dyDescent="0.3">
      <c r="A398" s="62" t="s">
        <v>2180</v>
      </c>
      <c r="B398" s="62"/>
      <c r="C398" s="63"/>
      <c r="D398" s="63"/>
      <c r="E398" s="12" t="s">
        <v>1270</v>
      </c>
      <c r="F398" s="12" t="s">
        <v>1271</v>
      </c>
      <c r="G398" s="12" t="b">
        <v>0</v>
      </c>
      <c r="H398" s="12" t="b">
        <v>0</v>
      </c>
      <c r="I398" s="12" t="b">
        <v>0</v>
      </c>
      <c r="J398" s="12" t="b">
        <v>1</v>
      </c>
      <c r="K398" s="12" t="b">
        <v>0</v>
      </c>
      <c r="L398" s="12" t="b">
        <v>1</v>
      </c>
      <c r="M398" s="12" t="b">
        <v>0</v>
      </c>
      <c r="N398" s="12">
        <v>0</v>
      </c>
      <c r="O398" s="12" t="b">
        <v>0</v>
      </c>
      <c r="P398" s="12" t="b">
        <v>0</v>
      </c>
      <c r="Q398" s="12" t="b">
        <v>0</v>
      </c>
      <c r="R398" s="12" t="b">
        <v>0</v>
      </c>
      <c r="S398" s="12" t="b">
        <v>0</v>
      </c>
      <c r="T398" s="12" t="b">
        <v>1</v>
      </c>
      <c r="U398" s="12" t="b">
        <v>0</v>
      </c>
      <c r="V398" s="12" t="b">
        <v>1</v>
      </c>
      <c r="W398" s="12" t="b">
        <v>0</v>
      </c>
      <c r="X398" s="12">
        <v>1</v>
      </c>
      <c r="Y398" s="12" t="b">
        <v>0</v>
      </c>
      <c r="Z398" s="12" t="b">
        <v>0</v>
      </c>
      <c r="AA398" s="12" t="b">
        <v>0</v>
      </c>
      <c r="AB398" s="12" t="b">
        <v>0</v>
      </c>
      <c r="AC398" s="12" t="b">
        <v>0</v>
      </c>
      <c r="AD398" s="12" t="b">
        <v>1</v>
      </c>
      <c r="AE398" s="12" t="b">
        <v>0</v>
      </c>
      <c r="AF398" s="12" t="b">
        <v>1</v>
      </c>
      <c r="AG398" s="12" t="b">
        <v>0</v>
      </c>
      <c r="AH398" s="12">
        <v>1</v>
      </c>
      <c r="AI398" s="12" t="b">
        <v>0</v>
      </c>
      <c r="AJ398" s="12" t="b">
        <v>0</v>
      </c>
      <c r="AK398" s="12" t="b">
        <v>1</v>
      </c>
      <c r="AL398" s="12">
        <v>0</v>
      </c>
      <c r="AM398" s="12" t="s">
        <v>922</v>
      </c>
      <c r="AN398" s="12">
        <v>0</v>
      </c>
    </row>
    <row r="399" spans="1:40" x14ac:dyDescent="0.3">
      <c r="A399" s="62" t="s">
        <v>2180</v>
      </c>
      <c r="B399" s="62"/>
      <c r="C399" s="63"/>
      <c r="D399" s="63"/>
      <c r="E399" s="12" t="s">
        <v>1284</v>
      </c>
      <c r="F399" s="12" t="s">
        <v>1285</v>
      </c>
      <c r="G399" s="12" t="b">
        <v>0</v>
      </c>
      <c r="H399" s="12" t="b">
        <v>1</v>
      </c>
      <c r="I399" s="12" t="b">
        <v>1</v>
      </c>
      <c r="J399" s="12" t="b">
        <v>1</v>
      </c>
      <c r="K399" s="12" t="b">
        <v>0</v>
      </c>
      <c r="L399" s="12" t="b">
        <v>0</v>
      </c>
      <c r="M399" s="12" t="b">
        <v>0</v>
      </c>
      <c r="N399" s="12">
        <v>0</v>
      </c>
      <c r="O399" s="12" t="b">
        <v>0</v>
      </c>
      <c r="P399" s="12" t="b">
        <v>0</v>
      </c>
      <c r="Q399" s="12" t="b">
        <v>0</v>
      </c>
      <c r="R399" s="12" t="b">
        <v>0</v>
      </c>
      <c r="S399" s="12" t="b">
        <v>0</v>
      </c>
      <c r="T399" s="12" t="b">
        <v>1</v>
      </c>
      <c r="U399" s="12" t="b">
        <v>0</v>
      </c>
      <c r="V399" s="12" t="b">
        <v>1</v>
      </c>
      <c r="W399" s="12" t="b">
        <v>0</v>
      </c>
      <c r="X399" s="12">
        <v>1</v>
      </c>
      <c r="Y399" s="12" t="b">
        <v>0</v>
      </c>
      <c r="Z399" s="12" t="b">
        <v>0</v>
      </c>
      <c r="AA399" s="12" t="b">
        <v>1</v>
      </c>
      <c r="AB399" s="12" t="b">
        <v>1</v>
      </c>
      <c r="AC399" s="12" t="b">
        <v>1</v>
      </c>
      <c r="AD399" s="12" t="b">
        <v>1</v>
      </c>
      <c r="AE399" s="12" t="b">
        <v>0</v>
      </c>
      <c r="AF399" s="12" t="b">
        <v>0</v>
      </c>
      <c r="AG399" s="12" t="b">
        <v>0</v>
      </c>
      <c r="AH399" s="12">
        <v>0</v>
      </c>
      <c r="AI399" s="12" t="b">
        <v>0</v>
      </c>
      <c r="AJ399" s="12" t="b">
        <v>0</v>
      </c>
      <c r="AK399" s="12" t="b">
        <v>1</v>
      </c>
      <c r="AL399" s="12">
        <v>0</v>
      </c>
      <c r="AM399" s="12" t="s">
        <v>900</v>
      </c>
      <c r="AN399" s="12">
        <v>0</v>
      </c>
    </row>
    <row r="400" spans="1:40" x14ac:dyDescent="0.3">
      <c r="A400" s="62" t="s">
        <v>2180</v>
      </c>
      <c r="B400" s="62"/>
      <c r="C400" s="63"/>
      <c r="D400" s="63"/>
      <c r="E400" s="12" t="s">
        <v>1286</v>
      </c>
      <c r="F400" s="12" t="s">
        <v>1287</v>
      </c>
      <c r="G400" s="12" t="b">
        <v>0</v>
      </c>
      <c r="H400" s="12" t="b">
        <v>1</v>
      </c>
      <c r="I400" s="12" t="b">
        <v>1</v>
      </c>
      <c r="J400" s="12" t="b">
        <v>1</v>
      </c>
      <c r="K400" s="12" t="b">
        <v>0</v>
      </c>
      <c r="L400" s="12" t="b">
        <v>0</v>
      </c>
      <c r="M400" s="12" t="b">
        <v>0</v>
      </c>
      <c r="N400" s="12">
        <v>0</v>
      </c>
      <c r="O400" s="12" t="b">
        <v>0</v>
      </c>
      <c r="P400" s="12" t="b">
        <v>0</v>
      </c>
      <c r="Q400" s="12" t="b">
        <v>0</v>
      </c>
      <c r="R400" s="12" t="b">
        <v>0</v>
      </c>
      <c r="S400" s="12" t="b">
        <v>0</v>
      </c>
      <c r="T400" s="12" t="b">
        <v>1</v>
      </c>
      <c r="U400" s="12" t="b">
        <v>0</v>
      </c>
      <c r="V400" s="12" t="b">
        <v>1</v>
      </c>
      <c r="W400" s="12" t="b">
        <v>0</v>
      </c>
      <c r="X400" s="12">
        <v>1</v>
      </c>
      <c r="Y400" s="12" t="b">
        <v>0</v>
      </c>
      <c r="Z400" s="12" t="b">
        <v>0</v>
      </c>
      <c r="AA400" s="12" t="b">
        <v>1</v>
      </c>
      <c r="AB400" s="12" t="b">
        <v>1</v>
      </c>
      <c r="AC400" s="12" t="b">
        <v>1</v>
      </c>
      <c r="AD400" s="12" t="b">
        <v>1</v>
      </c>
      <c r="AE400" s="12" t="b">
        <v>0</v>
      </c>
      <c r="AF400" s="12" t="b">
        <v>0</v>
      </c>
      <c r="AG400" s="12" t="b">
        <v>0</v>
      </c>
      <c r="AH400" s="12">
        <v>0</v>
      </c>
      <c r="AI400" s="12" t="b">
        <v>0</v>
      </c>
      <c r="AJ400" s="12" t="b">
        <v>0</v>
      </c>
      <c r="AK400" s="12" t="b">
        <v>1</v>
      </c>
      <c r="AL400" s="12">
        <v>0</v>
      </c>
      <c r="AM400" s="12" t="s">
        <v>900</v>
      </c>
      <c r="AN400" s="12">
        <v>0</v>
      </c>
    </row>
    <row r="401" spans="1:40" x14ac:dyDescent="0.3">
      <c r="A401" s="62" t="s">
        <v>2180</v>
      </c>
      <c r="B401" s="62"/>
      <c r="C401" s="63"/>
      <c r="D401" s="63"/>
      <c r="E401" s="12" t="s">
        <v>1294</v>
      </c>
      <c r="F401" s="12" t="s">
        <v>1295</v>
      </c>
      <c r="G401" s="12" t="b">
        <v>0</v>
      </c>
      <c r="H401" s="12" t="b">
        <v>1</v>
      </c>
      <c r="I401" s="12" t="b">
        <v>1</v>
      </c>
      <c r="J401" s="12" t="b">
        <v>1</v>
      </c>
      <c r="K401" s="12" t="b">
        <v>0</v>
      </c>
      <c r="L401" s="12" t="b">
        <v>0</v>
      </c>
      <c r="M401" s="12" t="b">
        <v>0</v>
      </c>
      <c r="N401" s="12">
        <v>0</v>
      </c>
      <c r="O401" s="12" t="b">
        <v>0</v>
      </c>
      <c r="P401" s="12" t="b">
        <v>0</v>
      </c>
      <c r="Q401" s="12" t="b">
        <v>0</v>
      </c>
      <c r="R401" s="12" t="b">
        <v>0</v>
      </c>
      <c r="S401" s="12" t="b">
        <v>0</v>
      </c>
      <c r="T401" s="12" t="b">
        <v>1</v>
      </c>
      <c r="U401" s="12" t="b">
        <v>0</v>
      </c>
      <c r="V401" s="12" t="b">
        <v>1</v>
      </c>
      <c r="W401" s="12" t="b">
        <v>0</v>
      </c>
      <c r="X401" s="12">
        <v>1</v>
      </c>
      <c r="Y401" s="12" t="b">
        <v>0</v>
      </c>
      <c r="Z401" s="12" t="b">
        <v>0</v>
      </c>
      <c r="AA401" s="12" t="b">
        <v>0</v>
      </c>
      <c r="AB401" s="12" t="b">
        <v>0</v>
      </c>
      <c r="AC401" s="12" t="b">
        <v>0</v>
      </c>
      <c r="AD401" s="12" t="b">
        <v>1</v>
      </c>
      <c r="AE401" s="12" t="b">
        <v>0</v>
      </c>
      <c r="AF401" s="12" t="b">
        <v>1</v>
      </c>
      <c r="AG401" s="12" t="b">
        <v>0</v>
      </c>
      <c r="AH401" s="12">
        <v>1</v>
      </c>
      <c r="AI401" s="12" t="b">
        <v>0</v>
      </c>
      <c r="AJ401" s="12" t="b">
        <v>0</v>
      </c>
      <c r="AK401" s="12" t="b">
        <v>1</v>
      </c>
      <c r="AL401" s="12">
        <v>1</v>
      </c>
      <c r="AM401" s="12" t="s">
        <v>1476</v>
      </c>
      <c r="AN401" s="12">
        <v>1</v>
      </c>
    </row>
    <row r="402" spans="1:40" x14ac:dyDescent="0.3">
      <c r="A402" s="62" t="s">
        <v>2180</v>
      </c>
      <c r="B402" s="62"/>
      <c r="C402" s="63"/>
      <c r="D402" s="63"/>
      <c r="E402" s="12" t="s">
        <v>1833</v>
      </c>
      <c r="F402" s="12" t="s">
        <v>1834</v>
      </c>
      <c r="G402" s="12" t="b">
        <v>0</v>
      </c>
      <c r="H402" s="12" t="b">
        <v>1</v>
      </c>
      <c r="I402" s="12" t="b">
        <v>1</v>
      </c>
      <c r="J402" s="12" t="b">
        <v>1</v>
      </c>
      <c r="K402" s="12" t="b">
        <v>0</v>
      </c>
      <c r="L402" s="12" t="b">
        <v>0</v>
      </c>
      <c r="M402" s="12" t="b">
        <v>0</v>
      </c>
      <c r="N402" s="12">
        <v>0</v>
      </c>
      <c r="O402" s="12" t="b">
        <v>0</v>
      </c>
      <c r="P402" s="12" t="b">
        <v>0</v>
      </c>
      <c r="Q402" s="12" t="b">
        <v>0</v>
      </c>
      <c r="R402" s="12" t="b">
        <v>0</v>
      </c>
      <c r="S402" s="12" t="b">
        <v>0</v>
      </c>
      <c r="T402" s="12" t="b">
        <v>0</v>
      </c>
      <c r="U402" s="12" t="b">
        <v>0</v>
      </c>
      <c r="V402" s="12" t="b">
        <v>1</v>
      </c>
      <c r="W402" s="12" t="b">
        <v>0</v>
      </c>
      <c r="X402" s="12">
        <v>1</v>
      </c>
      <c r="Y402" s="12" t="b">
        <v>0</v>
      </c>
      <c r="Z402" s="12" t="b">
        <v>0</v>
      </c>
      <c r="AA402" s="12" t="b">
        <v>0</v>
      </c>
      <c r="AB402" s="12" t="b">
        <v>0</v>
      </c>
      <c r="AC402" s="12" t="b">
        <v>0</v>
      </c>
      <c r="AD402" s="12" t="b">
        <v>0</v>
      </c>
      <c r="AE402" s="12" t="b">
        <v>0</v>
      </c>
      <c r="AF402" s="12" t="b">
        <v>1</v>
      </c>
      <c r="AG402" s="12" t="b">
        <v>0</v>
      </c>
      <c r="AH402" s="12">
        <v>1</v>
      </c>
      <c r="AI402" s="12" t="b">
        <v>0</v>
      </c>
      <c r="AJ402" s="12" t="b">
        <v>0</v>
      </c>
      <c r="AK402" s="12" t="b">
        <v>1</v>
      </c>
      <c r="AL402" s="12">
        <v>1</v>
      </c>
      <c r="AM402" s="12" t="s">
        <v>922</v>
      </c>
      <c r="AN402" s="12">
        <v>1</v>
      </c>
    </row>
    <row r="403" spans="1:40" x14ac:dyDescent="0.3">
      <c r="A403" s="62" t="s">
        <v>2180</v>
      </c>
      <c r="B403" s="62"/>
      <c r="C403" s="63"/>
      <c r="D403" s="63"/>
      <c r="E403" s="12" t="s">
        <v>1837</v>
      </c>
      <c r="F403" s="12" t="s">
        <v>1838</v>
      </c>
      <c r="G403" s="12" t="b">
        <v>0</v>
      </c>
      <c r="H403" s="12" t="b">
        <v>1</v>
      </c>
      <c r="I403" s="12" t="b">
        <v>1</v>
      </c>
      <c r="J403" s="12" t="b">
        <v>1</v>
      </c>
      <c r="K403" s="12" t="b">
        <v>0</v>
      </c>
      <c r="L403" s="12" t="b">
        <v>0</v>
      </c>
      <c r="M403" s="12" t="b">
        <v>0</v>
      </c>
      <c r="N403" s="12">
        <v>0</v>
      </c>
      <c r="O403" s="12" t="b">
        <v>0</v>
      </c>
      <c r="P403" s="12" t="b">
        <v>0</v>
      </c>
      <c r="Q403" s="12" t="b">
        <v>0</v>
      </c>
      <c r="R403" s="12" t="b">
        <v>0</v>
      </c>
      <c r="S403" s="12" t="b">
        <v>0</v>
      </c>
      <c r="T403" s="12" t="b">
        <v>0</v>
      </c>
      <c r="U403" s="12" t="b">
        <v>0</v>
      </c>
      <c r="V403" s="12" t="b">
        <v>1</v>
      </c>
      <c r="W403" s="12" t="b">
        <v>0</v>
      </c>
      <c r="X403" s="12">
        <v>1</v>
      </c>
      <c r="Y403" s="12" t="b">
        <v>0</v>
      </c>
      <c r="Z403" s="12" t="b">
        <v>0</v>
      </c>
      <c r="AA403" s="12" t="b">
        <v>0</v>
      </c>
      <c r="AB403" s="12" t="b">
        <v>0</v>
      </c>
      <c r="AC403" s="12" t="b">
        <v>0</v>
      </c>
      <c r="AD403" s="12" t="b">
        <v>0</v>
      </c>
      <c r="AE403" s="12" t="b">
        <v>0</v>
      </c>
      <c r="AF403" s="12" t="b">
        <v>1</v>
      </c>
      <c r="AG403" s="12" t="b">
        <v>0</v>
      </c>
      <c r="AH403" s="12">
        <v>1</v>
      </c>
      <c r="AI403" s="12" t="b">
        <v>0</v>
      </c>
      <c r="AJ403" s="12" t="b">
        <v>0</v>
      </c>
      <c r="AK403" s="12" t="b">
        <v>1</v>
      </c>
      <c r="AL403" s="12">
        <v>1</v>
      </c>
      <c r="AM403" s="12" t="s">
        <v>922</v>
      </c>
      <c r="AN403" s="12">
        <v>1</v>
      </c>
    </row>
    <row r="404" spans="1:40" x14ac:dyDescent="0.3">
      <c r="A404" s="62" t="s">
        <v>2180</v>
      </c>
      <c r="B404" s="62"/>
      <c r="C404" s="63"/>
      <c r="D404" s="63"/>
      <c r="E404" s="12" t="s">
        <v>1223</v>
      </c>
      <c r="F404" s="12" t="s">
        <v>1224</v>
      </c>
      <c r="G404" s="12" t="b">
        <v>0</v>
      </c>
      <c r="H404" s="12" t="b">
        <v>1</v>
      </c>
      <c r="I404" s="12" t="b">
        <v>1</v>
      </c>
      <c r="J404" s="12" t="b">
        <v>1</v>
      </c>
      <c r="K404" s="12" t="b">
        <v>1</v>
      </c>
      <c r="L404" s="12" t="b">
        <v>1</v>
      </c>
      <c r="M404" s="12" t="b">
        <v>0</v>
      </c>
      <c r="N404" s="12">
        <v>0</v>
      </c>
      <c r="O404" s="12" t="b">
        <v>0</v>
      </c>
      <c r="P404" s="12" t="b">
        <v>0</v>
      </c>
      <c r="Q404" s="12" t="b">
        <v>0</v>
      </c>
      <c r="R404" s="12" t="b">
        <v>1</v>
      </c>
      <c r="S404" s="12" t="b">
        <v>1</v>
      </c>
      <c r="T404" s="12" t="b">
        <v>1</v>
      </c>
      <c r="U404" s="12" t="b">
        <v>0</v>
      </c>
      <c r="V404" s="12" t="b">
        <v>1</v>
      </c>
      <c r="W404" s="12" t="b">
        <v>0</v>
      </c>
      <c r="X404" s="12">
        <v>0</v>
      </c>
      <c r="Y404" s="12" t="b">
        <v>0</v>
      </c>
      <c r="Z404" s="12" t="b">
        <v>0</v>
      </c>
      <c r="AA404" s="12" t="b">
        <v>0</v>
      </c>
      <c r="AB404" s="12" t="b">
        <v>1</v>
      </c>
      <c r="AC404" s="12" t="b">
        <v>1</v>
      </c>
      <c r="AD404" s="12" t="b">
        <v>1</v>
      </c>
      <c r="AE404" s="12" t="b">
        <v>0</v>
      </c>
      <c r="AF404" s="12" t="b">
        <v>0</v>
      </c>
      <c r="AG404" s="12" t="b">
        <v>0</v>
      </c>
      <c r="AH404" s="12">
        <v>0</v>
      </c>
      <c r="AI404" s="12" t="b">
        <v>0</v>
      </c>
      <c r="AJ404" s="12" t="b">
        <v>0</v>
      </c>
      <c r="AK404" s="12" t="b">
        <v>1</v>
      </c>
      <c r="AL404" s="12">
        <v>0</v>
      </c>
      <c r="AM404" s="12" t="s">
        <v>51</v>
      </c>
      <c r="AN404" s="12">
        <v>0</v>
      </c>
    </row>
    <row r="405" spans="1:40" x14ac:dyDescent="0.3">
      <c r="A405" s="62" t="s">
        <v>2180</v>
      </c>
      <c r="B405" s="62"/>
      <c r="C405" s="63"/>
      <c r="D405" s="63"/>
      <c r="E405" s="12" t="s">
        <v>1213</v>
      </c>
      <c r="F405" s="12" t="s">
        <v>1214</v>
      </c>
      <c r="G405" s="12" t="b">
        <v>0</v>
      </c>
      <c r="H405" s="12" t="b">
        <v>1</v>
      </c>
      <c r="I405" s="12" t="b">
        <v>1</v>
      </c>
      <c r="J405" s="12" t="b">
        <v>1</v>
      </c>
      <c r="K405" s="12" t="b">
        <v>1</v>
      </c>
      <c r="L405" s="12" t="b">
        <v>1</v>
      </c>
      <c r="M405" s="12" t="b">
        <v>0</v>
      </c>
      <c r="N405" s="12">
        <v>0</v>
      </c>
      <c r="O405" s="12" t="b">
        <v>0</v>
      </c>
      <c r="P405" s="12" t="b">
        <v>0</v>
      </c>
      <c r="Q405" s="12" t="b">
        <v>0</v>
      </c>
      <c r="R405" s="12" t="b">
        <v>1</v>
      </c>
      <c r="S405" s="12" t="b">
        <v>1</v>
      </c>
      <c r="T405" s="12" t="b">
        <v>1</v>
      </c>
      <c r="U405" s="12" t="b">
        <v>0</v>
      </c>
      <c r="V405" s="12" t="b">
        <v>1</v>
      </c>
      <c r="W405" s="12" t="b">
        <v>0</v>
      </c>
      <c r="X405" s="12">
        <v>0</v>
      </c>
      <c r="Y405" s="12" t="b">
        <v>0</v>
      </c>
      <c r="Z405" s="12" t="b">
        <v>0</v>
      </c>
      <c r="AA405" s="12" t="b">
        <v>0</v>
      </c>
      <c r="AB405" s="12" t="b">
        <v>1</v>
      </c>
      <c r="AC405" s="12" t="b">
        <v>1</v>
      </c>
      <c r="AD405" s="12" t="b">
        <v>1</v>
      </c>
      <c r="AE405" s="12" t="b">
        <v>0</v>
      </c>
      <c r="AF405" s="12" t="b">
        <v>0</v>
      </c>
      <c r="AG405" s="12" t="b">
        <v>0</v>
      </c>
      <c r="AH405" s="12">
        <v>0</v>
      </c>
      <c r="AI405" s="12" t="b">
        <v>0</v>
      </c>
      <c r="AJ405" s="12" t="b">
        <v>0</v>
      </c>
      <c r="AK405" s="12" t="b">
        <v>1</v>
      </c>
      <c r="AL405" s="12">
        <v>0</v>
      </c>
      <c r="AM405" s="12" t="s">
        <v>51</v>
      </c>
      <c r="AN405" s="12">
        <v>0</v>
      </c>
    </row>
    <row r="406" spans="1:40" x14ac:dyDescent="0.3">
      <c r="A406" s="62" t="s">
        <v>2180</v>
      </c>
      <c r="B406" s="62"/>
      <c r="C406" s="63"/>
      <c r="D406" s="63"/>
      <c r="E406" s="12" t="s">
        <v>1225</v>
      </c>
      <c r="F406" s="12" t="s">
        <v>1226</v>
      </c>
      <c r="G406" s="12" t="b">
        <v>0</v>
      </c>
      <c r="H406" s="12" t="b">
        <v>1</v>
      </c>
      <c r="I406" s="12" t="b">
        <v>1</v>
      </c>
      <c r="J406" s="12" t="b">
        <v>1</v>
      </c>
      <c r="K406" s="12" t="b">
        <v>1</v>
      </c>
      <c r="L406" s="12" t="b">
        <v>1</v>
      </c>
      <c r="M406" s="12" t="b">
        <v>0</v>
      </c>
      <c r="N406" s="12">
        <v>0</v>
      </c>
      <c r="O406" s="12" t="b">
        <v>0</v>
      </c>
      <c r="P406" s="12" t="b">
        <v>0</v>
      </c>
      <c r="Q406" s="12" t="b">
        <v>0</v>
      </c>
      <c r="R406" s="12" t="b">
        <v>1</v>
      </c>
      <c r="S406" s="12" t="b">
        <v>1</v>
      </c>
      <c r="T406" s="12" t="b">
        <v>1</v>
      </c>
      <c r="U406" s="12" t="b">
        <v>0</v>
      </c>
      <c r="V406" s="12" t="b">
        <v>1</v>
      </c>
      <c r="W406" s="12" t="b">
        <v>0</v>
      </c>
      <c r="X406" s="12">
        <v>0</v>
      </c>
      <c r="Y406" s="12" t="b">
        <v>0</v>
      </c>
      <c r="Z406" s="12" t="b">
        <v>0</v>
      </c>
      <c r="AA406" s="12" t="b">
        <v>0</v>
      </c>
      <c r="AB406" s="12" t="b">
        <v>1</v>
      </c>
      <c r="AC406" s="12" t="b">
        <v>1</v>
      </c>
      <c r="AD406" s="12" t="b">
        <v>1</v>
      </c>
      <c r="AE406" s="12" t="b">
        <v>0</v>
      </c>
      <c r="AF406" s="12" t="b">
        <v>0</v>
      </c>
      <c r="AG406" s="12" t="b">
        <v>0</v>
      </c>
      <c r="AH406" s="12">
        <v>0</v>
      </c>
      <c r="AI406" s="12" t="b">
        <v>0</v>
      </c>
      <c r="AJ406" s="12" t="b">
        <v>0</v>
      </c>
      <c r="AK406" s="12" t="b">
        <v>1</v>
      </c>
      <c r="AL406" s="12">
        <v>0</v>
      </c>
      <c r="AM406" s="12" t="s">
        <v>51</v>
      </c>
      <c r="AN406" s="12">
        <v>0</v>
      </c>
    </row>
    <row r="407" spans="1:40" x14ac:dyDescent="0.3">
      <c r="A407" s="62" t="s">
        <v>2180</v>
      </c>
      <c r="B407" s="62"/>
      <c r="C407" s="63"/>
      <c r="D407" s="63"/>
      <c r="E407" s="12" t="s">
        <v>1215</v>
      </c>
      <c r="F407" s="12" t="s">
        <v>1216</v>
      </c>
      <c r="G407" s="12" t="b">
        <v>0</v>
      </c>
      <c r="H407" s="12" t="b">
        <v>1</v>
      </c>
      <c r="I407" s="12" t="b">
        <v>1</v>
      </c>
      <c r="J407" s="12" t="b">
        <v>1</v>
      </c>
      <c r="K407" s="12" t="b">
        <v>1</v>
      </c>
      <c r="L407" s="12" t="b">
        <v>1</v>
      </c>
      <c r="M407" s="12" t="b">
        <v>0</v>
      </c>
      <c r="N407" s="12">
        <v>0</v>
      </c>
      <c r="O407" s="12" t="b">
        <v>0</v>
      </c>
      <c r="P407" s="12" t="b">
        <v>0</v>
      </c>
      <c r="Q407" s="12" t="b">
        <v>0</v>
      </c>
      <c r="R407" s="12" t="b">
        <v>1</v>
      </c>
      <c r="S407" s="12" t="b">
        <v>1</v>
      </c>
      <c r="T407" s="12" t="b">
        <v>1</v>
      </c>
      <c r="U407" s="12" t="b">
        <v>0</v>
      </c>
      <c r="V407" s="12" t="b">
        <v>1</v>
      </c>
      <c r="W407" s="12" t="b">
        <v>0</v>
      </c>
      <c r="X407" s="12">
        <v>0</v>
      </c>
      <c r="Y407" s="12" t="b">
        <v>0</v>
      </c>
      <c r="Z407" s="12" t="b">
        <v>0</v>
      </c>
      <c r="AA407" s="12" t="b">
        <v>0</v>
      </c>
      <c r="AB407" s="12" t="b">
        <v>1</v>
      </c>
      <c r="AC407" s="12" t="b">
        <v>1</v>
      </c>
      <c r="AD407" s="12" t="b">
        <v>1</v>
      </c>
      <c r="AE407" s="12" t="b">
        <v>0</v>
      </c>
      <c r="AF407" s="12" t="b">
        <v>0</v>
      </c>
      <c r="AG407" s="12" t="b">
        <v>0</v>
      </c>
      <c r="AH407" s="12">
        <v>0</v>
      </c>
      <c r="AI407" s="12" t="b">
        <v>0</v>
      </c>
      <c r="AJ407" s="12" t="b">
        <v>0</v>
      </c>
      <c r="AK407" s="12" t="b">
        <v>1</v>
      </c>
      <c r="AL407" s="12">
        <v>0</v>
      </c>
      <c r="AM407" s="12" t="s">
        <v>51</v>
      </c>
      <c r="AN407" s="12">
        <v>0</v>
      </c>
    </row>
    <row r="408" spans="1:40" x14ac:dyDescent="0.3">
      <c r="A408" s="62" t="s">
        <v>2181</v>
      </c>
      <c r="B408" s="62"/>
      <c r="C408" s="63"/>
      <c r="D408" s="63"/>
      <c r="E408" s="12" t="s">
        <v>1517</v>
      </c>
      <c r="F408" s="12" t="s">
        <v>1519</v>
      </c>
      <c r="G408" s="12" t="b">
        <v>0</v>
      </c>
      <c r="H408" s="12" t="b">
        <v>1</v>
      </c>
      <c r="I408" s="12" t="b">
        <v>1</v>
      </c>
      <c r="J408" s="12" t="b">
        <v>1</v>
      </c>
      <c r="K408" s="12" t="b">
        <v>0</v>
      </c>
      <c r="L408" s="12" t="b">
        <v>1</v>
      </c>
      <c r="M408" s="12" t="b">
        <v>0</v>
      </c>
      <c r="N408" s="12">
        <v>0</v>
      </c>
      <c r="O408" s="12" t="b">
        <v>0</v>
      </c>
      <c r="P408" s="12" t="b">
        <v>0</v>
      </c>
      <c r="Q408" s="12" t="b">
        <v>0</v>
      </c>
      <c r="R408" s="12" t="b">
        <v>0</v>
      </c>
      <c r="S408" s="12" t="b">
        <v>0</v>
      </c>
      <c r="T408" s="12" t="b">
        <v>1</v>
      </c>
      <c r="U408" s="12" t="b">
        <v>0</v>
      </c>
      <c r="V408" s="12" t="b">
        <v>1</v>
      </c>
      <c r="W408" s="12" t="b">
        <v>0</v>
      </c>
      <c r="X408" s="12">
        <v>1</v>
      </c>
      <c r="Y408" s="12" t="b">
        <v>0</v>
      </c>
      <c r="Z408" s="12" t="b">
        <v>0</v>
      </c>
      <c r="AA408" s="12" t="b">
        <v>1</v>
      </c>
      <c r="AB408" s="12" t="b">
        <v>1</v>
      </c>
      <c r="AC408" s="12" t="b">
        <v>1</v>
      </c>
      <c r="AD408" s="12" t="b">
        <v>1</v>
      </c>
      <c r="AE408" s="12" t="b">
        <v>0</v>
      </c>
      <c r="AF408" s="12" t="b">
        <v>0</v>
      </c>
      <c r="AG408" s="12" t="b">
        <v>0</v>
      </c>
      <c r="AH408" s="12">
        <v>0</v>
      </c>
      <c r="AI408" s="12" t="b">
        <v>0</v>
      </c>
      <c r="AJ408" s="12" t="b">
        <v>0</v>
      </c>
      <c r="AK408" s="12" t="b">
        <v>1</v>
      </c>
      <c r="AL408" s="12">
        <v>0</v>
      </c>
      <c r="AM408" s="12" t="s">
        <v>900</v>
      </c>
      <c r="AN408" s="12">
        <v>0</v>
      </c>
    </row>
    <row r="409" spans="1:40" x14ac:dyDescent="0.3">
      <c r="A409" s="62" t="s">
        <v>2181</v>
      </c>
      <c r="B409" s="62"/>
      <c r="C409" s="63"/>
      <c r="D409" s="63"/>
      <c r="E409" s="12" t="s">
        <v>2084</v>
      </c>
      <c r="F409" s="12" t="s">
        <v>2086</v>
      </c>
      <c r="G409" s="12" t="b">
        <v>0</v>
      </c>
      <c r="H409" s="12" t="b">
        <v>0</v>
      </c>
      <c r="I409" s="12" t="b">
        <v>0</v>
      </c>
      <c r="J409" s="12" t="b">
        <v>1</v>
      </c>
      <c r="K409" s="12" t="b">
        <v>0</v>
      </c>
      <c r="L409" s="12" t="b">
        <v>1</v>
      </c>
      <c r="M409" s="12" t="b">
        <v>0</v>
      </c>
      <c r="N409" s="12">
        <v>0</v>
      </c>
      <c r="O409" s="12" t="b">
        <v>0</v>
      </c>
      <c r="P409" s="12" t="b">
        <v>0</v>
      </c>
      <c r="Q409" s="12" t="b">
        <v>0</v>
      </c>
      <c r="R409" s="12" t="b">
        <v>0</v>
      </c>
      <c r="S409" s="12" t="b">
        <v>0</v>
      </c>
      <c r="T409" s="12" t="b">
        <v>1</v>
      </c>
      <c r="U409" s="12" t="b">
        <v>0</v>
      </c>
      <c r="V409" s="12" t="b">
        <v>1</v>
      </c>
      <c r="W409" s="12" t="b">
        <v>0</v>
      </c>
      <c r="X409" s="12">
        <v>1</v>
      </c>
      <c r="Y409" s="12" t="b">
        <v>0</v>
      </c>
      <c r="Z409" s="12" t="b">
        <v>0</v>
      </c>
      <c r="AA409" s="12" t="b">
        <v>0</v>
      </c>
      <c r="AB409" s="12" t="b">
        <v>0</v>
      </c>
      <c r="AC409" s="12" t="b">
        <v>0</v>
      </c>
      <c r="AD409" s="12" t="b">
        <v>1</v>
      </c>
      <c r="AE409" s="12" t="b">
        <v>0</v>
      </c>
      <c r="AF409" s="12" t="b">
        <v>1</v>
      </c>
      <c r="AG409" s="12" t="b">
        <v>0</v>
      </c>
      <c r="AH409" s="12">
        <v>1</v>
      </c>
      <c r="AI409" s="12" t="b">
        <v>0</v>
      </c>
      <c r="AJ409" s="12" t="b">
        <v>0</v>
      </c>
      <c r="AK409" s="12" t="b">
        <v>1</v>
      </c>
      <c r="AL409" s="12">
        <v>0</v>
      </c>
      <c r="AM409" s="12" t="s">
        <v>922</v>
      </c>
      <c r="AN409" s="12">
        <v>0</v>
      </c>
    </row>
    <row r="410" spans="1:40" x14ac:dyDescent="0.3">
      <c r="A410" s="62" t="s">
        <v>2181</v>
      </c>
      <c r="B410" s="62"/>
      <c r="C410" s="63"/>
      <c r="D410" s="63"/>
      <c r="E410" s="12" t="s">
        <v>1522</v>
      </c>
      <c r="F410" s="12" t="s">
        <v>1572</v>
      </c>
      <c r="G410" s="12" t="b">
        <v>0</v>
      </c>
      <c r="H410" s="12" t="b">
        <v>1</v>
      </c>
      <c r="I410" s="12" t="b">
        <v>1</v>
      </c>
      <c r="J410" s="12" t="b">
        <v>1</v>
      </c>
      <c r="K410" s="12" t="b">
        <v>0</v>
      </c>
      <c r="L410" s="12" t="b">
        <v>0</v>
      </c>
      <c r="M410" s="12" t="b">
        <v>0</v>
      </c>
      <c r="N410" s="12">
        <v>0</v>
      </c>
      <c r="O410" s="12" t="b">
        <v>0</v>
      </c>
      <c r="P410" s="12" t="b">
        <v>0</v>
      </c>
      <c r="Q410" s="12" t="b">
        <v>0</v>
      </c>
      <c r="R410" s="12" t="b">
        <v>0</v>
      </c>
      <c r="S410" s="12" t="b">
        <v>0</v>
      </c>
      <c r="T410" s="12" t="b">
        <v>0</v>
      </c>
      <c r="U410" s="12" t="b">
        <v>0</v>
      </c>
      <c r="V410" s="12" t="b">
        <v>0</v>
      </c>
      <c r="W410" s="12" t="b">
        <v>0</v>
      </c>
      <c r="X410" s="12">
        <v>1</v>
      </c>
      <c r="Y410" s="12" t="b">
        <v>0</v>
      </c>
      <c r="Z410" s="12" t="b">
        <v>0</v>
      </c>
      <c r="AA410" s="12" t="b">
        <v>1</v>
      </c>
      <c r="AB410" s="12" t="b">
        <v>1</v>
      </c>
      <c r="AC410" s="12" t="b">
        <v>1</v>
      </c>
      <c r="AD410" s="12" t="b">
        <v>1</v>
      </c>
      <c r="AE410" s="12" t="b">
        <v>0</v>
      </c>
      <c r="AF410" s="12" t="b">
        <v>0</v>
      </c>
      <c r="AG410" s="12" t="b">
        <v>0</v>
      </c>
      <c r="AH410" s="12">
        <v>1</v>
      </c>
      <c r="AI410" s="12" t="b">
        <v>0</v>
      </c>
      <c r="AJ410" s="12" t="b">
        <v>0</v>
      </c>
      <c r="AK410" s="12" t="b">
        <v>1</v>
      </c>
      <c r="AL410" s="12">
        <v>0</v>
      </c>
      <c r="AM410" s="12" t="s">
        <v>922</v>
      </c>
      <c r="AN410" s="12">
        <v>0</v>
      </c>
    </row>
    <row r="411" spans="1:40" x14ac:dyDescent="0.3">
      <c r="A411" s="62" t="s">
        <v>2181</v>
      </c>
      <c r="B411" s="62"/>
      <c r="C411" s="63"/>
      <c r="D411" s="63"/>
      <c r="E411" s="12" t="s">
        <v>2083</v>
      </c>
      <c r="F411" s="12" t="s">
        <v>2087</v>
      </c>
      <c r="G411" s="12" t="b">
        <v>0</v>
      </c>
      <c r="H411" s="12" t="b">
        <v>1</v>
      </c>
      <c r="I411" s="12" t="b">
        <v>1</v>
      </c>
      <c r="J411" s="12" t="b">
        <v>1</v>
      </c>
      <c r="K411" s="12" t="b">
        <v>0</v>
      </c>
      <c r="L411" s="12" t="b">
        <v>0</v>
      </c>
      <c r="M411" s="12" t="b">
        <v>0</v>
      </c>
      <c r="N411" s="12">
        <v>0</v>
      </c>
      <c r="O411" s="12" t="b">
        <v>0</v>
      </c>
      <c r="P411" s="12" t="b">
        <v>0</v>
      </c>
      <c r="Q411" s="12" t="b">
        <v>0</v>
      </c>
      <c r="R411" s="12" t="b">
        <v>0</v>
      </c>
      <c r="S411" s="12" t="b">
        <v>0</v>
      </c>
      <c r="T411" s="12" t="b">
        <v>1</v>
      </c>
      <c r="U411" s="12" t="b">
        <v>0</v>
      </c>
      <c r="V411" s="12" t="b">
        <v>1</v>
      </c>
      <c r="W411" s="12" t="b">
        <v>0</v>
      </c>
      <c r="X411" s="12">
        <v>1</v>
      </c>
      <c r="Y411" s="12" t="b">
        <v>0</v>
      </c>
      <c r="Z411" s="12" t="b">
        <v>0</v>
      </c>
      <c r="AA411" s="12" t="b">
        <v>1</v>
      </c>
      <c r="AB411" s="12" t="b">
        <v>1</v>
      </c>
      <c r="AC411" s="12" t="b">
        <v>1</v>
      </c>
      <c r="AD411" s="12" t="b">
        <v>1</v>
      </c>
      <c r="AE411" s="12" t="b">
        <v>0</v>
      </c>
      <c r="AF411" s="12" t="b">
        <v>0</v>
      </c>
      <c r="AG411" s="12" t="b">
        <v>0</v>
      </c>
      <c r="AH411" s="12">
        <v>0</v>
      </c>
      <c r="AI411" s="12" t="b">
        <v>0</v>
      </c>
      <c r="AJ411" s="12" t="b">
        <v>0</v>
      </c>
      <c r="AK411" s="12" t="b">
        <v>1</v>
      </c>
      <c r="AL411" s="12">
        <v>0</v>
      </c>
      <c r="AM411" s="12" t="s">
        <v>1476</v>
      </c>
      <c r="AN411" s="12">
        <v>0</v>
      </c>
    </row>
    <row r="412" spans="1:40" x14ac:dyDescent="0.3">
      <c r="A412" s="62" t="s">
        <v>858</v>
      </c>
      <c r="B412" s="62"/>
      <c r="C412" s="63" t="s">
        <v>1464</v>
      </c>
      <c r="D412" s="52" t="s">
        <v>1630</v>
      </c>
      <c r="E412" s="21" t="s">
        <v>1758</v>
      </c>
      <c r="F412" s="12" t="s">
        <v>1584</v>
      </c>
      <c r="G412" s="12" t="b">
        <v>0</v>
      </c>
      <c r="H412" s="12" t="b">
        <v>1</v>
      </c>
      <c r="I412" s="12" t="b">
        <v>1</v>
      </c>
      <c r="J412" s="12" t="b">
        <v>1</v>
      </c>
      <c r="K412" s="12" t="b">
        <v>0</v>
      </c>
      <c r="L412" s="12" t="b">
        <v>0</v>
      </c>
      <c r="M412" s="12" t="b">
        <v>0</v>
      </c>
      <c r="N412" s="12">
        <v>0</v>
      </c>
      <c r="O412" s="12" t="b">
        <v>0</v>
      </c>
      <c r="P412" s="12" t="b">
        <v>0</v>
      </c>
      <c r="Q412" s="12" t="b">
        <v>0</v>
      </c>
      <c r="R412" s="12" t="b">
        <v>0</v>
      </c>
      <c r="S412" s="12" t="b">
        <v>0</v>
      </c>
      <c r="T412" s="12" t="b">
        <v>1</v>
      </c>
      <c r="U412" s="12" t="b">
        <v>0</v>
      </c>
      <c r="V412" s="12" t="b">
        <v>1</v>
      </c>
      <c r="W412" s="12" t="b">
        <v>0</v>
      </c>
      <c r="X412" s="12">
        <v>1</v>
      </c>
      <c r="Y412" s="12" t="b">
        <v>0</v>
      </c>
      <c r="Z412" s="12" t="b">
        <v>0</v>
      </c>
      <c r="AA412" s="12" t="b">
        <v>1</v>
      </c>
      <c r="AB412" s="12" t="b">
        <v>1</v>
      </c>
      <c r="AC412" s="12" t="b">
        <v>1</v>
      </c>
      <c r="AD412" s="12" t="b">
        <v>1</v>
      </c>
      <c r="AE412" s="12" t="b">
        <v>0</v>
      </c>
      <c r="AF412" s="12" t="b">
        <v>0</v>
      </c>
      <c r="AG412" s="12" t="b">
        <v>0</v>
      </c>
      <c r="AH412" s="12">
        <v>0</v>
      </c>
      <c r="AI412" s="12" t="b">
        <v>0</v>
      </c>
      <c r="AJ412" s="12" t="b">
        <v>0</v>
      </c>
      <c r="AK412" s="12" t="b">
        <v>1</v>
      </c>
      <c r="AL412" s="12">
        <v>1</v>
      </c>
      <c r="AM412" s="12" t="s">
        <v>900</v>
      </c>
      <c r="AN412" s="12">
        <v>1</v>
      </c>
    </row>
    <row r="413" spans="1:40" x14ac:dyDescent="0.3">
      <c r="A413" s="62" t="s">
        <v>858</v>
      </c>
      <c r="B413" s="62"/>
      <c r="C413" s="63" t="s">
        <v>1466</v>
      </c>
      <c r="D413" s="52" t="s">
        <v>1630</v>
      </c>
      <c r="E413" s="21" t="s">
        <v>1758</v>
      </c>
      <c r="F413" s="12" t="s">
        <v>1584</v>
      </c>
      <c r="G413" s="12" t="b">
        <v>0</v>
      </c>
      <c r="H413" s="12" t="b">
        <v>1</v>
      </c>
      <c r="I413" s="12" t="b">
        <v>1</v>
      </c>
      <c r="J413" s="12" t="b">
        <v>1</v>
      </c>
      <c r="K413" s="12" t="b">
        <v>0</v>
      </c>
      <c r="L413" s="12" t="b">
        <v>0</v>
      </c>
      <c r="M413" s="12" t="b">
        <v>0</v>
      </c>
      <c r="N413" s="12">
        <v>0</v>
      </c>
      <c r="O413" s="12" t="b">
        <v>0</v>
      </c>
      <c r="P413" s="12" t="b">
        <v>0</v>
      </c>
      <c r="Q413" s="12" t="b">
        <v>0</v>
      </c>
      <c r="R413" s="12" t="b">
        <v>0</v>
      </c>
      <c r="S413" s="12" t="b">
        <v>0</v>
      </c>
      <c r="T413" s="12" t="b">
        <v>1</v>
      </c>
      <c r="U413" s="12" t="b">
        <v>0</v>
      </c>
      <c r="V413" s="12" t="b">
        <v>1</v>
      </c>
      <c r="W413" s="12" t="b">
        <v>0</v>
      </c>
      <c r="X413" s="12">
        <v>1</v>
      </c>
      <c r="Y413" s="12" t="b">
        <v>0</v>
      </c>
      <c r="Z413" s="12" t="b">
        <v>0</v>
      </c>
      <c r="AA413" s="12" t="b">
        <v>1</v>
      </c>
      <c r="AB413" s="12" t="b">
        <v>1</v>
      </c>
      <c r="AC413" s="12" t="b">
        <v>1</v>
      </c>
      <c r="AD413" s="12" t="b">
        <v>1</v>
      </c>
      <c r="AE413" s="12" t="b">
        <v>0</v>
      </c>
      <c r="AF413" s="12" t="b">
        <v>0</v>
      </c>
      <c r="AG413" s="12" t="b">
        <v>0</v>
      </c>
      <c r="AH413" s="12">
        <v>0</v>
      </c>
      <c r="AI413" s="12" t="b">
        <v>0</v>
      </c>
      <c r="AJ413" s="12" t="b">
        <v>0</v>
      </c>
      <c r="AK413" s="12" t="b">
        <v>1</v>
      </c>
      <c r="AL413" s="12">
        <v>1</v>
      </c>
      <c r="AM413" s="12" t="s">
        <v>900</v>
      </c>
      <c r="AN413" s="12">
        <v>1</v>
      </c>
    </row>
    <row r="414" spans="1:40" x14ac:dyDescent="0.3">
      <c r="A414" s="62" t="s">
        <v>858</v>
      </c>
      <c r="B414" s="62"/>
      <c r="C414" s="63" t="s">
        <v>1467</v>
      </c>
      <c r="D414" s="52" t="s">
        <v>1630</v>
      </c>
      <c r="E414" s="21" t="s">
        <v>1758</v>
      </c>
      <c r="F414" s="12" t="s">
        <v>1584</v>
      </c>
      <c r="G414" s="12" t="b">
        <v>0</v>
      </c>
      <c r="H414" s="12" t="b">
        <v>1</v>
      </c>
      <c r="I414" s="12" t="b">
        <v>1</v>
      </c>
      <c r="J414" s="12" t="b">
        <v>1</v>
      </c>
      <c r="K414" s="12" t="b">
        <v>0</v>
      </c>
      <c r="L414" s="12" t="b">
        <v>0</v>
      </c>
      <c r="M414" s="12" t="b">
        <v>0</v>
      </c>
      <c r="N414" s="12">
        <v>0</v>
      </c>
      <c r="O414" s="12" t="b">
        <v>0</v>
      </c>
      <c r="P414" s="12" t="b">
        <v>0</v>
      </c>
      <c r="Q414" s="12" t="b">
        <v>0</v>
      </c>
      <c r="R414" s="12" t="b">
        <v>0</v>
      </c>
      <c r="S414" s="12" t="b">
        <v>0</v>
      </c>
      <c r="T414" s="12" t="b">
        <v>1</v>
      </c>
      <c r="U414" s="12" t="b">
        <v>0</v>
      </c>
      <c r="V414" s="12" t="b">
        <v>1</v>
      </c>
      <c r="W414" s="12" t="b">
        <v>0</v>
      </c>
      <c r="X414" s="12">
        <v>1</v>
      </c>
      <c r="Y414" s="12" t="b">
        <v>0</v>
      </c>
      <c r="Z414" s="12" t="b">
        <v>0</v>
      </c>
      <c r="AA414" s="12" t="b">
        <v>1</v>
      </c>
      <c r="AB414" s="12" t="b">
        <v>1</v>
      </c>
      <c r="AC414" s="12" t="b">
        <v>1</v>
      </c>
      <c r="AD414" s="12" t="b">
        <v>1</v>
      </c>
      <c r="AE414" s="12" t="b">
        <v>0</v>
      </c>
      <c r="AF414" s="12" t="b">
        <v>0</v>
      </c>
      <c r="AG414" s="12" t="b">
        <v>0</v>
      </c>
      <c r="AH414" s="12">
        <v>0</v>
      </c>
      <c r="AI414" s="12" t="b">
        <v>0</v>
      </c>
      <c r="AJ414" s="12" t="b">
        <v>0</v>
      </c>
      <c r="AK414" s="12" t="b">
        <v>1</v>
      </c>
      <c r="AL414" s="12">
        <v>1</v>
      </c>
      <c r="AM414" s="12" t="s">
        <v>900</v>
      </c>
      <c r="AN414" s="12">
        <v>1</v>
      </c>
    </row>
    <row r="415" spans="1:40" x14ac:dyDescent="0.3">
      <c r="A415" s="62" t="s">
        <v>858</v>
      </c>
      <c r="B415" s="62"/>
      <c r="C415" s="63" t="s">
        <v>1468</v>
      </c>
      <c r="D415" s="52" t="s">
        <v>1630</v>
      </c>
      <c r="E415" s="21" t="s">
        <v>1758</v>
      </c>
      <c r="F415" s="12" t="s">
        <v>1584</v>
      </c>
      <c r="G415" s="12" t="b">
        <v>0</v>
      </c>
      <c r="H415" s="12" t="b">
        <v>1</v>
      </c>
      <c r="I415" s="12" t="b">
        <v>1</v>
      </c>
      <c r="J415" s="12" t="b">
        <v>1</v>
      </c>
      <c r="K415" s="12" t="b">
        <v>0</v>
      </c>
      <c r="L415" s="12" t="b">
        <v>0</v>
      </c>
      <c r="M415" s="12" t="b">
        <v>0</v>
      </c>
      <c r="N415" s="12">
        <v>0</v>
      </c>
      <c r="O415" s="12" t="b">
        <v>0</v>
      </c>
      <c r="P415" s="12" t="b">
        <v>0</v>
      </c>
      <c r="Q415" s="12" t="b">
        <v>0</v>
      </c>
      <c r="R415" s="12" t="b">
        <v>0</v>
      </c>
      <c r="S415" s="12" t="b">
        <v>0</v>
      </c>
      <c r="T415" s="12" t="b">
        <v>1</v>
      </c>
      <c r="U415" s="12" t="b">
        <v>0</v>
      </c>
      <c r="V415" s="12" t="b">
        <v>1</v>
      </c>
      <c r="W415" s="12" t="b">
        <v>0</v>
      </c>
      <c r="X415" s="12">
        <v>1</v>
      </c>
      <c r="Y415" s="12" t="b">
        <v>0</v>
      </c>
      <c r="Z415" s="12" t="b">
        <v>0</v>
      </c>
      <c r="AA415" s="12" t="b">
        <v>1</v>
      </c>
      <c r="AB415" s="12" t="b">
        <v>1</v>
      </c>
      <c r="AC415" s="12" t="b">
        <v>1</v>
      </c>
      <c r="AD415" s="12" t="b">
        <v>1</v>
      </c>
      <c r="AE415" s="12" t="b">
        <v>0</v>
      </c>
      <c r="AF415" s="12" t="b">
        <v>0</v>
      </c>
      <c r="AG415" s="12" t="b">
        <v>0</v>
      </c>
      <c r="AH415" s="12">
        <v>0</v>
      </c>
      <c r="AI415" s="12" t="b">
        <v>0</v>
      </c>
      <c r="AJ415" s="12" t="b">
        <v>0</v>
      </c>
      <c r="AK415" s="12" t="b">
        <v>1</v>
      </c>
      <c r="AL415" s="12">
        <v>1</v>
      </c>
      <c r="AM415" s="12" t="s">
        <v>900</v>
      </c>
      <c r="AN415" s="12">
        <v>1</v>
      </c>
    </row>
    <row r="416" spans="1:40" x14ac:dyDescent="0.3">
      <c r="A416" s="62" t="s">
        <v>858</v>
      </c>
      <c r="B416" s="62"/>
      <c r="C416" s="63" t="s">
        <v>1469</v>
      </c>
      <c r="D416" s="52" t="s">
        <v>1630</v>
      </c>
      <c r="E416" s="21" t="s">
        <v>1758</v>
      </c>
      <c r="F416" s="12" t="s">
        <v>1584</v>
      </c>
      <c r="G416" s="12" t="b">
        <v>0</v>
      </c>
      <c r="H416" s="12" t="b">
        <v>1</v>
      </c>
      <c r="I416" s="12" t="b">
        <v>1</v>
      </c>
      <c r="J416" s="12" t="b">
        <v>1</v>
      </c>
      <c r="K416" s="12" t="b">
        <v>0</v>
      </c>
      <c r="L416" s="12" t="b">
        <v>0</v>
      </c>
      <c r="M416" s="12" t="b">
        <v>0</v>
      </c>
      <c r="N416" s="12">
        <v>0</v>
      </c>
      <c r="O416" s="12" t="b">
        <v>0</v>
      </c>
      <c r="P416" s="12" t="b">
        <v>0</v>
      </c>
      <c r="Q416" s="12" t="b">
        <v>0</v>
      </c>
      <c r="R416" s="12" t="b">
        <v>0</v>
      </c>
      <c r="S416" s="12" t="b">
        <v>0</v>
      </c>
      <c r="T416" s="12" t="b">
        <v>1</v>
      </c>
      <c r="U416" s="12" t="b">
        <v>0</v>
      </c>
      <c r="V416" s="12" t="b">
        <v>1</v>
      </c>
      <c r="W416" s="12" t="b">
        <v>0</v>
      </c>
      <c r="X416" s="12">
        <v>1</v>
      </c>
      <c r="Y416" s="12" t="b">
        <v>0</v>
      </c>
      <c r="Z416" s="12" t="b">
        <v>0</v>
      </c>
      <c r="AA416" s="12" t="b">
        <v>1</v>
      </c>
      <c r="AB416" s="12" t="b">
        <v>1</v>
      </c>
      <c r="AC416" s="12" t="b">
        <v>1</v>
      </c>
      <c r="AD416" s="12" t="b">
        <v>1</v>
      </c>
      <c r="AE416" s="12" t="b">
        <v>0</v>
      </c>
      <c r="AF416" s="12" t="b">
        <v>0</v>
      </c>
      <c r="AG416" s="12" t="b">
        <v>0</v>
      </c>
      <c r="AH416" s="12">
        <v>0</v>
      </c>
      <c r="AI416" s="12" t="b">
        <v>0</v>
      </c>
      <c r="AJ416" s="12" t="b">
        <v>0</v>
      </c>
      <c r="AK416" s="12" t="b">
        <v>1</v>
      </c>
      <c r="AL416" s="12">
        <v>1</v>
      </c>
      <c r="AM416" s="12" t="s">
        <v>900</v>
      </c>
      <c r="AN416" s="12">
        <v>1</v>
      </c>
    </row>
    <row r="417" spans="1:40" x14ac:dyDescent="0.3">
      <c r="A417" s="62" t="s">
        <v>858</v>
      </c>
      <c r="B417" s="62"/>
      <c r="C417" s="63" t="s">
        <v>1470</v>
      </c>
      <c r="D417" s="52" t="s">
        <v>1630</v>
      </c>
      <c r="E417" s="21" t="s">
        <v>1758</v>
      </c>
      <c r="F417" s="12" t="s">
        <v>1584</v>
      </c>
      <c r="G417" s="12" t="b">
        <v>0</v>
      </c>
      <c r="H417" s="12" t="b">
        <v>1</v>
      </c>
      <c r="I417" s="12" t="b">
        <v>1</v>
      </c>
      <c r="J417" s="12" t="b">
        <v>1</v>
      </c>
      <c r="K417" s="12" t="b">
        <v>0</v>
      </c>
      <c r="L417" s="12" t="b">
        <v>0</v>
      </c>
      <c r="M417" s="12" t="b">
        <v>0</v>
      </c>
      <c r="N417" s="12">
        <v>0</v>
      </c>
      <c r="O417" s="12" t="b">
        <v>0</v>
      </c>
      <c r="P417" s="12" t="b">
        <v>0</v>
      </c>
      <c r="Q417" s="12" t="b">
        <v>0</v>
      </c>
      <c r="R417" s="12" t="b">
        <v>0</v>
      </c>
      <c r="S417" s="12" t="b">
        <v>0</v>
      </c>
      <c r="T417" s="12" t="b">
        <v>1</v>
      </c>
      <c r="U417" s="12" t="b">
        <v>0</v>
      </c>
      <c r="V417" s="12" t="b">
        <v>1</v>
      </c>
      <c r="W417" s="12" t="b">
        <v>0</v>
      </c>
      <c r="X417" s="12">
        <v>1</v>
      </c>
      <c r="Y417" s="12" t="b">
        <v>0</v>
      </c>
      <c r="Z417" s="12" t="b">
        <v>0</v>
      </c>
      <c r="AA417" s="12" t="b">
        <v>1</v>
      </c>
      <c r="AB417" s="12" t="b">
        <v>1</v>
      </c>
      <c r="AC417" s="12" t="b">
        <v>1</v>
      </c>
      <c r="AD417" s="12" t="b">
        <v>1</v>
      </c>
      <c r="AE417" s="12" t="b">
        <v>0</v>
      </c>
      <c r="AF417" s="12" t="b">
        <v>0</v>
      </c>
      <c r="AG417" s="12" t="b">
        <v>0</v>
      </c>
      <c r="AH417" s="12">
        <v>0</v>
      </c>
      <c r="AI417" s="12" t="b">
        <v>0</v>
      </c>
      <c r="AJ417" s="12" t="b">
        <v>0</v>
      </c>
      <c r="AK417" s="12" t="b">
        <v>1</v>
      </c>
      <c r="AL417" s="12">
        <v>1</v>
      </c>
      <c r="AM417" s="12" t="s">
        <v>900</v>
      </c>
      <c r="AN417" s="12">
        <v>1</v>
      </c>
    </row>
    <row r="418" spans="1:40" x14ac:dyDescent="0.3">
      <c r="A418" s="62" t="s">
        <v>858</v>
      </c>
      <c r="B418" s="62"/>
      <c r="C418" s="63" t="s">
        <v>1934</v>
      </c>
      <c r="D418" s="63" t="s">
        <v>1630</v>
      </c>
      <c r="E418" s="21" t="s">
        <v>1758</v>
      </c>
      <c r="F418" s="12" t="s">
        <v>1584</v>
      </c>
      <c r="G418" s="12" t="b">
        <v>0</v>
      </c>
      <c r="H418" s="12" t="b">
        <v>1</v>
      </c>
      <c r="I418" s="12" t="b">
        <v>1</v>
      </c>
      <c r="J418" s="12" t="b">
        <v>1</v>
      </c>
      <c r="K418" s="12" t="b">
        <v>0</v>
      </c>
      <c r="L418" s="12" t="b">
        <v>0</v>
      </c>
      <c r="M418" s="12" t="b">
        <v>0</v>
      </c>
      <c r="N418" s="12">
        <v>0</v>
      </c>
      <c r="O418" s="12" t="b">
        <v>0</v>
      </c>
      <c r="P418" s="12" t="b">
        <v>0</v>
      </c>
      <c r="Q418" s="12" t="b">
        <v>0</v>
      </c>
      <c r="R418" s="12" t="b">
        <v>0</v>
      </c>
      <c r="S418" s="12" t="b">
        <v>0</v>
      </c>
      <c r="T418" s="12" t="b">
        <v>1</v>
      </c>
      <c r="U418" s="12" t="b">
        <v>0</v>
      </c>
      <c r="V418" s="12" t="b">
        <v>1</v>
      </c>
      <c r="W418" s="12" t="b">
        <v>0</v>
      </c>
      <c r="X418" s="12">
        <v>1</v>
      </c>
      <c r="Y418" s="12" t="b">
        <v>0</v>
      </c>
      <c r="Z418" s="12" t="b">
        <v>0</v>
      </c>
      <c r="AA418" s="12" t="b">
        <v>1</v>
      </c>
      <c r="AB418" s="12" t="b">
        <v>1</v>
      </c>
      <c r="AC418" s="12" t="b">
        <v>1</v>
      </c>
      <c r="AD418" s="12" t="b">
        <v>1</v>
      </c>
      <c r="AE418" s="12" t="b">
        <v>0</v>
      </c>
      <c r="AF418" s="12" t="b">
        <v>0</v>
      </c>
      <c r="AG418" s="12" t="b">
        <v>0</v>
      </c>
      <c r="AH418" s="12">
        <v>0</v>
      </c>
      <c r="AI418" s="12" t="b">
        <v>0</v>
      </c>
      <c r="AJ418" s="12" t="b">
        <v>0</v>
      </c>
      <c r="AK418" s="12" t="b">
        <v>1</v>
      </c>
      <c r="AL418" s="12">
        <v>1</v>
      </c>
      <c r="AM418" s="12" t="s">
        <v>900</v>
      </c>
      <c r="AN418" s="12">
        <v>1</v>
      </c>
    </row>
    <row r="419" spans="1:40" x14ac:dyDescent="0.3">
      <c r="A419" s="62" t="s">
        <v>858</v>
      </c>
      <c r="B419" s="62"/>
      <c r="C419" s="63" t="s">
        <v>1935</v>
      </c>
      <c r="D419" s="63" t="s">
        <v>1630</v>
      </c>
      <c r="E419" s="21" t="s">
        <v>1758</v>
      </c>
      <c r="F419" s="12" t="s">
        <v>1584</v>
      </c>
      <c r="G419" s="12" t="b">
        <v>0</v>
      </c>
      <c r="H419" s="12" t="b">
        <v>1</v>
      </c>
      <c r="I419" s="12" t="b">
        <v>1</v>
      </c>
      <c r="J419" s="12" t="b">
        <v>1</v>
      </c>
      <c r="K419" s="12" t="b">
        <v>0</v>
      </c>
      <c r="L419" s="12" t="b">
        <v>0</v>
      </c>
      <c r="M419" s="12" t="b">
        <v>0</v>
      </c>
      <c r="N419" s="12">
        <v>0</v>
      </c>
      <c r="O419" s="12" t="b">
        <v>0</v>
      </c>
      <c r="P419" s="12" t="b">
        <v>0</v>
      </c>
      <c r="Q419" s="12" t="b">
        <v>0</v>
      </c>
      <c r="R419" s="12" t="b">
        <v>0</v>
      </c>
      <c r="S419" s="12" t="b">
        <v>0</v>
      </c>
      <c r="T419" s="12" t="b">
        <v>1</v>
      </c>
      <c r="U419" s="12" t="b">
        <v>0</v>
      </c>
      <c r="V419" s="12" t="b">
        <v>1</v>
      </c>
      <c r="W419" s="12" t="b">
        <v>0</v>
      </c>
      <c r="X419" s="12">
        <v>1</v>
      </c>
      <c r="Y419" s="12" t="b">
        <v>0</v>
      </c>
      <c r="Z419" s="12" t="b">
        <v>0</v>
      </c>
      <c r="AA419" s="12" t="b">
        <v>1</v>
      </c>
      <c r="AB419" s="12" t="b">
        <v>1</v>
      </c>
      <c r="AC419" s="12" t="b">
        <v>1</v>
      </c>
      <c r="AD419" s="12" t="b">
        <v>1</v>
      </c>
      <c r="AE419" s="12" t="b">
        <v>0</v>
      </c>
      <c r="AF419" s="12" t="b">
        <v>0</v>
      </c>
      <c r="AG419" s="12" t="b">
        <v>0</v>
      </c>
      <c r="AH419" s="12">
        <v>0</v>
      </c>
      <c r="AI419" s="12" t="b">
        <v>0</v>
      </c>
      <c r="AJ419" s="12" t="b">
        <v>0</v>
      </c>
      <c r="AK419" s="12" t="b">
        <v>1</v>
      </c>
      <c r="AL419" s="12">
        <v>1</v>
      </c>
      <c r="AM419" s="12" t="s">
        <v>900</v>
      </c>
      <c r="AN419" s="12">
        <v>1</v>
      </c>
    </row>
    <row r="420" spans="1:40" x14ac:dyDescent="0.3">
      <c r="A420" s="62" t="s">
        <v>858</v>
      </c>
      <c r="B420" s="62"/>
      <c r="C420" s="63" t="s">
        <v>1936</v>
      </c>
      <c r="D420" s="63" t="s">
        <v>1630</v>
      </c>
      <c r="E420" s="21" t="s">
        <v>1758</v>
      </c>
      <c r="F420" s="12" t="s">
        <v>1584</v>
      </c>
      <c r="G420" s="12" t="b">
        <v>0</v>
      </c>
      <c r="H420" s="12" t="b">
        <v>1</v>
      </c>
      <c r="I420" s="12" t="b">
        <v>1</v>
      </c>
      <c r="J420" s="12" t="b">
        <v>1</v>
      </c>
      <c r="K420" s="12" t="b">
        <v>0</v>
      </c>
      <c r="L420" s="12" t="b">
        <v>0</v>
      </c>
      <c r="M420" s="12" t="b">
        <v>0</v>
      </c>
      <c r="N420" s="12">
        <v>0</v>
      </c>
      <c r="O420" s="12" t="b">
        <v>0</v>
      </c>
      <c r="P420" s="12" t="b">
        <v>0</v>
      </c>
      <c r="Q420" s="12" t="b">
        <v>0</v>
      </c>
      <c r="R420" s="12" t="b">
        <v>0</v>
      </c>
      <c r="S420" s="12" t="b">
        <v>0</v>
      </c>
      <c r="T420" s="12" t="b">
        <v>1</v>
      </c>
      <c r="U420" s="12" t="b">
        <v>0</v>
      </c>
      <c r="V420" s="12" t="b">
        <v>1</v>
      </c>
      <c r="W420" s="12" t="b">
        <v>0</v>
      </c>
      <c r="X420" s="12">
        <v>1</v>
      </c>
      <c r="Y420" s="12" t="b">
        <v>0</v>
      </c>
      <c r="Z420" s="12" t="b">
        <v>0</v>
      </c>
      <c r="AA420" s="12" t="b">
        <v>1</v>
      </c>
      <c r="AB420" s="12" t="b">
        <v>1</v>
      </c>
      <c r="AC420" s="12" t="b">
        <v>1</v>
      </c>
      <c r="AD420" s="12" t="b">
        <v>1</v>
      </c>
      <c r="AE420" s="12" t="b">
        <v>0</v>
      </c>
      <c r="AF420" s="12" t="b">
        <v>0</v>
      </c>
      <c r="AG420" s="12" t="b">
        <v>0</v>
      </c>
      <c r="AH420" s="12">
        <v>0</v>
      </c>
      <c r="AI420" s="12" t="b">
        <v>0</v>
      </c>
      <c r="AJ420" s="12" t="b">
        <v>0</v>
      </c>
      <c r="AK420" s="12" t="b">
        <v>1</v>
      </c>
      <c r="AL420" s="12">
        <v>1</v>
      </c>
      <c r="AM420" s="12" t="s">
        <v>900</v>
      </c>
      <c r="AN420" s="12">
        <v>1</v>
      </c>
    </row>
    <row r="421" spans="1:40" x14ac:dyDescent="0.3">
      <c r="A421" s="62" t="s">
        <v>858</v>
      </c>
      <c r="B421" s="62"/>
      <c r="C421" s="63" t="s">
        <v>1937</v>
      </c>
      <c r="D421" s="63" t="s">
        <v>1630</v>
      </c>
      <c r="E421" s="21" t="s">
        <v>1758</v>
      </c>
      <c r="F421" s="12" t="s">
        <v>1584</v>
      </c>
      <c r="G421" s="12" t="b">
        <v>0</v>
      </c>
      <c r="H421" s="12" t="b">
        <v>1</v>
      </c>
      <c r="I421" s="12" t="b">
        <v>1</v>
      </c>
      <c r="J421" s="12" t="b">
        <v>1</v>
      </c>
      <c r="K421" s="12" t="b">
        <v>0</v>
      </c>
      <c r="L421" s="12" t="b">
        <v>0</v>
      </c>
      <c r="M421" s="12" t="b">
        <v>0</v>
      </c>
      <c r="N421" s="12">
        <v>0</v>
      </c>
      <c r="O421" s="12" t="b">
        <v>0</v>
      </c>
      <c r="P421" s="12" t="b">
        <v>0</v>
      </c>
      <c r="Q421" s="12" t="b">
        <v>0</v>
      </c>
      <c r="R421" s="12" t="b">
        <v>0</v>
      </c>
      <c r="S421" s="12" t="b">
        <v>0</v>
      </c>
      <c r="T421" s="12" t="b">
        <v>1</v>
      </c>
      <c r="U421" s="12" t="b">
        <v>0</v>
      </c>
      <c r="V421" s="12" t="b">
        <v>1</v>
      </c>
      <c r="W421" s="12" t="b">
        <v>0</v>
      </c>
      <c r="X421" s="12">
        <v>1</v>
      </c>
      <c r="Y421" s="12" t="b">
        <v>0</v>
      </c>
      <c r="Z421" s="12" t="b">
        <v>0</v>
      </c>
      <c r="AA421" s="12" t="b">
        <v>1</v>
      </c>
      <c r="AB421" s="12" t="b">
        <v>1</v>
      </c>
      <c r="AC421" s="12" t="b">
        <v>1</v>
      </c>
      <c r="AD421" s="12" t="b">
        <v>1</v>
      </c>
      <c r="AE421" s="12" t="b">
        <v>0</v>
      </c>
      <c r="AF421" s="12" t="b">
        <v>0</v>
      </c>
      <c r="AG421" s="12" t="b">
        <v>0</v>
      </c>
      <c r="AH421" s="12">
        <v>0</v>
      </c>
      <c r="AI421" s="12" t="b">
        <v>0</v>
      </c>
      <c r="AJ421" s="12" t="b">
        <v>0</v>
      </c>
      <c r="AK421" s="12" t="b">
        <v>1</v>
      </c>
      <c r="AL421" s="12">
        <v>1</v>
      </c>
      <c r="AM421" s="12" t="s">
        <v>900</v>
      </c>
      <c r="AN421" s="12">
        <v>1</v>
      </c>
    </row>
    <row r="422" spans="1:40" x14ac:dyDescent="0.3">
      <c r="A422" s="62" t="s">
        <v>858</v>
      </c>
      <c r="B422" s="62"/>
      <c r="C422" s="63" t="s">
        <v>1938</v>
      </c>
      <c r="D422" s="63" t="s">
        <v>1630</v>
      </c>
      <c r="E422" s="21" t="s">
        <v>1758</v>
      </c>
      <c r="F422" s="12" t="s">
        <v>1584</v>
      </c>
      <c r="G422" s="12" t="b">
        <v>0</v>
      </c>
      <c r="H422" s="12" t="b">
        <v>1</v>
      </c>
      <c r="I422" s="12" t="b">
        <v>1</v>
      </c>
      <c r="J422" s="12" t="b">
        <v>1</v>
      </c>
      <c r="K422" s="12" t="b">
        <v>0</v>
      </c>
      <c r="L422" s="12" t="b">
        <v>0</v>
      </c>
      <c r="M422" s="12" t="b">
        <v>0</v>
      </c>
      <c r="N422" s="12">
        <v>0</v>
      </c>
      <c r="O422" s="12" t="b">
        <v>0</v>
      </c>
      <c r="P422" s="12" t="b">
        <v>0</v>
      </c>
      <c r="Q422" s="12" t="b">
        <v>0</v>
      </c>
      <c r="R422" s="12" t="b">
        <v>0</v>
      </c>
      <c r="S422" s="12" t="b">
        <v>0</v>
      </c>
      <c r="T422" s="12" t="b">
        <v>1</v>
      </c>
      <c r="U422" s="12" t="b">
        <v>0</v>
      </c>
      <c r="V422" s="12" t="b">
        <v>1</v>
      </c>
      <c r="W422" s="12" t="b">
        <v>0</v>
      </c>
      <c r="X422" s="12">
        <v>1</v>
      </c>
      <c r="Y422" s="12" t="b">
        <v>0</v>
      </c>
      <c r="Z422" s="12" t="b">
        <v>0</v>
      </c>
      <c r="AA422" s="12" t="b">
        <v>1</v>
      </c>
      <c r="AB422" s="12" t="b">
        <v>1</v>
      </c>
      <c r="AC422" s="12" t="b">
        <v>1</v>
      </c>
      <c r="AD422" s="12" t="b">
        <v>1</v>
      </c>
      <c r="AE422" s="12" t="b">
        <v>0</v>
      </c>
      <c r="AF422" s="12" t="b">
        <v>0</v>
      </c>
      <c r="AG422" s="12" t="b">
        <v>0</v>
      </c>
      <c r="AH422" s="12">
        <v>0</v>
      </c>
      <c r="AI422" s="12" t="b">
        <v>0</v>
      </c>
      <c r="AJ422" s="12" t="b">
        <v>0</v>
      </c>
      <c r="AK422" s="12" t="b">
        <v>1</v>
      </c>
      <c r="AL422" s="12">
        <v>1</v>
      </c>
      <c r="AM422" s="12" t="s">
        <v>900</v>
      </c>
      <c r="AN422" s="12">
        <v>1</v>
      </c>
    </row>
    <row r="423" spans="1:40" x14ac:dyDescent="0.3">
      <c r="A423" s="62" t="s">
        <v>858</v>
      </c>
      <c r="B423" s="62"/>
      <c r="C423" s="63" t="s">
        <v>1939</v>
      </c>
      <c r="D423" s="63" t="s">
        <v>1630</v>
      </c>
      <c r="E423" s="21" t="s">
        <v>1758</v>
      </c>
      <c r="F423" s="12" t="s">
        <v>1584</v>
      </c>
      <c r="G423" s="12" t="b">
        <v>0</v>
      </c>
      <c r="H423" s="12" t="b">
        <v>1</v>
      </c>
      <c r="I423" s="12" t="b">
        <v>1</v>
      </c>
      <c r="J423" s="12" t="b">
        <v>1</v>
      </c>
      <c r="K423" s="12" t="b">
        <v>0</v>
      </c>
      <c r="L423" s="12" t="b">
        <v>0</v>
      </c>
      <c r="M423" s="12" t="b">
        <v>0</v>
      </c>
      <c r="N423" s="12">
        <v>0</v>
      </c>
      <c r="O423" s="12" t="b">
        <v>0</v>
      </c>
      <c r="P423" s="12" t="b">
        <v>0</v>
      </c>
      <c r="Q423" s="12" t="b">
        <v>0</v>
      </c>
      <c r="R423" s="12" t="b">
        <v>0</v>
      </c>
      <c r="S423" s="12" t="b">
        <v>0</v>
      </c>
      <c r="T423" s="12" t="b">
        <v>1</v>
      </c>
      <c r="U423" s="12" t="b">
        <v>0</v>
      </c>
      <c r="V423" s="12" t="b">
        <v>1</v>
      </c>
      <c r="W423" s="12" t="b">
        <v>0</v>
      </c>
      <c r="X423" s="12">
        <v>1</v>
      </c>
      <c r="Y423" s="12" t="b">
        <v>0</v>
      </c>
      <c r="Z423" s="12" t="b">
        <v>0</v>
      </c>
      <c r="AA423" s="12" t="b">
        <v>1</v>
      </c>
      <c r="AB423" s="12" t="b">
        <v>1</v>
      </c>
      <c r="AC423" s="12" t="b">
        <v>1</v>
      </c>
      <c r="AD423" s="12" t="b">
        <v>1</v>
      </c>
      <c r="AE423" s="12" t="b">
        <v>0</v>
      </c>
      <c r="AF423" s="12" t="b">
        <v>0</v>
      </c>
      <c r="AG423" s="12" t="b">
        <v>0</v>
      </c>
      <c r="AH423" s="12">
        <v>0</v>
      </c>
      <c r="AI423" s="12" t="b">
        <v>0</v>
      </c>
      <c r="AJ423" s="12" t="b">
        <v>0</v>
      </c>
      <c r="AK423" s="12" t="b">
        <v>1</v>
      </c>
      <c r="AL423" s="12">
        <v>1</v>
      </c>
      <c r="AM423" s="12" t="s">
        <v>900</v>
      </c>
      <c r="AN423" s="12">
        <v>1</v>
      </c>
    </row>
    <row r="424" spans="1:40" x14ac:dyDescent="0.3">
      <c r="A424" s="62" t="s">
        <v>858</v>
      </c>
      <c r="B424" s="62"/>
      <c r="C424" s="63"/>
      <c r="D424" s="63"/>
      <c r="E424" s="12" t="s">
        <v>1517</v>
      </c>
      <c r="F424" s="12" t="s">
        <v>1519</v>
      </c>
      <c r="G424" s="12" t="b">
        <v>0</v>
      </c>
      <c r="H424" s="12" t="b">
        <v>1</v>
      </c>
      <c r="I424" s="12" t="b">
        <v>1</v>
      </c>
      <c r="J424" s="12" t="b">
        <v>1</v>
      </c>
      <c r="K424" s="12" t="b">
        <v>0</v>
      </c>
      <c r="L424" s="12" t="b">
        <v>1</v>
      </c>
      <c r="M424" s="12" t="b">
        <v>0</v>
      </c>
      <c r="N424" s="12">
        <v>0</v>
      </c>
      <c r="O424" s="12" t="b">
        <v>0</v>
      </c>
      <c r="P424" s="12" t="b">
        <v>0</v>
      </c>
      <c r="Q424" s="12" t="b">
        <v>0</v>
      </c>
      <c r="R424" s="12" t="b">
        <v>0</v>
      </c>
      <c r="S424" s="12" t="b">
        <v>0</v>
      </c>
      <c r="T424" s="12" t="b">
        <v>1</v>
      </c>
      <c r="U424" s="12" t="b">
        <v>0</v>
      </c>
      <c r="V424" s="12" t="b">
        <v>1</v>
      </c>
      <c r="W424" s="12" t="b">
        <v>0</v>
      </c>
      <c r="X424" s="12">
        <v>1</v>
      </c>
      <c r="Y424" s="12" t="b">
        <v>0</v>
      </c>
      <c r="Z424" s="12" t="b">
        <v>0</v>
      </c>
      <c r="AA424" s="12" t="b">
        <v>1</v>
      </c>
      <c r="AB424" s="12" t="b">
        <v>1</v>
      </c>
      <c r="AC424" s="12" t="b">
        <v>1</v>
      </c>
      <c r="AD424" s="12" t="b">
        <v>1</v>
      </c>
      <c r="AE424" s="12" t="b">
        <v>0</v>
      </c>
      <c r="AF424" s="12" t="b">
        <v>0</v>
      </c>
      <c r="AG424" s="12" t="b">
        <v>0</v>
      </c>
      <c r="AH424" s="12">
        <v>0</v>
      </c>
      <c r="AI424" s="12" t="b">
        <v>0</v>
      </c>
      <c r="AJ424" s="12" t="b">
        <v>0</v>
      </c>
      <c r="AK424" s="12" t="b">
        <v>1</v>
      </c>
      <c r="AL424" s="12">
        <v>0</v>
      </c>
      <c r="AM424" s="12" t="s">
        <v>900</v>
      </c>
      <c r="AN424" s="12">
        <v>0</v>
      </c>
    </row>
    <row r="425" spans="1:40" x14ac:dyDescent="0.3">
      <c r="A425" s="62" t="s">
        <v>858</v>
      </c>
      <c r="B425" s="62"/>
      <c r="C425" s="63"/>
      <c r="D425" s="63"/>
      <c r="E425" s="12" t="s">
        <v>1003</v>
      </c>
      <c r="F425" s="12" t="s">
        <v>1190</v>
      </c>
      <c r="G425" s="12" t="b">
        <v>0</v>
      </c>
      <c r="H425" s="12" t="b">
        <v>1</v>
      </c>
      <c r="I425" s="12" t="b">
        <v>1</v>
      </c>
      <c r="J425" s="12" t="b">
        <v>1</v>
      </c>
      <c r="K425" s="12" t="b">
        <v>0</v>
      </c>
      <c r="L425" s="12" t="b">
        <v>1</v>
      </c>
      <c r="M425" s="12" t="b">
        <v>0</v>
      </c>
      <c r="N425" s="12">
        <v>0</v>
      </c>
      <c r="O425" s="12" t="b">
        <v>0</v>
      </c>
      <c r="P425" s="12" t="b">
        <v>0</v>
      </c>
      <c r="Q425" s="12" t="b">
        <v>0</v>
      </c>
      <c r="R425" s="12" t="b">
        <v>0</v>
      </c>
      <c r="S425" s="12" t="b">
        <v>0</v>
      </c>
      <c r="T425" s="12" t="b">
        <v>1</v>
      </c>
      <c r="U425" s="12" t="b">
        <v>0</v>
      </c>
      <c r="V425" s="12" t="b">
        <v>1</v>
      </c>
      <c r="W425" s="12" t="b">
        <v>0</v>
      </c>
      <c r="X425" s="12">
        <v>1</v>
      </c>
      <c r="Y425" s="12" t="b">
        <v>0</v>
      </c>
      <c r="Z425" s="12" t="b">
        <v>0</v>
      </c>
      <c r="AA425" s="12" t="b">
        <v>1</v>
      </c>
      <c r="AB425" s="12" t="b">
        <v>1</v>
      </c>
      <c r="AC425" s="12" t="b">
        <v>1</v>
      </c>
      <c r="AD425" s="12" t="b">
        <v>1</v>
      </c>
      <c r="AE425" s="12" t="b">
        <v>0</v>
      </c>
      <c r="AF425" s="12" t="b">
        <v>0</v>
      </c>
      <c r="AG425" s="12" t="b">
        <v>0</v>
      </c>
      <c r="AH425" s="12">
        <v>0</v>
      </c>
      <c r="AI425" s="12" t="b">
        <v>0</v>
      </c>
      <c r="AJ425" s="12" t="b">
        <v>0</v>
      </c>
      <c r="AK425" s="12" t="b">
        <v>1</v>
      </c>
      <c r="AL425" s="12">
        <v>0</v>
      </c>
      <c r="AM425" s="12" t="s">
        <v>900</v>
      </c>
      <c r="AN425" s="12">
        <v>0</v>
      </c>
    </row>
    <row r="426" spans="1:40" x14ac:dyDescent="0.3">
      <c r="A426" s="62" t="s">
        <v>858</v>
      </c>
      <c r="B426" s="62"/>
      <c r="C426" s="63"/>
      <c r="D426" s="63"/>
      <c r="E426" s="12" t="s">
        <v>2084</v>
      </c>
      <c r="F426" s="12" t="s">
        <v>2086</v>
      </c>
      <c r="G426" s="12" t="b">
        <v>0</v>
      </c>
      <c r="H426" s="12" t="b">
        <v>0</v>
      </c>
      <c r="I426" s="12" t="b">
        <v>0</v>
      </c>
      <c r="J426" s="12" t="b">
        <v>1</v>
      </c>
      <c r="K426" s="12" t="b">
        <v>0</v>
      </c>
      <c r="L426" s="12" t="b">
        <v>1</v>
      </c>
      <c r="M426" s="12" t="b">
        <v>0</v>
      </c>
      <c r="N426" s="12">
        <v>0</v>
      </c>
      <c r="O426" s="12" t="b">
        <v>0</v>
      </c>
      <c r="P426" s="12" t="b">
        <v>0</v>
      </c>
      <c r="Q426" s="12" t="b">
        <v>0</v>
      </c>
      <c r="R426" s="12" t="b">
        <v>0</v>
      </c>
      <c r="S426" s="12" t="b">
        <v>0</v>
      </c>
      <c r="T426" s="12" t="b">
        <v>1</v>
      </c>
      <c r="U426" s="12" t="b">
        <v>0</v>
      </c>
      <c r="V426" s="12" t="b">
        <v>1</v>
      </c>
      <c r="W426" s="12" t="b">
        <v>0</v>
      </c>
      <c r="X426" s="12">
        <v>1</v>
      </c>
      <c r="Y426" s="12" t="b">
        <v>0</v>
      </c>
      <c r="Z426" s="12" t="b">
        <v>0</v>
      </c>
      <c r="AA426" s="12" t="b">
        <v>0</v>
      </c>
      <c r="AB426" s="12" t="b">
        <v>0</v>
      </c>
      <c r="AC426" s="12" t="b">
        <v>0</v>
      </c>
      <c r="AD426" s="12" t="b">
        <v>1</v>
      </c>
      <c r="AE426" s="12" t="b">
        <v>0</v>
      </c>
      <c r="AF426" s="12" t="b">
        <v>1</v>
      </c>
      <c r="AG426" s="12" t="b">
        <v>0</v>
      </c>
      <c r="AH426" s="12">
        <v>1</v>
      </c>
      <c r="AI426" s="12" t="b">
        <v>0</v>
      </c>
      <c r="AJ426" s="12" t="b">
        <v>0</v>
      </c>
      <c r="AK426" s="12" t="b">
        <v>1</v>
      </c>
      <c r="AL426" s="12">
        <v>0</v>
      </c>
      <c r="AM426" s="12" t="s">
        <v>922</v>
      </c>
      <c r="AN426" s="12">
        <v>0</v>
      </c>
    </row>
    <row r="427" spans="1:40" x14ac:dyDescent="0.3">
      <c r="A427" s="62" t="s">
        <v>858</v>
      </c>
      <c r="B427" s="62"/>
      <c r="C427" s="63"/>
      <c r="D427" s="63"/>
      <c r="E427" s="12" t="s">
        <v>920</v>
      </c>
      <c r="F427" s="12" t="s">
        <v>1193</v>
      </c>
      <c r="G427" s="12" t="b">
        <v>0</v>
      </c>
      <c r="H427" s="12" t="b">
        <v>0</v>
      </c>
      <c r="I427" s="12" t="b">
        <v>0</v>
      </c>
      <c r="J427" s="12" t="b">
        <v>1</v>
      </c>
      <c r="K427" s="12" t="b">
        <v>0</v>
      </c>
      <c r="L427" s="12" t="b">
        <v>1</v>
      </c>
      <c r="M427" s="12" t="b">
        <v>0</v>
      </c>
      <c r="N427" s="12">
        <v>0</v>
      </c>
      <c r="O427" s="12" t="b">
        <v>0</v>
      </c>
      <c r="P427" s="12" t="b">
        <v>0</v>
      </c>
      <c r="Q427" s="12" t="b">
        <v>0</v>
      </c>
      <c r="R427" s="12" t="b">
        <v>0</v>
      </c>
      <c r="S427" s="12" t="b">
        <v>0</v>
      </c>
      <c r="T427" s="12" t="b">
        <v>1</v>
      </c>
      <c r="U427" s="12" t="b">
        <v>0</v>
      </c>
      <c r="V427" s="12" t="b">
        <v>1</v>
      </c>
      <c r="W427" s="12" t="b">
        <v>0</v>
      </c>
      <c r="X427" s="12">
        <v>1</v>
      </c>
      <c r="Y427" s="12" t="b">
        <v>0</v>
      </c>
      <c r="Z427" s="12" t="b">
        <v>0</v>
      </c>
      <c r="AA427" s="12" t="b">
        <v>0</v>
      </c>
      <c r="AB427" s="12" t="b">
        <v>0</v>
      </c>
      <c r="AC427" s="12" t="b">
        <v>0</v>
      </c>
      <c r="AD427" s="12" t="b">
        <v>1</v>
      </c>
      <c r="AE427" s="12" t="b">
        <v>0</v>
      </c>
      <c r="AF427" s="12" t="b">
        <v>1</v>
      </c>
      <c r="AG427" s="12" t="b">
        <v>0</v>
      </c>
      <c r="AH427" s="12">
        <v>1</v>
      </c>
      <c r="AI427" s="12" t="b">
        <v>0</v>
      </c>
      <c r="AJ427" s="12" t="b">
        <v>0</v>
      </c>
      <c r="AK427" s="12" t="b">
        <v>1</v>
      </c>
      <c r="AL427" s="12">
        <v>1</v>
      </c>
      <c r="AM427" s="12" t="s">
        <v>922</v>
      </c>
      <c r="AN427" s="12">
        <v>1</v>
      </c>
    </row>
    <row r="428" spans="1:40" x14ac:dyDescent="0.3">
      <c r="A428" s="62" t="s">
        <v>858</v>
      </c>
      <c r="B428" s="62"/>
      <c r="C428" s="63"/>
      <c r="D428" s="63"/>
      <c r="E428" s="12" t="s">
        <v>923</v>
      </c>
      <c r="F428" s="12" t="s">
        <v>1194</v>
      </c>
      <c r="G428" s="12" t="b">
        <v>0</v>
      </c>
      <c r="H428" s="12" t="b">
        <v>0</v>
      </c>
      <c r="I428" s="12" t="b">
        <v>0</v>
      </c>
      <c r="J428" s="12" t="b">
        <v>1</v>
      </c>
      <c r="K428" s="12" t="b">
        <v>0</v>
      </c>
      <c r="L428" s="12" t="b">
        <v>1</v>
      </c>
      <c r="M428" s="12" t="b">
        <v>0</v>
      </c>
      <c r="N428" s="12">
        <v>0</v>
      </c>
      <c r="O428" s="12" t="b">
        <v>0</v>
      </c>
      <c r="P428" s="12" t="b">
        <v>0</v>
      </c>
      <c r="Q428" s="12" t="b">
        <v>0</v>
      </c>
      <c r="R428" s="12" t="b">
        <v>0</v>
      </c>
      <c r="S428" s="12" t="b">
        <v>0</v>
      </c>
      <c r="T428" s="12" t="b">
        <v>1</v>
      </c>
      <c r="U428" s="12" t="b">
        <v>0</v>
      </c>
      <c r="V428" s="12" t="b">
        <v>1</v>
      </c>
      <c r="W428" s="12" t="b">
        <v>0</v>
      </c>
      <c r="X428" s="12">
        <v>1</v>
      </c>
      <c r="Y428" s="12" t="b">
        <v>0</v>
      </c>
      <c r="Z428" s="12" t="b">
        <v>0</v>
      </c>
      <c r="AA428" s="12" t="b">
        <v>0</v>
      </c>
      <c r="AB428" s="12" t="b">
        <v>0</v>
      </c>
      <c r="AC428" s="12" t="b">
        <v>0</v>
      </c>
      <c r="AD428" s="12" t="b">
        <v>1</v>
      </c>
      <c r="AE428" s="12" t="b">
        <v>0</v>
      </c>
      <c r="AF428" s="12" t="b">
        <v>1</v>
      </c>
      <c r="AG428" s="12" t="b">
        <v>0</v>
      </c>
      <c r="AH428" s="12">
        <v>1</v>
      </c>
      <c r="AI428" s="12" t="b">
        <v>0</v>
      </c>
      <c r="AJ428" s="12" t="b">
        <v>0</v>
      </c>
      <c r="AK428" s="12" t="b">
        <v>1</v>
      </c>
      <c r="AL428" s="12">
        <v>1</v>
      </c>
      <c r="AM428" s="12" t="s">
        <v>922</v>
      </c>
      <c r="AN428" s="12">
        <v>1</v>
      </c>
    </row>
    <row r="429" spans="1:40" x14ac:dyDescent="0.3">
      <c r="A429" s="62" t="s">
        <v>858</v>
      </c>
      <c r="B429" s="62"/>
      <c r="C429" s="63"/>
      <c r="D429" s="63"/>
      <c r="E429" s="12" t="s">
        <v>925</v>
      </c>
      <c r="F429" s="12" t="s">
        <v>1195</v>
      </c>
      <c r="G429" s="12" t="b">
        <v>0</v>
      </c>
      <c r="H429" s="12" t="b">
        <v>0</v>
      </c>
      <c r="I429" s="12" t="b">
        <v>0</v>
      </c>
      <c r="J429" s="12" t="b">
        <v>1</v>
      </c>
      <c r="K429" s="12" t="b">
        <v>0</v>
      </c>
      <c r="L429" s="12" t="b">
        <v>1</v>
      </c>
      <c r="M429" s="12" t="b">
        <v>0</v>
      </c>
      <c r="N429" s="12">
        <v>0</v>
      </c>
      <c r="O429" s="12" t="b">
        <v>0</v>
      </c>
      <c r="P429" s="12" t="b">
        <v>0</v>
      </c>
      <c r="Q429" s="12" t="b">
        <v>0</v>
      </c>
      <c r="R429" s="12" t="b">
        <v>0</v>
      </c>
      <c r="S429" s="12" t="b">
        <v>0</v>
      </c>
      <c r="T429" s="12" t="b">
        <v>1</v>
      </c>
      <c r="U429" s="12" t="b">
        <v>0</v>
      </c>
      <c r="V429" s="12" t="b">
        <v>1</v>
      </c>
      <c r="W429" s="12" t="b">
        <v>0</v>
      </c>
      <c r="X429" s="12">
        <v>1</v>
      </c>
      <c r="Y429" s="12" t="b">
        <v>0</v>
      </c>
      <c r="Z429" s="12" t="b">
        <v>0</v>
      </c>
      <c r="AA429" s="12" t="b">
        <v>0</v>
      </c>
      <c r="AB429" s="12" t="b">
        <v>0</v>
      </c>
      <c r="AC429" s="12" t="b">
        <v>0</v>
      </c>
      <c r="AD429" s="12" t="b">
        <v>1</v>
      </c>
      <c r="AE429" s="12" t="b">
        <v>0</v>
      </c>
      <c r="AF429" s="12" t="b">
        <v>1</v>
      </c>
      <c r="AG429" s="12" t="b">
        <v>0</v>
      </c>
      <c r="AH429" s="12">
        <v>1</v>
      </c>
      <c r="AI429" s="12" t="b">
        <v>0</v>
      </c>
      <c r="AJ429" s="12" t="b">
        <v>0</v>
      </c>
      <c r="AK429" s="12" t="b">
        <v>1</v>
      </c>
      <c r="AL429" s="12">
        <v>1</v>
      </c>
      <c r="AM429" s="12" t="s">
        <v>922</v>
      </c>
      <c r="AN429" s="12">
        <v>1</v>
      </c>
    </row>
    <row r="430" spans="1:40" x14ac:dyDescent="0.3">
      <c r="A430" s="62" t="s">
        <v>858</v>
      </c>
      <c r="B430" s="62"/>
      <c r="C430" s="63"/>
      <c r="D430" s="63"/>
      <c r="E430" s="12" t="s">
        <v>1563</v>
      </c>
      <c r="F430" s="12" t="s">
        <v>1565</v>
      </c>
      <c r="G430" s="12" t="b">
        <v>0</v>
      </c>
      <c r="H430" s="12" t="b">
        <v>0</v>
      </c>
      <c r="I430" s="12" t="b">
        <v>0</v>
      </c>
      <c r="J430" s="12" t="b">
        <v>1</v>
      </c>
      <c r="K430" s="12" t="b">
        <v>0</v>
      </c>
      <c r="L430" s="12" t="b">
        <v>1</v>
      </c>
      <c r="M430" s="12" t="b">
        <v>0</v>
      </c>
      <c r="N430" s="12">
        <v>0</v>
      </c>
      <c r="O430" s="12" t="b">
        <v>0</v>
      </c>
      <c r="P430" s="12" t="b">
        <v>0</v>
      </c>
      <c r="Q430" s="12" t="b">
        <v>0</v>
      </c>
      <c r="R430" s="12" t="b">
        <v>0</v>
      </c>
      <c r="S430" s="12" t="b">
        <v>0</v>
      </c>
      <c r="T430" s="12" t="b">
        <v>1</v>
      </c>
      <c r="U430" s="12" t="b">
        <v>0</v>
      </c>
      <c r="V430" s="12" t="b">
        <v>1</v>
      </c>
      <c r="W430" s="12" t="b">
        <v>0</v>
      </c>
      <c r="X430" s="12">
        <v>1</v>
      </c>
      <c r="Y430" s="12" t="b">
        <v>0</v>
      </c>
      <c r="Z430" s="12" t="b">
        <v>0</v>
      </c>
      <c r="AA430" s="12" t="b">
        <v>0</v>
      </c>
      <c r="AB430" s="12" t="b">
        <v>0</v>
      </c>
      <c r="AC430" s="12" t="b">
        <v>0</v>
      </c>
      <c r="AD430" s="12" t="b">
        <v>1</v>
      </c>
      <c r="AE430" s="12" t="b">
        <v>0</v>
      </c>
      <c r="AF430" s="12" t="b">
        <v>1</v>
      </c>
      <c r="AG430" s="12" t="b">
        <v>0</v>
      </c>
      <c r="AH430" s="12">
        <v>1</v>
      </c>
      <c r="AI430" s="12" t="b">
        <v>0</v>
      </c>
      <c r="AJ430" s="12" t="b">
        <v>0</v>
      </c>
      <c r="AK430" s="12" t="b">
        <v>1</v>
      </c>
      <c r="AL430" s="12">
        <v>1</v>
      </c>
      <c r="AM430" s="12" t="s">
        <v>922</v>
      </c>
      <c r="AN430" s="12">
        <v>1</v>
      </c>
    </row>
    <row r="431" spans="1:40" x14ac:dyDescent="0.3">
      <c r="A431" s="62" t="s">
        <v>858</v>
      </c>
      <c r="B431" s="62"/>
      <c r="C431" s="63"/>
      <c r="D431" s="63"/>
      <c r="E431" s="12" t="s">
        <v>906</v>
      </c>
      <c r="F431" s="12" t="s">
        <v>1202</v>
      </c>
      <c r="G431" s="12" t="b">
        <v>0</v>
      </c>
      <c r="H431" s="12" t="b">
        <v>1</v>
      </c>
      <c r="I431" s="12" t="b">
        <v>1</v>
      </c>
      <c r="J431" s="12" t="b">
        <v>1</v>
      </c>
      <c r="K431" s="12" t="b">
        <v>0</v>
      </c>
      <c r="L431" s="12" t="b">
        <v>0</v>
      </c>
      <c r="M431" s="12" t="b">
        <v>0</v>
      </c>
      <c r="N431" s="12">
        <v>0</v>
      </c>
      <c r="O431" s="12" t="b">
        <v>0</v>
      </c>
      <c r="P431" s="12" t="b">
        <v>0</v>
      </c>
      <c r="Q431" s="12" t="b">
        <v>0</v>
      </c>
      <c r="R431" s="12" t="b">
        <v>1</v>
      </c>
      <c r="S431" s="12" t="b">
        <v>1</v>
      </c>
      <c r="T431" s="12" t="b">
        <v>1</v>
      </c>
      <c r="U431" s="12" t="b">
        <v>0</v>
      </c>
      <c r="V431" s="12" t="b">
        <v>0</v>
      </c>
      <c r="W431" s="12" t="b">
        <v>0</v>
      </c>
      <c r="X431" s="12">
        <v>1</v>
      </c>
      <c r="Y431" s="12" t="b">
        <v>0</v>
      </c>
      <c r="Z431" s="12" t="b">
        <v>0</v>
      </c>
      <c r="AA431" s="12" t="b">
        <v>0</v>
      </c>
      <c r="AB431" s="12" t="b">
        <v>0</v>
      </c>
      <c r="AC431" s="12" t="b">
        <v>0</v>
      </c>
      <c r="AD431" s="12" t="b">
        <v>1</v>
      </c>
      <c r="AE431" s="12" t="b">
        <v>0</v>
      </c>
      <c r="AF431" s="12" t="b">
        <v>1</v>
      </c>
      <c r="AG431" s="12" t="b">
        <v>0</v>
      </c>
      <c r="AH431" s="12">
        <v>1</v>
      </c>
      <c r="AI431" s="12" t="b">
        <v>0</v>
      </c>
      <c r="AJ431" s="12" t="b">
        <v>0</v>
      </c>
      <c r="AK431" s="12" t="b">
        <v>1</v>
      </c>
      <c r="AL431" s="12">
        <v>1</v>
      </c>
      <c r="AM431" s="12" t="s">
        <v>1476</v>
      </c>
      <c r="AN431" s="12">
        <v>1</v>
      </c>
    </row>
    <row r="432" spans="1:40" x14ac:dyDescent="0.3">
      <c r="A432" s="62" t="s">
        <v>858</v>
      </c>
      <c r="B432" s="62"/>
      <c r="C432" s="63"/>
      <c r="D432" s="63"/>
      <c r="E432" s="12" t="s">
        <v>910</v>
      </c>
      <c r="F432" s="12" t="s">
        <v>1200</v>
      </c>
      <c r="G432" s="12" t="b">
        <v>0</v>
      </c>
      <c r="H432" s="12" t="b">
        <v>1</v>
      </c>
      <c r="I432" s="12" t="b">
        <v>1</v>
      </c>
      <c r="J432" s="12" t="b">
        <v>1</v>
      </c>
      <c r="K432" s="12" t="b">
        <v>0</v>
      </c>
      <c r="L432" s="12" t="b">
        <v>0</v>
      </c>
      <c r="M432" s="12" t="b">
        <v>0</v>
      </c>
      <c r="N432" s="12">
        <v>0</v>
      </c>
      <c r="O432" s="12" t="b">
        <v>0</v>
      </c>
      <c r="P432" s="12" t="b">
        <v>0</v>
      </c>
      <c r="Q432" s="12" t="b">
        <v>0</v>
      </c>
      <c r="R432" s="12" t="b">
        <v>1</v>
      </c>
      <c r="S432" s="12" t="b">
        <v>1</v>
      </c>
      <c r="T432" s="12" t="b">
        <v>1</v>
      </c>
      <c r="U432" s="12" t="b">
        <v>0</v>
      </c>
      <c r="V432" s="12" t="b">
        <v>0</v>
      </c>
      <c r="W432" s="12" t="b">
        <v>0</v>
      </c>
      <c r="X432" s="12">
        <v>1</v>
      </c>
      <c r="Y432" s="12" t="b">
        <v>0</v>
      </c>
      <c r="Z432" s="12" t="b">
        <v>0</v>
      </c>
      <c r="AA432" s="12" t="b">
        <v>0</v>
      </c>
      <c r="AB432" s="12" t="b">
        <v>0</v>
      </c>
      <c r="AC432" s="12" t="b">
        <v>0</v>
      </c>
      <c r="AD432" s="12" t="b">
        <v>1</v>
      </c>
      <c r="AE432" s="12" t="b">
        <v>0</v>
      </c>
      <c r="AF432" s="12" t="b">
        <v>1</v>
      </c>
      <c r="AG432" s="12" t="b">
        <v>0</v>
      </c>
      <c r="AH432" s="12">
        <v>1</v>
      </c>
      <c r="AI432" s="12" t="b">
        <v>0</v>
      </c>
      <c r="AJ432" s="12" t="b">
        <v>0</v>
      </c>
      <c r="AK432" s="12" t="b">
        <v>1</v>
      </c>
      <c r="AL432" s="12">
        <v>1</v>
      </c>
      <c r="AM432" s="12" t="s">
        <v>1476</v>
      </c>
      <c r="AN432" s="12">
        <v>1</v>
      </c>
    </row>
    <row r="433" spans="1:40" x14ac:dyDescent="0.3">
      <c r="A433" s="62" t="s">
        <v>858</v>
      </c>
      <c r="B433" s="62"/>
      <c r="C433" s="63"/>
      <c r="D433" s="63"/>
      <c r="E433" s="12" t="s">
        <v>1209</v>
      </c>
      <c r="F433" s="12" t="s">
        <v>1210</v>
      </c>
      <c r="G433" s="12" t="b">
        <v>0</v>
      </c>
      <c r="H433" s="12" t="b">
        <v>1</v>
      </c>
      <c r="I433" s="12" t="b">
        <v>1</v>
      </c>
      <c r="J433" s="12" t="b">
        <v>1</v>
      </c>
      <c r="K433" s="12" t="b">
        <v>0</v>
      </c>
      <c r="L433" s="12" t="b">
        <v>0</v>
      </c>
      <c r="M433" s="12" t="b">
        <v>0</v>
      </c>
      <c r="N433" s="12">
        <v>0</v>
      </c>
      <c r="O433" s="12" t="b">
        <v>0</v>
      </c>
      <c r="P433" s="12" t="b">
        <v>0</v>
      </c>
      <c r="Q433" s="12" t="b">
        <v>0</v>
      </c>
      <c r="R433" s="12" t="b">
        <v>0</v>
      </c>
      <c r="S433" s="12" t="b">
        <v>0</v>
      </c>
      <c r="T433" s="12" t="b">
        <v>1</v>
      </c>
      <c r="U433" s="12" t="b">
        <v>0</v>
      </c>
      <c r="V433" s="12" t="b">
        <v>1</v>
      </c>
      <c r="W433" s="12" t="b">
        <v>0</v>
      </c>
      <c r="X433" s="12">
        <v>1</v>
      </c>
      <c r="Y433" s="12" t="b">
        <v>0</v>
      </c>
      <c r="Z433" s="12" t="b">
        <v>0</v>
      </c>
      <c r="AA433" s="12" t="b">
        <v>1</v>
      </c>
      <c r="AB433" s="12" t="b">
        <v>1</v>
      </c>
      <c r="AC433" s="12" t="b">
        <v>1</v>
      </c>
      <c r="AD433" s="12" t="b">
        <v>1</v>
      </c>
      <c r="AE433" s="12" t="b">
        <v>0</v>
      </c>
      <c r="AF433" s="12" t="b">
        <v>0</v>
      </c>
      <c r="AG433" s="12" t="b">
        <v>0</v>
      </c>
      <c r="AH433" s="12">
        <v>0</v>
      </c>
      <c r="AI433" s="12" t="b">
        <v>0</v>
      </c>
      <c r="AJ433" s="12" t="b">
        <v>0</v>
      </c>
      <c r="AK433" s="12" t="b">
        <v>1</v>
      </c>
      <c r="AL433" s="12">
        <v>1</v>
      </c>
      <c r="AM433" s="12" t="s">
        <v>900</v>
      </c>
      <c r="AN433" s="12">
        <v>1</v>
      </c>
    </row>
    <row r="434" spans="1:40" x14ac:dyDescent="0.3">
      <c r="A434" s="62" t="s">
        <v>858</v>
      </c>
      <c r="B434" s="62"/>
      <c r="C434" s="63"/>
      <c r="D434" s="63"/>
      <c r="E434" s="12" t="s">
        <v>1205</v>
      </c>
      <c r="F434" s="12" t="s">
        <v>1206</v>
      </c>
      <c r="G434" s="12" t="b">
        <v>0</v>
      </c>
      <c r="H434" s="12" t="b">
        <v>1</v>
      </c>
      <c r="I434" s="12" t="b">
        <v>1</v>
      </c>
      <c r="J434" s="12" t="b">
        <v>1</v>
      </c>
      <c r="K434" s="12" t="b">
        <v>0</v>
      </c>
      <c r="L434" s="12" t="b">
        <v>0</v>
      </c>
      <c r="M434" s="12" t="b">
        <v>0</v>
      </c>
      <c r="N434" s="12">
        <v>0</v>
      </c>
      <c r="O434" s="12" t="b">
        <v>0</v>
      </c>
      <c r="P434" s="12" t="b">
        <v>0</v>
      </c>
      <c r="Q434" s="12" t="b">
        <v>0</v>
      </c>
      <c r="R434" s="12" t="b">
        <v>0</v>
      </c>
      <c r="S434" s="12" t="b">
        <v>0</v>
      </c>
      <c r="T434" s="12" t="b">
        <v>1</v>
      </c>
      <c r="U434" s="12" t="b">
        <v>0</v>
      </c>
      <c r="V434" s="12" t="b">
        <v>1</v>
      </c>
      <c r="W434" s="12" t="b">
        <v>0</v>
      </c>
      <c r="X434" s="12">
        <v>1</v>
      </c>
      <c r="Y434" s="12" t="b">
        <v>0</v>
      </c>
      <c r="Z434" s="12" t="b">
        <v>0</v>
      </c>
      <c r="AA434" s="12" t="b">
        <v>1</v>
      </c>
      <c r="AB434" s="12" t="b">
        <v>1</v>
      </c>
      <c r="AC434" s="12" t="b">
        <v>1</v>
      </c>
      <c r="AD434" s="12" t="b">
        <v>1</v>
      </c>
      <c r="AE434" s="12" t="b">
        <v>0</v>
      </c>
      <c r="AF434" s="12" t="b">
        <v>0</v>
      </c>
      <c r="AG434" s="12" t="b">
        <v>0</v>
      </c>
      <c r="AH434" s="12">
        <v>0</v>
      </c>
      <c r="AI434" s="12" t="b">
        <v>0</v>
      </c>
      <c r="AJ434" s="12" t="b">
        <v>0</v>
      </c>
      <c r="AK434" s="12" t="b">
        <v>1</v>
      </c>
      <c r="AL434" s="12">
        <v>1</v>
      </c>
      <c r="AM434" s="12" t="s">
        <v>900</v>
      </c>
      <c r="AN434" s="12">
        <v>1</v>
      </c>
    </row>
    <row r="435" spans="1:40" x14ac:dyDescent="0.3">
      <c r="A435" s="62" t="s">
        <v>858</v>
      </c>
      <c r="B435" s="62"/>
      <c r="C435" s="63" t="s">
        <v>1464</v>
      </c>
      <c r="D435" s="52" t="s">
        <v>1630</v>
      </c>
      <c r="E435" s="12" t="s">
        <v>1761</v>
      </c>
      <c r="F435" s="12" t="s">
        <v>1549</v>
      </c>
      <c r="G435" s="12" t="b">
        <v>1</v>
      </c>
      <c r="H435" s="12" t="b">
        <v>1</v>
      </c>
      <c r="I435" s="12" t="b">
        <v>1</v>
      </c>
      <c r="J435" s="12" t="b">
        <v>1</v>
      </c>
      <c r="K435" s="12" t="b">
        <v>0</v>
      </c>
      <c r="L435" s="12" t="b">
        <v>0</v>
      </c>
      <c r="M435" s="12" t="b">
        <v>0</v>
      </c>
      <c r="N435" s="12">
        <v>0</v>
      </c>
      <c r="O435" s="12" t="b">
        <v>0</v>
      </c>
      <c r="P435" s="12" t="b">
        <v>0</v>
      </c>
      <c r="Q435" s="12" t="b">
        <v>0</v>
      </c>
      <c r="R435" s="12" t="b">
        <v>0</v>
      </c>
      <c r="S435" s="12" t="b">
        <v>0</v>
      </c>
      <c r="T435" s="12" t="b">
        <v>1</v>
      </c>
      <c r="U435" s="12" t="b">
        <v>0</v>
      </c>
      <c r="V435" s="12" t="b">
        <v>1</v>
      </c>
      <c r="W435" s="12" t="b">
        <v>0</v>
      </c>
      <c r="X435" s="12">
        <v>1</v>
      </c>
      <c r="Y435" s="12" t="b">
        <v>0</v>
      </c>
      <c r="Z435" s="12" t="b">
        <v>0</v>
      </c>
      <c r="AA435" s="12" t="b">
        <v>0</v>
      </c>
      <c r="AB435" s="12" t="b">
        <v>0</v>
      </c>
      <c r="AC435" s="12" t="b">
        <v>0</v>
      </c>
      <c r="AD435" s="12" t="b">
        <v>1</v>
      </c>
      <c r="AE435" s="12" t="b">
        <v>0</v>
      </c>
      <c r="AF435" s="12" t="b">
        <v>1</v>
      </c>
      <c r="AG435" s="12" t="b">
        <v>1</v>
      </c>
      <c r="AH435" s="12">
        <v>1</v>
      </c>
      <c r="AI435" s="12" t="b">
        <v>0</v>
      </c>
      <c r="AJ435" s="12" t="b">
        <v>0</v>
      </c>
      <c r="AK435" s="12" t="b">
        <v>1</v>
      </c>
      <c r="AL435" s="12">
        <v>1</v>
      </c>
      <c r="AM435" s="12" t="s">
        <v>900</v>
      </c>
      <c r="AN435" s="12">
        <v>1</v>
      </c>
    </row>
    <row r="436" spans="1:40" x14ac:dyDescent="0.3">
      <c r="A436" s="62" t="s">
        <v>858</v>
      </c>
      <c r="B436" s="62"/>
      <c r="C436" s="63" t="s">
        <v>1466</v>
      </c>
      <c r="D436" s="52" t="s">
        <v>1630</v>
      </c>
      <c r="E436" s="12" t="s">
        <v>1761</v>
      </c>
      <c r="F436" s="12" t="s">
        <v>1549</v>
      </c>
      <c r="G436" s="12" t="b">
        <v>1</v>
      </c>
      <c r="H436" s="12" t="b">
        <v>1</v>
      </c>
      <c r="I436" s="12" t="b">
        <v>1</v>
      </c>
      <c r="J436" s="12" t="b">
        <v>1</v>
      </c>
      <c r="K436" s="12" t="b">
        <v>0</v>
      </c>
      <c r="L436" s="12" t="b">
        <v>0</v>
      </c>
      <c r="M436" s="12" t="b">
        <v>0</v>
      </c>
      <c r="N436" s="12">
        <v>0</v>
      </c>
      <c r="O436" s="12" t="b">
        <v>0</v>
      </c>
      <c r="P436" s="12" t="b">
        <v>0</v>
      </c>
      <c r="Q436" s="12" t="b">
        <v>0</v>
      </c>
      <c r="R436" s="12" t="b">
        <v>0</v>
      </c>
      <c r="S436" s="12" t="b">
        <v>0</v>
      </c>
      <c r="T436" s="12" t="b">
        <v>1</v>
      </c>
      <c r="U436" s="12" t="b">
        <v>0</v>
      </c>
      <c r="V436" s="12" t="b">
        <v>1</v>
      </c>
      <c r="W436" s="12" t="b">
        <v>0</v>
      </c>
      <c r="X436" s="12">
        <v>1</v>
      </c>
      <c r="Y436" s="12" t="b">
        <v>0</v>
      </c>
      <c r="Z436" s="12" t="b">
        <v>0</v>
      </c>
      <c r="AA436" s="12" t="b">
        <v>0</v>
      </c>
      <c r="AB436" s="12" t="b">
        <v>0</v>
      </c>
      <c r="AC436" s="12" t="b">
        <v>0</v>
      </c>
      <c r="AD436" s="12" t="b">
        <v>1</v>
      </c>
      <c r="AE436" s="12" t="b">
        <v>0</v>
      </c>
      <c r="AF436" s="12" t="b">
        <v>1</v>
      </c>
      <c r="AG436" s="12" t="b">
        <v>1</v>
      </c>
      <c r="AH436" s="12">
        <v>1</v>
      </c>
      <c r="AI436" s="12" t="b">
        <v>0</v>
      </c>
      <c r="AJ436" s="12" t="b">
        <v>0</v>
      </c>
      <c r="AK436" s="12" t="b">
        <v>1</v>
      </c>
      <c r="AL436" s="12">
        <v>1</v>
      </c>
      <c r="AM436" s="12" t="s">
        <v>900</v>
      </c>
      <c r="AN436" s="12">
        <v>1</v>
      </c>
    </row>
    <row r="437" spans="1:40" x14ac:dyDescent="0.3">
      <c r="A437" s="62" t="s">
        <v>858</v>
      </c>
      <c r="B437" s="62"/>
      <c r="C437" s="63" t="s">
        <v>1467</v>
      </c>
      <c r="D437" s="52" t="s">
        <v>1630</v>
      </c>
      <c r="E437" s="12" t="s">
        <v>1761</v>
      </c>
      <c r="F437" s="12" t="s">
        <v>1549</v>
      </c>
      <c r="G437" s="12" t="b">
        <v>1</v>
      </c>
      <c r="H437" s="12" t="b">
        <v>1</v>
      </c>
      <c r="I437" s="12" t="b">
        <v>1</v>
      </c>
      <c r="J437" s="12" t="b">
        <v>1</v>
      </c>
      <c r="K437" s="12" t="b">
        <v>0</v>
      </c>
      <c r="L437" s="12" t="b">
        <v>0</v>
      </c>
      <c r="M437" s="12" t="b">
        <v>0</v>
      </c>
      <c r="N437" s="12">
        <v>0</v>
      </c>
      <c r="O437" s="12" t="b">
        <v>0</v>
      </c>
      <c r="P437" s="12" t="b">
        <v>0</v>
      </c>
      <c r="Q437" s="12" t="b">
        <v>0</v>
      </c>
      <c r="R437" s="12" t="b">
        <v>0</v>
      </c>
      <c r="S437" s="12" t="b">
        <v>0</v>
      </c>
      <c r="T437" s="12" t="b">
        <v>1</v>
      </c>
      <c r="U437" s="12" t="b">
        <v>0</v>
      </c>
      <c r="V437" s="12" t="b">
        <v>1</v>
      </c>
      <c r="W437" s="12" t="b">
        <v>0</v>
      </c>
      <c r="X437" s="12">
        <v>1</v>
      </c>
      <c r="Y437" s="12" t="b">
        <v>0</v>
      </c>
      <c r="Z437" s="12" t="b">
        <v>0</v>
      </c>
      <c r="AA437" s="12" t="b">
        <v>0</v>
      </c>
      <c r="AB437" s="12" t="b">
        <v>0</v>
      </c>
      <c r="AC437" s="12" t="b">
        <v>0</v>
      </c>
      <c r="AD437" s="12" t="b">
        <v>1</v>
      </c>
      <c r="AE437" s="12" t="b">
        <v>0</v>
      </c>
      <c r="AF437" s="12" t="b">
        <v>1</v>
      </c>
      <c r="AG437" s="12" t="b">
        <v>1</v>
      </c>
      <c r="AH437" s="12">
        <v>1</v>
      </c>
      <c r="AI437" s="12" t="b">
        <v>0</v>
      </c>
      <c r="AJ437" s="12" t="b">
        <v>0</v>
      </c>
      <c r="AK437" s="12" t="b">
        <v>1</v>
      </c>
      <c r="AL437" s="12">
        <v>1</v>
      </c>
      <c r="AM437" s="12" t="s">
        <v>900</v>
      </c>
      <c r="AN437" s="12">
        <v>1</v>
      </c>
    </row>
    <row r="438" spans="1:40" x14ac:dyDescent="0.3">
      <c r="A438" s="62" t="s">
        <v>858</v>
      </c>
      <c r="B438" s="62"/>
      <c r="C438" s="63" t="s">
        <v>1468</v>
      </c>
      <c r="D438" s="52" t="s">
        <v>1630</v>
      </c>
      <c r="E438" s="12" t="s">
        <v>1761</v>
      </c>
      <c r="F438" s="12" t="s">
        <v>1549</v>
      </c>
      <c r="G438" s="12" t="b">
        <v>1</v>
      </c>
      <c r="H438" s="12" t="b">
        <v>1</v>
      </c>
      <c r="I438" s="12" t="b">
        <v>1</v>
      </c>
      <c r="J438" s="12" t="b">
        <v>1</v>
      </c>
      <c r="K438" s="12" t="b">
        <v>0</v>
      </c>
      <c r="L438" s="12" t="b">
        <v>0</v>
      </c>
      <c r="M438" s="12" t="b">
        <v>0</v>
      </c>
      <c r="N438" s="12">
        <v>0</v>
      </c>
      <c r="O438" s="12" t="b">
        <v>0</v>
      </c>
      <c r="P438" s="12" t="b">
        <v>0</v>
      </c>
      <c r="Q438" s="12" t="b">
        <v>0</v>
      </c>
      <c r="R438" s="12" t="b">
        <v>0</v>
      </c>
      <c r="S438" s="12" t="b">
        <v>0</v>
      </c>
      <c r="T438" s="12" t="b">
        <v>1</v>
      </c>
      <c r="U438" s="12" t="b">
        <v>0</v>
      </c>
      <c r="V438" s="12" t="b">
        <v>1</v>
      </c>
      <c r="W438" s="12" t="b">
        <v>0</v>
      </c>
      <c r="X438" s="12">
        <v>1</v>
      </c>
      <c r="Y438" s="12" t="b">
        <v>0</v>
      </c>
      <c r="Z438" s="12" t="b">
        <v>0</v>
      </c>
      <c r="AA438" s="12" t="b">
        <v>0</v>
      </c>
      <c r="AB438" s="12" t="b">
        <v>0</v>
      </c>
      <c r="AC438" s="12" t="b">
        <v>0</v>
      </c>
      <c r="AD438" s="12" t="b">
        <v>1</v>
      </c>
      <c r="AE438" s="12" t="b">
        <v>0</v>
      </c>
      <c r="AF438" s="12" t="b">
        <v>1</v>
      </c>
      <c r="AG438" s="12" t="b">
        <v>1</v>
      </c>
      <c r="AH438" s="12">
        <v>1</v>
      </c>
      <c r="AI438" s="12" t="b">
        <v>0</v>
      </c>
      <c r="AJ438" s="12" t="b">
        <v>0</v>
      </c>
      <c r="AK438" s="12" t="b">
        <v>1</v>
      </c>
      <c r="AL438" s="12">
        <v>1</v>
      </c>
      <c r="AM438" s="12" t="s">
        <v>900</v>
      </c>
      <c r="AN438" s="12">
        <v>1</v>
      </c>
    </row>
    <row r="439" spans="1:40" x14ac:dyDescent="0.3">
      <c r="A439" s="62" t="s">
        <v>858</v>
      </c>
      <c r="B439" s="62"/>
      <c r="C439" s="63" t="s">
        <v>1469</v>
      </c>
      <c r="D439" s="52" t="s">
        <v>1630</v>
      </c>
      <c r="E439" s="12" t="s">
        <v>1761</v>
      </c>
      <c r="F439" s="12" t="s">
        <v>1549</v>
      </c>
      <c r="G439" s="12" t="b">
        <v>1</v>
      </c>
      <c r="H439" s="12" t="b">
        <v>1</v>
      </c>
      <c r="I439" s="12" t="b">
        <v>1</v>
      </c>
      <c r="J439" s="12" t="b">
        <v>1</v>
      </c>
      <c r="K439" s="12" t="b">
        <v>0</v>
      </c>
      <c r="L439" s="12" t="b">
        <v>0</v>
      </c>
      <c r="M439" s="12" t="b">
        <v>0</v>
      </c>
      <c r="N439" s="12">
        <v>0</v>
      </c>
      <c r="O439" s="12" t="b">
        <v>0</v>
      </c>
      <c r="P439" s="12" t="b">
        <v>0</v>
      </c>
      <c r="Q439" s="12" t="b">
        <v>0</v>
      </c>
      <c r="R439" s="12" t="b">
        <v>0</v>
      </c>
      <c r="S439" s="12" t="b">
        <v>0</v>
      </c>
      <c r="T439" s="12" t="b">
        <v>1</v>
      </c>
      <c r="U439" s="12" t="b">
        <v>0</v>
      </c>
      <c r="V439" s="12" t="b">
        <v>1</v>
      </c>
      <c r="W439" s="12" t="b">
        <v>0</v>
      </c>
      <c r="X439" s="12">
        <v>1</v>
      </c>
      <c r="Y439" s="12" t="b">
        <v>0</v>
      </c>
      <c r="Z439" s="12" t="b">
        <v>0</v>
      </c>
      <c r="AA439" s="12" t="b">
        <v>0</v>
      </c>
      <c r="AB439" s="12" t="b">
        <v>0</v>
      </c>
      <c r="AC439" s="12" t="b">
        <v>0</v>
      </c>
      <c r="AD439" s="12" t="b">
        <v>1</v>
      </c>
      <c r="AE439" s="12" t="b">
        <v>0</v>
      </c>
      <c r="AF439" s="12" t="b">
        <v>1</v>
      </c>
      <c r="AG439" s="12" t="b">
        <v>1</v>
      </c>
      <c r="AH439" s="12">
        <v>1</v>
      </c>
      <c r="AI439" s="12" t="b">
        <v>0</v>
      </c>
      <c r="AJ439" s="12" t="b">
        <v>0</v>
      </c>
      <c r="AK439" s="12" t="b">
        <v>1</v>
      </c>
      <c r="AL439" s="12">
        <v>1</v>
      </c>
      <c r="AM439" s="12" t="s">
        <v>900</v>
      </c>
      <c r="AN439" s="12">
        <v>1</v>
      </c>
    </row>
    <row r="440" spans="1:40" x14ac:dyDescent="0.3">
      <c r="A440" s="62" t="s">
        <v>858</v>
      </c>
      <c r="B440" s="62"/>
      <c r="C440" s="63" t="s">
        <v>1470</v>
      </c>
      <c r="D440" s="52" t="s">
        <v>1630</v>
      </c>
      <c r="E440" s="12" t="s">
        <v>1761</v>
      </c>
      <c r="F440" s="12" t="s">
        <v>1549</v>
      </c>
      <c r="G440" s="12" t="b">
        <v>1</v>
      </c>
      <c r="H440" s="12" t="b">
        <v>1</v>
      </c>
      <c r="I440" s="12" t="b">
        <v>1</v>
      </c>
      <c r="J440" s="12" t="b">
        <v>1</v>
      </c>
      <c r="K440" s="12" t="b">
        <v>0</v>
      </c>
      <c r="L440" s="12" t="b">
        <v>0</v>
      </c>
      <c r="M440" s="12" t="b">
        <v>0</v>
      </c>
      <c r="N440" s="12">
        <v>0</v>
      </c>
      <c r="O440" s="12" t="b">
        <v>0</v>
      </c>
      <c r="P440" s="12" t="b">
        <v>0</v>
      </c>
      <c r="Q440" s="12" t="b">
        <v>0</v>
      </c>
      <c r="R440" s="12" t="b">
        <v>0</v>
      </c>
      <c r="S440" s="12" t="b">
        <v>0</v>
      </c>
      <c r="T440" s="12" t="b">
        <v>1</v>
      </c>
      <c r="U440" s="12" t="b">
        <v>0</v>
      </c>
      <c r="V440" s="12" t="b">
        <v>1</v>
      </c>
      <c r="W440" s="12" t="b">
        <v>0</v>
      </c>
      <c r="X440" s="12">
        <v>1</v>
      </c>
      <c r="Y440" s="12" t="b">
        <v>0</v>
      </c>
      <c r="Z440" s="12" t="b">
        <v>0</v>
      </c>
      <c r="AA440" s="12" t="b">
        <v>0</v>
      </c>
      <c r="AB440" s="12" t="b">
        <v>0</v>
      </c>
      <c r="AC440" s="12" t="b">
        <v>0</v>
      </c>
      <c r="AD440" s="12" t="b">
        <v>1</v>
      </c>
      <c r="AE440" s="12" t="b">
        <v>0</v>
      </c>
      <c r="AF440" s="12" t="b">
        <v>1</v>
      </c>
      <c r="AG440" s="12" t="b">
        <v>1</v>
      </c>
      <c r="AH440" s="12">
        <v>1</v>
      </c>
      <c r="AI440" s="12" t="b">
        <v>0</v>
      </c>
      <c r="AJ440" s="12" t="b">
        <v>0</v>
      </c>
      <c r="AK440" s="12" t="b">
        <v>1</v>
      </c>
      <c r="AL440" s="12">
        <v>1</v>
      </c>
      <c r="AM440" s="12" t="s">
        <v>900</v>
      </c>
      <c r="AN440" s="12">
        <v>1</v>
      </c>
    </row>
    <row r="441" spans="1:40" x14ac:dyDescent="0.3">
      <c r="A441" s="62" t="s">
        <v>858</v>
      </c>
      <c r="B441" s="62"/>
      <c r="C441" s="63" t="s">
        <v>1934</v>
      </c>
      <c r="D441" s="52" t="s">
        <v>1630</v>
      </c>
      <c r="E441" s="12" t="s">
        <v>1761</v>
      </c>
      <c r="F441" s="12" t="s">
        <v>1549</v>
      </c>
      <c r="G441" s="12" t="b">
        <v>1</v>
      </c>
      <c r="H441" s="12" t="b">
        <v>1</v>
      </c>
      <c r="I441" s="12" t="b">
        <v>1</v>
      </c>
      <c r="J441" s="12" t="b">
        <v>1</v>
      </c>
      <c r="K441" s="12" t="b">
        <v>0</v>
      </c>
      <c r="L441" s="12" t="b">
        <v>0</v>
      </c>
      <c r="M441" s="12" t="b">
        <v>0</v>
      </c>
      <c r="N441" s="12">
        <v>0</v>
      </c>
      <c r="O441" s="12" t="b">
        <v>0</v>
      </c>
      <c r="P441" s="12" t="b">
        <v>0</v>
      </c>
      <c r="Q441" s="12" t="b">
        <v>0</v>
      </c>
      <c r="R441" s="12" t="b">
        <v>0</v>
      </c>
      <c r="S441" s="12" t="b">
        <v>0</v>
      </c>
      <c r="T441" s="12" t="b">
        <v>1</v>
      </c>
      <c r="U441" s="12" t="b">
        <v>0</v>
      </c>
      <c r="V441" s="12" t="b">
        <v>1</v>
      </c>
      <c r="W441" s="12" t="b">
        <v>0</v>
      </c>
      <c r="X441" s="12">
        <v>1</v>
      </c>
      <c r="Y441" s="12" t="b">
        <v>0</v>
      </c>
      <c r="Z441" s="12" t="b">
        <v>0</v>
      </c>
      <c r="AA441" s="12" t="b">
        <v>0</v>
      </c>
      <c r="AB441" s="12" t="b">
        <v>0</v>
      </c>
      <c r="AC441" s="12" t="b">
        <v>0</v>
      </c>
      <c r="AD441" s="12" t="b">
        <v>1</v>
      </c>
      <c r="AE441" s="12" t="b">
        <v>0</v>
      </c>
      <c r="AF441" s="12" t="b">
        <v>1</v>
      </c>
      <c r="AG441" s="12" t="b">
        <v>1</v>
      </c>
      <c r="AH441" s="12">
        <v>1</v>
      </c>
      <c r="AI441" s="12" t="b">
        <v>0</v>
      </c>
      <c r="AJ441" s="12" t="b">
        <v>0</v>
      </c>
      <c r="AK441" s="12" t="b">
        <v>1</v>
      </c>
      <c r="AL441" s="12">
        <v>1</v>
      </c>
      <c r="AM441" s="12" t="s">
        <v>900</v>
      </c>
      <c r="AN441" s="12">
        <v>1</v>
      </c>
    </row>
    <row r="442" spans="1:40" x14ac:dyDescent="0.3">
      <c r="A442" s="62" t="s">
        <v>858</v>
      </c>
      <c r="B442" s="62"/>
      <c r="C442" s="63" t="s">
        <v>1935</v>
      </c>
      <c r="D442" s="52" t="s">
        <v>1630</v>
      </c>
      <c r="E442" s="12" t="s">
        <v>1761</v>
      </c>
      <c r="F442" s="12" t="s">
        <v>1549</v>
      </c>
      <c r="G442" s="12" t="b">
        <v>1</v>
      </c>
      <c r="H442" s="12" t="b">
        <v>1</v>
      </c>
      <c r="I442" s="12" t="b">
        <v>1</v>
      </c>
      <c r="J442" s="12" t="b">
        <v>1</v>
      </c>
      <c r="K442" s="12" t="b">
        <v>0</v>
      </c>
      <c r="L442" s="12" t="b">
        <v>0</v>
      </c>
      <c r="M442" s="12" t="b">
        <v>0</v>
      </c>
      <c r="N442" s="12">
        <v>0</v>
      </c>
      <c r="O442" s="12" t="b">
        <v>0</v>
      </c>
      <c r="P442" s="12" t="b">
        <v>0</v>
      </c>
      <c r="Q442" s="12" t="b">
        <v>0</v>
      </c>
      <c r="R442" s="12" t="b">
        <v>0</v>
      </c>
      <c r="S442" s="12" t="b">
        <v>0</v>
      </c>
      <c r="T442" s="12" t="b">
        <v>1</v>
      </c>
      <c r="U442" s="12" t="b">
        <v>0</v>
      </c>
      <c r="V442" s="12" t="b">
        <v>1</v>
      </c>
      <c r="W442" s="12" t="b">
        <v>0</v>
      </c>
      <c r="X442" s="12">
        <v>1</v>
      </c>
      <c r="Y442" s="12" t="b">
        <v>0</v>
      </c>
      <c r="Z442" s="12" t="b">
        <v>0</v>
      </c>
      <c r="AA442" s="12" t="b">
        <v>0</v>
      </c>
      <c r="AB442" s="12" t="b">
        <v>0</v>
      </c>
      <c r="AC442" s="12" t="b">
        <v>0</v>
      </c>
      <c r="AD442" s="12" t="b">
        <v>1</v>
      </c>
      <c r="AE442" s="12" t="b">
        <v>0</v>
      </c>
      <c r="AF442" s="12" t="b">
        <v>1</v>
      </c>
      <c r="AG442" s="12" t="b">
        <v>1</v>
      </c>
      <c r="AH442" s="12">
        <v>1</v>
      </c>
      <c r="AI442" s="12" t="b">
        <v>0</v>
      </c>
      <c r="AJ442" s="12" t="b">
        <v>0</v>
      </c>
      <c r="AK442" s="12" t="b">
        <v>1</v>
      </c>
      <c r="AL442" s="12">
        <v>1</v>
      </c>
      <c r="AM442" s="12" t="s">
        <v>900</v>
      </c>
      <c r="AN442" s="12">
        <v>1</v>
      </c>
    </row>
    <row r="443" spans="1:40" x14ac:dyDescent="0.3">
      <c r="A443" s="62" t="s">
        <v>858</v>
      </c>
      <c r="B443" s="62"/>
      <c r="C443" s="63" t="s">
        <v>1936</v>
      </c>
      <c r="D443" s="52" t="s">
        <v>1630</v>
      </c>
      <c r="E443" s="12" t="s">
        <v>1761</v>
      </c>
      <c r="F443" s="12" t="s">
        <v>1549</v>
      </c>
      <c r="G443" s="12" t="b">
        <v>1</v>
      </c>
      <c r="H443" s="12" t="b">
        <v>1</v>
      </c>
      <c r="I443" s="12" t="b">
        <v>1</v>
      </c>
      <c r="J443" s="12" t="b">
        <v>1</v>
      </c>
      <c r="K443" s="12" t="b">
        <v>0</v>
      </c>
      <c r="L443" s="12" t="b">
        <v>0</v>
      </c>
      <c r="M443" s="12" t="b">
        <v>0</v>
      </c>
      <c r="N443" s="12">
        <v>0</v>
      </c>
      <c r="O443" s="12" t="b">
        <v>0</v>
      </c>
      <c r="P443" s="12" t="b">
        <v>0</v>
      </c>
      <c r="Q443" s="12" t="b">
        <v>0</v>
      </c>
      <c r="R443" s="12" t="b">
        <v>0</v>
      </c>
      <c r="S443" s="12" t="b">
        <v>0</v>
      </c>
      <c r="T443" s="12" t="b">
        <v>1</v>
      </c>
      <c r="U443" s="12" t="b">
        <v>0</v>
      </c>
      <c r="V443" s="12" t="b">
        <v>1</v>
      </c>
      <c r="W443" s="12" t="b">
        <v>0</v>
      </c>
      <c r="X443" s="12">
        <v>1</v>
      </c>
      <c r="Y443" s="12" t="b">
        <v>0</v>
      </c>
      <c r="Z443" s="12" t="b">
        <v>0</v>
      </c>
      <c r="AA443" s="12" t="b">
        <v>0</v>
      </c>
      <c r="AB443" s="12" t="b">
        <v>0</v>
      </c>
      <c r="AC443" s="12" t="b">
        <v>0</v>
      </c>
      <c r="AD443" s="12" t="b">
        <v>1</v>
      </c>
      <c r="AE443" s="12" t="b">
        <v>0</v>
      </c>
      <c r="AF443" s="12" t="b">
        <v>1</v>
      </c>
      <c r="AG443" s="12" t="b">
        <v>1</v>
      </c>
      <c r="AH443" s="12">
        <v>1</v>
      </c>
      <c r="AI443" s="12" t="b">
        <v>0</v>
      </c>
      <c r="AJ443" s="12" t="b">
        <v>0</v>
      </c>
      <c r="AK443" s="12" t="b">
        <v>1</v>
      </c>
      <c r="AL443" s="12">
        <v>1</v>
      </c>
      <c r="AM443" s="12" t="s">
        <v>900</v>
      </c>
      <c r="AN443" s="12">
        <v>1</v>
      </c>
    </row>
    <row r="444" spans="1:40" x14ac:dyDescent="0.3">
      <c r="A444" s="62" t="s">
        <v>858</v>
      </c>
      <c r="B444" s="62"/>
      <c r="C444" s="63" t="s">
        <v>1937</v>
      </c>
      <c r="D444" s="52" t="s">
        <v>1630</v>
      </c>
      <c r="E444" s="12" t="s">
        <v>1761</v>
      </c>
      <c r="F444" s="12" t="s">
        <v>1549</v>
      </c>
      <c r="G444" s="12" t="b">
        <v>1</v>
      </c>
      <c r="H444" s="12" t="b">
        <v>1</v>
      </c>
      <c r="I444" s="12" t="b">
        <v>1</v>
      </c>
      <c r="J444" s="12" t="b">
        <v>1</v>
      </c>
      <c r="K444" s="12" t="b">
        <v>0</v>
      </c>
      <c r="L444" s="12" t="b">
        <v>0</v>
      </c>
      <c r="M444" s="12" t="b">
        <v>0</v>
      </c>
      <c r="N444" s="12">
        <v>0</v>
      </c>
      <c r="O444" s="12" t="b">
        <v>0</v>
      </c>
      <c r="P444" s="12" t="b">
        <v>0</v>
      </c>
      <c r="Q444" s="12" t="b">
        <v>0</v>
      </c>
      <c r="R444" s="12" t="b">
        <v>0</v>
      </c>
      <c r="S444" s="12" t="b">
        <v>0</v>
      </c>
      <c r="T444" s="12" t="b">
        <v>1</v>
      </c>
      <c r="U444" s="12" t="b">
        <v>0</v>
      </c>
      <c r="V444" s="12" t="b">
        <v>1</v>
      </c>
      <c r="W444" s="12" t="b">
        <v>0</v>
      </c>
      <c r="X444" s="12">
        <v>1</v>
      </c>
      <c r="Y444" s="12" t="b">
        <v>0</v>
      </c>
      <c r="Z444" s="12" t="b">
        <v>0</v>
      </c>
      <c r="AA444" s="12" t="b">
        <v>0</v>
      </c>
      <c r="AB444" s="12" t="b">
        <v>0</v>
      </c>
      <c r="AC444" s="12" t="b">
        <v>0</v>
      </c>
      <c r="AD444" s="12" t="b">
        <v>1</v>
      </c>
      <c r="AE444" s="12" t="b">
        <v>0</v>
      </c>
      <c r="AF444" s="12" t="b">
        <v>1</v>
      </c>
      <c r="AG444" s="12" t="b">
        <v>1</v>
      </c>
      <c r="AH444" s="12">
        <v>1</v>
      </c>
      <c r="AI444" s="12" t="b">
        <v>0</v>
      </c>
      <c r="AJ444" s="12" t="b">
        <v>0</v>
      </c>
      <c r="AK444" s="12" t="b">
        <v>1</v>
      </c>
      <c r="AL444" s="12">
        <v>1</v>
      </c>
      <c r="AM444" s="12" t="s">
        <v>900</v>
      </c>
      <c r="AN444" s="12">
        <v>1</v>
      </c>
    </row>
    <row r="445" spans="1:40" x14ac:dyDescent="0.3">
      <c r="A445" s="62" t="s">
        <v>858</v>
      </c>
      <c r="B445" s="62"/>
      <c r="C445" s="63" t="s">
        <v>1938</v>
      </c>
      <c r="D445" s="52" t="s">
        <v>1630</v>
      </c>
      <c r="E445" s="12" t="s">
        <v>1761</v>
      </c>
      <c r="F445" s="12" t="s">
        <v>1549</v>
      </c>
      <c r="G445" s="12" t="b">
        <v>1</v>
      </c>
      <c r="H445" s="12" t="b">
        <v>1</v>
      </c>
      <c r="I445" s="12" t="b">
        <v>1</v>
      </c>
      <c r="J445" s="12" t="b">
        <v>1</v>
      </c>
      <c r="K445" s="12" t="b">
        <v>0</v>
      </c>
      <c r="L445" s="12" t="b">
        <v>0</v>
      </c>
      <c r="M445" s="12" t="b">
        <v>0</v>
      </c>
      <c r="N445" s="12">
        <v>0</v>
      </c>
      <c r="O445" s="12" t="b">
        <v>0</v>
      </c>
      <c r="P445" s="12" t="b">
        <v>0</v>
      </c>
      <c r="Q445" s="12" t="b">
        <v>0</v>
      </c>
      <c r="R445" s="12" t="b">
        <v>0</v>
      </c>
      <c r="S445" s="12" t="b">
        <v>0</v>
      </c>
      <c r="T445" s="12" t="b">
        <v>1</v>
      </c>
      <c r="U445" s="12" t="b">
        <v>0</v>
      </c>
      <c r="V445" s="12" t="b">
        <v>1</v>
      </c>
      <c r="W445" s="12" t="b">
        <v>0</v>
      </c>
      <c r="X445" s="12">
        <v>1</v>
      </c>
      <c r="Y445" s="12" t="b">
        <v>0</v>
      </c>
      <c r="Z445" s="12" t="b">
        <v>0</v>
      </c>
      <c r="AA445" s="12" t="b">
        <v>0</v>
      </c>
      <c r="AB445" s="12" t="b">
        <v>0</v>
      </c>
      <c r="AC445" s="12" t="b">
        <v>0</v>
      </c>
      <c r="AD445" s="12" t="b">
        <v>1</v>
      </c>
      <c r="AE445" s="12" t="b">
        <v>0</v>
      </c>
      <c r="AF445" s="12" t="b">
        <v>1</v>
      </c>
      <c r="AG445" s="12" t="b">
        <v>1</v>
      </c>
      <c r="AH445" s="12">
        <v>1</v>
      </c>
      <c r="AI445" s="12" t="b">
        <v>0</v>
      </c>
      <c r="AJ445" s="12" t="b">
        <v>0</v>
      </c>
      <c r="AK445" s="12" t="b">
        <v>1</v>
      </c>
      <c r="AL445" s="12">
        <v>1</v>
      </c>
      <c r="AM445" s="12" t="s">
        <v>900</v>
      </c>
      <c r="AN445" s="12">
        <v>1</v>
      </c>
    </row>
    <row r="446" spans="1:40" x14ac:dyDescent="0.3">
      <c r="A446" s="62" t="s">
        <v>858</v>
      </c>
      <c r="B446" s="62"/>
      <c r="C446" s="63" t="s">
        <v>1939</v>
      </c>
      <c r="D446" s="52" t="s">
        <v>1630</v>
      </c>
      <c r="E446" s="12" t="s">
        <v>1761</v>
      </c>
      <c r="F446" s="12" t="s">
        <v>1549</v>
      </c>
      <c r="G446" s="12" t="b">
        <v>1</v>
      </c>
      <c r="H446" s="12" t="b">
        <v>1</v>
      </c>
      <c r="I446" s="12" t="b">
        <v>1</v>
      </c>
      <c r="J446" s="12" t="b">
        <v>1</v>
      </c>
      <c r="K446" s="12" t="b">
        <v>0</v>
      </c>
      <c r="L446" s="12" t="b">
        <v>0</v>
      </c>
      <c r="M446" s="12" t="b">
        <v>0</v>
      </c>
      <c r="N446" s="12">
        <v>0</v>
      </c>
      <c r="O446" s="12" t="b">
        <v>0</v>
      </c>
      <c r="P446" s="12" t="b">
        <v>0</v>
      </c>
      <c r="Q446" s="12" t="b">
        <v>0</v>
      </c>
      <c r="R446" s="12" t="b">
        <v>0</v>
      </c>
      <c r="S446" s="12" t="b">
        <v>0</v>
      </c>
      <c r="T446" s="12" t="b">
        <v>1</v>
      </c>
      <c r="U446" s="12" t="b">
        <v>0</v>
      </c>
      <c r="V446" s="12" t="b">
        <v>1</v>
      </c>
      <c r="W446" s="12" t="b">
        <v>0</v>
      </c>
      <c r="X446" s="12">
        <v>1</v>
      </c>
      <c r="Y446" s="12" t="b">
        <v>0</v>
      </c>
      <c r="Z446" s="12" t="b">
        <v>0</v>
      </c>
      <c r="AA446" s="12" t="b">
        <v>0</v>
      </c>
      <c r="AB446" s="12" t="b">
        <v>0</v>
      </c>
      <c r="AC446" s="12" t="b">
        <v>0</v>
      </c>
      <c r="AD446" s="12" t="b">
        <v>1</v>
      </c>
      <c r="AE446" s="12" t="b">
        <v>0</v>
      </c>
      <c r="AF446" s="12" t="b">
        <v>1</v>
      </c>
      <c r="AG446" s="12" t="b">
        <v>1</v>
      </c>
      <c r="AH446" s="12">
        <v>1</v>
      </c>
      <c r="AI446" s="12" t="b">
        <v>0</v>
      </c>
      <c r="AJ446" s="12" t="b">
        <v>0</v>
      </c>
      <c r="AK446" s="12" t="b">
        <v>1</v>
      </c>
      <c r="AL446" s="12">
        <v>1</v>
      </c>
      <c r="AM446" s="12" t="s">
        <v>900</v>
      </c>
      <c r="AN446" s="12">
        <v>1</v>
      </c>
    </row>
    <row r="447" spans="1:40" x14ac:dyDescent="0.3">
      <c r="A447" s="62" t="s">
        <v>858</v>
      </c>
      <c r="B447" s="62"/>
      <c r="C447" s="63"/>
      <c r="D447" s="63"/>
      <c r="E447" s="12" t="s">
        <v>1017</v>
      </c>
      <c r="F447" s="12" t="s">
        <v>1233</v>
      </c>
      <c r="G447" s="12" t="b">
        <v>1</v>
      </c>
      <c r="H447" s="12" t="b">
        <v>1</v>
      </c>
      <c r="I447" s="12" t="b">
        <v>1</v>
      </c>
      <c r="J447" s="12" t="b">
        <v>1</v>
      </c>
      <c r="K447" s="12" t="b">
        <v>0</v>
      </c>
      <c r="L447" s="12" t="b">
        <v>0</v>
      </c>
      <c r="M447" s="12" t="b">
        <v>0</v>
      </c>
      <c r="N447" s="12">
        <v>0</v>
      </c>
      <c r="O447" s="12" t="b">
        <v>0</v>
      </c>
      <c r="P447" s="12" t="b">
        <v>0</v>
      </c>
      <c r="Q447" s="12" t="b">
        <v>0</v>
      </c>
      <c r="R447" s="12" t="b">
        <v>0</v>
      </c>
      <c r="S447" s="12" t="b">
        <v>0</v>
      </c>
      <c r="T447" s="12" t="b">
        <v>1</v>
      </c>
      <c r="U447" s="12" t="b">
        <v>0</v>
      </c>
      <c r="V447" s="12" t="b">
        <v>1</v>
      </c>
      <c r="W447" s="12" t="b">
        <v>0</v>
      </c>
      <c r="X447" s="12">
        <v>1</v>
      </c>
      <c r="Y447" s="12" t="b">
        <v>0</v>
      </c>
      <c r="Z447" s="12" t="b">
        <v>0</v>
      </c>
      <c r="AA447" s="12" t="b">
        <v>0</v>
      </c>
      <c r="AB447" s="12" t="b">
        <v>0</v>
      </c>
      <c r="AC447" s="12" t="b">
        <v>0</v>
      </c>
      <c r="AD447" s="12" t="b">
        <v>1</v>
      </c>
      <c r="AE447" s="12" t="b">
        <v>0</v>
      </c>
      <c r="AF447" s="12" t="b">
        <v>1</v>
      </c>
      <c r="AG447" s="12" t="b">
        <v>0</v>
      </c>
      <c r="AH447" s="12">
        <v>1</v>
      </c>
      <c r="AI447" s="12" t="b">
        <v>0</v>
      </c>
      <c r="AJ447" s="12" t="b">
        <v>0</v>
      </c>
      <c r="AK447" s="12" t="b">
        <v>1</v>
      </c>
      <c r="AL447" s="12">
        <v>1</v>
      </c>
      <c r="AM447" s="12" t="s">
        <v>900</v>
      </c>
      <c r="AN447" s="12">
        <v>1</v>
      </c>
    </row>
    <row r="448" spans="1:40" x14ac:dyDescent="0.3">
      <c r="A448" s="62" t="s">
        <v>858</v>
      </c>
      <c r="B448" s="62"/>
      <c r="C448" s="63"/>
      <c r="D448" s="63"/>
      <c r="E448" s="12" t="s">
        <v>1019</v>
      </c>
      <c r="F448" s="12" t="s">
        <v>1234</v>
      </c>
      <c r="G448" s="12" t="b">
        <v>0</v>
      </c>
      <c r="H448" s="12" t="b">
        <v>1</v>
      </c>
      <c r="I448" s="12" t="b">
        <v>1</v>
      </c>
      <c r="J448" s="12" t="b">
        <v>1</v>
      </c>
      <c r="K448" s="12" t="b">
        <v>0</v>
      </c>
      <c r="L448" s="12" t="b">
        <v>1</v>
      </c>
      <c r="M448" s="12" t="b">
        <v>0</v>
      </c>
      <c r="N448" s="12">
        <v>0</v>
      </c>
      <c r="O448" s="12" t="b">
        <v>0</v>
      </c>
      <c r="P448" s="12" t="b">
        <v>0</v>
      </c>
      <c r="Q448" s="12" t="b">
        <v>0</v>
      </c>
      <c r="R448" s="12" t="b">
        <v>0</v>
      </c>
      <c r="S448" s="12" t="b">
        <v>0</v>
      </c>
      <c r="T448" s="12" t="b">
        <v>1</v>
      </c>
      <c r="U448" s="12" t="b">
        <v>0</v>
      </c>
      <c r="V448" s="12" t="b">
        <v>1</v>
      </c>
      <c r="W448" s="12" t="b">
        <v>0</v>
      </c>
      <c r="X448" s="12">
        <v>1</v>
      </c>
      <c r="Y448" s="12" t="b">
        <v>0</v>
      </c>
      <c r="Z448" s="12" t="b">
        <v>0</v>
      </c>
      <c r="AA448" s="12" t="b">
        <v>1</v>
      </c>
      <c r="AB448" s="12" t="b">
        <v>1</v>
      </c>
      <c r="AC448" s="12" t="b">
        <v>1</v>
      </c>
      <c r="AD448" s="12" t="b">
        <v>1</v>
      </c>
      <c r="AE448" s="12" t="b">
        <v>0</v>
      </c>
      <c r="AF448" s="12" t="b">
        <v>0</v>
      </c>
      <c r="AG448" s="12" t="b">
        <v>0</v>
      </c>
      <c r="AH448" s="12">
        <v>0</v>
      </c>
      <c r="AI448" s="12" t="b">
        <v>0</v>
      </c>
      <c r="AJ448" s="12" t="b">
        <v>0</v>
      </c>
      <c r="AK448" s="12" t="b">
        <v>1</v>
      </c>
      <c r="AL448" s="12">
        <v>1</v>
      </c>
      <c r="AM448" s="12" t="s">
        <v>900</v>
      </c>
      <c r="AN448" s="12">
        <v>1</v>
      </c>
    </row>
    <row r="449" spans="1:40" x14ac:dyDescent="0.3">
      <c r="A449" s="62" t="s">
        <v>858</v>
      </c>
      <c r="B449" s="62"/>
      <c r="C449" s="63"/>
      <c r="D449" s="63"/>
      <c r="E449" s="12" t="s">
        <v>1314</v>
      </c>
      <c r="F449" s="12" t="s">
        <v>1315</v>
      </c>
      <c r="G449" s="12" t="b">
        <v>0</v>
      </c>
      <c r="H449" s="12" t="b">
        <v>1</v>
      </c>
      <c r="I449" s="12" t="b">
        <v>1</v>
      </c>
      <c r="J449" s="12" t="b">
        <v>1</v>
      </c>
      <c r="K449" s="12" t="b">
        <v>0</v>
      </c>
      <c r="L449" s="12" t="b">
        <v>0</v>
      </c>
      <c r="M449" s="12" t="b">
        <v>0</v>
      </c>
      <c r="N449" s="12">
        <v>0</v>
      </c>
      <c r="O449" s="12" t="b">
        <v>0</v>
      </c>
      <c r="P449" s="12" t="b">
        <v>0</v>
      </c>
      <c r="Q449" s="12" t="b">
        <v>0</v>
      </c>
      <c r="R449" s="12" t="b">
        <v>0</v>
      </c>
      <c r="S449" s="12" t="b">
        <v>0</v>
      </c>
      <c r="T449" s="12" t="b">
        <v>0</v>
      </c>
      <c r="U449" s="12" t="b">
        <v>0</v>
      </c>
      <c r="V449" s="12" t="b">
        <v>0</v>
      </c>
      <c r="W449" s="12" t="b">
        <v>0</v>
      </c>
      <c r="X449" s="12">
        <v>12</v>
      </c>
      <c r="Y449" s="12" t="b">
        <v>0</v>
      </c>
      <c r="Z449" s="12" t="b">
        <v>0</v>
      </c>
      <c r="AA449" s="12" t="b">
        <v>0</v>
      </c>
      <c r="AB449" s="12" t="b">
        <v>0</v>
      </c>
      <c r="AC449" s="12" t="b">
        <v>0</v>
      </c>
      <c r="AD449" s="12" t="b">
        <v>0</v>
      </c>
      <c r="AE449" s="12" t="b">
        <v>0</v>
      </c>
      <c r="AF449" s="12" t="b">
        <v>0</v>
      </c>
      <c r="AG449" s="12" t="b">
        <v>0</v>
      </c>
      <c r="AH449" s="12">
        <v>5</v>
      </c>
      <c r="AI449" s="12" t="b">
        <v>0</v>
      </c>
      <c r="AJ449" s="12" t="b">
        <v>0</v>
      </c>
      <c r="AK449" s="12" t="b">
        <v>1</v>
      </c>
      <c r="AL449" s="12">
        <v>1</v>
      </c>
      <c r="AM449" s="12" t="s">
        <v>1476</v>
      </c>
      <c r="AN449" s="12">
        <v>1</v>
      </c>
    </row>
    <row r="450" spans="1:40" x14ac:dyDescent="0.3">
      <c r="A450" s="62" t="s">
        <v>858</v>
      </c>
      <c r="B450" s="62"/>
      <c r="C450" s="63"/>
      <c r="D450" s="63"/>
      <c r="E450" s="12" t="s">
        <v>1316</v>
      </c>
      <c r="F450" s="12" t="s">
        <v>1317</v>
      </c>
      <c r="G450" s="12" t="b">
        <v>0</v>
      </c>
      <c r="H450" s="12" t="b">
        <v>1</v>
      </c>
      <c r="I450" s="12" t="b">
        <v>1</v>
      </c>
      <c r="J450" s="12" t="b">
        <v>1</v>
      </c>
      <c r="K450" s="12" t="b">
        <v>0</v>
      </c>
      <c r="L450" s="12" t="b">
        <v>1</v>
      </c>
      <c r="M450" s="12" t="b">
        <v>0</v>
      </c>
      <c r="N450" s="12">
        <v>0</v>
      </c>
      <c r="O450" s="12" t="b">
        <v>0</v>
      </c>
      <c r="P450" s="12" t="b">
        <v>0</v>
      </c>
      <c r="Q450" s="12" t="b">
        <v>0</v>
      </c>
      <c r="R450" s="12" t="b">
        <v>0</v>
      </c>
      <c r="S450" s="12" t="b">
        <v>0</v>
      </c>
      <c r="T450" s="12" t="b">
        <v>0</v>
      </c>
      <c r="U450" s="12" t="b">
        <v>0</v>
      </c>
      <c r="V450" s="12" t="b">
        <v>0</v>
      </c>
      <c r="W450" s="12" t="b">
        <v>0</v>
      </c>
      <c r="X450" s="12">
        <v>12</v>
      </c>
      <c r="Y450" s="12" t="b">
        <v>0</v>
      </c>
      <c r="Z450" s="12" t="b">
        <v>0</v>
      </c>
      <c r="AA450" s="12" t="b">
        <v>0</v>
      </c>
      <c r="AB450" s="12" t="b">
        <v>0</v>
      </c>
      <c r="AC450" s="12" t="b">
        <v>0</v>
      </c>
      <c r="AD450" s="12" t="b">
        <v>0</v>
      </c>
      <c r="AE450" s="12" t="b">
        <v>0</v>
      </c>
      <c r="AF450" s="12" t="b">
        <v>0</v>
      </c>
      <c r="AG450" s="12" t="b">
        <v>0</v>
      </c>
      <c r="AH450" s="12">
        <v>7</v>
      </c>
      <c r="AI450" s="12" t="b">
        <v>0</v>
      </c>
      <c r="AJ450" s="12" t="b">
        <v>0</v>
      </c>
      <c r="AK450" s="12" t="b">
        <v>1</v>
      </c>
      <c r="AL450" s="12">
        <v>1</v>
      </c>
      <c r="AM450" s="12" t="s">
        <v>1476</v>
      </c>
      <c r="AN450" s="12">
        <v>1</v>
      </c>
    </row>
    <row r="451" spans="1:40" x14ac:dyDescent="0.3">
      <c r="A451" s="62" t="s">
        <v>858</v>
      </c>
      <c r="B451" s="62"/>
      <c r="C451" s="63"/>
      <c r="D451" s="63"/>
      <c r="E451" s="12" t="s">
        <v>1528</v>
      </c>
      <c r="F451" s="12" t="s">
        <v>1566</v>
      </c>
      <c r="G451" s="12" t="b">
        <v>0</v>
      </c>
      <c r="H451" s="12" t="b">
        <v>1</v>
      </c>
      <c r="I451" s="12" t="b">
        <v>1</v>
      </c>
      <c r="J451" s="12" t="b">
        <v>1</v>
      </c>
      <c r="K451" s="12" t="b">
        <v>0</v>
      </c>
      <c r="L451" s="12" t="b">
        <v>0</v>
      </c>
      <c r="M451" s="12" t="b">
        <v>0</v>
      </c>
      <c r="N451" s="12">
        <v>0</v>
      </c>
      <c r="O451" s="12" t="b">
        <v>0</v>
      </c>
      <c r="P451" s="12" t="b">
        <v>0</v>
      </c>
      <c r="Q451" s="12" t="b">
        <v>0</v>
      </c>
      <c r="R451" s="12" t="b">
        <v>0</v>
      </c>
      <c r="S451" s="12" t="b">
        <v>0</v>
      </c>
      <c r="T451" s="12" t="b">
        <v>0</v>
      </c>
      <c r="U451" s="12" t="b">
        <v>0</v>
      </c>
      <c r="V451" s="12" t="b">
        <v>0</v>
      </c>
      <c r="W451" s="12" t="b">
        <v>0</v>
      </c>
      <c r="X451" s="12">
        <v>1</v>
      </c>
      <c r="Y451" s="12" t="b">
        <v>0</v>
      </c>
      <c r="Z451" s="12" t="b">
        <v>0</v>
      </c>
      <c r="AA451" s="12" t="b">
        <v>1</v>
      </c>
      <c r="AB451" s="12" t="b">
        <v>1</v>
      </c>
      <c r="AC451" s="12" t="b">
        <v>1</v>
      </c>
      <c r="AD451" s="12" t="b">
        <v>1</v>
      </c>
      <c r="AE451" s="12" t="b">
        <v>0</v>
      </c>
      <c r="AF451" s="12" t="b">
        <v>0</v>
      </c>
      <c r="AG451" s="12" t="b">
        <v>0</v>
      </c>
      <c r="AH451" s="12">
        <v>1</v>
      </c>
      <c r="AI451" s="12" t="b">
        <v>0</v>
      </c>
      <c r="AJ451" s="12" t="b">
        <v>0</v>
      </c>
      <c r="AK451" s="12" t="b">
        <v>1</v>
      </c>
      <c r="AL451" s="12">
        <v>0</v>
      </c>
      <c r="AM451" s="12" t="s">
        <v>922</v>
      </c>
      <c r="AN451" s="12">
        <v>0</v>
      </c>
    </row>
    <row r="452" spans="1:40" x14ac:dyDescent="0.3">
      <c r="A452" s="62" t="s">
        <v>858</v>
      </c>
      <c r="B452" s="62"/>
      <c r="C452" s="63"/>
      <c r="D452" s="63"/>
      <c r="E452" s="12" t="s">
        <v>1523</v>
      </c>
      <c r="F452" s="12" t="s">
        <v>1567</v>
      </c>
      <c r="G452" s="12" t="b">
        <v>0</v>
      </c>
      <c r="H452" s="12" t="b">
        <v>1</v>
      </c>
      <c r="I452" s="12" t="b">
        <v>1</v>
      </c>
      <c r="J452" s="12" t="b">
        <v>1</v>
      </c>
      <c r="K452" s="12" t="b">
        <v>0</v>
      </c>
      <c r="L452" s="12" t="b">
        <v>0</v>
      </c>
      <c r="M452" s="12" t="b">
        <v>0</v>
      </c>
      <c r="N452" s="12">
        <v>0</v>
      </c>
      <c r="O452" s="12" t="b">
        <v>0</v>
      </c>
      <c r="P452" s="12" t="b">
        <v>0</v>
      </c>
      <c r="Q452" s="12" t="b">
        <v>0</v>
      </c>
      <c r="R452" s="12" t="b">
        <v>0</v>
      </c>
      <c r="S452" s="12" t="b">
        <v>0</v>
      </c>
      <c r="T452" s="12" t="b">
        <v>0</v>
      </c>
      <c r="U452" s="12" t="b">
        <v>0</v>
      </c>
      <c r="V452" s="12" t="b">
        <v>0</v>
      </c>
      <c r="W452" s="12" t="b">
        <v>0</v>
      </c>
      <c r="X452" s="12">
        <v>1</v>
      </c>
      <c r="Y452" s="12" t="b">
        <v>0</v>
      </c>
      <c r="Z452" s="12" t="b">
        <v>0</v>
      </c>
      <c r="AA452" s="12" t="b">
        <v>1</v>
      </c>
      <c r="AB452" s="12" t="b">
        <v>1</v>
      </c>
      <c r="AC452" s="12" t="b">
        <v>1</v>
      </c>
      <c r="AD452" s="12" t="b">
        <v>1</v>
      </c>
      <c r="AE452" s="12" t="b">
        <v>0</v>
      </c>
      <c r="AF452" s="12" t="b">
        <v>0</v>
      </c>
      <c r="AG452" s="12" t="b">
        <v>0</v>
      </c>
      <c r="AH452" s="12">
        <v>1</v>
      </c>
      <c r="AI452" s="12" t="b">
        <v>0</v>
      </c>
      <c r="AJ452" s="12" t="b">
        <v>0</v>
      </c>
      <c r="AK452" s="12" t="b">
        <v>1</v>
      </c>
      <c r="AL452" s="12">
        <v>0</v>
      </c>
      <c r="AM452" s="12" t="s">
        <v>922</v>
      </c>
      <c r="AN452" s="12">
        <v>0</v>
      </c>
    </row>
    <row r="453" spans="1:40" x14ac:dyDescent="0.3">
      <c r="A453" s="62" t="s">
        <v>858</v>
      </c>
      <c r="B453" s="62"/>
      <c r="C453" s="63"/>
      <c r="D453" s="63"/>
      <c r="E453" s="12" t="s">
        <v>1524</v>
      </c>
      <c r="F453" s="12" t="s">
        <v>1568</v>
      </c>
      <c r="G453" s="12" t="b">
        <v>0</v>
      </c>
      <c r="H453" s="12" t="b">
        <v>1</v>
      </c>
      <c r="I453" s="12" t="b">
        <v>1</v>
      </c>
      <c r="J453" s="12" t="b">
        <v>1</v>
      </c>
      <c r="K453" s="12" t="b">
        <v>0</v>
      </c>
      <c r="L453" s="12" t="b">
        <v>0</v>
      </c>
      <c r="M453" s="12" t="b">
        <v>0</v>
      </c>
      <c r="N453" s="12">
        <v>0</v>
      </c>
      <c r="O453" s="12" t="b">
        <v>0</v>
      </c>
      <c r="P453" s="12" t="b">
        <v>0</v>
      </c>
      <c r="Q453" s="12" t="b">
        <v>0</v>
      </c>
      <c r="R453" s="12" t="b">
        <v>0</v>
      </c>
      <c r="S453" s="12" t="b">
        <v>0</v>
      </c>
      <c r="T453" s="12" t="b">
        <v>0</v>
      </c>
      <c r="U453" s="12" t="b">
        <v>0</v>
      </c>
      <c r="V453" s="12" t="b">
        <v>0</v>
      </c>
      <c r="W453" s="12" t="b">
        <v>0</v>
      </c>
      <c r="X453" s="12">
        <v>1</v>
      </c>
      <c r="Y453" s="12" t="b">
        <v>0</v>
      </c>
      <c r="Z453" s="12" t="b">
        <v>0</v>
      </c>
      <c r="AA453" s="12" t="b">
        <v>1</v>
      </c>
      <c r="AB453" s="12" t="b">
        <v>1</v>
      </c>
      <c r="AC453" s="12" t="b">
        <v>1</v>
      </c>
      <c r="AD453" s="12" t="b">
        <v>1</v>
      </c>
      <c r="AE453" s="12" t="b">
        <v>0</v>
      </c>
      <c r="AF453" s="12" t="b">
        <v>0</v>
      </c>
      <c r="AG453" s="12" t="b">
        <v>0</v>
      </c>
      <c r="AH453" s="12">
        <v>1</v>
      </c>
      <c r="AI453" s="12" t="b">
        <v>0</v>
      </c>
      <c r="AJ453" s="12" t="b">
        <v>0</v>
      </c>
      <c r="AK453" s="12" t="b">
        <v>1</v>
      </c>
      <c r="AL453" s="12">
        <v>0</v>
      </c>
      <c r="AM453" s="12" t="s">
        <v>922</v>
      </c>
      <c r="AN453" s="12">
        <v>0</v>
      </c>
    </row>
    <row r="454" spans="1:40" x14ac:dyDescent="0.3">
      <c r="A454" s="62" t="s">
        <v>858</v>
      </c>
      <c r="B454" s="62"/>
      <c r="C454" s="63"/>
      <c r="D454" s="63"/>
      <c r="E454" s="12" t="s">
        <v>1522</v>
      </c>
      <c r="F454" s="12" t="s">
        <v>1572</v>
      </c>
      <c r="G454" s="12" t="b">
        <v>0</v>
      </c>
      <c r="H454" s="12" t="b">
        <v>1</v>
      </c>
      <c r="I454" s="12" t="b">
        <v>1</v>
      </c>
      <c r="J454" s="12" t="b">
        <v>1</v>
      </c>
      <c r="K454" s="12" t="b">
        <v>0</v>
      </c>
      <c r="L454" s="12" t="b">
        <v>0</v>
      </c>
      <c r="M454" s="12" t="b">
        <v>0</v>
      </c>
      <c r="N454" s="12">
        <v>0</v>
      </c>
      <c r="O454" s="12" t="b">
        <v>0</v>
      </c>
      <c r="P454" s="12" t="b">
        <v>0</v>
      </c>
      <c r="Q454" s="12" t="b">
        <v>0</v>
      </c>
      <c r="R454" s="12" t="b">
        <v>0</v>
      </c>
      <c r="S454" s="12" t="b">
        <v>0</v>
      </c>
      <c r="T454" s="12" t="b">
        <v>0</v>
      </c>
      <c r="U454" s="12" t="b">
        <v>0</v>
      </c>
      <c r="V454" s="12" t="b">
        <v>0</v>
      </c>
      <c r="W454" s="12" t="b">
        <v>0</v>
      </c>
      <c r="X454" s="12">
        <v>1</v>
      </c>
      <c r="Y454" s="12" t="b">
        <v>0</v>
      </c>
      <c r="Z454" s="12" t="b">
        <v>0</v>
      </c>
      <c r="AA454" s="12" t="b">
        <v>1</v>
      </c>
      <c r="AB454" s="12" t="b">
        <v>1</v>
      </c>
      <c r="AC454" s="12" t="b">
        <v>1</v>
      </c>
      <c r="AD454" s="12" t="b">
        <v>1</v>
      </c>
      <c r="AE454" s="12" t="b">
        <v>0</v>
      </c>
      <c r="AF454" s="12" t="b">
        <v>0</v>
      </c>
      <c r="AG454" s="12" t="b">
        <v>0</v>
      </c>
      <c r="AH454" s="12">
        <v>1</v>
      </c>
      <c r="AI454" s="12" t="b">
        <v>0</v>
      </c>
      <c r="AJ454" s="12" t="b">
        <v>0</v>
      </c>
      <c r="AK454" s="12" t="b">
        <v>1</v>
      </c>
      <c r="AL454" s="12">
        <v>0</v>
      </c>
      <c r="AM454" s="12" t="s">
        <v>922</v>
      </c>
      <c r="AN454" s="12">
        <v>0</v>
      </c>
    </row>
    <row r="455" spans="1:40" x14ac:dyDescent="0.3">
      <c r="A455" s="62" t="s">
        <v>858</v>
      </c>
      <c r="B455" s="62"/>
      <c r="C455" s="63"/>
      <c r="D455" s="63"/>
      <c r="E455" s="12" t="s">
        <v>1254</v>
      </c>
      <c r="F455" s="12" t="s">
        <v>1255</v>
      </c>
      <c r="G455" s="12" t="b">
        <v>0</v>
      </c>
      <c r="H455" s="12" t="b">
        <v>0</v>
      </c>
      <c r="I455" s="12" t="b">
        <v>0</v>
      </c>
      <c r="J455" s="12" t="b">
        <v>1</v>
      </c>
      <c r="K455" s="12" t="b">
        <v>0</v>
      </c>
      <c r="L455" s="12" t="b">
        <v>1</v>
      </c>
      <c r="M455" s="12" t="b">
        <v>0</v>
      </c>
      <c r="N455" s="12">
        <v>0</v>
      </c>
      <c r="O455" s="12" t="b">
        <v>0</v>
      </c>
      <c r="P455" s="12" t="b">
        <v>0</v>
      </c>
      <c r="Q455" s="12" t="b">
        <v>0</v>
      </c>
      <c r="R455" s="12" t="b">
        <v>0</v>
      </c>
      <c r="S455" s="12" t="b">
        <v>0</v>
      </c>
      <c r="T455" s="12" t="b">
        <v>1</v>
      </c>
      <c r="U455" s="12" t="b">
        <v>0</v>
      </c>
      <c r="V455" s="12" t="b">
        <v>1</v>
      </c>
      <c r="W455" s="12" t="b">
        <v>0</v>
      </c>
      <c r="X455" s="12">
        <v>1</v>
      </c>
      <c r="Y455" s="12" t="b">
        <v>0</v>
      </c>
      <c r="Z455" s="12" t="b">
        <v>0</v>
      </c>
      <c r="AA455" s="12" t="b">
        <v>0</v>
      </c>
      <c r="AB455" s="12" t="b">
        <v>0</v>
      </c>
      <c r="AC455" s="12" t="b">
        <v>0</v>
      </c>
      <c r="AD455" s="12" t="b">
        <v>1</v>
      </c>
      <c r="AE455" s="12" t="b">
        <v>0</v>
      </c>
      <c r="AF455" s="12" t="b">
        <v>1</v>
      </c>
      <c r="AG455" s="12" t="b">
        <v>0</v>
      </c>
      <c r="AH455" s="12">
        <v>1</v>
      </c>
      <c r="AI455" s="12" t="b">
        <v>0</v>
      </c>
      <c r="AJ455" s="12" t="b">
        <v>0</v>
      </c>
      <c r="AK455" s="12" t="b">
        <v>1</v>
      </c>
      <c r="AL455" s="12">
        <v>0</v>
      </c>
      <c r="AM455" s="12" t="s">
        <v>922</v>
      </c>
      <c r="AN455" s="12">
        <v>0</v>
      </c>
    </row>
    <row r="456" spans="1:40" x14ac:dyDescent="0.3">
      <c r="A456" s="62" t="s">
        <v>858</v>
      </c>
      <c r="B456" s="62"/>
      <c r="C456" s="63"/>
      <c r="D456" s="63"/>
      <c r="E456" s="12" t="s">
        <v>1256</v>
      </c>
      <c r="F456" s="12" t="s">
        <v>1257</v>
      </c>
      <c r="G456" s="12" t="b">
        <v>0</v>
      </c>
      <c r="H456" s="12" t="b">
        <v>0</v>
      </c>
      <c r="I456" s="12" t="b">
        <v>0</v>
      </c>
      <c r="J456" s="12" t="b">
        <v>1</v>
      </c>
      <c r="K456" s="12" t="b">
        <v>0</v>
      </c>
      <c r="L456" s="12" t="b">
        <v>1</v>
      </c>
      <c r="M456" s="12" t="b">
        <v>0</v>
      </c>
      <c r="N456" s="12">
        <v>0</v>
      </c>
      <c r="O456" s="12" t="b">
        <v>0</v>
      </c>
      <c r="P456" s="12" t="b">
        <v>0</v>
      </c>
      <c r="Q456" s="12" t="b">
        <v>0</v>
      </c>
      <c r="R456" s="12" t="b">
        <v>0</v>
      </c>
      <c r="S456" s="12" t="b">
        <v>0</v>
      </c>
      <c r="T456" s="12" t="b">
        <v>1</v>
      </c>
      <c r="U456" s="12" t="b">
        <v>0</v>
      </c>
      <c r="V456" s="12" t="b">
        <v>1</v>
      </c>
      <c r="W456" s="12" t="b">
        <v>0</v>
      </c>
      <c r="X456" s="12">
        <v>1</v>
      </c>
      <c r="Y456" s="12" t="b">
        <v>0</v>
      </c>
      <c r="Z456" s="12" t="b">
        <v>0</v>
      </c>
      <c r="AA456" s="12" t="b">
        <v>0</v>
      </c>
      <c r="AB456" s="12" t="b">
        <v>0</v>
      </c>
      <c r="AC456" s="12" t="b">
        <v>0</v>
      </c>
      <c r="AD456" s="12" t="b">
        <v>1</v>
      </c>
      <c r="AE456" s="12" t="b">
        <v>0</v>
      </c>
      <c r="AF456" s="12" t="b">
        <v>1</v>
      </c>
      <c r="AG456" s="12" t="b">
        <v>0</v>
      </c>
      <c r="AH456" s="12">
        <v>1</v>
      </c>
      <c r="AI456" s="12" t="b">
        <v>0</v>
      </c>
      <c r="AJ456" s="12" t="b">
        <v>0</v>
      </c>
      <c r="AK456" s="12" t="b">
        <v>1</v>
      </c>
      <c r="AL456" s="12">
        <v>0</v>
      </c>
      <c r="AM456" s="12" t="s">
        <v>922</v>
      </c>
      <c r="AN456" s="12">
        <v>0</v>
      </c>
    </row>
    <row r="457" spans="1:40" x14ac:dyDescent="0.3">
      <c r="A457" s="62" t="s">
        <v>858</v>
      </c>
      <c r="B457" s="62"/>
      <c r="C457" s="63"/>
      <c r="D457" s="63"/>
      <c r="E457" s="12" t="s">
        <v>1258</v>
      </c>
      <c r="F457" s="12" t="s">
        <v>1259</v>
      </c>
      <c r="G457" s="12" t="b">
        <v>0</v>
      </c>
      <c r="H457" s="12" t="b">
        <v>0</v>
      </c>
      <c r="I457" s="12" t="b">
        <v>0</v>
      </c>
      <c r="J457" s="12" t="b">
        <v>1</v>
      </c>
      <c r="K457" s="12" t="b">
        <v>0</v>
      </c>
      <c r="L457" s="12" t="b">
        <v>1</v>
      </c>
      <c r="M457" s="12" t="b">
        <v>0</v>
      </c>
      <c r="N457" s="12">
        <v>0</v>
      </c>
      <c r="O457" s="12" t="b">
        <v>0</v>
      </c>
      <c r="P457" s="12" t="b">
        <v>0</v>
      </c>
      <c r="Q457" s="12" t="b">
        <v>0</v>
      </c>
      <c r="R457" s="12" t="b">
        <v>0</v>
      </c>
      <c r="S457" s="12" t="b">
        <v>0</v>
      </c>
      <c r="T457" s="12" t="b">
        <v>1</v>
      </c>
      <c r="U457" s="12" t="b">
        <v>0</v>
      </c>
      <c r="V457" s="12" t="b">
        <v>1</v>
      </c>
      <c r="W457" s="12" t="b">
        <v>0</v>
      </c>
      <c r="X457" s="12">
        <v>1</v>
      </c>
      <c r="Y457" s="12" t="b">
        <v>0</v>
      </c>
      <c r="Z457" s="12" t="b">
        <v>0</v>
      </c>
      <c r="AA457" s="12" t="b">
        <v>0</v>
      </c>
      <c r="AB457" s="12" t="b">
        <v>0</v>
      </c>
      <c r="AC457" s="12" t="b">
        <v>0</v>
      </c>
      <c r="AD457" s="12" t="b">
        <v>1</v>
      </c>
      <c r="AE457" s="12" t="b">
        <v>0</v>
      </c>
      <c r="AF457" s="12" t="b">
        <v>1</v>
      </c>
      <c r="AG457" s="12" t="b">
        <v>0</v>
      </c>
      <c r="AH457" s="12">
        <v>1</v>
      </c>
      <c r="AI457" s="12" t="b">
        <v>0</v>
      </c>
      <c r="AJ457" s="12" t="b">
        <v>0</v>
      </c>
      <c r="AK457" s="12" t="b">
        <v>1</v>
      </c>
      <c r="AL457" s="12">
        <v>0</v>
      </c>
      <c r="AM457" s="12" t="s">
        <v>922</v>
      </c>
      <c r="AN457" s="12">
        <v>0</v>
      </c>
    </row>
    <row r="458" spans="1:40" x14ac:dyDescent="0.3">
      <c r="A458" s="62" t="s">
        <v>858</v>
      </c>
      <c r="B458" s="62"/>
      <c r="C458" s="63"/>
      <c r="D458" s="63"/>
      <c r="E458" s="12" t="s">
        <v>1260</v>
      </c>
      <c r="F458" s="12" t="s">
        <v>1261</v>
      </c>
      <c r="G458" s="12" t="b">
        <v>0</v>
      </c>
      <c r="H458" s="12" t="b">
        <v>0</v>
      </c>
      <c r="I458" s="12" t="b">
        <v>0</v>
      </c>
      <c r="J458" s="12" t="b">
        <v>1</v>
      </c>
      <c r="K458" s="12" t="b">
        <v>0</v>
      </c>
      <c r="L458" s="12" t="b">
        <v>1</v>
      </c>
      <c r="M458" s="12" t="b">
        <v>0</v>
      </c>
      <c r="N458" s="12">
        <v>0</v>
      </c>
      <c r="O458" s="12" t="b">
        <v>0</v>
      </c>
      <c r="P458" s="12" t="b">
        <v>0</v>
      </c>
      <c r="Q458" s="12" t="b">
        <v>0</v>
      </c>
      <c r="R458" s="12" t="b">
        <v>0</v>
      </c>
      <c r="S458" s="12" t="b">
        <v>0</v>
      </c>
      <c r="T458" s="12" t="b">
        <v>1</v>
      </c>
      <c r="U458" s="12" t="b">
        <v>0</v>
      </c>
      <c r="V458" s="12" t="b">
        <v>1</v>
      </c>
      <c r="W458" s="12" t="b">
        <v>0</v>
      </c>
      <c r="X458" s="12">
        <v>1</v>
      </c>
      <c r="Y458" s="12" t="b">
        <v>0</v>
      </c>
      <c r="Z458" s="12" t="b">
        <v>0</v>
      </c>
      <c r="AA458" s="12" t="b">
        <v>0</v>
      </c>
      <c r="AB458" s="12" t="b">
        <v>0</v>
      </c>
      <c r="AC458" s="12" t="b">
        <v>0</v>
      </c>
      <c r="AD458" s="12" t="b">
        <v>1</v>
      </c>
      <c r="AE458" s="12" t="b">
        <v>0</v>
      </c>
      <c r="AF458" s="12" t="b">
        <v>1</v>
      </c>
      <c r="AG458" s="12" t="b">
        <v>0</v>
      </c>
      <c r="AH458" s="12">
        <v>1</v>
      </c>
      <c r="AI458" s="12" t="b">
        <v>0</v>
      </c>
      <c r="AJ458" s="12" t="b">
        <v>0</v>
      </c>
      <c r="AK458" s="12" t="b">
        <v>1</v>
      </c>
      <c r="AL458" s="12">
        <v>0</v>
      </c>
      <c r="AM458" s="12" t="s">
        <v>922</v>
      </c>
      <c r="AN458" s="12">
        <v>0</v>
      </c>
    </row>
    <row r="459" spans="1:40" x14ac:dyDescent="0.3">
      <c r="A459" s="62" t="s">
        <v>858</v>
      </c>
      <c r="B459" s="62"/>
      <c r="C459" s="63"/>
      <c r="D459" s="63"/>
      <c r="E459" s="12" t="s">
        <v>1262</v>
      </c>
      <c r="F459" s="12" t="s">
        <v>1263</v>
      </c>
      <c r="G459" s="12" t="b">
        <v>0</v>
      </c>
      <c r="H459" s="12" t="b">
        <v>0</v>
      </c>
      <c r="I459" s="12" t="b">
        <v>0</v>
      </c>
      <c r="J459" s="12" t="b">
        <v>1</v>
      </c>
      <c r="K459" s="12" t="b">
        <v>0</v>
      </c>
      <c r="L459" s="12" t="b">
        <v>1</v>
      </c>
      <c r="M459" s="12" t="b">
        <v>0</v>
      </c>
      <c r="N459" s="12">
        <v>0</v>
      </c>
      <c r="O459" s="12" t="b">
        <v>0</v>
      </c>
      <c r="P459" s="12" t="b">
        <v>0</v>
      </c>
      <c r="Q459" s="12" t="b">
        <v>0</v>
      </c>
      <c r="R459" s="12" t="b">
        <v>0</v>
      </c>
      <c r="S459" s="12" t="b">
        <v>0</v>
      </c>
      <c r="T459" s="12" t="b">
        <v>1</v>
      </c>
      <c r="U459" s="12" t="b">
        <v>0</v>
      </c>
      <c r="V459" s="12" t="b">
        <v>1</v>
      </c>
      <c r="W459" s="12" t="b">
        <v>0</v>
      </c>
      <c r="X459" s="12">
        <v>1</v>
      </c>
      <c r="Y459" s="12" t="b">
        <v>0</v>
      </c>
      <c r="Z459" s="12" t="b">
        <v>0</v>
      </c>
      <c r="AA459" s="12" t="b">
        <v>0</v>
      </c>
      <c r="AB459" s="12" t="b">
        <v>0</v>
      </c>
      <c r="AC459" s="12" t="b">
        <v>0</v>
      </c>
      <c r="AD459" s="12" t="b">
        <v>1</v>
      </c>
      <c r="AE459" s="12" t="b">
        <v>0</v>
      </c>
      <c r="AF459" s="12" t="b">
        <v>1</v>
      </c>
      <c r="AG459" s="12" t="b">
        <v>0</v>
      </c>
      <c r="AH459" s="12">
        <v>1</v>
      </c>
      <c r="AI459" s="12" t="b">
        <v>0</v>
      </c>
      <c r="AJ459" s="12" t="b">
        <v>0</v>
      </c>
      <c r="AK459" s="12" t="b">
        <v>1</v>
      </c>
      <c r="AL459" s="12">
        <v>0</v>
      </c>
      <c r="AM459" s="12" t="s">
        <v>922</v>
      </c>
      <c r="AN459" s="12">
        <v>0</v>
      </c>
    </row>
    <row r="460" spans="1:40" x14ac:dyDescent="0.3">
      <c r="A460" s="62" t="s">
        <v>858</v>
      </c>
      <c r="B460" s="62"/>
      <c r="C460" s="63"/>
      <c r="D460" s="63"/>
      <c r="E460" s="12" t="s">
        <v>1264</v>
      </c>
      <c r="F460" s="12" t="s">
        <v>1265</v>
      </c>
      <c r="G460" s="12" t="b">
        <v>0</v>
      </c>
      <c r="H460" s="12" t="b">
        <v>0</v>
      </c>
      <c r="I460" s="12" t="b">
        <v>0</v>
      </c>
      <c r="J460" s="12" t="b">
        <v>1</v>
      </c>
      <c r="K460" s="12" t="b">
        <v>0</v>
      </c>
      <c r="L460" s="12" t="b">
        <v>1</v>
      </c>
      <c r="M460" s="12" t="b">
        <v>0</v>
      </c>
      <c r="N460" s="12">
        <v>0</v>
      </c>
      <c r="O460" s="12" t="b">
        <v>0</v>
      </c>
      <c r="P460" s="12" t="b">
        <v>0</v>
      </c>
      <c r="Q460" s="12" t="b">
        <v>0</v>
      </c>
      <c r="R460" s="12" t="b">
        <v>0</v>
      </c>
      <c r="S460" s="12" t="b">
        <v>0</v>
      </c>
      <c r="T460" s="12" t="b">
        <v>1</v>
      </c>
      <c r="U460" s="12" t="b">
        <v>0</v>
      </c>
      <c r="V460" s="12" t="b">
        <v>1</v>
      </c>
      <c r="W460" s="12" t="b">
        <v>0</v>
      </c>
      <c r="X460" s="12">
        <v>1</v>
      </c>
      <c r="Y460" s="12" t="b">
        <v>0</v>
      </c>
      <c r="Z460" s="12" t="b">
        <v>0</v>
      </c>
      <c r="AA460" s="12" t="b">
        <v>0</v>
      </c>
      <c r="AB460" s="12" t="b">
        <v>0</v>
      </c>
      <c r="AC460" s="12" t="b">
        <v>0</v>
      </c>
      <c r="AD460" s="12" t="b">
        <v>1</v>
      </c>
      <c r="AE460" s="12" t="b">
        <v>0</v>
      </c>
      <c r="AF460" s="12" t="b">
        <v>1</v>
      </c>
      <c r="AG460" s="12" t="b">
        <v>0</v>
      </c>
      <c r="AH460" s="12">
        <v>1</v>
      </c>
      <c r="AI460" s="12" t="b">
        <v>0</v>
      </c>
      <c r="AJ460" s="12" t="b">
        <v>0</v>
      </c>
      <c r="AK460" s="12" t="b">
        <v>1</v>
      </c>
      <c r="AL460" s="12">
        <v>0</v>
      </c>
      <c r="AM460" s="12" t="s">
        <v>922</v>
      </c>
      <c r="AN460" s="12">
        <v>0</v>
      </c>
    </row>
    <row r="461" spans="1:40" x14ac:dyDescent="0.3">
      <c r="A461" s="62" t="s">
        <v>858</v>
      </c>
      <c r="B461" s="62"/>
      <c r="C461" s="63"/>
      <c r="D461" s="63"/>
      <c r="E461" s="12" t="s">
        <v>1266</v>
      </c>
      <c r="F461" s="12" t="s">
        <v>1267</v>
      </c>
      <c r="G461" s="12" t="b">
        <v>0</v>
      </c>
      <c r="H461" s="12" t="b">
        <v>0</v>
      </c>
      <c r="I461" s="12" t="b">
        <v>0</v>
      </c>
      <c r="J461" s="12" t="b">
        <v>1</v>
      </c>
      <c r="K461" s="12" t="b">
        <v>0</v>
      </c>
      <c r="L461" s="12" t="b">
        <v>1</v>
      </c>
      <c r="M461" s="12" t="b">
        <v>0</v>
      </c>
      <c r="N461" s="12">
        <v>0</v>
      </c>
      <c r="O461" s="12" t="b">
        <v>0</v>
      </c>
      <c r="P461" s="12" t="b">
        <v>0</v>
      </c>
      <c r="Q461" s="12" t="b">
        <v>0</v>
      </c>
      <c r="R461" s="12" t="b">
        <v>0</v>
      </c>
      <c r="S461" s="12" t="b">
        <v>0</v>
      </c>
      <c r="T461" s="12" t="b">
        <v>1</v>
      </c>
      <c r="U461" s="12" t="b">
        <v>0</v>
      </c>
      <c r="V461" s="12" t="b">
        <v>1</v>
      </c>
      <c r="W461" s="12" t="b">
        <v>0</v>
      </c>
      <c r="X461" s="12">
        <v>1</v>
      </c>
      <c r="Y461" s="12" t="b">
        <v>0</v>
      </c>
      <c r="Z461" s="12" t="b">
        <v>0</v>
      </c>
      <c r="AA461" s="12" t="b">
        <v>0</v>
      </c>
      <c r="AB461" s="12" t="b">
        <v>0</v>
      </c>
      <c r="AC461" s="12" t="b">
        <v>0</v>
      </c>
      <c r="AD461" s="12" t="b">
        <v>1</v>
      </c>
      <c r="AE461" s="12" t="b">
        <v>0</v>
      </c>
      <c r="AF461" s="12" t="b">
        <v>1</v>
      </c>
      <c r="AG461" s="12" t="b">
        <v>0</v>
      </c>
      <c r="AH461" s="12">
        <v>1</v>
      </c>
      <c r="AI461" s="12" t="b">
        <v>0</v>
      </c>
      <c r="AJ461" s="12" t="b">
        <v>0</v>
      </c>
      <c r="AK461" s="12" t="b">
        <v>1</v>
      </c>
      <c r="AL461" s="12">
        <v>0</v>
      </c>
      <c r="AM461" s="12" t="s">
        <v>922</v>
      </c>
      <c r="AN461" s="12">
        <v>0</v>
      </c>
    </row>
    <row r="462" spans="1:40" x14ac:dyDescent="0.3">
      <c r="A462" s="62" t="s">
        <v>858</v>
      </c>
      <c r="B462" s="62"/>
      <c r="C462" s="63"/>
      <c r="D462" s="63"/>
      <c r="E462" s="12" t="s">
        <v>1282</v>
      </c>
      <c r="F462" s="12" t="s">
        <v>1283</v>
      </c>
      <c r="G462" s="12" t="b">
        <v>0</v>
      </c>
      <c r="H462" s="12" t="b">
        <v>0</v>
      </c>
      <c r="I462" s="12" t="b">
        <v>0</v>
      </c>
      <c r="J462" s="12" t="b">
        <v>1</v>
      </c>
      <c r="K462" s="12" t="b">
        <v>0</v>
      </c>
      <c r="L462" s="12" t="b">
        <v>1</v>
      </c>
      <c r="M462" s="12" t="b">
        <v>0</v>
      </c>
      <c r="N462" s="12">
        <v>0</v>
      </c>
      <c r="O462" s="12" t="b">
        <v>0</v>
      </c>
      <c r="P462" s="12" t="b">
        <v>0</v>
      </c>
      <c r="Q462" s="12" t="b">
        <v>0</v>
      </c>
      <c r="R462" s="12" t="b">
        <v>0</v>
      </c>
      <c r="S462" s="12" t="b">
        <v>0</v>
      </c>
      <c r="T462" s="12" t="b">
        <v>1</v>
      </c>
      <c r="U462" s="12" t="b">
        <v>0</v>
      </c>
      <c r="V462" s="12" t="b">
        <v>1</v>
      </c>
      <c r="W462" s="12" t="b">
        <v>0</v>
      </c>
      <c r="X462" s="12">
        <v>1</v>
      </c>
      <c r="Y462" s="12" t="b">
        <v>0</v>
      </c>
      <c r="Z462" s="12" t="b">
        <v>0</v>
      </c>
      <c r="AA462" s="12" t="b">
        <v>0</v>
      </c>
      <c r="AB462" s="12" t="b">
        <v>0</v>
      </c>
      <c r="AC462" s="12" t="b">
        <v>0</v>
      </c>
      <c r="AD462" s="12" t="b">
        <v>1</v>
      </c>
      <c r="AE462" s="12" t="b">
        <v>0</v>
      </c>
      <c r="AF462" s="12" t="b">
        <v>1</v>
      </c>
      <c r="AG462" s="12" t="b">
        <v>0</v>
      </c>
      <c r="AH462" s="12">
        <v>1</v>
      </c>
      <c r="AI462" s="12" t="b">
        <v>0</v>
      </c>
      <c r="AJ462" s="12" t="b">
        <v>0</v>
      </c>
      <c r="AK462" s="12" t="b">
        <v>1</v>
      </c>
      <c r="AL462" s="12">
        <v>0</v>
      </c>
      <c r="AM462" s="12" t="s">
        <v>922</v>
      </c>
      <c r="AN462" s="12">
        <v>0</v>
      </c>
    </row>
    <row r="463" spans="1:40" x14ac:dyDescent="0.3">
      <c r="A463" s="62" t="s">
        <v>858</v>
      </c>
      <c r="B463" s="62"/>
      <c r="C463" s="63"/>
      <c r="D463" s="63"/>
      <c r="E463" s="12" t="s">
        <v>1284</v>
      </c>
      <c r="F463" s="12" t="s">
        <v>1285</v>
      </c>
      <c r="G463" s="12" t="b">
        <v>0</v>
      </c>
      <c r="H463" s="12" t="b">
        <v>1</v>
      </c>
      <c r="I463" s="12" t="b">
        <v>1</v>
      </c>
      <c r="J463" s="12" t="b">
        <v>1</v>
      </c>
      <c r="K463" s="12" t="b">
        <v>0</v>
      </c>
      <c r="L463" s="12" t="b">
        <v>0</v>
      </c>
      <c r="M463" s="12" t="b">
        <v>0</v>
      </c>
      <c r="N463" s="12">
        <v>0</v>
      </c>
      <c r="O463" s="12" t="b">
        <v>0</v>
      </c>
      <c r="P463" s="12" t="b">
        <v>0</v>
      </c>
      <c r="Q463" s="12" t="b">
        <v>0</v>
      </c>
      <c r="R463" s="12" t="b">
        <v>0</v>
      </c>
      <c r="S463" s="12" t="b">
        <v>0</v>
      </c>
      <c r="T463" s="12" t="b">
        <v>1</v>
      </c>
      <c r="U463" s="12" t="b">
        <v>0</v>
      </c>
      <c r="V463" s="12" t="b">
        <v>1</v>
      </c>
      <c r="W463" s="12" t="b">
        <v>0</v>
      </c>
      <c r="X463" s="12">
        <v>1</v>
      </c>
      <c r="Y463" s="12" t="b">
        <v>0</v>
      </c>
      <c r="Z463" s="12" t="b">
        <v>0</v>
      </c>
      <c r="AA463" s="12" t="b">
        <v>1</v>
      </c>
      <c r="AB463" s="12" t="b">
        <v>1</v>
      </c>
      <c r="AC463" s="12" t="b">
        <v>1</v>
      </c>
      <c r="AD463" s="12" t="b">
        <v>1</v>
      </c>
      <c r="AE463" s="12" t="b">
        <v>0</v>
      </c>
      <c r="AF463" s="12" t="b">
        <v>0</v>
      </c>
      <c r="AG463" s="12" t="b">
        <v>0</v>
      </c>
      <c r="AH463" s="12">
        <v>0</v>
      </c>
      <c r="AI463" s="12" t="b">
        <v>0</v>
      </c>
      <c r="AJ463" s="12" t="b">
        <v>0</v>
      </c>
      <c r="AK463" s="12" t="b">
        <v>1</v>
      </c>
      <c r="AL463" s="12">
        <v>0</v>
      </c>
      <c r="AM463" s="12" t="s">
        <v>900</v>
      </c>
      <c r="AN463" s="12">
        <v>0</v>
      </c>
    </row>
    <row r="464" spans="1:40" x14ac:dyDescent="0.3">
      <c r="A464" s="62" t="s">
        <v>858</v>
      </c>
      <c r="B464" s="62"/>
      <c r="C464" s="63"/>
      <c r="D464" s="63"/>
      <c r="E464" s="12" t="s">
        <v>2083</v>
      </c>
      <c r="F464" s="12" t="s">
        <v>2087</v>
      </c>
      <c r="G464" s="12" t="b">
        <v>0</v>
      </c>
      <c r="H464" s="12" t="b">
        <v>1</v>
      </c>
      <c r="I464" s="12" t="b">
        <v>1</v>
      </c>
      <c r="J464" s="12" t="b">
        <v>1</v>
      </c>
      <c r="K464" s="12" t="b">
        <v>0</v>
      </c>
      <c r="L464" s="12" t="b">
        <v>0</v>
      </c>
      <c r="M464" s="12" t="b">
        <v>0</v>
      </c>
      <c r="N464" s="12">
        <v>0</v>
      </c>
      <c r="O464" s="12" t="b">
        <v>0</v>
      </c>
      <c r="P464" s="12" t="b">
        <v>0</v>
      </c>
      <c r="Q464" s="12" t="b">
        <v>0</v>
      </c>
      <c r="R464" s="12" t="b">
        <v>0</v>
      </c>
      <c r="S464" s="12" t="b">
        <v>0</v>
      </c>
      <c r="T464" s="12" t="b">
        <v>1</v>
      </c>
      <c r="U464" s="12" t="b">
        <v>0</v>
      </c>
      <c r="V464" s="12" t="b">
        <v>1</v>
      </c>
      <c r="W464" s="12" t="b">
        <v>0</v>
      </c>
      <c r="X464" s="12">
        <v>1</v>
      </c>
      <c r="Y464" s="12" t="b">
        <v>0</v>
      </c>
      <c r="Z464" s="12" t="b">
        <v>0</v>
      </c>
      <c r="AA464" s="12" t="b">
        <v>1</v>
      </c>
      <c r="AB464" s="12" t="b">
        <v>1</v>
      </c>
      <c r="AC464" s="12" t="b">
        <v>1</v>
      </c>
      <c r="AD464" s="12" t="b">
        <v>1</v>
      </c>
      <c r="AE464" s="12" t="b">
        <v>0</v>
      </c>
      <c r="AF464" s="12" t="b">
        <v>0</v>
      </c>
      <c r="AG464" s="12" t="b">
        <v>0</v>
      </c>
      <c r="AH464" s="12">
        <v>0</v>
      </c>
      <c r="AI464" s="12" t="b">
        <v>0</v>
      </c>
      <c r="AJ464" s="12" t="b">
        <v>0</v>
      </c>
      <c r="AK464" s="12" t="b">
        <v>1</v>
      </c>
      <c r="AL464" s="12">
        <v>0</v>
      </c>
      <c r="AM464" s="12" t="s">
        <v>1476</v>
      </c>
      <c r="AN464" s="12">
        <v>0</v>
      </c>
    </row>
    <row r="465" spans="1:40" x14ac:dyDescent="0.3">
      <c r="A465" s="62" t="s">
        <v>858</v>
      </c>
      <c r="B465" s="62"/>
      <c r="C465" s="63"/>
      <c r="D465" s="63"/>
      <c r="E465" s="12" t="s">
        <v>1294</v>
      </c>
      <c r="F465" s="12" t="s">
        <v>1295</v>
      </c>
      <c r="G465" s="12" t="b">
        <v>0</v>
      </c>
      <c r="H465" s="12" t="b">
        <v>1</v>
      </c>
      <c r="I465" s="12" t="b">
        <v>1</v>
      </c>
      <c r="J465" s="12" t="b">
        <v>1</v>
      </c>
      <c r="K465" s="12" t="b">
        <v>0</v>
      </c>
      <c r="L465" s="12" t="b">
        <v>0</v>
      </c>
      <c r="M465" s="12" t="b">
        <v>0</v>
      </c>
      <c r="N465" s="12">
        <v>0</v>
      </c>
      <c r="O465" s="12" t="b">
        <v>0</v>
      </c>
      <c r="P465" s="12" t="b">
        <v>0</v>
      </c>
      <c r="Q465" s="12" t="b">
        <v>0</v>
      </c>
      <c r="R465" s="12" t="b">
        <v>0</v>
      </c>
      <c r="S465" s="12" t="b">
        <v>0</v>
      </c>
      <c r="T465" s="12" t="b">
        <v>1</v>
      </c>
      <c r="U465" s="12" t="b">
        <v>0</v>
      </c>
      <c r="V465" s="12" t="b">
        <v>1</v>
      </c>
      <c r="W465" s="12" t="b">
        <v>0</v>
      </c>
      <c r="X465" s="12">
        <v>1</v>
      </c>
      <c r="Y465" s="12" t="b">
        <v>0</v>
      </c>
      <c r="Z465" s="12" t="b">
        <v>0</v>
      </c>
      <c r="AA465" s="12" t="b">
        <v>0</v>
      </c>
      <c r="AB465" s="12" t="b">
        <v>0</v>
      </c>
      <c r="AC465" s="12" t="b">
        <v>0</v>
      </c>
      <c r="AD465" s="12" t="b">
        <v>1</v>
      </c>
      <c r="AE465" s="12" t="b">
        <v>0</v>
      </c>
      <c r="AF465" s="12" t="b">
        <v>1</v>
      </c>
      <c r="AG465" s="12" t="b">
        <v>0</v>
      </c>
      <c r="AH465" s="12">
        <v>1</v>
      </c>
      <c r="AI465" s="12" t="b">
        <v>0</v>
      </c>
      <c r="AJ465" s="12" t="b">
        <v>0</v>
      </c>
      <c r="AK465" s="12" t="b">
        <v>1</v>
      </c>
      <c r="AL465" s="12">
        <v>1</v>
      </c>
      <c r="AM465" s="12" t="s">
        <v>1476</v>
      </c>
      <c r="AN465" s="12">
        <v>1</v>
      </c>
    </row>
    <row r="466" spans="1:40" x14ac:dyDescent="0.3">
      <c r="A466" s="62" t="s">
        <v>858</v>
      </c>
      <c r="B466" s="62"/>
      <c r="C466" s="63"/>
      <c r="D466" s="63"/>
      <c r="E466" s="12" t="s">
        <v>1833</v>
      </c>
      <c r="F466" s="12" t="s">
        <v>1834</v>
      </c>
      <c r="G466" s="12" t="b">
        <v>0</v>
      </c>
      <c r="H466" s="12" t="b">
        <v>1</v>
      </c>
      <c r="I466" s="12" t="b">
        <v>1</v>
      </c>
      <c r="J466" s="12" t="b">
        <v>1</v>
      </c>
      <c r="K466" s="12" t="b">
        <v>0</v>
      </c>
      <c r="L466" s="12" t="b">
        <v>0</v>
      </c>
      <c r="M466" s="12" t="b">
        <v>0</v>
      </c>
      <c r="N466" s="12">
        <v>0</v>
      </c>
      <c r="O466" s="12" t="b">
        <v>0</v>
      </c>
      <c r="P466" s="12" t="b">
        <v>0</v>
      </c>
      <c r="Q466" s="12" t="b">
        <v>0</v>
      </c>
      <c r="R466" s="12" t="b">
        <v>0</v>
      </c>
      <c r="S466" s="12" t="b">
        <v>0</v>
      </c>
      <c r="T466" s="12" t="b">
        <v>0</v>
      </c>
      <c r="U466" s="12" t="b">
        <v>0</v>
      </c>
      <c r="V466" s="12" t="b">
        <v>1</v>
      </c>
      <c r="W466" s="12" t="b">
        <v>0</v>
      </c>
      <c r="X466" s="12">
        <v>1</v>
      </c>
      <c r="Y466" s="12" t="b">
        <v>0</v>
      </c>
      <c r="Z466" s="12" t="b">
        <v>0</v>
      </c>
      <c r="AA466" s="12" t="b">
        <v>0</v>
      </c>
      <c r="AB466" s="12" t="b">
        <v>0</v>
      </c>
      <c r="AC466" s="12" t="b">
        <v>0</v>
      </c>
      <c r="AD466" s="12" t="b">
        <v>0</v>
      </c>
      <c r="AE466" s="12" t="b">
        <v>0</v>
      </c>
      <c r="AF466" s="12" t="b">
        <v>1</v>
      </c>
      <c r="AG466" s="12" t="b">
        <v>0</v>
      </c>
      <c r="AH466" s="12">
        <v>1</v>
      </c>
      <c r="AI466" s="12" t="b">
        <v>0</v>
      </c>
      <c r="AJ466" s="12" t="b">
        <v>0</v>
      </c>
      <c r="AK466" s="12" t="b">
        <v>1</v>
      </c>
      <c r="AL466" s="12">
        <v>1</v>
      </c>
      <c r="AM466" s="12" t="s">
        <v>922</v>
      </c>
      <c r="AN466" s="12">
        <v>1</v>
      </c>
    </row>
    <row r="467" spans="1:40" x14ac:dyDescent="0.3">
      <c r="A467" s="62" t="s">
        <v>858</v>
      </c>
      <c r="B467" s="62"/>
      <c r="C467" s="52"/>
      <c r="D467" s="52"/>
      <c r="E467" s="12" t="s">
        <v>1296</v>
      </c>
      <c r="F467" s="12" t="s">
        <v>1624</v>
      </c>
      <c r="G467" s="12" t="b">
        <v>0</v>
      </c>
      <c r="H467" s="12" t="b">
        <v>1</v>
      </c>
      <c r="I467" s="12" t="b">
        <v>1</v>
      </c>
      <c r="J467" s="12" t="b">
        <v>1</v>
      </c>
      <c r="K467" s="12" t="b">
        <v>0</v>
      </c>
      <c r="L467" s="12" t="b">
        <v>0</v>
      </c>
      <c r="M467" s="12" t="b">
        <v>0</v>
      </c>
      <c r="N467" s="12">
        <v>0</v>
      </c>
      <c r="O467" s="12" t="b">
        <v>0</v>
      </c>
      <c r="P467" s="12" t="b">
        <v>0</v>
      </c>
      <c r="Q467" s="12" t="b">
        <v>0</v>
      </c>
      <c r="R467" s="12" t="b">
        <v>0</v>
      </c>
      <c r="S467" s="12" t="b">
        <v>0</v>
      </c>
      <c r="T467" s="12" t="b">
        <v>1</v>
      </c>
      <c r="U467" s="12" t="b">
        <v>0</v>
      </c>
      <c r="V467" s="12" t="b">
        <v>1</v>
      </c>
      <c r="W467" s="12" t="b">
        <v>0</v>
      </c>
      <c r="X467" s="12">
        <v>2</v>
      </c>
      <c r="Y467" s="12" t="b">
        <v>0</v>
      </c>
      <c r="Z467" s="12" t="b">
        <v>0</v>
      </c>
      <c r="AA467" s="12" t="b">
        <v>1</v>
      </c>
      <c r="AB467" s="12" t="b">
        <v>1</v>
      </c>
      <c r="AC467" s="12" t="b">
        <v>1</v>
      </c>
      <c r="AD467" s="12" t="b">
        <v>1</v>
      </c>
      <c r="AE467" s="12" t="b">
        <v>0</v>
      </c>
      <c r="AF467" s="12" t="b">
        <v>0</v>
      </c>
      <c r="AG467" s="12" t="b">
        <v>0</v>
      </c>
      <c r="AH467" s="12">
        <v>0</v>
      </c>
      <c r="AI467" s="12" t="b">
        <v>0</v>
      </c>
      <c r="AJ467" s="12" t="b">
        <v>0</v>
      </c>
      <c r="AK467" s="12" t="b">
        <v>1</v>
      </c>
      <c r="AL467" s="12">
        <v>1</v>
      </c>
      <c r="AM467" s="12" t="s">
        <v>900</v>
      </c>
      <c r="AN467" s="12">
        <v>1</v>
      </c>
    </row>
    <row r="468" spans="1:40" x14ac:dyDescent="0.3">
      <c r="A468" s="62" t="s">
        <v>858</v>
      </c>
      <c r="B468" s="62"/>
      <c r="C468" s="52"/>
      <c r="D468" s="52"/>
      <c r="E468" s="12" t="s">
        <v>1558</v>
      </c>
      <c r="F468" s="12" t="s">
        <v>1562</v>
      </c>
      <c r="G468" s="12" t="b">
        <v>0</v>
      </c>
      <c r="H468" s="12" t="b">
        <v>1</v>
      </c>
      <c r="I468" s="12" t="b">
        <v>1</v>
      </c>
      <c r="J468" s="12" t="b">
        <v>1</v>
      </c>
      <c r="K468" s="12" t="b">
        <v>0</v>
      </c>
      <c r="L468" s="12" t="b">
        <v>0</v>
      </c>
      <c r="M468" s="12" t="b">
        <v>0</v>
      </c>
      <c r="N468" s="12">
        <v>0</v>
      </c>
      <c r="O468" s="12" t="b">
        <v>0</v>
      </c>
      <c r="P468" s="12" t="b">
        <v>0</v>
      </c>
      <c r="Q468" s="12" t="b">
        <v>0</v>
      </c>
      <c r="R468" s="12" t="b">
        <v>0</v>
      </c>
      <c r="S468" s="12" t="b">
        <v>0</v>
      </c>
      <c r="T468" s="12" t="b">
        <v>1</v>
      </c>
      <c r="U468" s="12" t="b">
        <v>0</v>
      </c>
      <c r="V468" s="12" t="b">
        <v>1</v>
      </c>
      <c r="W468" s="12" t="b">
        <v>0</v>
      </c>
      <c r="X468" s="12">
        <v>1</v>
      </c>
      <c r="Y468" s="12" t="b">
        <v>0</v>
      </c>
      <c r="Z468" s="12" t="b">
        <v>0</v>
      </c>
      <c r="AA468" s="12" t="b">
        <v>1</v>
      </c>
      <c r="AB468" s="12" t="b">
        <v>1</v>
      </c>
      <c r="AC468" s="12" t="b">
        <v>1</v>
      </c>
      <c r="AD468" s="12" t="b">
        <v>1</v>
      </c>
      <c r="AE468" s="12" t="b">
        <v>0</v>
      </c>
      <c r="AF468" s="12" t="b">
        <v>0</v>
      </c>
      <c r="AG468" s="12" t="b">
        <v>0</v>
      </c>
      <c r="AH468" s="12">
        <v>1</v>
      </c>
      <c r="AI468" s="12" t="b">
        <v>0</v>
      </c>
      <c r="AJ468" s="12" t="b">
        <v>0</v>
      </c>
      <c r="AK468" s="12" t="b">
        <v>1</v>
      </c>
      <c r="AL468" s="12">
        <v>1</v>
      </c>
      <c r="AM468" s="12" t="s">
        <v>900</v>
      </c>
      <c r="AN468" s="12">
        <v>1</v>
      </c>
    </row>
    <row r="469" spans="1:40" x14ac:dyDescent="0.3">
      <c r="A469" s="62" t="s">
        <v>858</v>
      </c>
      <c r="B469" s="62"/>
      <c r="C469" s="52"/>
      <c r="D469" s="52"/>
      <c r="E469" s="12" t="s">
        <v>2050</v>
      </c>
      <c r="F469" s="12" t="s">
        <v>2051</v>
      </c>
      <c r="G469" s="12" t="b">
        <v>0</v>
      </c>
      <c r="H469" s="12" t="b">
        <v>1</v>
      </c>
      <c r="I469" s="12" t="b">
        <v>1</v>
      </c>
      <c r="J469" s="12" t="b">
        <v>1</v>
      </c>
      <c r="K469" s="12" t="b">
        <v>0</v>
      </c>
      <c r="L469" s="12" t="b">
        <v>0</v>
      </c>
      <c r="M469" s="12" t="b">
        <v>0</v>
      </c>
      <c r="N469" s="12">
        <v>0</v>
      </c>
      <c r="O469" s="12" t="b">
        <v>0</v>
      </c>
      <c r="P469" s="12" t="b">
        <v>0</v>
      </c>
      <c r="Q469" s="12" t="b">
        <v>0</v>
      </c>
      <c r="R469" s="12" t="b">
        <v>0</v>
      </c>
      <c r="S469" s="12" t="b">
        <v>0</v>
      </c>
      <c r="T469" s="12" t="b">
        <v>0</v>
      </c>
      <c r="U469" s="12" t="b">
        <v>0</v>
      </c>
      <c r="V469" s="12" t="b">
        <v>1</v>
      </c>
      <c r="W469" s="12" t="b">
        <v>0</v>
      </c>
      <c r="X469" s="12">
        <v>1</v>
      </c>
      <c r="Y469" s="12" t="b">
        <v>0</v>
      </c>
      <c r="Z469" s="12" t="b">
        <v>0</v>
      </c>
      <c r="AA469" s="12" t="b">
        <v>0</v>
      </c>
      <c r="AB469" s="12" t="b">
        <v>0</v>
      </c>
      <c r="AC469" s="12" t="b">
        <v>0</v>
      </c>
      <c r="AD469" s="12" t="b">
        <v>0</v>
      </c>
      <c r="AE469" s="12" t="b">
        <v>0</v>
      </c>
      <c r="AF469" s="12" t="b">
        <v>1</v>
      </c>
      <c r="AG469" s="12" t="b">
        <v>0</v>
      </c>
      <c r="AH469" s="12">
        <v>1</v>
      </c>
      <c r="AI469" s="12" t="b">
        <v>0</v>
      </c>
      <c r="AJ469" s="12" t="b">
        <v>0</v>
      </c>
      <c r="AK469" s="12" t="b">
        <v>1</v>
      </c>
      <c r="AL469" s="12">
        <v>1</v>
      </c>
      <c r="AM469" s="12" t="s">
        <v>1476</v>
      </c>
      <c r="AN469" s="12">
        <v>1</v>
      </c>
    </row>
    <row r="470" spans="1:40" x14ac:dyDescent="0.3">
      <c r="A470" s="62" t="s">
        <v>858</v>
      </c>
      <c r="B470" s="62"/>
      <c r="C470" s="52"/>
      <c r="D470" s="52"/>
      <c r="E470" s="12" t="s">
        <v>1560</v>
      </c>
      <c r="F470" s="12" t="s">
        <v>1561</v>
      </c>
      <c r="G470" s="12" t="b">
        <v>0</v>
      </c>
      <c r="H470" s="12" t="b">
        <v>1</v>
      </c>
      <c r="I470" s="12" t="b">
        <v>1</v>
      </c>
      <c r="J470" s="12" t="b">
        <v>1</v>
      </c>
      <c r="K470" s="12" t="b">
        <v>0</v>
      </c>
      <c r="L470" s="12" t="b">
        <v>1</v>
      </c>
      <c r="M470" s="12" t="b">
        <v>0</v>
      </c>
      <c r="N470" s="12">
        <v>0</v>
      </c>
      <c r="O470" s="12" t="b">
        <v>0</v>
      </c>
      <c r="P470" s="12" t="b">
        <v>0</v>
      </c>
      <c r="Q470" s="12" t="b">
        <v>0</v>
      </c>
      <c r="R470" s="12" t="b">
        <v>0</v>
      </c>
      <c r="S470" s="12" t="b">
        <v>0</v>
      </c>
      <c r="T470" s="12" t="b">
        <v>1</v>
      </c>
      <c r="U470" s="12" t="b">
        <v>0</v>
      </c>
      <c r="V470" s="12" t="b">
        <v>1</v>
      </c>
      <c r="W470" s="12" t="b">
        <v>0</v>
      </c>
      <c r="X470" s="12">
        <v>-2</v>
      </c>
      <c r="Y470" s="12" t="b">
        <v>0</v>
      </c>
      <c r="Z470" s="12" t="b">
        <v>0</v>
      </c>
      <c r="AA470" s="12" t="b">
        <v>1</v>
      </c>
      <c r="AB470" s="12" t="b">
        <v>1</v>
      </c>
      <c r="AC470" s="12" t="b">
        <v>1</v>
      </c>
      <c r="AD470" s="12" t="b">
        <v>1</v>
      </c>
      <c r="AE470" s="12" t="b">
        <v>0</v>
      </c>
      <c r="AF470" s="12" t="b">
        <v>0</v>
      </c>
      <c r="AG470" s="12" t="b">
        <v>0</v>
      </c>
      <c r="AH470" s="12">
        <v>0</v>
      </c>
      <c r="AI470" s="12" t="b">
        <v>0</v>
      </c>
      <c r="AJ470" s="12" t="b">
        <v>0</v>
      </c>
      <c r="AK470" s="12" t="b">
        <v>1</v>
      </c>
      <c r="AL470" s="12">
        <v>1</v>
      </c>
      <c r="AM470" s="12" t="s">
        <v>900</v>
      </c>
      <c r="AN470" s="12">
        <v>1</v>
      </c>
    </row>
    <row r="471" spans="1:40" x14ac:dyDescent="0.3">
      <c r="A471" s="62" t="s">
        <v>858</v>
      </c>
      <c r="B471" s="62"/>
      <c r="C471" s="63"/>
      <c r="D471" s="63"/>
      <c r="E471" s="12" t="s">
        <v>2052</v>
      </c>
      <c r="F471" s="12" t="s">
        <v>2053</v>
      </c>
      <c r="G471" s="12" t="b">
        <v>0</v>
      </c>
      <c r="H471" s="12" t="b">
        <v>1</v>
      </c>
      <c r="I471" s="12" t="b">
        <v>1</v>
      </c>
      <c r="J471" s="12" t="b">
        <v>1</v>
      </c>
      <c r="K471" s="12" t="b">
        <v>0</v>
      </c>
      <c r="L471" s="12" t="b">
        <v>0</v>
      </c>
      <c r="M471" s="12" t="b">
        <v>0</v>
      </c>
      <c r="N471" s="12">
        <v>0</v>
      </c>
      <c r="O471" s="12" t="b">
        <v>0</v>
      </c>
      <c r="P471" s="12" t="b">
        <v>0</v>
      </c>
      <c r="Q471" s="12" t="b">
        <v>0</v>
      </c>
      <c r="R471" s="12" t="b">
        <v>0</v>
      </c>
      <c r="S471" s="12" t="b">
        <v>0</v>
      </c>
      <c r="T471" s="12" t="b">
        <v>1</v>
      </c>
      <c r="U471" s="12" t="b">
        <v>0</v>
      </c>
      <c r="V471" s="12" t="b">
        <v>1</v>
      </c>
      <c r="W471" s="12" t="b">
        <v>0</v>
      </c>
      <c r="X471" s="12">
        <v>1</v>
      </c>
      <c r="Y471" s="12" t="b">
        <v>0</v>
      </c>
      <c r="Z471" s="12" t="b">
        <v>0</v>
      </c>
      <c r="AA471" s="12" t="b">
        <v>1</v>
      </c>
      <c r="AB471" s="12" t="b">
        <v>1</v>
      </c>
      <c r="AC471" s="12" t="b">
        <v>1</v>
      </c>
      <c r="AD471" s="12" t="b">
        <v>1</v>
      </c>
      <c r="AE471" s="12" t="b">
        <v>0</v>
      </c>
      <c r="AF471" s="12" t="b">
        <v>0</v>
      </c>
      <c r="AG471" s="12" t="b">
        <v>0</v>
      </c>
      <c r="AH471" s="12">
        <v>-1</v>
      </c>
      <c r="AI471" s="12" t="b">
        <v>0</v>
      </c>
      <c r="AJ471" s="12" t="b">
        <v>0</v>
      </c>
      <c r="AK471" s="12" t="b">
        <v>1</v>
      </c>
      <c r="AL471" s="12">
        <v>1</v>
      </c>
      <c r="AM471" s="12" t="s">
        <v>1476</v>
      </c>
      <c r="AN471" s="12">
        <v>1</v>
      </c>
    </row>
    <row r="472" spans="1:40" x14ac:dyDescent="0.3">
      <c r="A472" s="62" t="s">
        <v>858</v>
      </c>
      <c r="B472" s="62"/>
      <c r="C472" s="52"/>
      <c r="D472" s="52"/>
      <c r="E472" s="12" t="s">
        <v>2036</v>
      </c>
      <c r="F472" s="12" t="s">
        <v>2037</v>
      </c>
      <c r="G472" s="12" t="b">
        <v>1</v>
      </c>
      <c r="H472" s="12" t="b">
        <v>1</v>
      </c>
      <c r="I472" s="12" t="b">
        <v>1</v>
      </c>
      <c r="J472" s="12" t="b">
        <v>1</v>
      </c>
      <c r="K472" s="12" t="b">
        <v>0</v>
      </c>
      <c r="L472" s="12" t="b">
        <v>0</v>
      </c>
      <c r="M472" s="12" t="b">
        <v>0</v>
      </c>
      <c r="N472" s="12">
        <v>0</v>
      </c>
      <c r="O472" s="12" t="b">
        <v>0</v>
      </c>
      <c r="P472" s="12" t="b">
        <v>0</v>
      </c>
      <c r="Q472" s="12" t="b">
        <v>0</v>
      </c>
      <c r="R472" s="12" t="b">
        <v>0</v>
      </c>
      <c r="S472" s="12" t="b">
        <v>0</v>
      </c>
      <c r="T472" s="12" t="b">
        <v>1</v>
      </c>
      <c r="U472" s="12" t="b">
        <v>0</v>
      </c>
      <c r="V472" s="12" t="b">
        <v>1</v>
      </c>
      <c r="W472" s="12" t="b">
        <v>0</v>
      </c>
      <c r="X472" s="12">
        <v>12</v>
      </c>
      <c r="Y472" s="12" t="b">
        <v>0</v>
      </c>
      <c r="Z472" s="12" t="b">
        <v>0</v>
      </c>
      <c r="AA472" s="12" t="b">
        <v>1</v>
      </c>
      <c r="AB472" s="12" t="b">
        <v>1</v>
      </c>
      <c r="AC472" s="12" t="b">
        <v>1</v>
      </c>
      <c r="AD472" s="12" t="b">
        <v>1</v>
      </c>
      <c r="AE472" s="12" t="b">
        <v>0</v>
      </c>
      <c r="AF472" s="12" t="b">
        <v>0</v>
      </c>
      <c r="AG472" s="12" t="b">
        <v>0</v>
      </c>
      <c r="AH472" s="12">
        <v>7</v>
      </c>
      <c r="AI472" s="12" t="b">
        <v>0</v>
      </c>
      <c r="AJ472" s="12" t="b">
        <v>0</v>
      </c>
      <c r="AK472" s="12" t="b">
        <v>1</v>
      </c>
      <c r="AL472" s="12">
        <v>1</v>
      </c>
      <c r="AM472" s="12" t="s">
        <v>978</v>
      </c>
      <c r="AN472" s="12">
        <v>1</v>
      </c>
    </row>
    <row r="473" spans="1:40" x14ac:dyDescent="0.3">
      <c r="A473" s="62" t="s">
        <v>858</v>
      </c>
      <c r="B473" s="62"/>
      <c r="C473" s="63"/>
      <c r="D473" s="63"/>
      <c r="E473" s="12" t="s">
        <v>1580</v>
      </c>
      <c r="F473" s="12" t="s">
        <v>1581</v>
      </c>
      <c r="G473" s="12" t="b">
        <v>0</v>
      </c>
      <c r="H473" s="12" t="b">
        <v>1</v>
      </c>
      <c r="I473" s="12" t="b">
        <v>1</v>
      </c>
      <c r="J473" s="12" t="b">
        <v>1</v>
      </c>
      <c r="K473" s="12" t="b">
        <v>0</v>
      </c>
      <c r="L473" s="12" t="b">
        <v>1</v>
      </c>
      <c r="M473" s="12" t="b">
        <v>0</v>
      </c>
      <c r="N473" s="12">
        <v>0</v>
      </c>
      <c r="O473" s="12" t="b">
        <v>0</v>
      </c>
      <c r="P473" s="12" t="b">
        <v>0</v>
      </c>
      <c r="Q473" s="12" t="b">
        <v>0</v>
      </c>
      <c r="R473" s="12" t="b">
        <v>0</v>
      </c>
      <c r="S473" s="12" t="b">
        <v>0</v>
      </c>
      <c r="T473" s="12" t="b">
        <v>1</v>
      </c>
      <c r="U473" s="12" t="b">
        <v>0</v>
      </c>
      <c r="V473" s="12" t="b">
        <v>1</v>
      </c>
      <c r="W473" s="12" t="b">
        <v>0</v>
      </c>
      <c r="X473" s="12">
        <v>1</v>
      </c>
      <c r="Y473" s="12" t="b">
        <v>0</v>
      </c>
      <c r="Z473" s="12" t="b">
        <v>0</v>
      </c>
      <c r="AA473" s="12" t="b">
        <v>1</v>
      </c>
      <c r="AB473" s="12" t="b">
        <v>1</v>
      </c>
      <c r="AC473" s="12" t="b">
        <v>1</v>
      </c>
      <c r="AD473" s="12" t="b">
        <v>1</v>
      </c>
      <c r="AE473" s="12" t="b">
        <v>0</v>
      </c>
      <c r="AF473" s="12" t="b">
        <v>0</v>
      </c>
      <c r="AG473" s="12" t="b">
        <v>0</v>
      </c>
      <c r="AH473" s="12">
        <v>0</v>
      </c>
      <c r="AI473" s="12" t="b">
        <v>0</v>
      </c>
      <c r="AJ473" s="12" t="b">
        <v>0</v>
      </c>
      <c r="AK473" s="12" t="b">
        <v>1</v>
      </c>
      <c r="AL473" s="12">
        <v>1</v>
      </c>
      <c r="AM473" s="12" t="s">
        <v>1476</v>
      </c>
      <c r="AN473" s="12">
        <v>1</v>
      </c>
    </row>
    <row r="474" spans="1:40" x14ac:dyDescent="0.3">
      <c r="A474" s="62" t="s">
        <v>858</v>
      </c>
      <c r="B474" s="62"/>
      <c r="C474" s="63"/>
      <c r="D474" s="63"/>
      <c r="E474" s="12" t="s">
        <v>1513</v>
      </c>
      <c r="F474" s="12" t="s">
        <v>1514</v>
      </c>
      <c r="G474" s="12" t="b">
        <v>0</v>
      </c>
      <c r="H474" s="12" t="b">
        <v>1</v>
      </c>
      <c r="I474" s="12" t="b">
        <v>1</v>
      </c>
      <c r="J474" s="12" t="b">
        <v>1</v>
      </c>
      <c r="K474" s="12" t="b">
        <v>1</v>
      </c>
      <c r="L474" s="12" t="b">
        <v>1</v>
      </c>
      <c r="M474" s="12" t="b">
        <v>0</v>
      </c>
      <c r="N474" s="12">
        <v>0</v>
      </c>
      <c r="O474" s="12" t="b">
        <v>0</v>
      </c>
      <c r="P474" s="12" t="b">
        <v>0</v>
      </c>
      <c r="Q474" s="12" t="b">
        <v>0</v>
      </c>
      <c r="R474" s="12" t="b">
        <v>1</v>
      </c>
      <c r="S474" s="12" t="b">
        <v>1</v>
      </c>
      <c r="T474" s="12" t="b">
        <v>1</v>
      </c>
      <c r="U474" s="12" t="b">
        <v>0</v>
      </c>
      <c r="V474" s="12" t="b">
        <v>1</v>
      </c>
      <c r="W474" s="12" t="b">
        <v>0</v>
      </c>
      <c r="X474" s="12">
        <v>0</v>
      </c>
      <c r="Y474" s="12" t="b">
        <v>0</v>
      </c>
      <c r="Z474" s="12" t="b">
        <v>0</v>
      </c>
      <c r="AA474" s="12" t="b">
        <v>0</v>
      </c>
      <c r="AB474" s="12" t="b">
        <v>1</v>
      </c>
      <c r="AC474" s="12" t="b">
        <v>1</v>
      </c>
      <c r="AD474" s="12" t="b">
        <v>1</v>
      </c>
      <c r="AE474" s="12" t="b">
        <v>0</v>
      </c>
      <c r="AF474" s="12" t="b">
        <v>0</v>
      </c>
      <c r="AG474" s="12" t="b">
        <v>0</v>
      </c>
      <c r="AH474" s="12">
        <v>0</v>
      </c>
      <c r="AI474" s="12" t="b">
        <v>0</v>
      </c>
      <c r="AJ474" s="12" t="b">
        <v>0</v>
      </c>
      <c r="AK474" s="12" t="b">
        <v>1</v>
      </c>
      <c r="AL474" s="12">
        <v>0</v>
      </c>
      <c r="AM474" s="12" t="s">
        <v>51</v>
      </c>
      <c r="AN474" s="12">
        <v>0</v>
      </c>
    </row>
    <row r="475" spans="1:40" x14ac:dyDescent="0.3">
      <c r="A475" s="62" t="s">
        <v>858</v>
      </c>
      <c r="B475" s="62"/>
      <c r="C475" s="63"/>
      <c r="D475" s="63"/>
      <c r="E475" s="12" t="s">
        <v>1511</v>
      </c>
      <c r="F475" s="12" t="s">
        <v>1512</v>
      </c>
      <c r="G475" s="12" t="b">
        <v>0</v>
      </c>
      <c r="H475" s="12" t="b">
        <v>1</v>
      </c>
      <c r="I475" s="12" t="b">
        <v>1</v>
      </c>
      <c r="J475" s="12" t="b">
        <v>1</v>
      </c>
      <c r="K475" s="12" t="b">
        <v>1</v>
      </c>
      <c r="L475" s="12" t="b">
        <v>1</v>
      </c>
      <c r="M475" s="12" t="b">
        <v>0</v>
      </c>
      <c r="N475" s="12">
        <v>0</v>
      </c>
      <c r="O475" s="12" t="b">
        <v>0</v>
      </c>
      <c r="P475" s="12" t="b">
        <v>0</v>
      </c>
      <c r="Q475" s="12" t="b">
        <v>0</v>
      </c>
      <c r="R475" s="12" t="b">
        <v>1</v>
      </c>
      <c r="S475" s="12" t="b">
        <v>1</v>
      </c>
      <c r="T475" s="12" t="b">
        <v>1</v>
      </c>
      <c r="U475" s="12" t="b">
        <v>0</v>
      </c>
      <c r="V475" s="12" t="b">
        <v>1</v>
      </c>
      <c r="W475" s="12" t="b">
        <v>0</v>
      </c>
      <c r="X475" s="12">
        <v>0</v>
      </c>
      <c r="Y475" s="12" t="b">
        <v>0</v>
      </c>
      <c r="Z475" s="12" t="b">
        <v>0</v>
      </c>
      <c r="AA475" s="12" t="b">
        <v>0</v>
      </c>
      <c r="AB475" s="12" t="b">
        <v>1</v>
      </c>
      <c r="AC475" s="12" t="b">
        <v>1</v>
      </c>
      <c r="AD475" s="12" t="b">
        <v>1</v>
      </c>
      <c r="AE475" s="12" t="b">
        <v>0</v>
      </c>
      <c r="AF475" s="12" t="b">
        <v>0</v>
      </c>
      <c r="AG475" s="12" t="b">
        <v>0</v>
      </c>
      <c r="AH475" s="12">
        <v>0</v>
      </c>
      <c r="AI475" s="12" t="b">
        <v>0</v>
      </c>
      <c r="AJ475" s="12" t="b">
        <v>0</v>
      </c>
      <c r="AK475" s="12" t="b">
        <v>1</v>
      </c>
      <c r="AL475" s="12">
        <v>0</v>
      </c>
      <c r="AM475" s="12" t="s">
        <v>51</v>
      </c>
      <c r="AN475" s="12">
        <v>0</v>
      </c>
    </row>
    <row r="476" spans="1:40" x14ac:dyDescent="0.3">
      <c r="A476" s="62" t="s">
        <v>858</v>
      </c>
      <c r="B476" s="62"/>
      <c r="C476" s="63"/>
      <c r="D476" s="63"/>
      <c r="E476" s="12" t="s">
        <v>1221</v>
      </c>
      <c r="F476" s="12" t="s">
        <v>1222</v>
      </c>
      <c r="G476" s="12" t="b">
        <v>0</v>
      </c>
      <c r="H476" s="12" t="b">
        <v>1</v>
      </c>
      <c r="I476" s="12" t="b">
        <v>1</v>
      </c>
      <c r="J476" s="12" t="b">
        <v>1</v>
      </c>
      <c r="K476" s="12" t="b">
        <v>1</v>
      </c>
      <c r="L476" s="12" t="b">
        <v>1</v>
      </c>
      <c r="M476" s="12" t="b">
        <v>0</v>
      </c>
      <c r="N476" s="12">
        <v>0</v>
      </c>
      <c r="O476" s="12" t="b">
        <v>0</v>
      </c>
      <c r="P476" s="12" t="b">
        <v>0</v>
      </c>
      <c r="Q476" s="12" t="b">
        <v>0</v>
      </c>
      <c r="R476" s="12" t="b">
        <v>1</v>
      </c>
      <c r="S476" s="12" t="b">
        <v>1</v>
      </c>
      <c r="T476" s="12" t="b">
        <v>1</v>
      </c>
      <c r="U476" s="12" t="b">
        <v>0</v>
      </c>
      <c r="V476" s="12" t="b">
        <v>1</v>
      </c>
      <c r="W476" s="12" t="b">
        <v>0</v>
      </c>
      <c r="X476" s="12">
        <v>0</v>
      </c>
      <c r="Y476" s="12" t="b">
        <v>0</v>
      </c>
      <c r="Z476" s="12" t="b">
        <v>0</v>
      </c>
      <c r="AA476" s="12" t="b">
        <v>0</v>
      </c>
      <c r="AB476" s="12" t="b">
        <v>1</v>
      </c>
      <c r="AC476" s="12" t="b">
        <v>1</v>
      </c>
      <c r="AD476" s="12" t="b">
        <v>1</v>
      </c>
      <c r="AE476" s="12" t="b">
        <v>0</v>
      </c>
      <c r="AF476" s="12" t="b">
        <v>0</v>
      </c>
      <c r="AG476" s="12" t="b">
        <v>0</v>
      </c>
      <c r="AH476" s="12">
        <v>0</v>
      </c>
      <c r="AI476" s="12" t="b">
        <v>0</v>
      </c>
      <c r="AJ476" s="12" t="b">
        <v>0</v>
      </c>
      <c r="AK476" s="12" t="b">
        <v>1</v>
      </c>
      <c r="AL476" s="12">
        <v>0</v>
      </c>
      <c r="AM476" s="12" t="s">
        <v>51</v>
      </c>
      <c r="AN476" s="12">
        <v>0</v>
      </c>
    </row>
    <row r="477" spans="1:40" x14ac:dyDescent="0.3">
      <c r="A477" s="62" t="s">
        <v>858</v>
      </c>
      <c r="B477" s="62"/>
      <c r="C477" s="63"/>
      <c r="D477" s="63"/>
      <c r="E477" s="12" t="s">
        <v>1211</v>
      </c>
      <c r="F477" s="12" t="s">
        <v>1212</v>
      </c>
      <c r="G477" s="12" t="b">
        <v>0</v>
      </c>
      <c r="H477" s="12" t="b">
        <v>1</v>
      </c>
      <c r="I477" s="12" t="b">
        <v>1</v>
      </c>
      <c r="J477" s="12" t="b">
        <v>1</v>
      </c>
      <c r="K477" s="12" t="b">
        <v>1</v>
      </c>
      <c r="L477" s="12" t="b">
        <v>1</v>
      </c>
      <c r="M477" s="12" t="b">
        <v>0</v>
      </c>
      <c r="N477" s="12">
        <v>0</v>
      </c>
      <c r="O477" s="12" t="b">
        <v>0</v>
      </c>
      <c r="P477" s="12" t="b">
        <v>0</v>
      </c>
      <c r="Q477" s="12" t="b">
        <v>0</v>
      </c>
      <c r="R477" s="12" t="b">
        <v>1</v>
      </c>
      <c r="S477" s="12" t="b">
        <v>1</v>
      </c>
      <c r="T477" s="12" t="b">
        <v>1</v>
      </c>
      <c r="U477" s="12" t="b">
        <v>0</v>
      </c>
      <c r="V477" s="12" t="b">
        <v>1</v>
      </c>
      <c r="W477" s="12" t="b">
        <v>0</v>
      </c>
      <c r="X477" s="12">
        <v>0</v>
      </c>
      <c r="Y477" s="12" t="b">
        <v>0</v>
      </c>
      <c r="Z477" s="12" t="b">
        <v>0</v>
      </c>
      <c r="AA477" s="12" t="b">
        <v>0</v>
      </c>
      <c r="AB477" s="12" t="b">
        <v>1</v>
      </c>
      <c r="AC477" s="12" t="b">
        <v>1</v>
      </c>
      <c r="AD477" s="12" t="b">
        <v>1</v>
      </c>
      <c r="AE477" s="12" t="b">
        <v>0</v>
      </c>
      <c r="AF477" s="12" t="b">
        <v>0</v>
      </c>
      <c r="AG477" s="12" t="b">
        <v>0</v>
      </c>
      <c r="AH477" s="12">
        <v>0</v>
      </c>
      <c r="AI477" s="12" t="b">
        <v>0</v>
      </c>
      <c r="AJ477" s="12" t="b">
        <v>0</v>
      </c>
      <c r="AK477" s="12" t="b">
        <v>1</v>
      </c>
      <c r="AL477" s="12">
        <v>0</v>
      </c>
      <c r="AM477" s="12" t="s">
        <v>51</v>
      </c>
      <c r="AN477" s="12">
        <v>0</v>
      </c>
    </row>
    <row r="478" spans="1:40" x14ac:dyDescent="0.3">
      <c r="A478" s="62" t="s">
        <v>858</v>
      </c>
      <c r="B478" s="62"/>
      <c r="C478" s="63"/>
      <c r="D478" s="63"/>
      <c r="E478" s="12" t="s">
        <v>1223</v>
      </c>
      <c r="F478" s="12" t="s">
        <v>1224</v>
      </c>
      <c r="G478" s="12" t="b">
        <v>0</v>
      </c>
      <c r="H478" s="12" t="b">
        <v>1</v>
      </c>
      <c r="I478" s="12" t="b">
        <v>1</v>
      </c>
      <c r="J478" s="12" t="b">
        <v>1</v>
      </c>
      <c r="K478" s="12" t="b">
        <v>1</v>
      </c>
      <c r="L478" s="12" t="b">
        <v>1</v>
      </c>
      <c r="M478" s="12" t="b">
        <v>0</v>
      </c>
      <c r="N478" s="12">
        <v>0</v>
      </c>
      <c r="O478" s="12" t="b">
        <v>0</v>
      </c>
      <c r="P478" s="12" t="b">
        <v>0</v>
      </c>
      <c r="Q478" s="12" t="b">
        <v>0</v>
      </c>
      <c r="R478" s="12" t="b">
        <v>1</v>
      </c>
      <c r="S478" s="12" t="b">
        <v>1</v>
      </c>
      <c r="T478" s="12" t="b">
        <v>1</v>
      </c>
      <c r="U478" s="12" t="b">
        <v>0</v>
      </c>
      <c r="V478" s="12" t="b">
        <v>1</v>
      </c>
      <c r="W478" s="12" t="b">
        <v>0</v>
      </c>
      <c r="X478" s="12">
        <v>0</v>
      </c>
      <c r="Y478" s="12" t="b">
        <v>0</v>
      </c>
      <c r="Z478" s="12" t="b">
        <v>0</v>
      </c>
      <c r="AA478" s="12" t="b">
        <v>0</v>
      </c>
      <c r="AB478" s="12" t="b">
        <v>1</v>
      </c>
      <c r="AC478" s="12" t="b">
        <v>1</v>
      </c>
      <c r="AD478" s="12" t="b">
        <v>1</v>
      </c>
      <c r="AE478" s="12" t="b">
        <v>0</v>
      </c>
      <c r="AF478" s="12" t="b">
        <v>0</v>
      </c>
      <c r="AG478" s="12" t="b">
        <v>0</v>
      </c>
      <c r="AH478" s="12">
        <v>0</v>
      </c>
      <c r="AI478" s="12" t="b">
        <v>0</v>
      </c>
      <c r="AJ478" s="12" t="b">
        <v>0</v>
      </c>
      <c r="AK478" s="12" t="b">
        <v>1</v>
      </c>
      <c r="AL478" s="12">
        <v>0</v>
      </c>
      <c r="AM478" s="12" t="s">
        <v>51</v>
      </c>
      <c r="AN478" s="12">
        <v>0</v>
      </c>
    </row>
    <row r="479" spans="1:40" x14ac:dyDescent="0.3">
      <c r="A479" s="62" t="s">
        <v>858</v>
      </c>
      <c r="B479" s="62"/>
      <c r="C479" s="63"/>
      <c r="D479" s="63"/>
      <c r="E479" s="12" t="s">
        <v>1213</v>
      </c>
      <c r="F479" s="12" t="s">
        <v>1214</v>
      </c>
      <c r="G479" s="12" t="b">
        <v>0</v>
      </c>
      <c r="H479" s="12" t="b">
        <v>1</v>
      </c>
      <c r="I479" s="12" t="b">
        <v>1</v>
      </c>
      <c r="J479" s="12" t="b">
        <v>1</v>
      </c>
      <c r="K479" s="12" t="b">
        <v>1</v>
      </c>
      <c r="L479" s="12" t="b">
        <v>1</v>
      </c>
      <c r="M479" s="12" t="b">
        <v>0</v>
      </c>
      <c r="N479" s="12">
        <v>0</v>
      </c>
      <c r="O479" s="12" t="b">
        <v>0</v>
      </c>
      <c r="P479" s="12" t="b">
        <v>0</v>
      </c>
      <c r="Q479" s="12" t="b">
        <v>0</v>
      </c>
      <c r="R479" s="12" t="b">
        <v>1</v>
      </c>
      <c r="S479" s="12" t="b">
        <v>1</v>
      </c>
      <c r="T479" s="12" t="b">
        <v>1</v>
      </c>
      <c r="U479" s="12" t="b">
        <v>0</v>
      </c>
      <c r="V479" s="12" t="b">
        <v>1</v>
      </c>
      <c r="W479" s="12" t="b">
        <v>0</v>
      </c>
      <c r="X479" s="12">
        <v>0</v>
      </c>
      <c r="Y479" s="12" t="b">
        <v>0</v>
      </c>
      <c r="Z479" s="12" t="b">
        <v>0</v>
      </c>
      <c r="AA479" s="12" t="b">
        <v>0</v>
      </c>
      <c r="AB479" s="12" t="b">
        <v>1</v>
      </c>
      <c r="AC479" s="12" t="b">
        <v>1</v>
      </c>
      <c r="AD479" s="12" t="b">
        <v>1</v>
      </c>
      <c r="AE479" s="12" t="b">
        <v>0</v>
      </c>
      <c r="AF479" s="12" t="b">
        <v>0</v>
      </c>
      <c r="AG479" s="12" t="b">
        <v>0</v>
      </c>
      <c r="AH479" s="12">
        <v>0</v>
      </c>
      <c r="AI479" s="12" t="b">
        <v>0</v>
      </c>
      <c r="AJ479" s="12" t="b">
        <v>0</v>
      </c>
      <c r="AK479" s="12" t="b">
        <v>1</v>
      </c>
      <c r="AL479" s="12">
        <v>0</v>
      </c>
      <c r="AM479" s="12" t="s">
        <v>51</v>
      </c>
      <c r="AN479" s="12">
        <v>0</v>
      </c>
    </row>
    <row r="480" spans="1:40" x14ac:dyDescent="0.3">
      <c r="A480" s="62" t="s">
        <v>2422</v>
      </c>
      <c r="B480" s="62"/>
      <c r="C480" s="63" t="s">
        <v>1464</v>
      </c>
      <c r="D480" s="63" t="s">
        <v>1630</v>
      </c>
      <c r="E480" s="12" t="s">
        <v>1758</v>
      </c>
      <c r="F480" s="12" t="s">
        <v>1584</v>
      </c>
      <c r="G480" s="12" t="b">
        <v>0</v>
      </c>
      <c r="H480" s="12" t="b">
        <v>1</v>
      </c>
      <c r="I480" s="12" t="b">
        <v>1</v>
      </c>
      <c r="J480" s="12" t="b">
        <v>1</v>
      </c>
      <c r="K480" s="12" t="b">
        <v>0</v>
      </c>
      <c r="L480" s="12" t="b">
        <v>0</v>
      </c>
      <c r="M480" s="12" t="b">
        <v>0</v>
      </c>
      <c r="N480" s="12">
        <v>0</v>
      </c>
      <c r="O480" s="12" t="b">
        <v>0</v>
      </c>
      <c r="P480" s="12" t="b">
        <v>0</v>
      </c>
      <c r="Q480" s="12" t="b">
        <v>0</v>
      </c>
      <c r="R480" s="12" t="b">
        <v>0</v>
      </c>
      <c r="S480" s="12" t="b">
        <v>0</v>
      </c>
      <c r="T480" s="12" t="b">
        <v>1</v>
      </c>
      <c r="U480" s="12" t="b">
        <v>0</v>
      </c>
      <c r="V480" s="12" t="b">
        <v>1</v>
      </c>
      <c r="W480" s="12" t="b">
        <v>0</v>
      </c>
      <c r="X480" s="12">
        <v>1</v>
      </c>
      <c r="Y480" s="12" t="b">
        <v>0</v>
      </c>
      <c r="Z480" s="12" t="b">
        <v>0</v>
      </c>
      <c r="AA480" s="12" t="b">
        <v>1</v>
      </c>
      <c r="AB480" s="12" t="b">
        <v>1</v>
      </c>
      <c r="AC480" s="12" t="b">
        <v>1</v>
      </c>
      <c r="AD480" s="12" t="b">
        <v>1</v>
      </c>
      <c r="AE480" s="12" t="b">
        <v>0</v>
      </c>
      <c r="AF480" s="12" t="b">
        <v>0</v>
      </c>
      <c r="AG480" s="12" t="b">
        <v>0</v>
      </c>
      <c r="AH480" s="12">
        <v>0</v>
      </c>
      <c r="AI480" s="12" t="b">
        <v>0</v>
      </c>
      <c r="AJ480" s="12" t="b">
        <v>0</v>
      </c>
      <c r="AK480" s="12" t="b">
        <v>1</v>
      </c>
      <c r="AL480" s="12">
        <v>1</v>
      </c>
      <c r="AM480" s="12" t="s">
        <v>900</v>
      </c>
      <c r="AN480" s="12">
        <v>1</v>
      </c>
    </row>
    <row r="481" spans="1:40" x14ac:dyDescent="0.3">
      <c r="A481" s="62" t="s">
        <v>2422</v>
      </c>
      <c r="B481" s="62"/>
      <c r="C481" s="63" t="s">
        <v>1466</v>
      </c>
      <c r="D481" s="63" t="s">
        <v>1630</v>
      </c>
      <c r="E481" s="12" t="s">
        <v>1758</v>
      </c>
      <c r="F481" s="12" t="s">
        <v>1584</v>
      </c>
      <c r="G481" s="12" t="b">
        <v>0</v>
      </c>
      <c r="H481" s="12" t="b">
        <v>1</v>
      </c>
      <c r="I481" s="12" t="b">
        <v>1</v>
      </c>
      <c r="J481" s="12" t="b">
        <v>1</v>
      </c>
      <c r="K481" s="12" t="b">
        <v>0</v>
      </c>
      <c r="L481" s="12" t="b">
        <v>0</v>
      </c>
      <c r="M481" s="12" t="b">
        <v>0</v>
      </c>
      <c r="N481" s="12">
        <v>0</v>
      </c>
      <c r="O481" s="12" t="b">
        <v>0</v>
      </c>
      <c r="P481" s="12" t="b">
        <v>0</v>
      </c>
      <c r="Q481" s="12" t="b">
        <v>0</v>
      </c>
      <c r="R481" s="12" t="b">
        <v>0</v>
      </c>
      <c r="S481" s="12" t="b">
        <v>0</v>
      </c>
      <c r="T481" s="12" t="b">
        <v>1</v>
      </c>
      <c r="U481" s="12" t="b">
        <v>0</v>
      </c>
      <c r="V481" s="12" t="b">
        <v>1</v>
      </c>
      <c r="W481" s="12" t="b">
        <v>0</v>
      </c>
      <c r="X481" s="12">
        <v>1</v>
      </c>
      <c r="Y481" s="12" t="b">
        <v>0</v>
      </c>
      <c r="Z481" s="12" t="b">
        <v>0</v>
      </c>
      <c r="AA481" s="12" t="b">
        <v>1</v>
      </c>
      <c r="AB481" s="12" t="b">
        <v>1</v>
      </c>
      <c r="AC481" s="12" t="b">
        <v>1</v>
      </c>
      <c r="AD481" s="12" t="b">
        <v>1</v>
      </c>
      <c r="AE481" s="12" t="b">
        <v>0</v>
      </c>
      <c r="AF481" s="12" t="b">
        <v>0</v>
      </c>
      <c r="AG481" s="12" t="b">
        <v>0</v>
      </c>
      <c r="AH481" s="12">
        <v>0</v>
      </c>
      <c r="AI481" s="12" t="b">
        <v>0</v>
      </c>
      <c r="AJ481" s="12" t="b">
        <v>0</v>
      </c>
      <c r="AK481" s="12" t="b">
        <v>1</v>
      </c>
      <c r="AL481" s="12">
        <v>1</v>
      </c>
      <c r="AM481" s="12" t="s">
        <v>900</v>
      </c>
      <c r="AN481" s="12">
        <v>1</v>
      </c>
    </row>
    <row r="482" spans="1:40" x14ac:dyDescent="0.3">
      <c r="A482" s="62" t="s">
        <v>2422</v>
      </c>
      <c r="B482" s="62"/>
      <c r="C482" s="63" t="s">
        <v>1467</v>
      </c>
      <c r="D482" s="63" t="s">
        <v>1630</v>
      </c>
      <c r="E482" s="12" t="s">
        <v>1758</v>
      </c>
      <c r="F482" s="12" t="s">
        <v>1584</v>
      </c>
      <c r="G482" s="12" t="b">
        <v>0</v>
      </c>
      <c r="H482" s="12" t="b">
        <v>1</v>
      </c>
      <c r="I482" s="12" t="b">
        <v>1</v>
      </c>
      <c r="J482" s="12" t="b">
        <v>1</v>
      </c>
      <c r="K482" s="12" t="b">
        <v>0</v>
      </c>
      <c r="L482" s="12" t="b">
        <v>0</v>
      </c>
      <c r="M482" s="12" t="b">
        <v>0</v>
      </c>
      <c r="N482" s="12">
        <v>0</v>
      </c>
      <c r="O482" s="12" t="b">
        <v>0</v>
      </c>
      <c r="P482" s="12" t="b">
        <v>0</v>
      </c>
      <c r="Q482" s="12" t="b">
        <v>0</v>
      </c>
      <c r="R482" s="12" t="b">
        <v>0</v>
      </c>
      <c r="S482" s="12" t="b">
        <v>0</v>
      </c>
      <c r="T482" s="12" t="b">
        <v>1</v>
      </c>
      <c r="U482" s="12" t="b">
        <v>0</v>
      </c>
      <c r="V482" s="12" t="b">
        <v>1</v>
      </c>
      <c r="W482" s="12" t="b">
        <v>0</v>
      </c>
      <c r="X482" s="12">
        <v>1</v>
      </c>
      <c r="Y482" s="12" t="b">
        <v>0</v>
      </c>
      <c r="Z482" s="12" t="b">
        <v>0</v>
      </c>
      <c r="AA482" s="12" t="b">
        <v>1</v>
      </c>
      <c r="AB482" s="12" t="b">
        <v>1</v>
      </c>
      <c r="AC482" s="12" t="b">
        <v>1</v>
      </c>
      <c r="AD482" s="12" t="b">
        <v>1</v>
      </c>
      <c r="AE482" s="12" t="b">
        <v>0</v>
      </c>
      <c r="AF482" s="12" t="b">
        <v>0</v>
      </c>
      <c r="AG482" s="12" t="b">
        <v>0</v>
      </c>
      <c r="AH482" s="12">
        <v>0</v>
      </c>
      <c r="AI482" s="12" t="b">
        <v>0</v>
      </c>
      <c r="AJ482" s="12" t="b">
        <v>0</v>
      </c>
      <c r="AK482" s="12" t="b">
        <v>1</v>
      </c>
      <c r="AL482" s="12">
        <v>1</v>
      </c>
      <c r="AM482" s="12" t="s">
        <v>900</v>
      </c>
      <c r="AN482" s="12">
        <v>1</v>
      </c>
    </row>
    <row r="483" spans="1:40" x14ac:dyDescent="0.3">
      <c r="A483" s="62" t="s">
        <v>2422</v>
      </c>
      <c r="B483" s="62"/>
      <c r="C483" s="63" t="s">
        <v>1468</v>
      </c>
      <c r="D483" s="63" t="s">
        <v>1630</v>
      </c>
      <c r="E483" s="12" t="s">
        <v>1758</v>
      </c>
      <c r="F483" s="12" t="s">
        <v>1584</v>
      </c>
      <c r="G483" s="12" t="b">
        <v>0</v>
      </c>
      <c r="H483" s="12" t="b">
        <v>1</v>
      </c>
      <c r="I483" s="12" t="b">
        <v>1</v>
      </c>
      <c r="J483" s="12" t="b">
        <v>1</v>
      </c>
      <c r="K483" s="12" t="b">
        <v>0</v>
      </c>
      <c r="L483" s="12" t="b">
        <v>0</v>
      </c>
      <c r="M483" s="12" t="b">
        <v>0</v>
      </c>
      <c r="N483" s="12">
        <v>0</v>
      </c>
      <c r="O483" s="12" t="b">
        <v>0</v>
      </c>
      <c r="P483" s="12" t="b">
        <v>0</v>
      </c>
      <c r="Q483" s="12" t="b">
        <v>0</v>
      </c>
      <c r="R483" s="12" t="b">
        <v>0</v>
      </c>
      <c r="S483" s="12" t="b">
        <v>0</v>
      </c>
      <c r="T483" s="12" t="b">
        <v>1</v>
      </c>
      <c r="U483" s="12" t="b">
        <v>0</v>
      </c>
      <c r="V483" s="12" t="b">
        <v>1</v>
      </c>
      <c r="W483" s="12" t="b">
        <v>0</v>
      </c>
      <c r="X483" s="12">
        <v>1</v>
      </c>
      <c r="Y483" s="12" t="b">
        <v>0</v>
      </c>
      <c r="Z483" s="12" t="b">
        <v>0</v>
      </c>
      <c r="AA483" s="12" t="b">
        <v>1</v>
      </c>
      <c r="AB483" s="12" t="b">
        <v>1</v>
      </c>
      <c r="AC483" s="12" t="b">
        <v>1</v>
      </c>
      <c r="AD483" s="12" t="b">
        <v>1</v>
      </c>
      <c r="AE483" s="12" t="b">
        <v>0</v>
      </c>
      <c r="AF483" s="12" t="b">
        <v>0</v>
      </c>
      <c r="AG483" s="12" t="b">
        <v>0</v>
      </c>
      <c r="AH483" s="12">
        <v>0</v>
      </c>
      <c r="AI483" s="12" t="b">
        <v>0</v>
      </c>
      <c r="AJ483" s="12" t="b">
        <v>0</v>
      </c>
      <c r="AK483" s="12" t="b">
        <v>1</v>
      </c>
      <c r="AL483" s="12">
        <v>1</v>
      </c>
      <c r="AM483" s="12" t="s">
        <v>900</v>
      </c>
      <c r="AN483" s="12">
        <v>1</v>
      </c>
    </row>
    <row r="484" spans="1:40" x14ac:dyDescent="0.3">
      <c r="A484" s="62" t="s">
        <v>2422</v>
      </c>
      <c r="B484" s="62"/>
      <c r="C484" s="63" t="s">
        <v>1469</v>
      </c>
      <c r="D484" s="63" t="s">
        <v>1630</v>
      </c>
      <c r="E484" s="12" t="s">
        <v>1758</v>
      </c>
      <c r="F484" s="12" t="s">
        <v>1584</v>
      </c>
      <c r="G484" s="12" t="b">
        <v>0</v>
      </c>
      <c r="H484" s="12" t="b">
        <v>1</v>
      </c>
      <c r="I484" s="12" t="b">
        <v>1</v>
      </c>
      <c r="J484" s="12" t="b">
        <v>1</v>
      </c>
      <c r="K484" s="12" t="b">
        <v>0</v>
      </c>
      <c r="L484" s="12" t="b">
        <v>0</v>
      </c>
      <c r="M484" s="12" t="b">
        <v>0</v>
      </c>
      <c r="N484" s="12">
        <v>0</v>
      </c>
      <c r="O484" s="12" t="b">
        <v>0</v>
      </c>
      <c r="P484" s="12" t="b">
        <v>0</v>
      </c>
      <c r="Q484" s="12" t="b">
        <v>0</v>
      </c>
      <c r="R484" s="12" t="b">
        <v>0</v>
      </c>
      <c r="S484" s="12" t="b">
        <v>0</v>
      </c>
      <c r="T484" s="12" t="b">
        <v>1</v>
      </c>
      <c r="U484" s="12" t="b">
        <v>0</v>
      </c>
      <c r="V484" s="12" t="b">
        <v>1</v>
      </c>
      <c r="W484" s="12" t="b">
        <v>0</v>
      </c>
      <c r="X484" s="12">
        <v>1</v>
      </c>
      <c r="Y484" s="12" t="b">
        <v>0</v>
      </c>
      <c r="Z484" s="12" t="b">
        <v>0</v>
      </c>
      <c r="AA484" s="12" t="b">
        <v>1</v>
      </c>
      <c r="AB484" s="12" t="b">
        <v>1</v>
      </c>
      <c r="AC484" s="12" t="b">
        <v>1</v>
      </c>
      <c r="AD484" s="12" t="b">
        <v>1</v>
      </c>
      <c r="AE484" s="12" t="b">
        <v>0</v>
      </c>
      <c r="AF484" s="12" t="b">
        <v>0</v>
      </c>
      <c r="AG484" s="12" t="b">
        <v>0</v>
      </c>
      <c r="AH484" s="12">
        <v>0</v>
      </c>
      <c r="AI484" s="12" t="b">
        <v>0</v>
      </c>
      <c r="AJ484" s="12" t="b">
        <v>0</v>
      </c>
      <c r="AK484" s="12" t="b">
        <v>1</v>
      </c>
      <c r="AL484" s="12">
        <v>1</v>
      </c>
      <c r="AM484" s="12" t="s">
        <v>900</v>
      </c>
      <c r="AN484" s="12">
        <v>1</v>
      </c>
    </row>
    <row r="485" spans="1:40" x14ac:dyDescent="0.3">
      <c r="A485" s="62" t="s">
        <v>2422</v>
      </c>
      <c r="B485" s="62"/>
      <c r="C485" s="63" t="s">
        <v>1470</v>
      </c>
      <c r="D485" s="63" t="s">
        <v>1630</v>
      </c>
      <c r="E485" s="12" t="s">
        <v>1758</v>
      </c>
      <c r="F485" s="12" t="s">
        <v>1584</v>
      </c>
      <c r="G485" s="12" t="b">
        <v>0</v>
      </c>
      <c r="H485" s="12" t="b">
        <v>1</v>
      </c>
      <c r="I485" s="12" t="b">
        <v>1</v>
      </c>
      <c r="J485" s="12" t="b">
        <v>1</v>
      </c>
      <c r="K485" s="12" t="b">
        <v>0</v>
      </c>
      <c r="L485" s="12" t="b">
        <v>0</v>
      </c>
      <c r="M485" s="12" t="b">
        <v>0</v>
      </c>
      <c r="N485" s="12">
        <v>0</v>
      </c>
      <c r="O485" s="12" t="b">
        <v>0</v>
      </c>
      <c r="P485" s="12" t="b">
        <v>0</v>
      </c>
      <c r="Q485" s="12" t="b">
        <v>0</v>
      </c>
      <c r="R485" s="12" t="b">
        <v>0</v>
      </c>
      <c r="S485" s="12" t="b">
        <v>0</v>
      </c>
      <c r="T485" s="12" t="b">
        <v>1</v>
      </c>
      <c r="U485" s="12" t="b">
        <v>0</v>
      </c>
      <c r="V485" s="12" t="b">
        <v>1</v>
      </c>
      <c r="W485" s="12" t="b">
        <v>0</v>
      </c>
      <c r="X485" s="12">
        <v>1</v>
      </c>
      <c r="Y485" s="12" t="b">
        <v>0</v>
      </c>
      <c r="Z485" s="12" t="b">
        <v>0</v>
      </c>
      <c r="AA485" s="12" t="b">
        <v>1</v>
      </c>
      <c r="AB485" s="12" t="b">
        <v>1</v>
      </c>
      <c r="AC485" s="12" t="b">
        <v>1</v>
      </c>
      <c r="AD485" s="12" t="b">
        <v>1</v>
      </c>
      <c r="AE485" s="12" t="b">
        <v>0</v>
      </c>
      <c r="AF485" s="12" t="b">
        <v>0</v>
      </c>
      <c r="AG485" s="12" t="b">
        <v>0</v>
      </c>
      <c r="AH485" s="12">
        <v>0</v>
      </c>
      <c r="AI485" s="12" t="b">
        <v>0</v>
      </c>
      <c r="AJ485" s="12" t="b">
        <v>0</v>
      </c>
      <c r="AK485" s="12" t="b">
        <v>1</v>
      </c>
      <c r="AL485" s="12">
        <v>1</v>
      </c>
      <c r="AM485" s="12" t="s">
        <v>900</v>
      </c>
      <c r="AN485" s="12">
        <v>1</v>
      </c>
    </row>
    <row r="486" spans="1:40" x14ac:dyDescent="0.3">
      <c r="A486" s="62" t="s">
        <v>2422</v>
      </c>
      <c r="B486" s="62"/>
      <c r="C486" s="63" t="s">
        <v>1934</v>
      </c>
      <c r="D486" s="63" t="s">
        <v>1630</v>
      </c>
      <c r="E486" s="12" t="s">
        <v>1758</v>
      </c>
      <c r="F486" s="12" t="s">
        <v>1584</v>
      </c>
      <c r="G486" s="12" t="b">
        <v>0</v>
      </c>
      <c r="H486" s="12" t="b">
        <v>1</v>
      </c>
      <c r="I486" s="12" t="b">
        <v>1</v>
      </c>
      <c r="J486" s="12" t="b">
        <v>1</v>
      </c>
      <c r="K486" s="12" t="b">
        <v>0</v>
      </c>
      <c r="L486" s="12" t="b">
        <v>0</v>
      </c>
      <c r="M486" s="12" t="b">
        <v>0</v>
      </c>
      <c r="N486" s="12">
        <v>0</v>
      </c>
      <c r="O486" s="12" t="b">
        <v>0</v>
      </c>
      <c r="P486" s="12" t="b">
        <v>0</v>
      </c>
      <c r="Q486" s="12" t="b">
        <v>0</v>
      </c>
      <c r="R486" s="12" t="b">
        <v>0</v>
      </c>
      <c r="S486" s="12" t="b">
        <v>0</v>
      </c>
      <c r="T486" s="12" t="b">
        <v>1</v>
      </c>
      <c r="U486" s="12" t="b">
        <v>0</v>
      </c>
      <c r="V486" s="12" t="b">
        <v>1</v>
      </c>
      <c r="W486" s="12" t="b">
        <v>0</v>
      </c>
      <c r="X486" s="12">
        <v>1</v>
      </c>
      <c r="Y486" s="12" t="b">
        <v>0</v>
      </c>
      <c r="Z486" s="12" t="b">
        <v>0</v>
      </c>
      <c r="AA486" s="12" t="b">
        <v>1</v>
      </c>
      <c r="AB486" s="12" t="b">
        <v>1</v>
      </c>
      <c r="AC486" s="12" t="b">
        <v>1</v>
      </c>
      <c r="AD486" s="12" t="b">
        <v>1</v>
      </c>
      <c r="AE486" s="12" t="b">
        <v>0</v>
      </c>
      <c r="AF486" s="12" t="b">
        <v>0</v>
      </c>
      <c r="AG486" s="12" t="b">
        <v>0</v>
      </c>
      <c r="AH486" s="12">
        <v>0</v>
      </c>
      <c r="AI486" s="12" t="b">
        <v>0</v>
      </c>
      <c r="AJ486" s="12" t="b">
        <v>0</v>
      </c>
      <c r="AK486" s="12" t="b">
        <v>1</v>
      </c>
      <c r="AL486" s="12">
        <v>1</v>
      </c>
      <c r="AM486" s="12" t="s">
        <v>900</v>
      </c>
      <c r="AN486" s="12">
        <v>1</v>
      </c>
    </row>
    <row r="487" spans="1:40" x14ac:dyDescent="0.3">
      <c r="A487" s="62" t="s">
        <v>2422</v>
      </c>
      <c r="B487" s="62"/>
      <c r="C487" s="63" t="s">
        <v>1935</v>
      </c>
      <c r="D487" s="63" t="s">
        <v>1630</v>
      </c>
      <c r="E487" s="12" t="s">
        <v>1758</v>
      </c>
      <c r="F487" s="12" t="s">
        <v>1584</v>
      </c>
      <c r="G487" s="12" t="b">
        <v>0</v>
      </c>
      <c r="H487" s="12" t="b">
        <v>1</v>
      </c>
      <c r="I487" s="12" t="b">
        <v>1</v>
      </c>
      <c r="J487" s="12" t="b">
        <v>1</v>
      </c>
      <c r="K487" s="12" t="b">
        <v>0</v>
      </c>
      <c r="L487" s="12" t="b">
        <v>0</v>
      </c>
      <c r="M487" s="12" t="b">
        <v>0</v>
      </c>
      <c r="N487" s="12">
        <v>0</v>
      </c>
      <c r="O487" s="12" t="b">
        <v>0</v>
      </c>
      <c r="P487" s="12" t="b">
        <v>0</v>
      </c>
      <c r="Q487" s="12" t="b">
        <v>0</v>
      </c>
      <c r="R487" s="12" t="b">
        <v>0</v>
      </c>
      <c r="S487" s="12" t="b">
        <v>0</v>
      </c>
      <c r="T487" s="12" t="b">
        <v>1</v>
      </c>
      <c r="U487" s="12" t="b">
        <v>0</v>
      </c>
      <c r="V487" s="12" t="b">
        <v>1</v>
      </c>
      <c r="W487" s="12" t="b">
        <v>0</v>
      </c>
      <c r="X487" s="12">
        <v>1</v>
      </c>
      <c r="Y487" s="12" t="b">
        <v>0</v>
      </c>
      <c r="Z487" s="12" t="b">
        <v>0</v>
      </c>
      <c r="AA487" s="12" t="b">
        <v>1</v>
      </c>
      <c r="AB487" s="12" t="b">
        <v>1</v>
      </c>
      <c r="AC487" s="12" t="b">
        <v>1</v>
      </c>
      <c r="AD487" s="12" t="b">
        <v>1</v>
      </c>
      <c r="AE487" s="12" t="b">
        <v>0</v>
      </c>
      <c r="AF487" s="12" t="b">
        <v>0</v>
      </c>
      <c r="AG487" s="12" t="b">
        <v>0</v>
      </c>
      <c r="AH487" s="12">
        <v>0</v>
      </c>
      <c r="AI487" s="12" t="b">
        <v>0</v>
      </c>
      <c r="AJ487" s="12" t="b">
        <v>0</v>
      </c>
      <c r="AK487" s="12" t="b">
        <v>1</v>
      </c>
      <c r="AL487" s="12">
        <v>1</v>
      </c>
      <c r="AM487" s="12" t="s">
        <v>900</v>
      </c>
      <c r="AN487" s="12">
        <v>1</v>
      </c>
    </row>
    <row r="488" spans="1:40" x14ac:dyDescent="0.3">
      <c r="A488" s="62" t="s">
        <v>2422</v>
      </c>
      <c r="B488" s="62"/>
      <c r="C488" s="63" t="s">
        <v>1936</v>
      </c>
      <c r="D488" s="63" t="s">
        <v>1630</v>
      </c>
      <c r="E488" s="12" t="s">
        <v>1758</v>
      </c>
      <c r="F488" s="12" t="s">
        <v>1584</v>
      </c>
      <c r="G488" s="12" t="b">
        <v>0</v>
      </c>
      <c r="H488" s="12" t="b">
        <v>1</v>
      </c>
      <c r="I488" s="12" t="b">
        <v>1</v>
      </c>
      <c r="J488" s="12" t="b">
        <v>1</v>
      </c>
      <c r="K488" s="12" t="b">
        <v>0</v>
      </c>
      <c r="L488" s="12" t="b">
        <v>0</v>
      </c>
      <c r="M488" s="12" t="b">
        <v>0</v>
      </c>
      <c r="N488" s="12">
        <v>0</v>
      </c>
      <c r="O488" s="12" t="b">
        <v>0</v>
      </c>
      <c r="P488" s="12" t="b">
        <v>0</v>
      </c>
      <c r="Q488" s="12" t="b">
        <v>0</v>
      </c>
      <c r="R488" s="12" t="b">
        <v>0</v>
      </c>
      <c r="S488" s="12" t="b">
        <v>0</v>
      </c>
      <c r="T488" s="12" t="b">
        <v>1</v>
      </c>
      <c r="U488" s="12" t="b">
        <v>0</v>
      </c>
      <c r="V488" s="12" t="b">
        <v>1</v>
      </c>
      <c r="W488" s="12" t="b">
        <v>0</v>
      </c>
      <c r="X488" s="12">
        <v>1</v>
      </c>
      <c r="Y488" s="12" t="b">
        <v>0</v>
      </c>
      <c r="Z488" s="12" t="b">
        <v>0</v>
      </c>
      <c r="AA488" s="12" t="b">
        <v>1</v>
      </c>
      <c r="AB488" s="12" t="b">
        <v>1</v>
      </c>
      <c r="AC488" s="12" t="b">
        <v>1</v>
      </c>
      <c r="AD488" s="12" t="b">
        <v>1</v>
      </c>
      <c r="AE488" s="12" t="b">
        <v>0</v>
      </c>
      <c r="AF488" s="12" t="b">
        <v>0</v>
      </c>
      <c r="AG488" s="12" t="b">
        <v>0</v>
      </c>
      <c r="AH488" s="12">
        <v>0</v>
      </c>
      <c r="AI488" s="12" t="b">
        <v>0</v>
      </c>
      <c r="AJ488" s="12" t="b">
        <v>0</v>
      </c>
      <c r="AK488" s="12" t="b">
        <v>1</v>
      </c>
      <c r="AL488" s="12">
        <v>1</v>
      </c>
      <c r="AM488" s="12" t="s">
        <v>900</v>
      </c>
      <c r="AN488" s="12">
        <v>1</v>
      </c>
    </row>
    <row r="489" spans="1:40" x14ac:dyDescent="0.3">
      <c r="A489" s="62" t="s">
        <v>2422</v>
      </c>
      <c r="B489" s="62"/>
      <c r="C489" s="63" t="s">
        <v>1937</v>
      </c>
      <c r="D489" s="63" t="s">
        <v>1630</v>
      </c>
      <c r="E489" s="12" t="s">
        <v>1758</v>
      </c>
      <c r="F489" s="12" t="s">
        <v>1584</v>
      </c>
      <c r="G489" s="12" t="b">
        <v>0</v>
      </c>
      <c r="H489" s="12" t="b">
        <v>1</v>
      </c>
      <c r="I489" s="12" t="b">
        <v>1</v>
      </c>
      <c r="J489" s="12" t="b">
        <v>1</v>
      </c>
      <c r="K489" s="12" t="b">
        <v>0</v>
      </c>
      <c r="L489" s="12" t="b">
        <v>0</v>
      </c>
      <c r="M489" s="12" t="b">
        <v>0</v>
      </c>
      <c r="N489" s="12">
        <v>0</v>
      </c>
      <c r="O489" s="12" t="b">
        <v>0</v>
      </c>
      <c r="P489" s="12" t="b">
        <v>0</v>
      </c>
      <c r="Q489" s="12" t="b">
        <v>0</v>
      </c>
      <c r="R489" s="12" t="b">
        <v>0</v>
      </c>
      <c r="S489" s="12" t="b">
        <v>0</v>
      </c>
      <c r="T489" s="12" t="b">
        <v>1</v>
      </c>
      <c r="U489" s="12" t="b">
        <v>0</v>
      </c>
      <c r="V489" s="12" t="b">
        <v>1</v>
      </c>
      <c r="W489" s="12" t="b">
        <v>0</v>
      </c>
      <c r="X489" s="12">
        <v>1</v>
      </c>
      <c r="Y489" s="12" t="b">
        <v>0</v>
      </c>
      <c r="Z489" s="12" t="b">
        <v>0</v>
      </c>
      <c r="AA489" s="12" t="b">
        <v>1</v>
      </c>
      <c r="AB489" s="12" t="b">
        <v>1</v>
      </c>
      <c r="AC489" s="12" t="b">
        <v>1</v>
      </c>
      <c r="AD489" s="12" t="b">
        <v>1</v>
      </c>
      <c r="AE489" s="12" t="b">
        <v>0</v>
      </c>
      <c r="AF489" s="12" t="b">
        <v>0</v>
      </c>
      <c r="AG489" s="12" t="b">
        <v>0</v>
      </c>
      <c r="AH489" s="12">
        <v>0</v>
      </c>
      <c r="AI489" s="12" t="b">
        <v>0</v>
      </c>
      <c r="AJ489" s="12" t="b">
        <v>0</v>
      </c>
      <c r="AK489" s="12" t="b">
        <v>1</v>
      </c>
      <c r="AL489" s="12">
        <v>1</v>
      </c>
      <c r="AM489" s="12" t="s">
        <v>900</v>
      </c>
      <c r="AN489" s="12">
        <v>1</v>
      </c>
    </row>
    <row r="490" spans="1:40" x14ac:dyDescent="0.3">
      <c r="A490" s="62" t="s">
        <v>2422</v>
      </c>
      <c r="B490" s="62"/>
      <c r="C490" s="63" t="s">
        <v>1938</v>
      </c>
      <c r="D490" s="63" t="s">
        <v>1630</v>
      </c>
      <c r="E490" s="12" t="s">
        <v>1758</v>
      </c>
      <c r="F490" s="12" t="s">
        <v>1584</v>
      </c>
      <c r="G490" s="12" t="b">
        <v>0</v>
      </c>
      <c r="H490" s="12" t="b">
        <v>1</v>
      </c>
      <c r="I490" s="12" t="b">
        <v>1</v>
      </c>
      <c r="J490" s="12" t="b">
        <v>1</v>
      </c>
      <c r="K490" s="12" t="b">
        <v>0</v>
      </c>
      <c r="L490" s="12" t="b">
        <v>0</v>
      </c>
      <c r="M490" s="12" t="b">
        <v>0</v>
      </c>
      <c r="N490" s="12">
        <v>0</v>
      </c>
      <c r="O490" s="12" t="b">
        <v>0</v>
      </c>
      <c r="P490" s="12" t="b">
        <v>0</v>
      </c>
      <c r="Q490" s="12" t="b">
        <v>0</v>
      </c>
      <c r="R490" s="12" t="b">
        <v>0</v>
      </c>
      <c r="S490" s="12" t="b">
        <v>0</v>
      </c>
      <c r="T490" s="12" t="b">
        <v>1</v>
      </c>
      <c r="U490" s="12" t="b">
        <v>0</v>
      </c>
      <c r="V490" s="12" t="b">
        <v>1</v>
      </c>
      <c r="W490" s="12" t="b">
        <v>0</v>
      </c>
      <c r="X490" s="12">
        <v>1</v>
      </c>
      <c r="Y490" s="12" t="b">
        <v>0</v>
      </c>
      <c r="Z490" s="12" t="b">
        <v>0</v>
      </c>
      <c r="AA490" s="12" t="b">
        <v>1</v>
      </c>
      <c r="AB490" s="12" t="b">
        <v>1</v>
      </c>
      <c r="AC490" s="12" t="b">
        <v>1</v>
      </c>
      <c r="AD490" s="12" t="b">
        <v>1</v>
      </c>
      <c r="AE490" s="12" t="b">
        <v>0</v>
      </c>
      <c r="AF490" s="12" t="b">
        <v>0</v>
      </c>
      <c r="AG490" s="12" t="b">
        <v>0</v>
      </c>
      <c r="AH490" s="12">
        <v>0</v>
      </c>
      <c r="AI490" s="12" t="b">
        <v>0</v>
      </c>
      <c r="AJ490" s="12" t="b">
        <v>0</v>
      </c>
      <c r="AK490" s="12" t="b">
        <v>1</v>
      </c>
      <c r="AL490" s="12">
        <v>1</v>
      </c>
      <c r="AM490" s="12" t="s">
        <v>900</v>
      </c>
      <c r="AN490" s="12">
        <v>1</v>
      </c>
    </row>
    <row r="491" spans="1:40" x14ac:dyDescent="0.3">
      <c r="A491" s="62" t="s">
        <v>2422</v>
      </c>
      <c r="B491" s="62"/>
      <c r="C491" s="63" t="s">
        <v>1939</v>
      </c>
      <c r="D491" s="63" t="s">
        <v>1630</v>
      </c>
      <c r="E491" s="12" t="s">
        <v>1758</v>
      </c>
      <c r="F491" s="12" t="s">
        <v>1584</v>
      </c>
      <c r="G491" s="12" t="b">
        <v>0</v>
      </c>
      <c r="H491" s="12" t="b">
        <v>1</v>
      </c>
      <c r="I491" s="12" t="b">
        <v>1</v>
      </c>
      <c r="J491" s="12" t="b">
        <v>1</v>
      </c>
      <c r="K491" s="12" t="b">
        <v>0</v>
      </c>
      <c r="L491" s="12" t="b">
        <v>0</v>
      </c>
      <c r="M491" s="12" t="b">
        <v>0</v>
      </c>
      <c r="N491" s="12">
        <v>0</v>
      </c>
      <c r="O491" s="12" t="b">
        <v>0</v>
      </c>
      <c r="P491" s="12" t="b">
        <v>0</v>
      </c>
      <c r="Q491" s="12" t="b">
        <v>0</v>
      </c>
      <c r="R491" s="12" t="b">
        <v>0</v>
      </c>
      <c r="S491" s="12" t="b">
        <v>0</v>
      </c>
      <c r="T491" s="12" t="b">
        <v>1</v>
      </c>
      <c r="U491" s="12" t="b">
        <v>0</v>
      </c>
      <c r="V491" s="12" t="b">
        <v>1</v>
      </c>
      <c r="W491" s="12" t="b">
        <v>0</v>
      </c>
      <c r="X491" s="12">
        <v>1</v>
      </c>
      <c r="Y491" s="12" t="b">
        <v>0</v>
      </c>
      <c r="Z491" s="12" t="b">
        <v>0</v>
      </c>
      <c r="AA491" s="12" t="b">
        <v>1</v>
      </c>
      <c r="AB491" s="12" t="b">
        <v>1</v>
      </c>
      <c r="AC491" s="12" t="b">
        <v>1</v>
      </c>
      <c r="AD491" s="12" t="b">
        <v>1</v>
      </c>
      <c r="AE491" s="12" t="b">
        <v>0</v>
      </c>
      <c r="AF491" s="12" t="b">
        <v>0</v>
      </c>
      <c r="AG491" s="12" t="b">
        <v>0</v>
      </c>
      <c r="AH491" s="12">
        <v>0</v>
      </c>
      <c r="AI491" s="12" t="b">
        <v>0</v>
      </c>
      <c r="AJ491" s="12" t="b">
        <v>0</v>
      </c>
      <c r="AK491" s="12" t="b">
        <v>1</v>
      </c>
      <c r="AL491" s="12">
        <v>1</v>
      </c>
      <c r="AM491" s="12" t="s">
        <v>900</v>
      </c>
      <c r="AN491" s="12">
        <v>1</v>
      </c>
    </row>
    <row r="492" spans="1:40" x14ac:dyDescent="0.3">
      <c r="A492" s="62" t="s">
        <v>2422</v>
      </c>
      <c r="B492" s="62"/>
      <c r="C492" s="63"/>
      <c r="D492" s="63"/>
      <c r="E492" s="12" t="s">
        <v>1003</v>
      </c>
      <c r="F492" s="12" t="s">
        <v>1190</v>
      </c>
      <c r="G492" s="12" t="b">
        <v>0</v>
      </c>
      <c r="H492" s="12" t="b">
        <v>1</v>
      </c>
      <c r="I492" s="12" t="b">
        <v>1</v>
      </c>
      <c r="J492" s="12" t="b">
        <v>1</v>
      </c>
      <c r="K492" s="12" t="b">
        <v>0</v>
      </c>
      <c r="L492" s="12" t="b">
        <v>1</v>
      </c>
      <c r="M492" s="12" t="b">
        <v>0</v>
      </c>
      <c r="N492" s="12">
        <v>0</v>
      </c>
      <c r="O492" s="12" t="b">
        <v>0</v>
      </c>
      <c r="P492" s="12" t="b">
        <v>0</v>
      </c>
      <c r="Q492" s="12" t="b">
        <v>0</v>
      </c>
      <c r="R492" s="12" t="b">
        <v>0</v>
      </c>
      <c r="S492" s="12" t="b">
        <v>0</v>
      </c>
      <c r="T492" s="12" t="b">
        <v>1</v>
      </c>
      <c r="U492" s="12" t="b">
        <v>0</v>
      </c>
      <c r="V492" s="12" t="b">
        <v>1</v>
      </c>
      <c r="W492" s="12" t="b">
        <v>0</v>
      </c>
      <c r="X492" s="12">
        <v>1</v>
      </c>
      <c r="Y492" s="12" t="b">
        <v>0</v>
      </c>
      <c r="Z492" s="12" t="b">
        <v>0</v>
      </c>
      <c r="AA492" s="12" t="b">
        <v>1</v>
      </c>
      <c r="AB492" s="12" t="b">
        <v>1</v>
      </c>
      <c r="AC492" s="12" t="b">
        <v>1</v>
      </c>
      <c r="AD492" s="12" t="b">
        <v>1</v>
      </c>
      <c r="AE492" s="12" t="b">
        <v>0</v>
      </c>
      <c r="AF492" s="12" t="b">
        <v>0</v>
      </c>
      <c r="AG492" s="12" t="b">
        <v>0</v>
      </c>
      <c r="AH492" s="12">
        <v>0</v>
      </c>
      <c r="AI492" s="12" t="b">
        <v>0</v>
      </c>
      <c r="AJ492" s="12" t="b">
        <v>0</v>
      </c>
      <c r="AK492" s="12" t="b">
        <v>1</v>
      </c>
      <c r="AL492" s="12">
        <v>0</v>
      </c>
      <c r="AM492" s="12" t="s">
        <v>900</v>
      </c>
      <c r="AN492" s="12">
        <v>0</v>
      </c>
    </row>
    <row r="493" spans="1:40" x14ac:dyDescent="0.3">
      <c r="A493" s="62" t="s">
        <v>2422</v>
      </c>
      <c r="B493" s="62"/>
      <c r="C493" s="63"/>
      <c r="D493" s="63"/>
      <c r="E493" s="12" t="s">
        <v>920</v>
      </c>
      <c r="F493" s="12" t="s">
        <v>1193</v>
      </c>
      <c r="G493" s="12" t="b">
        <v>0</v>
      </c>
      <c r="H493" s="12" t="b">
        <v>0</v>
      </c>
      <c r="I493" s="12" t="b">
        <v>0</v>
      </c>
      <c r="J493" s="12" t="b">
        <v>1</v>
      </c>
      <c r="K493" s="12" t="b">
        <v>0</v>
      </c>
      <c r="L493" s="12" t="b">
        <v>1</v>
      </c>
      <c r="M493" s="12" t="b">
        <v>0</v>
      </c>
      <c r="N493" s="12">
        <v>0</v>
      </c>
      <c r="O493" s="12" t="b">
        <v>0</v>
      </c>
      <c r="P493" s="12" t="b">
        <v>0</v>
      </c>
      <c r="Q493" s="12" t="b">
        <v>0</v>
      </c>
      <c r="R493" s="12" t="b">
        <v>0</v>
      </c>
      <c r="S493" s="12" t="b">
        <v>0</v>
      </c>
      <c r="T493" s="12" t="b">
        <v>1</v>
      </c>
      <c r="U493" s="12" t="b">
        <v>0</v>
      </c>
      <c r="V493" s="12" t="b">
        <v>1</v>
      </c>
      <c r="W493" s="12" t="b">
        <v>0</v>
      </c>
      <c r="X493" s="12">
        <v>1</v>
      </c>
      <c r="Y493" s="12" t="b">
        <v>0</v>
      </c>
      <c r="Z493" s="12" t="b">
        <v>0</v>
      </c>
      <c r="AA493" s="12" t="b">
        <v>0</v>
      </c>
      <c r="AB493" s="12" t="b">
        <v>0</v>
      </c>
      <c r="AC493" s="12" t="b">
        <v>0</v>
      </c>
      <c r="AD493" s="12" t="b">
        <v>1</v>
      </c>
      <c r="AE493" s="12" t="b">
        <v>0</v>
      </c>
      <c r="AF493" s="12" t="b">
        <v>1</v>
      </c>
      <c r="AG493" s="12" t="b">
        <v>0</v>
      </c>
      <c r="AH493" s="12">
        <v>1</v>
      </c>
      <c r="AI493" s="12" t="b">
        <v>0</v>
      </c>
      <c r="AJ493" s="12" t="b">
        <v>0</v>
      </c>
      <c r="AK493" s="12" t="b">
        <v>1</v>
      </c>
      <c r="AL493" s="12">
        <v>1</v>
      </c>
      <c r="AM493" s="12" t="s">
        <v>922</v>
      </c>
      <c r="AN493" s="12">
        <v>1</v>
      </c>
    </row>
    <row r="494" spans="1:40" x14ac:dyDescent="0.3">
      <c r="A494" s="62" t="s">
        <v>2422</v>
      </c>
      <c r="B494" s="62"/>
      <c r="C494" s="63"/>
      <c r="D494" s="63"/>
      <c r="E494" s="12" t="s">
        <v>923</v>
      </c>
      <c r="F494" s="12" t="s">
        <v>1194</v>
      </c>
      <c r="G494" s="12" t="b">
        <v>0</v>
      </c>
      <c r="H494" s="12" t="b">
        <v>0</v>
      </c>
      <c r="I494" s="12" t="b">
        <v>0</v>
      </c>
      <c r="J494" s="12" t="b">
        <v>1</v>
      </c>
      <c r="K494" s="12" t="b">
        <v>0</v>
      </c>
      <c r="L494" s="12" t="b">
        <v>1</v>
      </c>
      <c r="M494" s="12" t="b">
        <v>0</v>
      </c>
      <c r="N494" s="12">
        <v>0</v>
      </c>
      <c r="O494" s="12" t="b">
        <v>0</v>
      </c>
      <c r="P494" s="12" t="b">
        <v>0</v>
      </c>
      <c r="Q494" s="12" t="b">
        <v>0</v>
      </c>
      <c r="R494" s="12" t="b">
        <v>0</v>
      </c>
      <c r="S494" s="12" t="b">
        <v>0</v>
      </c>
      <c r="T494" s="12" t="b">
        <v>1</v>
      </c>
      <c r="U494" s="12" t="b">
        <v>0</v>
      </c>
      <c r="V494" s="12" t="b">
        <v>1</v>
      </c>
      <c r="W494" s="12" t="b">
        <v>0</v>
      </c>
      <c r="X494" s="12">
        <v>1</v>
      </c>
      <c r="Y494" s="12" t="b">
        <v>0</v>
      </c>
      <c r="Z494" s="12" t="b">
        <v>0</v>
      </c>
      <c r="AA494" s="12" t="b">
        <v>0</v>
      </c>
      <c r="AB494" s="12" t="b">
        <v>0</v>
      </c>
      <c r="AC494" s="12" t="b">
        <v>0</v>
      </c>
      <c r="AD494" s="12" t="b">
        <v>1</v>
      </c>
      <c r="AE494" s="12" t="b">
        <v>0</v>
      </c>
      <c r="AF494" s="12" t="b">
        <v>1</v>
      </c>
      <c r="AG494" s="12" t="b">
        <v>0</v>
      </c>
      <c r="AH494" s="12">
        <v>1</v>
      </c>
      <c r="AI494" s="12" t="b">
        <v>0</v>
      </c>
      <c r="AJ494" s="12" t="b">
        <v>0</v>
      </c>
      <c r="AK494" s="12" t="b">
        <v>1</v>
      </c>
      <c r="AL494" s="12">
        <v>1</v>
      </c>
      <c r="AM494" s="12" t="s">
        <v>922</v>
      </c>
      <c r="AN494" s="12">
        <v>1</v>
      </c>
    </row>
    <row r="495" spans="1:40" x14ac:dyDescent="0.3">
      <c r="A495" s="62" t="s">
        <v>2422</v>
      </c>
      <c r="B495" s="62"/>
      <c r="C495" s="63"/>
      <c r="D495" s="63"/>
      <c r="E495" s="12" t="s">
        <v>925</v>
      </c>
      <c r="F495" s="12" t="s">
        <v>1195</v>
      </c>
      <c r="G495" s="12" t="b">
        <v>0</v>
      </c>
      <c r="H495" s="12" t="b">
        <v>0</v>
      </c>
      <c r="I495" s="12" t="b">
        <v>0</v>
      </c>
      <c r="J495" s="12" t="b">
        <v>1</v>
      </c>
      <c r="K495" s="12" t="b">
        <v>0</v>
      </c>
      <c r="L495" s="12" t="b">
        <v>1</v>
      </c>
      <c r="M495" s="12" t="b">
        <v>0</v>
      </c>
      <c r="N495" s="12">
        <v>0</v>
      </c>
      <c r="O495" s="12" t="b">
        <v>0</v>
      </c>
      <c r="P495" s="12" t="b">
        <v>0</v>
      </c>
      <c r="Q495" s="12" t="b">
        <v>0</v>
      </c>
      <c r="R495" s="12" t="b">
        <v>0</v>
      </c>
      <c r="S495" s="12" t="b">
        <v>0</v>
      </c>
      <c r="T495" s="12" t="b">
        <v>1</v>
      </c>
      <c r="U495" s="12" t="b">
        <v>0</v>
      </c>
      <c r="V495" s="12" t="b">
        <v>1</v>
      </c>
      <c r="W495" s="12" t="b">
        <v>0</v>
      </c>
      <c r="X495" s="12">
        <v>1</v>
      </c>
      <c r="Y495" s="12" t="b">
        <v>0</v>
      </c>
      <c r="Z495" s="12" t="b">
        <v>0</v>
      </c>
      <c r="AA495" s="12" t="b">
        <v>0</v>
      </c>
      <c r="AB495" s="12" t="b">
        <v>0</v>
      </c>
      <c r="AC495" s="12" t="b">
        <v>0</v>
      </c>
      <c r="AD495" s="12" t="b">
        <v>1</v>
      </c>
      <c r="AE495" s="12" t="b">
        <v>0</v>
      </c>
      <c r="AF495" s="12" t="b">
        <v>1</v>
      </c>
      <c r="AG495" s="12" t="b">
        <v>0</v>
      </c>
      <c r="AH495" s="12">
        <v>1</v>
      </c>
      <c r="AI495" s="12" t="b">
        <v>0</v>
      </c>
      <c r="AJ495" s="12" t="b">
        <v>0</v>
      </c>
      <c r="AK495" s="12" t="b">
        <v>1</v>
      </c>
      <c r="AL495" s="12">
        <v>1</v>
      </c>
      <c r="AM495" s="12" t="s">
        <v>922</v>
      </c>
      <c r="AN495" s="12">
        <v>1</v>
      </c>
    </row>
    <row r="496" spans="1:40" x14ac:dyDescent="0.3">
      <c r="A496" s="62" t="s">
        <v>2422</v>
      </c>
      <c r="B496" s="62"/>
      <c r="C496" s="63"/>
      <c r="D496" s="63"/>
      <c r="E496" s="12" t="s">
        <v>1563</v>
      </c>
      <c r="F496" s="12" t="s">
        <v>1565</v>
      </c>
      <c r="G496" s="12" t="b">
        <v>0</v>
      </c>
      <c r="H496" s="12" t="b">
        <v>0</v>
      </c>
      <c r="I496" s="12" t="b">
        <v>0</v>
      </c>
      <c r="J496" s="12" t="b">
        <v>1</v>
      </c>
      <c r="K496" s="12" t="b">
        <v>0</v>
      </c>
      <c r="L496" s="12" t="b">
        <v>1</v>
      </c>
      <c r="M496" s="12" t="b">
        <v>0</v>
      </c>
      <c r="N496" s="12">
        <v>0</v>
      </c>
      <c r="O496" s="12" t="b">
        <v>0</v>
      </c>
      <c r="P496" s="12" t="b">
        <v>0</v>
      </c>
      <c r="Q496" s="12" t="b">
        <v>0</v>
      </c>
      <c r="R496" s="12" t="b">
        <v>0</v>
      </c>
      <c r="S496" s="12" t="b">
        <v>0</v>
      </c>
      <c r="T496" s="12" t="b">
        <v>1</v>
      </c>
      <c r="U496" s="12" t="b">
        <v>0</v>
      </c>
      <c r="V496" s="12" t="b">
        <v>1</v>
      </c>
      <c r="W496" s="12" t="b">
        <v>0</v>
      </c>
      <c r="X496" s="12">
        <v>1</v>
      </c>
      <c r="Y496" s="12" t="b">
        <v>0</v>
      </c>
      <c r="Z496" s="12" t="b">
        <v>0</v>
      </c>
      <c r="AA496" s="12" t="b">
        <v>0</v>
      </c>
      <c r="AB496" s="12" t="b">
        <v>0</v>
      </c>
      <c r="AC496" s="12" t="b">
        <v>0</v>
      </c>
      <c r="AD496" s="12" t="b">
        <v>1</v>
      </c>
      <c r="AE496" s="12" t="b">
        <v>0</v>
      </c>
      <c r="AF496" s="12" t="b">
        <v>1</v>
      </c>
      <c r="AG496" s="12" t="b">
        <v>0</v>
      </c>
      <c r="AH496" s="12">
        <v>1</v>
      </c>
      <c r="AI496" s="12" t="b">
        <v>0</v>
      </c>
      <c r="AJ496" s="12" t="b">
        <v>0</v>
      </c>
      <c r="AK496" s="12" t="b">
        <v>1</v>
      </c>
      <c r="AL496" s="12">
        <v>1</v>
      </c>
      <c r="AM496" s="12" t="s">
        <v>922</v>
      </c>
      <c r="AN496" s="12">
        <v>1</v>
      </c>
    </row>
    <row r="497" spans="1:40" x14ac:dyDescent="0.3">
      <c r="A497" s="62" t="s">
        <v>2422</v>
      </c>
      <c r="B497" s="62"/>
      <c r="C497" s="63"/>
      <c r="D497" s="63"/>
      <c r="E497" s="12" t="s">
        <v>906</v>
      </c>
      <c r="F497" s="12" t="s">
        <v>1202</v>
      </c>
      <c r="G497" s="12" t="b">
        <v>0</v>
      </c>
      <c r="H497" s="12" t="b">
        <v>1</v>
      </c>
      <c r="I497" s="12" t="b">
        <v>1</v>
      </c>
      <c r="J497" s="12" t="b">
        <v>1</v>
      </c>
      <c r="K497" s="12" t="b">
        <v>0</v>
      </c>
      <c r="L497" s="12" t="b">
        <v>0</v>
      </c>
      <c r="M497" s="12" t="b">
        <v>0</v>
      </c>
      <c r="N497" s="12">
        <v>0</v>
      </c>
      <c r="O497" s="12" t="b">
        <v>0</v>
      </c>
      <c r="P497" s="12" t="b">
        <v>0</v>
      </c>
      <c r="Q497" s="12" t="b">
        <v>0</v>
      </c>
      <c r="R497" s="12" t="b">
        <v>1</v>
      </c>
      <c r="S497" s="12" t="b">
        <v>1</v>
      </c>
      <c r="T497" s="12" t="b">
        <v>1</v>
      </c>
      <c r="U497" s="12" t="b">
        <v>0</v>
      </c>
      <c r="V497" s="12" t="b">
        <v>0</v>
      </c>
      <c r="W497" s="12" t="b">
        <v>0</v>
      </c>
      <c r="X497" s="12">
        <v>1</v>
      </c>
      <c r="Y497" s="12" t="b">
        <v>0</v>
      </c>
      <c r="Z497" s="12" t="b">
        <v>0</v>
      </c>
      <c r="AA497" s="12" t="b">
        <v>0</v>
      </c>
      <c r="AB497" s="12" t="b">
        <v>0</v>
      </c>
      <c r="AC497" s="12" t="b">
        <v>0</v>
      </c>
      <c r="AD497" s="12" t="b">
        <v>1</v>
      </c>
      <c r="AE497" s="12" t="b">
        <v>0</v>
      </c>
      <c r="AF497" s="12" t="b">
        <v>1</v>
      </c>
      <c r="AG497" s="12" t="b">
        <v>0</v>
      </c>
      <c r="AH497" s="12">
        <v>1</v>
      </c>
      <c r="AI497" s="12" t="b">
        <v>0</v>
      </c>
      <c r="AJ497" s="12" t="b">
        <v>0</v>
      </c>
      <c r="AK497" s="12" t="b">
        <v>1</v>
      </c>
      <c r="AL497" s="12">
        <v>1</v>
      </c>
      <c r="AM497" s="12" t="s">
        <v>1476</v>
      </c>
      <c r="AN497" s="12">
        <v>1</v>
      </c>
    </row>
    <row r="498" spans="1:40" x14ac:dyDescent="0.3">
      <c r="A498" s="62" t="s">
        <v>2422</v>
      </c>
      <c r="B498" s="62"/>
      <c r="C498" s="63"/>
      <c r="D498" s="63"/>
      <c r="E498" s="12" t="s">
        <v>910</v>
      </c>
      <c r="F498" s="12" t="s">
        <v>1200</v>
      </c>
      <c r="G498" s="12" t="b">
        <v>0</v>
      </c>
      <c r="H498" s="12" t="b">
        <v>1</v>
      </c>
      <c r="I498" s="12" t="b">
        <v>1</v>
      </c>
      <c r="J498" s="12" t="b">
        <v>1</v>
      </c>
      <c r="K498" s="12" t="b">
        <v>0</v>
      </c>
      <c r="L498" s="12" t="b">
        <v>0</v>
      </c>
      <c r="M498" s="12" t="b">
        <v>0</v>
      </c>
      <c r="N498" s="12">
        <v>0</v>
      </c>
      <c r="O498" s="12" t="b">
        <v>0</v>
      </c>
      <c r="P498" s="12" t="b">
        <v>0</v>
      </c>
      <c r="Q498" s="12" t="b">
        <v>0</v>
      </c>
      <c r="R498" s="12" t="b">
        <v>1</v>
      </c>
      <c r="S498" s="12" t="b">
        <v>1</v>
      </c>
      <c r="T498" s="12" t="b">
        <v>1</v>
      </c>
      <c r="U498" s="12" t="b">
        <v>0</v>
      </c>
      <c r="V498" s="12" t="b">
        <v>0</v>
      </c>
      <c r="W498" s="12" t="b">
        <v>0</v>
      </c>
      <c r="X498" s="12">
        <v>1</v>
      </c>
      <c r="Y498" s="12" t="b">
        <v>0</v>
      </c>
      <c r="Z498" s="12" t="b">
        <v>0</v>
      </c>
      <c r="AA498" s="12" t="b">
        <v>0</v>
      </c>
      <c r="AB498" s="12" t="b">
        <v>0</v>
      </c>
      <c r="AC498" s="12" t="b">
        <v>0</v>
      </c>
      <c r="AD498" s="12" t="b">
        <v>1</v>
      </c>
      <c r="AE498" s="12" t="b">
        <v>0</v>
      </c>
      <c r="AF498" s="12" t="b">
        <v>1</v>
      </c>
      <c r="AG498" s="12" t="b">
        <v>0</v>
      </c>
      <c r="AH498" s="12">
        <v>1</v>
      </c>
      <c r="AI498" s="12" t="b">
        <v>0</v>
      </c>
      <c r="AJ498" s="12" t="b">
        <v>0</v>
      </c>
      <c r="AK498" s="12" t="b">
        <v>1</v>
      </c>
      <c r="AL498" s="12">
        <v>1</v>
      </c>
      <c r="AM498" s="12" t="s">
        <v>1476</v>
      </c>
      <c r="AN498" s="12">
        <v>1</v>
      </c>
    </row>
    <row r="499" spans="1:40" x14ac:dyDescent="0.3">
      <c r="A499" s="62" t="s">
        <v>2422</v>
      </c>
      <c r="B499" s="62"/>
      <c r="C499" s="63"/>
      <c r="D499" s="63"/>
      <c r="E499" s="12" t="s">
        <v>1209</v>
      </c>
      <c r="F499" s="12" t="s">
        <v>1210</v>
      </c>
      <c r="G499" s="12" t="b">
        <v>0</v>
      </c>
      <c r="H499" s="12" t="b">
        <v>1</v>
      </c>
      <c r="I499" s="12" t="b">
        <v>1</v>
      </c>
      <c r="J499" s="12" t="b">
        <v>1</v>
      </c>
      <c r="K499" s="12" t="b">
        <v>0</v>
      </c>
      <c r="L499" s="12" t="b">
        <v>0</v>
      </c>
      <c r="M499" s="12" t="b">
        <v>0</v>
      </c>
      <c r="N499" s="12">
        <v>0</v>
      </c>
      <c r="O499" s="12" t="b">
        <v>0</v>
      </c>
      <c r="P499" s="12" t="b">
        <v>0</v>
      </c>
      <c r="Q499" s="12" t="b">
        <v>0</v>
      </c>
      <c r="R499" s="12" t="b">
        <v>0</v>
      </c>
      <c r="S499" s="12" t="b">
        <v>0</v>
      </c>
      <c r="T499" s="12" t="b">
        <v>1</v>
      </c>
      <c r="U499" s="12" t="b">
        <v>0</v>
      </c>
      <c r="V499" s="12" t="b">
        <v>1</v>
      </c>
      <c r="W499" s="12" t="b">
        <v>0</v>
      </c>
      <c r="X499" s="12">
        <v>1</v>
      </c>
      <c r="Y499" s="12" t="b">
        <v>0</v>
      </c>
      <c r="Z499" s="12" t="b">
        <v>0</v>
      </c>
      <c r="AA499" s="12" t="b">
        <v>1</v>
      </c>
      <c r="AB499" s="12" t="b">
        <v>1</v>
      </c>
      <c r="AC499" s="12" t="b">
        <v>1</v>
      </c>
      <c r="AD499" s="12" t="b">
        <v>1</v>
      </c>
      <c r="AE499" s="12" t="b">
        <v>0</v>
      </c>
      <c r="AF499" s="12" t="b">
        <v>0</v>
      </c>
      <c r="AG499" s="12" t="b">
        <v>0</v>
      </c>
      <c r="AH499" s="12">
        <v>0</v>
      </c>
      <c r="AI499" s="12" t="b">
        <v>0</v>
      </c>
      <c r="AJ499" s="12" t="b">
        <v>0</v>
      </c>
      <c r="AK499" s="12" t="b">
        <v>1</v>
      </c>
      <c r="AL499" s="12">
        <v>1</v>
      </c>
      <c r="AM499" s="12" t="s">
        <v>900</v>
      </c>
      <c r="AN499" s="12">
        <v>1</v>
      </c>
    </row>
    <row r="500" spans="1:40" x14ac:dyDescent="0.3">
      <c r="A500" s="62" t="s">
        <v>2422</v>
      </c>
      <c r="B500" s="62"/>
      <c r="C500" s="63"/>
      <c r="D500" s="63"/>
      <c r="E500" s="12" t="s">
        <v>1205</v>
      </c>
      <c r="F500" s="12" t="s">
        <v>1206</v>
      </c>
      <c r="G500" s="12" t="b">
        <v>0</v>
      </c>
      <c r="H500" s="12" t="b">
        <v>1</v>
      </c>
      <c r="I500" s="12" t="b">
        <v>1</v>
      </c>
      <c r="J500" s="12" t="b">
        <v>1</v>
      </c>
      <c r="K500" s="12" t="b">
        <v>0</v>
      </c>
      <c r="L500" s="12" t="b">
        <v>0</v>
      </c>
      <c r="M500" s="12" t="b">
        <v>0</v>
      </c>
      <c r="N500" s="12">
        <v>0</v>
      </c>
      <c r="O500" s="12" t="b">
        <v>0</v>
      </c>
      <c r="P500" s="12" t="b">
        <v>0</v>
      </c>
      <c r="Q500" s="12" t="b">
        <v>0</v>
      </c>
      <c r="R500" s="12" t="b">
        <v>0</v>
      </c>
      <c r="S500" s="12" t="b">
        <v>0</v>
      </c>
      <c r="T500" s="12" t="b">
        <v>1</v>
      </c>
      <c r="U500" s="12" t="b">
        <v>0</v>
      </c>
      <c r="V500" s="12" t="b">
        <v>1</v>
      </c>
      <c r="W500" s="12" t="b">
        <v>0</v>
      </c>
      <c r="X500" s="12">
        <v>1</v>
      </c>
      <c r="Y500" s="12" t="b">
        <v>0</v>
      </c>
      <c r="Z500" s="12" t="b">
        <v>0</v>
      </c>
      <c r="AA500" s="12" t="b">
        <v>1</v>
      </c>
      <c r="AB500" s="12" t="b">
        <v>1</v>
      </c>
      <c r="AC500" s="12" t="b">
        <v>1</v>
      </c>
      <c r="AD500" s="12" t="b">
        <v>1</v>
      </c>
      <c r="AE500" s="12" t="b">
        <v>0</v>
      </c>
      <c r="AF500" s="12" t="b">
        <v>0</v>
      </c>
      <c r="AG500" s="12" t="b">
        <v>0</v>
      </c>
      <c r="AH500" s="12">
        <v>0</v>
      </c>
      <c r="AI500" s="12" t="b">
        <v>0</v>
      </c>
      <c r="AJ500" s="12" t="b">
        <v>0</v>
      </c>
      <c r="AK500" s="12" t="b">
        <v>1</v>
      </c>
      <c r="AL500" s="12">
        <v>1</v>
      </c>
      <c r="AM500" s="12" t="s">
        <v>900</v>
      </c>
      <c r="AN500" s="12">
        <v>1</v>
      </c>
    </row>
    <row r="501" spans="1:40" x14ac:dyDescent="0.3">
      <c r="A501" s="62" t="s">
        <v>2422</v>
      </c>
      <c r="B501" s="62"/>
      <c r="C501" s="63" t="s">
        <v>1464</v>
      </c>
      <c r="D501" s="52" t="s">
        <v>1630</v>
      </c>
      <c r="E501" s="12" t="s">
        <v>1761</v>
      </c>
      <c r="F501" s="12" t="s">
        <v>1549</v>
      </c>
      <c r="G501" s="12" t="b">
        <v>1</v>
      </c>
      <c r="H501" s="12" t="b">
        <v>1</v>
      </c>
      <c r="I501" s="12" t="b">
        <v>1</v>
      </c>
      <c r="J501" s="12" t="b">
        <v>1</v>
      </c>
      <c r="K501" s="12" t="b">
        <v>0</v>
      </c>
      <c r="L501" s="12" t="b">
        <v>0</v>
      </c>
      <c r="M501" s="12" t="b">
        <v>0</v>
      </c>
      <c r="N501" s="12">
        <v>0</v>
      </c>
      <c r="O501" s="12" t="b">
        <v>0</v>
      </c>
      <c r="P501" s="12" t="b">
        <v>0</v>
      </c>
      <c r="Q501" s="12" t="b">
        <v>0</v>
      </c>
      <c r="R501" s="12" t="b">
        <v>0</v>
      </c>
      <c r="S501" s="12" t="b">
        <v>0</v>
      </c>
      <c r="T501" s="12" t="b">
        <v>1</v>
      </c>
      <c r="U501" s="12" t="b">
        <v>0</v>
      </c>
      <c r="V501" s="12" t="b">
        <v>1</v>
      </c>
      <c r="W501" s="12" t="b">
        <v>0</v>
      </c>
      <c r="X501" s="12">
        <v>1</v>
      </c>
      <c r="Y501" s="12" t="b">
        <v>0</v>
      </c>
      <c r="Z501" s="12" t="b">
        <v>0</v>
      </c>
      <c r="AA501" s="12" t="b">
        <v>0</v>
      </c>
      <c r="AB501" s="12" t="b">
        <v>0</v>
      </c>
      <c r="AC501" s="12" t="b">
        <v>0</v>
      </c>
      <c r="AD501" s="12" t="b">
        <v>1</v>
      </c>
      <c r="AE501" s="12" t="b">
        <v>0</v>
      </c>
      <c r="AF501" s="12" t="b">
        <v>1</v>
      </c>
      <c r="AG501" s="12" t="b">
        <v>1</v>
      </c>
      <c r="AH501" s="12">
        <v>1</v>
      </c>
      <c r="AI501" s="12" t="b">
        <v>0</v>
      </c>
      <c r="AJ501" s="12" t="b">
        <v>0</v>
      </c>
      <c r="AK501" s="12" t="b">
        <v>1</v>
      </c>
      <c r="AL501" s="12">
        <v>1</v>
      </c>
      <c r="AM501" s="12" t="s">
        <v>900</v>
      </c>
      <c r="AN501" s="12">
        <v>1</v>
      </c>
    </row>
    <row r="502" spans="1:40" x14ac:dyDescent="0.3">
      <c r="A502" s="62" t="s">
        <v>2422</v>
      </c>
      <c r="B502" s="62"/>
      <c r="C502" s="63" t="s">
        <v>1466</v>
      </c>
      <c r="D502" s="52" t="s">
        <v>1630</v>
      </c>
      <c r="E502" s="12" t="s">
        <v>1761</v>
      </c>
      <c r="F502" s="12" t="s">
        <v>1549</v>
      </c>
      <c r="G502" s="12" t="b">
        <v>1</v>
      </c>
      <c r="H502" s="12" t="b">
        <v>1</v>
      </c>
      <c r="I502" s="12" t="b">
        <v>1</v>
      </c>
      <c r="J502" s="12" t="b">
        <v>1</v>
      </c>
      <c r="K502" s="12" t="b">
        <v>0</v>
      </c>
      <c r="L502" s="12" t="b">
        <v>0</v>
      </c>
      <c r="M502" s="12" t="b">
        <v>0</v>
      </c>
      <c r="N502" s="12">
        <v>0</v>
      </c>
      <c r="O502" s="12" t="b">
        <v>0</v>
      </c>
      <c r="P502" s="12" t="b">
        <v>0</v>
      </c>
      <c r="Q502" s="12" t="b">
        <v>0</v>
      </c>
      <c r="R502" s="12" t="b">
        <v>0</v>
      </c>
      <c r="S502" s="12" t="b">
        <v>0</v>
      </c>
      <c r="T502" s="12" t="b">
        <v>1</v>
      </c>
      <c r="U502" s="12" t="b">
        <v>0</v>
      </c>
      <c r="V502" s="12" t="b">
        <v>1</v>
      </c>
      <c r="W502" s="12" t="b">
        <v>0</v>
      </c>
      <c r="X502" s="12">
        <v>1</v>
      </c>
      <c r="Y502" s="12" t="b">
        <v>0</v>
      </c>
      <c r="Z502" s="12" t="b">
        <v>0</v>
      </c>
      <c r="AA502" s="12" t="b">
        <v>0</v>
      </c>
      <c r="AB502" s="12" t="b">
        <v>0</v>
      </c>
      <c r="AC502" s="12" t="b">
        <v>0</v>
      </c>
      <c r="AD502" s="12" t="b">
        <v>1</v>
      </c>
      <c r="AE502" s="12" t="b">
        <v>0</v>
      </c>
      <c r="AF502" s="12" t="b">
        <v>1</v>
      </c>
      <c r="AG502" s="12" t="b">
        <v>1</v>
      </c>
      <c r="AH502" s="12">
        <v>1</v>
      </c>
      <c r="AI502" s="12" t="b">
        <v>0</v>
      </c>
      <c r="AJ502" s="12" t="b">
        <v>0</v>
      </c>
      <c r="AK502" s="12" t="b">
        <v>1</v>
      </c>
      <c r="AL502" s="12">
        <v>1</v>
      </c>
      <c r="AM502" s="12" t="s">
        <v>900</v>
      </c>
      <c r="AN502" s="12">
        <v>1</v>
      </c>
    </row>
    <row r="503" spans="1:40" x14ac:dyDescent="0.3">
      <c r="A503" s="62" t="s">
        <v>2422</v>
      </c>
      <c r="B503" s="62"/>
      <c r="C503" s="63" t="s">
        <v>1467</v>
      </c>
      <c r="D503" s="52" t="s">
        <v>1630</v>
      </c>
      <c r="E503" s="12" t="s">
        <v>1761</v>
      </c>
      <c r="F503" s="12" t="s">
        <v>1549</v>
      </c>
      <c r="G503" s="12" t="b">
        <v>1</v>
      </c>
      <c r="H503" s="12" t="b">
        <v>1</v>
      </c>
      <c r="I503" s="12" t="b">
        <v>1</v>
      </c>
      <c r="J503" s="12" t="b">
        <v>1</v>
      </c>
      <c r="K503" s="12" t="b">
        <v>0</v>
      </c>
      <c r="L503" s="12" t="b">
        <v>0</v>
      </c>
      <c r="M503" s="12" t="b">
        <v>0</v>
      </c>
      <c r="N503" s="12">
        <v>0</v>
      </c>
      <c r="O503" s="12" t="b">
        <v>0</v>
      </c>
      <c r="P503" s="12" t="b">
        <v>0</v>
      </c>
      <c r="Q503" s="12" t="b">
        <v>0</v>
      </c>
      <c r="R503" s="12" t="b">
        <v>0</v>
      </c>
      <c r="S503" s="12" t="b">
        <v>0</v>
      </c>
      <c r="T503" s="12" t="b">
        <v>1</v>
      </c>
      <c r="U503" s="12" t="b">
        <v>0</v>
      </c>
      <c r="V503" s="12" t="b">
        <v>1</v>
      </c>
      <c r="W503" s="12" t="b">
        <v>0</v>
      </c>
      <c r="X503" s="12">
        <v>1</v>
      </c>
      <c r="Y503" s="12" t="b">
        <v>0</v>
      </c>
      <c r="Z503" s="12" t="b">
        <v>0</v>
      </c>
      <c r="AA503" s="12" t="b">
        <v>0</v>
      </c>
      <c r="AB503" s="12" t="b">
        <v>0</v>
      </c>
      <c r="AC503" s="12" t="b">
        <v>0</v>
      </c>
      <c r="AD503" s="12" t="b">
        <v>1</v>
      </c>
      <c r="AE503" s="12" t="b">
        <v>0</v>
      </c>
      <c r="AF503" s="12" t="b">
        <v>1</v>
      </c>
      <c r="AG503" s="12" t="b">
        <v>1</v>
      </c>
      <c r="AH503" s="12">
        <v>1</v>
      </c>
      <c r="AI503" s="12" t="b">
        <v>0</v>
      </c>
      <c r="AJ503" s="12" t="b">
        <v>0</v>
      </c>
      <c r="AK503" s="12" t="b">
        <v>1</v>
      </c>
      <c r="AL503" s="12">
        <v>1</v>
      </c>
      <c r="AM503" s="12" t="s">
        <v>900</v>
      </c>
      <c r="AN503" s="12">
        <v>1</v>
      </c>
    </row>
    <row r="504" spans="1:40" x14ac:dyDescent="0.3">
      <c r="A504" s="62" t="s">
        <v>2422</v>
      </c>
      <c r="B504" s="62"/>
      <c r="C504" s="63" t="s">
        <v>1468</v>
      </c>
      <c r="D504" s="52" t="s">
        <v>1630</v>
      </c>
      <c r="E504" s="12" t="s">
        <v>1761</v>
      </c>
      <c r="F504" s="12" t="s">
        <v>1549</v>
      </c>
      <c r="G504" s="12" t="b">
        <v>1</v>
      </c>
      <c r="H504" s="12" t="b">
        <v>1</v>
      </c>
      <c r="I504" s="12" t="b">
        <v>1</v>
      </c>
      <c r="J504" s="12" t="b">
        <v>1</v>
      </c>
      <c r="K504" s="12" t="b">
        <v>0</v>
      </c>
      <c r="L504" s="12" t="b">
        <v>0</v>
      </c>
      <c r="M504" s="12" t="b">
        <v>0</v>
      </c>
      <c r="N504" s="12">
        <v>0</v>
      </c>
      <c r="O504" s="12" t="b">
        <v>0</v>
      </c>
      <c r="P504" s="12" t="b">
        <v>0</v>
      </c>
      <c r="Q504" s="12" t="b">
        <v>0</v>
      </c>
      <c r="R504" s="12" t="b">
        <v>0</v>
      </c>
      <c r="S504" s="12" t="b">
        <v>0</v>
      </c>
      <c r="T504" s="12" t="b">
        <v>1</v>
      </c>
      <c r="U504" s="12" t="b">
        <v>0</v>
      </c>
      <c r="V504" s="12" t="b">
        <v>1</v>
      </c>
      <c r="W504" s="12" t="b">
        <v>0</v>
      </c>
      <c r="X504" s="12">
        <v>1</v>
      </c>
      <c r="Y504" s="12" t="b">
        <v>0</v>
      </c>
      <c r="Z504" s="12" t="b">
        <v>0</v>
      </c>
      <c r="AA504" s="12" t="b">
        <v>0</v>
      </c>
      <c r="AB504" s="12" t="b">
        <v>0</v>
      </c>
      <c r="AC504" s="12" t="b">
        <v>0</v>
      </c>
      <c r="AD504" s="12" t="b">
        <v>1</v>
      </c>
      <c r="AE504" s="12" t="b">
        <v>0</v>
      </c>
      <c r="AF504" s="12" t="b">
        <v>1</v>
      </c>
      <c r="AG504" s="12" t="b">
        <v>1</v>
      </c>
      <c r="AH504" s="12">
        <v>1</v>
      </c>
      <c r="AI504" s="12" t="b">
        <v>0</v>
      </c>
      <c r="AJ504" s="12" t="b">
        <v>0</v>
      </c>
      <c r="AK504" s="12" t="b">
        <v>1</v>
      </c>
      <c r="AL504" s="12">
        <v>1</v>
      </c>
      <c r="AM504" s="12" t="s">
        <v>900</v>
      </c>
      <c r="AN504" s="12">
        <v>1</v>
      </c>
    </row>
    <row r="505" spans="1:40" x14ac:dyDescent="0.3">
      <c r="A505" s="62" t="s">
        <v>2422</v>
      </c>
      <c r="B505" s="62"/>
      <c r="C505" s="63" t="s">
        <v>1469</v>
      </c>
      <c r="D505" s="52" t="s">
        <v>1630</v>
      </c>
      <c r="E505" s="12" t="s">
        <v>1761</v>
      </c>
      <c r="F505" s="12" t="s">
        <v>1549</v>
      </c>
      <c r="G505" s="12" t="b">
        <v>1</v>
      </c>
      <c r="H505" s="12" t="b">
        <v>1</v>
      </c>
      <c r="I505" s="12" t="b">
        <v>1</v>
      </c>
      <c r="J505" s="12" t="b">
        <v>1</v>
      </c>
      <c r="K505" s="12" t="b">
        <v>0</v>
      </c>
      <c r="L505" s="12" t="b">
        <v>0</v>
      </c>
      <c r="M505" s="12" t="b">
        <v>0</v>
      </c>
      <c r="N505" s="12">
        <v>0</v>
      </c>
      <c r="O505" s="12" t="b">
        <v>0</v>
      </c>
      <c r="P505" s="12" t="b">
        <v>0</v>
      </c>
      <c r="Q505" s="12" t="b">
        <v>0</v>
      </c>
      <c r="R505" s="12" t="b">
        <v>0</v>
      </c>
      <c r="S505" s="12" t="b">
        <v>0</v>
      </c>
      <c r="T505" s="12" t="b">
        <v>1</v>
      </c>
      <c r="U505" s="12" t="b">
        <v>0</v>
      </c>
      <c r="V505" s="12" t="b">
        <v>1</v>
      </c>
      <c r="W505" s="12" t="b">
        <v>0</v>
      </c>
      <c r="X505" s="12">
        <v>1</v>
      </c>
      <c r="Y505" s="12" t="b">
        <v>0</v>
      </c>
      <c r="Z505" s="12" t="b">
        <v>0</v>
      </c>
      <c r="AA505" s="12" t="b">
        <v>0</v>
      </c>
      <c r="AB505" s="12" t="b">
        <v>0</v>
      </c>
      <c r="AC505" s="12" t="b">
        <v>0</v>
      </c>
      <c r="AD505" s="12" t="b">
        <v>1</v>
      </c>
      <c r="AE505" s="12" t="b">
        <v>0</v>
      </c>
      <c r="AF505" s="12" t="b">
        <v>1</v>
      </c>
      <c r="AG505" s="12" t="b">
        <v>1</v>
      </c>
      <c r="AH505" s="12">
        <v>1</v>
      </c>
      <c r="AI505" s="12" t="b">
        <v>0</v>
      </c>
      <c r="AJ505" s="12" t="b">
        <v>0</v>
      </c>
      <c r="AK505" s="12" t="b">
        <v>1</v>
      </c>
      <c r="AL505" s="12">
        <v>1</v>
      </c>
      <c r="AM505" s="12" t="s">
        <v>900</v>
      </c>
      <c r="AN505" s="12">
        <v>1</v>
      </c>
    </row>
    <row r="506" spans="1:40" x14ac:dyDescent="0.3">
      <c r="A506" s="62" t="s">
        <v>2422</v>
      </c>
      <c r="B506" s="62"/>
      <c r="C506" s="63" t="s">
        <v>1470</v>
      </c>
      <c r="D506" s="52" t="s">
        <v>1630</v>
      </c>
      <c r="E506" s="12" t="s">
        <v>1761</v>
      </c>
      <c r="F506" s="12" t="s">
        <v>1549</v>
      </c>
      <c r="G506" s="12" t="b">
        <v>1</v>
      </c>
      <c r="H506" s="12" t="b">
        <v>1</v>
      </c>
      <c r="I506" s="12" t="b">
        <v>1</v>
      </c>
      <c r="J506" s="12" t="b">
        <v>1</v>
      </c>
      <c r="K506" s="12" t="b">
        <v>0</v>
      </c>
      <c r="L506" s="12" t="b">
        <v>0</v>
      </c>
      <c r="M506" s="12" t="b">
        <v>0</v>
      </c>
      <c r="N506" s="12">
        <v>0</v>
      </c>
      <c r="O506" s="12" t="b">
        <v>0</v>
      </c>
      <c r="P506" s="12" t="b">
        <v>0</v>
      </c>
      <c r="Q506" s="12" t="b">
        <v>0</v>
      </c>
      <c r="R506" s="12" t="b">
        <v>0</v>
      </c>
      <c r="S506" s="12" t="b">
        <v>0</v>
      </c>
      <c r="T506" s="12" t="b">
        <v>1</v>
      </c>
      <c r="U506" s="12" t="b">
        <v>0</v>
      </c>
      <c r="V506" s="12" t="b">
        <v>1</v>
      </c>
      <c r="W506" s="12" t="b">
        <v>0</v>
      </c>
      <c r="X506" s="12">
        <v>1</v>
      </c>
      <c r="Y506" s="12" t="b">
        <v>0</v>
      </c>
      <c r="Z506" s="12" t="b">
        <v>0</v>
      </c>
      <c r="AA506" s="12" t="b">
        <v>0</v>
      </c>
      <c r="AB506" s="12" t="b">
        <v>0</v>
      </c>
      <c r="AC506" s="12" t="b">
        <v>0</v>
      </c>
      <c r="AD506" s="12" t="b">
        <v>1</v>
      </c>
      <c r="AE506" s="12" t="b">
        <v>0</v>
      </c>
      <c r="AF506" s="12" t="b">
        <v>1</v>
      </c>
      <c r="AG506" s="12" t="b">
        <v>1</v>
      </c>
      <c r="AH506" s="12">
        <v>1</v>
      </c>
      <c r="AI506" s="12" t="b">
        <v>0</v>
      </c>
      <c r="AJ506" s="12" t="b">
        <v>0</v>
      </c>
      <c r="AK506" s="12" t="b">
        <v>1</v>
      </c>
      <c r="AL506" s="12">
        <v>1</v>
      </c>
      <c r="AM506" s="12" t="s">
        <v>900</v>
      </c>
      <c r="AN506" s="12">
        <v>1</v>
      </c>
    </row>
    <row r="507" spans="1:40" x14ac:dyDescent="0.3">
      <c r="A507" s="62" t="s">
        <v>2422</v>
      </c>
      <c r="B507" s="62"/>
      <c r="C507" s="63" t="s">
        <v>1934</v>
      </c>
      <c r="D507" s="52" t="s">
        <v>1630</v>
      </c>
      <c r="E507" s="12" t="s">
        <v>1761</v>
      </c>
      <c r="F507" s="12" t="s">
        <v>1549</v>
      </c>
      <c r="G507" s="12" t="b">
        <v>1</v>
      </c>
      <c r="H507" s="12" t="b">
        <v>1</v>
      </c>
      <c r="I507" s="12" t="b">
        <v>1</v>
      </c>
      <c r="J507" s="12" t="b">
        <v>1</v>
      </c>
      <c r="K507" s="12" t="b">
        <v>0</v>
      </c>
      <c r="L507" s="12" t="b">
        <v>0</v>
      </c>
      <c r="M507" s="12" t="b">
        <v>0</v>
      </c>
      <c r="N507" s="12">
        <v>0</v>
      </c>
      <c r="O507" s="12" t="b">
        <v>0</v>
      </c>
      <c r="P507" s="12" t="b">
        <v>0</v>
      </c>
      <c r="Q507" s="12" t="b">
        <v>0</v>
      </c>
      <c r="R507" s="12" t="b">
        <v>0</v>
      </c>
      <c r="S507" s="12" t="b">
        <v>0</v>
      </c>
      <c r="T507" s="12" t="b">
        <v>1</v>
      </c>
      <c r="U507" s="12" t="b">
        <v>0</v>
      </c>
      <c r="V507" s="12" t="b">
        <v>1</v>
      </c>
      <c r="W507" s="12" t="b">
        <v>0</v>
      </c>
      <c r="X507" s="12">
        <v>1</v>
      </c>
      <c r="Y507" s="12" t="b">
        <v>0</v>
      </c>
      <c r="Z507" s="12" t="b">
        <v>0</v>
      </c>
      <c r="AA507" s="12" t="b">
        <v>0</v>
      </c>
      <c r="AB507" s="12" t="b">
        <v>0</v>
      </c>
      <c r="AC507" s="12" t="b">
        <v>0</v>
      </c>
      <c r="AD507" s="12" t="b">
        <v>1</v>
      </c>
      <c r="AE507" s="12" t="b">
        <v>0</v>
      </c>
      <c r="AF507" s="12" t="b">
        <v>1</v>
      </c>
      <c r="AG507" s="12" t="b">
        <v>1</v>
      </c>
      <c r="AH507" s="12">
        <v>1</v>
      </c>
      <c r="AI507" s="12" t="b">
        <v>0</v>
      </c>
      <c r="AJ507" s="12" t="b">
        <v>0</v>
      </c>
      <c r="AK507" s="12" t="b">
        <v>1</v>
      </c>
      <c r="AL507" s="12">
        <v>1</v>
      </c>
      <c r="AM507" s="12" t="s">
        <v>900</v>
      </c>
      <c r="AN507" s="12">
        <v>1</v>
      </c>
    </row>
    <row r="508" spans="1:40" x14ac:dyDescent="0.3">
      <c r="A508" s="62" t="s">
        <v>2422</v>
      </c>
      <c r="B508" s="62"/>
      <c r="C508" s="63" t="s">
        <v>1935</v>
      </c>
      <c r="D508" s="52" t="s">
        <v>1630</v>
      </c>
      <c r="E508" s="12" t="s">
        <v>1761</v>
      </c>
      <c r="F508" s="12" t="s">
        <v>1549</v>
      </c>
      <c r="G508" s="12" t="b">
        <v>1</v>
      </c>
      <c r="H508" s="12" t="b">
        <v>1</v>
      </c>
      <c r="I508" s="12" t="b">
        <v>1</v>
      </c>
      <c r="J508" s="12" t="b">
        <v>1</v>
      </c>
      <c r="K508" s="12" t="b">
        <v>0</v>
      </c>
      <c r="L508" s="12" t="b">
        <v>0</v>
      </c>
      <c r="M508" s="12" t="b">
        <v>0</v>
      </c>
      <c r="N508" s="12">
        <v>0</v>
      </c>
      <c r="O508" s="12" t="b">
        <v>0</v>
      </c>
      <c r="P508" s="12" t="b">
        <v>0</v>
      </c>
      <c r="Q508" s="12" t="b">
        <v>0</v>
      </c>
      <c r="R508" s="12" t="b">
        <v>0</v>
      </c>
      <c r="S508" s="12" t="b">
        <v>0</v>
      </c>
      <c r="T508" s="12" t="b">
        <v>1</v>
      </c>
      <c r="U508" s="12" t="b">
        <v>0</v>
      </c>
      <c r="V508" s="12" t="b">
        <v>1</v>
      </c>
      <c r="W508" s="12" t="b">
        <v>0</v>
      </c>
      <c r="X508" s="12">
        <v>1</v>
      </c>
      <c r="Y508" s="12" t="b">
        <v>0</v>
      </c>
      <c r="Z508" s="12" t="b">
        <v>0</v>
      </c>
      <c r="AA508" s="12" t="b">
        <v>0</v>
      </c>
      <c r="AB508" s="12" t="b">
        <v>0</v>
      </c>
      <c r="AC508" s="12" t="b">
        <v>0</v>
      </c>
      <c r="AD508" s="12" t="b">
        <v>1</v>
      </c>
      <c r="AE508" s="12" t="b">
        <v>0</v>
      </c>
      <c r="AF508" s="12" t="b">
        <v>1</v>
      </c>
      <c r="AG508" s="12" t="b">
        <v>1</v>
      </c>
      <c r="AH508" s="12">
        <v>1</v>
      </c>
      <c r="AI508" s="12" t="b">
        <v>0</v>
      </c>
      <c r="AJ508" s="12" t="b">
        <v>0</v>
      </c>
      <c r="AK508" s="12" t="b">
        <v>1</v>
      </c>
      <c r="AL508" s="12">
        <v>1</v>
      </c>
      <c r="AM508" s="12" t="s">
        <v>900</v>
      </c>
      <c r="AN508" s="12">
        <v>1</v>
      </c>
    </row>
    <row r="509" spans="1:40" x14ac:dyDescent="0.3">
      <c r="A509" s="62" t="s">
        <v>2422</v>
      </c>
      <c r="B509" s="62"/>
      <c r="C509" s="63" t="s">
        <v>1936</v>
      </c>
      <c r="D509" s="52" t="s">
        <v>1630</v>
      </c>
      <c r="E509" s="12" t="s">
        <v>1761</v>
      </c>
      <c r="F509" s="12" t="s">
        <v>1549</v>
      </c>
      <c r="G509" s="12" t="b">
        <v>1</v>
      </c>
      <c r="H509" s="12" t="b">
        <v>1</v>
      </c>
      <c r="I509" s="12" t="b">
        <v>1</v>
      </c>
      <c r="J509" s="12" t="b">
        <v>1</v>
      </c>
      <c r="K509" s="12" t="b">
        <v>0</v>
      </c>
      <c r="L509" s="12" t="b">
        <v>0</v>
      </c>
      <c r="M509" s="12" t="b">
        <v>0</v>
      </c>
      <c r="N509" s="12">
        <v>0</v>
      </c>
      <c r="O509" s="12" t="b">
        <v>0</v>
      </c>
      <c r="P509" s="12" t="b">
        <v>0</v>
      </c>
      <c r="Q509" s="12" t="b">
        <v>0</v>
      </c>
      <c r="R509" s="12" t="b">
        <v>0</v>
      </c>
      <c r="S509" s="12" t="b">
        <v>0</v>
      </c>
      <c r="T509" s="12" t="b">
        <v>1</v>
      </c>
      <c r="U509" s="12" t="b">
        <v>0</v>
      </c>
      <c r="V509" s="12" t="b">
        <v>1</v>
      </c>
      <c r="W509" s="12" t="b">
        <v>0</v>
      </c>
      <c r="X509" s="12">
        <v>1</v>
      </c>
      <c r="Y509" s="12" t="b">
        <v>0</v>
      </c>
      <c r="Z509" s="12" t="b">
        <v>0</v>
      </c>
      <c r="AA509" s="12" t="b">
        <v>0</v>
      </c>
      <c r="AB509" s="12" t="b">
        <v>0</v>
      </c>
      <c r="AC509" s="12" t="b">
        <v>0</v>
      </c>
      <c r="AD509" s="12" t="b">
        <v>1</v>
      </c>
      <c r="AE509" s="12" t="b">
        <v>0</v>
      </c>
      <c r="AF509" s="12" t="b">
        <v>1</v>
      </c>
      <c r="AG509" s="12" t="b">
        <v>1</v>
      </c>
      <c r="AH509" s="12">
        <v>1</v>
      </c>
      <c r="AI509" s="12" t="b">
        <v>0</v>
      </c>
      <c r="AJ509" s="12" t="b">
        <v>0</v>
      </c>
      <c r="AK509" s="12" t="b">
        <v>1</v>
      </c>
      <c r="AL509" s="12">
        <v>1</v>
      </c>
      <c r="AM509" s="12" t="s">
        <v>900</v>
      </c>
      <c r="AN509" s="12">
        <v>1</v>
      </c>
    </row>
    <row r="510" spans="1:40" x14ac:dyDescent="0.3">
      <c r="A510" s="62" t="s">
        <v>2422</v>
      </c>
      <c r="B510" s="62"/>
      <c r="C510" s="63" t="s">
        <v>1937</v>
      </c>
      <c r="D510" s="52" t="s">
        <v>1630</v>
      </c>
      <c r="E510" s="12" t="s">
        <v>1761</v>
      </c>
      <c r="F510" s="12" t="s">
        <v>1549</v>
      </c>
      <c r="G510" s="12" t="b">
        <v>1</v>
      </c>
      <c r="H510" s="12" t="b">
        <v>1</v>
      </c>
      <c r="I510" s="12" t="b">
        <v>1</v>
      </c>
      <c r="J510" s="12" t="b">
        <v>1</v>
      </c>
      <c r="K510" s="12" t="b">
        <v>0</v>
      </c>
      <c r="L510" s="12" t="b">
        <v>0</v>
      </c>
      <c r="M510" s="12" t="b">
        <v>0</v>
      </c>
      <c r="N510" s="12">
        <v>0</v>
      </c>
      <c r="O510" s="12" t="b">
        <v>0</v>
      </c>
      <c r="P510" s="12" t="b">
        <v>0</v>
      </c>
      <c r="Q510" s="12" t="b">
        <v>0</v>
      </c>
      <c r="R510" s="12" t="b">
        <v>0</v>
      </c>
      <c r="S510" s="12" t="b">
        <v>0</v>
      </c>
      <c r="T510" s="12" t="b">
        <v>1</v>
      </c>
      <c r="U510" s="12" t="b">
        <v>0</v>
      </c>
      <c r="V510" s="12" t="b">
        <v>1</v>
      </c>
      <c r="W510" s="12" t="b">
        <v>0</v>
      </c>
      <c r="X510" s="12">
        <v>1</v>
      </c>
      <c r="Y510" s="12" t="b">
        <v>0</v>
      </c>
      <c r="Z510" s="12" t="b">
        <v>0</v>
      </c>
      <c r="AA510" s="12" t="b">
        <v>0</v>
      </c>
      <c r="AB510" s="12" t="b">
        <v>0</v>
      </c>
      <c r="AC510" s="12" t="b">
        <v>0</v>
      </c>
      <c r="AD510" s="12" t="b">
        <v>1</v>
      </c>
      <c r="AE510" s="12" t="b">
        <v>0</v>
      </c>
      <c r="AF510" s="12" t="b">
        <v>1</v>
      </c>
      <c r="AG510" s="12" t="b">
        <v>1</v>
      </c>
      <c r="AH510" s="12">
        <v>1</v>
      </c>
      <c r="AI510" s="12" t="b">
        <v>0</v>
      </c>
      <c r="AJ510" s="12" t="b">
        <v>0</v>
      </c>
      <c r="AK510" s="12" t="b">
        <v>1</v>
      </c>
      <c r="AL510" s="12">
        <v>1</v>
      </c>
      <c r="AM510" s="12" t="s">
        <v>900</v>
      </c>
      <c r="AN510" s="12">
        <v>1</v>
      </c>
    </row>
    <row r="511" spans="1:40" x14ac:dyDescent="0.3">
      <c r="A511" s="62" t="s">
        <v>2422</v>
      </c>
      <c r="B511" s="62"/>
      <c r="C511" s="63" t="s">
        <v>1938</v>
      </c>
      <c r="D511" s="52" t="s">
        <v>1630</v>
      </c>
      <c r="E511" s="12" t="s">
        <v>1761</v>
      </c>
      <c r="F511" s="12" t="s">
        <v>1549</v>
      </c>
      <c r="G511" s="12" t="b">
        <v>1</v>
      </c>
      <c r="H511" s="12" t="b">
        <v>1</v>
      </c>
      <c r="I511" s="12" t="b">
        <v>1</v>
      </c>
      <c r="J511" s="12" t="b">
        <v>1</v>
      </c>
      <c r="K511" s="12" t="b">
        <v>0</v>
      </c>
      <c r="L511" s="12" t="b">
        <v>0</v>
      </c>
      <c r="M511" s="12" t="b">
        <v>0</v>
      </c>
      <c r="N511" s="12">
        <v>0</v>
      </c>
      <c r="O511" s="12" t="b">
        <v>0</v>
      </c>
      <c r="P511" s="12" t="b">
        <v>0</v>
      </c>
      <c r="Q511" s="12" t="b">
        <v>0</v>
      </c>
      <c r="R511" s="12" t="b">
        <v>0</v>
      </c>
      <c r="S511" s="12" t="b">
        <v>0</v>
      </c>
      <c r="T511" s="12" t="b">
        <v>1</v>
      </c>
      <c r="U511" s="12" t="b">
        <v>0</v>
      </c>
      <c r="V511" s="12" t="b">
        <v>1</v>
      </c>
      <c r="W511" s="12" t="b">
        <v>0</v>
      </c>
      <c r="X511" s="12">
        <v>1</v>
      </c>
      <c r="Y511" s="12" t="b">
        <v>0</v>
      </c>
      <c r="Z511" s="12" t="b">
        <v>0</v>
      </c>
      <c r="AA511" s="12" t="b">
        <v>0</v>
      </c>
      <c r="AB511" s="12" t="b">
        <v>0</v>
      </c>
      <c r="AC511" s="12" t="b">
        <v>0</v>
      </c>
      <c r="AD511" s="12" t="b">
        <v>1</v>
      </c>
      <c r="AE511" s="12" t="b">
        <v>0</v>
      </c>
      <c r="AF511" s="12" t="b">
        <v>1</v>
      </c>
      <c r="AG511" s="12" t="b">
        <v>1</v>
      </c>
      <c r="AH511" s="12">
        <v>1</v>
      </c>
      <c r="AI511" s="12" t="b">
        <v>0</v>
      </c>
      <c r="AJ511" s="12" t="b">
        <v>0</v>
      </c>
      <c r="AK511" s="12" t="b">
        <v>1</v>
      </c>
      <c r="AL511" s="12">
        <v>1</v>
      </c>
      <c r="AM511" s="12" t="s">
        <v>900</v>
      </c>
      <c r="AN511" s="12">
        <v>1</v>
      </c>
    </row>
    <row r="512" spans="1:40" x14ac:dyDescent="0.3">
      <c r="A512" s="62" t="s">
        <v>2422</v>
      </c>
      <c r="B512" s="62"/>
      <c r="C512" s="63" t="s">
        <v>1939</v>
      </c>
      <c r="D512" s="52" t="s">
        <v>1630</v>
      </c>
      <c r="E512" s="12" t="s">
        <v>1761</v>
      </c>
      <c r="F512" s="12" t="s">
        <v>1549</v>
      </c>
      <c r="G512" s="12" t="b">
        <v>1</v>
      </c>
      <c r="H512" s="12" t="b">
        <v>1</v>
      </c>
      <c r="I512" s="12" t="b">
        <v>1</v>
      </c>
      <c r="J512" s="12" t="b">
        <v>1</v>
      </c>
      <c r="K512" s="12" t="b">
        <v>0</v>
      </c>
      <c r="L512" s="12" t="b">
        <v>0</v>
      </c>
      <c r="M512" s="12" t="b">
        <v>0</v>
      </c>
      <c r="N512" s="12">
        <v>0</v>
      </c>
      <c r="O512" s="12" t="b">
        <v>0</v>
      </c>
      <c r="P512" s="12" t="b">
        <v>0</v>
      </c>
      <c r="Q512" s="12" t="b">
        <v>0</v>
      </c>
      <c r="R512" s="12" t="b">
        <v>0</v>
      </c>
      <c r="S512" s="12" t="b">
        <v>0</v>
      </c>
      <c r="T512" s="12" t="b">
        <v>1</v>
      </c>
      <c r="U512" s="12" t="b">
        <v>0</v>
      </c>
      <c r="V512" s="12" t="b">
        <v>1</v>
      </c>
      <c r="W512" s="12" t="b">
        <v>0</v>
      </c>
      <c r="X512" s="12">
        <v>1</v>
      </c>
      <c r="Y512" s="12" t="b">
        <v>0</v>
      </c>
      <c r="Z512" s="12" t="b">
        <v>0</v>
      </c>
      <c r="AA512" s="12" t="b">
        <v>0</v>
      </c>
      <c r="AB512" s="12" t="b">
        <v>0</v>
      </c>
      <c r="AC512" s="12" t="b">
        <v>0</v>
      </c>
      <c r="AD512" s="12" t="b">
        <v>1</v>
      </c>
      <c r="AE512" s="12" t="b">
        <v>0</v>
      </c>
      <c r="AF512" s="12" t="b">
        <v>1</v>
      </c>
      <c r="AG512" s="12" t="b">
        <v>1</v>
      </c>
      <c r="AH512" s="12">
        <v>1</v>
      </c>
      <c r="AI512" s="12" t="b">
        <v>0</v>
      </c>
      <c r="AJ512" s="12" t="b">
        <v>0</v>
      </c>
      <c r="AK512" s="12" t="b">
        <v>1</v>
      </c>
      <c r="AL512" s="12">
        <v>1</v>
      </c>
      <c r="AM512" s="12" t="s">
        <v>900</v>
      </c>
      <c r="AN512" s="12">
        <v>1</v>
      </c>
    </row>
    <row r="513" spans="1:40" x14ac:dyDescent="0.3">
      <c r="A513" s="62" t="s">
        <v>2422</v>
      </c>
      <c r="B513" s="62"/>
      <c r="C513" s="63"/>
      <c r="D513" s="63"/>
      <c r="E513" s="12" t="s">
        <v>1017</v>
      </c>
      <c r="F513" s="12" t="s">
        <v>1233</v>
      </c>
      <c r="G513" s="12" t="b">
        <v>1</v>
      </c>
      <c r="H513" s="12" t="b">
        <v>1</v>
      </c>
      <c r="I513" s="12" t="b">
        <v>1</v>
      </c>
      <c r="J513" s="12" t="b">
        <v>1</v>
      </c>
      <c r="K513" s="12" t="b">
        <v>0</v>
      </c>
      <c r="L513" s="12" t="b">
        <v>0</v>
      </c>
      <c r="M513" s="12" t="b">
        <v>0</v>
      </c>
      <c r="N513" s="12">
        <v>0</v>
      </c>
      <c r="O513" s="12" t="b">
        <v>0</v>
      </c>
      <c r="P513" s="12" t="b">
        <v>0</v>
      </c>
      <c r="Q513" s="12" t="b">
        <v>0</v>
      </c>
      <c r="R513" s="12" t="b">
        <v>0</v>
      </c>
      <c r="S513" s="12" t="b">
        <v>0</v>
      </c>
      <c r="T513" s="12" t="b">
        <v>1</v>
      </c>
      <c r="U513" s="12" t="b">
        <v>0</v>
      </c>
      <c r="V513" s="12" t="b">
        <v>1</v>
      </c>
      <c r="W513" s="12" t="b">
        <v>0</v>
      </c>
      <c r="X513" s="12">
        <v>1</v>
      </c>
      <c r="Y513" s="12" t="b">
        <v>0</v>
      </c>
      <c r="Z513" s="12" t="b">
        <v>0</v>
      </c>
      <c r="AA513" s="12" t="b">
        <v>0</v>
      </c>
      <c r="AB513" s="12" t="b">
        <v>0</v>
      </c>
      <c r="AC513" s="12" t="b">
        <v>0</v>
      </c>
      <c r="AD513" s="12" t="b">
        <v>1</v>
      </c>
      <c r="AE513" s="12" t="b">
        <v>0</v>
      </c>
      <c r="AF513" s="12" t="b">
        <v>1</v>
      </c>
      <c r="AG513" s="12" t="b">
        <v>0</v>
      </c>
      <c r="AH513" s="12">
        <v>1</v>
      </c>
      <c r="AI513" s="12" t="b">
        <v>0</v>
      </c>
      <c r="AJ513" s="12" t="b">
        <v>0</v>
      </c>
      <c r="AK513" s="12" t="b">
        <v>1</v>
      </c>
      <c r="AL513" s="12">
        <v>1</v>
      </c>
      <c r="AM513" s="12" t="s">
        <v>900</v>
      </c>
      <c r="AN513" s="12">
        <v>1</v>
      </c>
    </row>
    <row r="514" spans="1:40" x14ac:dyDescent="0.3">
      <c r="A514" s="62" t="s">
        <v>2422</v>
      </c>
      <c r="B514" s="62"/>
      <c r="C514" s="63"/>
      <c r="D514" s="63"/>
      <c r="E514" s="12" t="s">
        <v>1019</v>
      </c>
      <c r="F514" s="12" t="s">
        <v>1234</v>
      </c>
      <c r="G514" s="12" t="b">
        <v>0</v>
      </c>
      <c r="H514" s="12" t="b">
        <v>1</v>
      </c>
      <c r="I514" s="12" t="b">
        <v>1</v>
      </c>
      <c r="J514" s="12" t="b">
        <v>1</v>
      </c>
      <c r="K514" s="12" t="b">
        <v>0</v>
      </c>
      <c r="L514" s="12" t="b">
        <v>1</v>
      </c>
      <c r="M514" s="12" t="b">
        <v>0</v>
      </c>
      <c r="N514" s="12">
        <v>0</v>
      </c>
      <c r="O514" s="12" t="b">
        <v>0</v>
      </c>
      <c r="P514" s="12" t="b">
        <v>0</v>
      </c>
      <c r="Q514" s="12" t="b">
        <v>0</v>
      </c>
      <c r="R514" s="12" t="b">
        <v>0</v>
      </c>
      <c r="S514" s="12" t="b">
        <v>0</v>
      </c>
      <c r="T514" s="12" t="b">
        <v>1</v>
      </c>
      <c r="U514" s="12" t="b">
        <v>0</v>
      </c>
      <c r="V514" s="12" t="b">
        <v>1</v>
      </c>
      <c r="W514" s="12" t="b">
        <v>0</v>
      </c>
      <c r="X514" s="12">
        <v>1</v>
      </c>
      <c r="Y514" s="12" t="b">
        <v>0</v>
      </c>
      <c r="Z514" s="12" t="b">
        <v>0</v>
      </c>
      <c r="AA514" s="12" t="b">
        <v>1</v>
      </c>
      <c r="AB514" s="12" t="b">
        <v>1</v>
      </c>
      <c r="AC514" s="12" t="b">
        <v>1</v>
      </c>
      <c r="AD514" s="12" t="b">
        <v>1</v>
      </c>
      <c r="AE514" s="12" t="b">
        <v>0</v>
      </c>
      <c r="AF514" s="12" t="b">
        <v>0</v>
      </c>
      <c r="AG514" s="12" t="b">
        <v>0</v>
      </c>
      <c r="AH514" s="12">
        <v>0</v>
      </c>
      <c r="AI514" s="12" t="b">
        <v>0</v>
      </c>
      <c r="AJ514" s="12" t="b">
        <v>0</v>
      </c>
      <c r="AK514" s="12" t="b">
        <v>1</v>
      </c>
      <c r="AL514" s="12">
        <v>1</v>
      </c>
      <c r="AM514" s="12" t="s">
        <v>900</v>
      </c>
      <c r="AN514" s="12">
        <v>1</v>
      </c>
    </row>
    <row r="515" spans="1:40" x14ac:dyDescent="0.3">
      <c r="A515" s="62" t="s">
        <v>2422</v>
      </c>
      <c r="B515" s="62"/>
      <c r="C515" s="63"/>
      <c r="D515" s="63"/>
      <c r="E515" s="12" t="s">
        <v>1314</v>
      </c>
      <c r="F515" s="12" t="s">
        <v>1315</v>
      </c>
      <c r="G515" s="12" t="b">
        <v>0</v>
      </c>
      <c r="H515" s="12" t="b">
        <v>1</v>
      </c>
      <c r="I515" s="12" t="b">
        <v>1</v>
      </c>
      <c r="J515" s="12" t="b">
        <v>1</v>
      </c>
      <c r="K515" s="12" t="b">
        <v>0</v>
      </c>
      <c r="L515" s="12" t="b">
        <v>0</v>
      </c>
      <c r="M515" s="12" t="b">
        <v>0</v>
      </c>
      <c r="N515" s="12">
        <v>0</v>
      </c>
      <c r="O515" s="12" t="b">
        <v>0</v>
      </c>
      <c r="P515" s="12" t="b">
        <v>0</v>
      </c>
      <c r="Q515" s="12" t="b">
        <v>0</v>
      </c>
      <c r="R515" s="12" t="b">
        <v>0</v>
      </c>
      <c r="S515" s="12" t="b">
        <v>0</v>
      </c>
      <c r="T515" s="12" t="b">
        <v>0</v>
      </c>
      <c r="U515" s="12" t="b">
        <v>0</v>
      </c>
      <c r="V515" s="12" t="b">
        <v>0</v>
      </c>
      <c r="W515" s="12" t="b">
        <v>0</v>
      </c>
      <c r="X515" s="12">
        <v>12</v>
      </c>
      <c r="Y515" s="12" t="b">
        <v>0</v>
      </c>
      <c r="Z515" s="12" t="b">
        <v>0</v>
      </c>
      <c r="AA515" s="12" t="b">
        <v>0</v>
      </c>
      <c r="AB515" s="12" t="b">
        <v>0</v>
      </c>
      <c r="AC515" s="12" t="b">
        <v>0</v>
      </c>
      <c r="AD515" s="12" t="b">
        <v>0</v>
      </c>
      <c r="AE515" s="12" t="b">
        <v>0</v>
      </c>
      <c r="AF515" s="12" t="b">
        <v>0</v>
      </c>
      <c r="AG515" s="12" t="b">
        <v>0</v>
      </c>
      <c r="AH515" s="12">
        <v>5</v>
      </c>
      <c r="AI515" s="12" t="b">
        <v>0</v>
      </c>
      <c r="AJ515" s="12" t="b">
        <v>0</v>
      </c>
      <c r="AK515" s="12" t="b">
        <v>1</v>
      </c>
      <c r="AL515" s="12">
        <v>1</v>
      </c>
      <c r="AM515" s="12" t="s">
        <v>1476</v>
      </c>
      <c r="AN515" s="12">
        <v>1</v>
      </c>
    </row>
    <row r="516" spans="1:40" x14ac:dyDescent="0.3">
      <c r="A516" s="62" t="s">
        <v>2422</v>
      </c>
      <c r="B516" s="62"/>
      <c r="C516" s="63"/>
      <c r="D516" s="63"/>
      <c r="E516" s="12" t="s">
        <v>1316</v>
      </c>
      <c r="F516" s="12" t="s">
        <v>1317</v>
      </c>
      <c r="G516" s="12" t="b">
        <v>0</v>
      </c>
      <c r="H516" s="12" t="b">
        <v>1</v>
      </c>
      <c r="I516" s="12" t="b">
        <v>1</v>
      </c>
      <c r="J516" s="12" t="b">
        <v>1</v>
      </c>
      <c r="K516" s="12" t="b">
        <v>0</v>
      </c>
      <c r="L516" s="12" t="b">
        <v>1</v>
      </c>
      <c r="M516" s="12" t="b">
        <v>0</v>
      </c>
      <c r="N516" s="12">
        <v>0</v>
      </c>
      <c r="O516" s="12" t="b">
        <v>0</v>
      </c>
      <c r="P516" s="12" t="b">
        <v>0</v>
      </c>
      <c r="Q516" s="12" t="b">
        <v>0</v>
      </c>
      <c r="R516" s="12" t="b">
        <v>0</v>
      </c>
      <c r="S516" s="12" t="b">
        <v>0</v>
      </c>
      <c r="T516" s="12" t="b">
        <v>0</v>
      </c>
      <c r="U516" s="12" t="b">
        <v>0</v>
      </c>
      <c r="V516" s="12" t="b">
        <v>0</v>
      </c>
      <c r="W516" s="12" t="b">
        <v>0</v>
      </c>
      <c r="X516" s="12">
        <v>12</v>
      </c>
      <c r="Y516" s="12" t="b">
        <v>0</v>
      </c>
      <c r="Z516" s="12" t="b">
        <v>0</v>
      </c>
      <c r="AA516" s="12" t="b">
        <v>0</v>
      </c>
      <c r="AB516" s="12" t="b">
        <v>0</v>
      </c>
      <c r="AC516" s="12" t="b">
        <v>0</v>
      </c>
      <c r="AD516" s="12" t="b">
        <v>0</v>
      </c>
      <c r="AE516" s="12" t="b">
        <v>0</v>
      </c>
      <c r="AF516" s="12" t="b">
        <v>0</v>
      </c>
      <c r="AG516" s="12" t="b">
        <v>0</v>
      </c>
      <c r="AH516" s="12">
        <v>7</v>
      </c>
      <c r="AI516" s="12" t="b">
        <v>0</v>
      </c>
      <c r="AJ516" s="12" t="b">
        <v>0</v>
      </c>
      <c r="AK516" s="12" t="b">
        <v>1</v>
      </c>
      <c r="AL516" s="12">
        <v>1</v>
      </c>
      <c r="AM516" s="12" t="s">
        <v>1476</v>
      </c>
      <c r="AN516" s="12">
        <v>1</v>
      </c>
    </row>
    <row r="517" spans="1:40" x14ac:dyDescent="0.3">
      <c r="A517" s="62" t="s">
        <v>2422</v>
      </c>
      <c r="B517" s="62"/>
      <c r="C517" s="63"/>
      <c r="D517" s="63"/>
      <c r="E517" s="12" t="s">
        <v>1528</v>
      </c>
      <c r="F517" s="12" t="s">
        <v>1566</v>
      </c>
      <c r="G517" s="12" t="b">
        <v>0</v>
      </c>
      <c r="H517" s="12" t="b">
        <v>1</v>
      </c>
      <c r="I517" s="12" t="b">
        <v>1</v>
      </c>
      <c r="J517" s="12" t="b">
        <v>1</v>
      </c>
      <c r="K517" s="12" t="b">
        <v>0</v>
      </c>
      <c r="L517" s="12" t="b">
        <v>0</v>
      </c>
      <c r="M517" s="12" t="b">
        <v>0</v>
      </c>
      <c r="N517" s="12">
        <v>0</v>
      </c>
      <c r="O517" s="12" t="b">
        <v>0</v>
      </c>
      <c r="P517" s="12" t="b">
        <v>0</v>
      </c>
      <c r="Q517" s="12" t="b">
        <v>0</v>
      </c>
      <c r="R517" s="12" t="b">
        <v>0</v>
      </c>
      <c r="S517" s="12" t="b">
        <v>0</v>
      </c>
      <c r="T517" s="12" t="b">
        <v>0</v>
      </c>
      <c r="U517" s="12" t="b">
        <v>0</v>
      </c>
      <c r="V517" s="12" t="b">
        <v>0</v>
      </c>
      <c r="W517" s="12" t="b">
        <v>0</v>
      </c>
      <c r="X517" s="12">
        <v>1</v>
      </c>
      <c r="Y517" s="12" t="b">
        <v>0</v>
      </c>
      <c r="Z517" s="12" t="b">
        <v>0</v>
      </c>
      <c r="AA517" s="12" t="b">
        <v>1</v>
      </c>
      <c r="AB517" s="12" t="b">
        <v>1</v>
      </c>
      <c r="AC517" s="12" t="b">
        <v>1</v>
      </c>
      <c r="AD517" s="12" t="b">
        <v>1</v>
      </c>
      <c r="AE517" s="12" t="b">
        <v>0</v>
      </c>
      <c r="AF517" s="12" t="b">
        <v>0</v>
      </c>
      <c r="AG517" s="12" t="b">
        <v>0</v>
      </c>
      <c r="AH517" s="12">
        <v>1</v>
      </c>
      <c r="AI517" s="12" t="b">
        <v>0</v>
      </c>
      <c r="AJ517" s="12" t="b">
        <v>0</v>
      </c>
      <c r="AK517" s="12" t="b">
        <v>1</v>
      </c>
      <c r="AL517" s="12">
        <v>0</v>
      </c>
      <c r="AM517" s="12" t="s">
        <v>922</v>
      </c>
      <c r="AN517" s="12">
        <v>0</v>
      </c>
    </row>
    <row r="518" spans="1:40" x14ac:dyDescent="0.3">
      <c r="A518" s="62" t="s">
        <v>2422</v>
      </c>
      <c r="B518" s="62"/>
      <c r="C518" s="63"/>
      <c r="D518" s="63"/>
      <c r="E518" s="12" t="s">
        <v>1523</v>
      </c>
      <c r="F518" s="12" t="s">
        <v>1567</v>
      </c>
      <c r="G518" s="12" t="b">
        <v>0</v>
      </c>
      <c r="H518" s="12" t="b">
        <v>1</v>
      </c>
      <c r="I518" s="12" t="b">
        <v>1</v>
      </c>
      <c r="J518" s="12" t="b">
        <v>1</v>
      </c>
      <c r="K518" s="12" t="b">
        <v>0</v>
      </c>
      <c r="L518" s="12" t="b">
        <v>0</v>
      </c>
      <c r="M518" s="12" t="b">
        <v>0</v>
      </c>
      <c r="N518" s="12">
        <v>0</v>
      </c>
      <c r="O518" s="12" t="b">
        <v>0</v>
      </c>
      <c r="P518" s="12" t="b">
        <v>0</v>
      </c>
      <c r="Q518" s="12" t="b">
        <v>0</v>
      </c>
      <c r="R518" s="12" t="b">
        <v>0</v>
      </c>
      <c r="S518" s="12" t="b">
        <v>0</v>
      </c>
      <c r="T518" s="12" t="b">
        <v>0</v>
      </c>
      <c r="U518" s="12" t="b">
        <v>0</v>
      </c>
      <c r="V518" s="12" t="b">
        <v>0</v>
      </c>
      <c r="W518" s="12" t="b">
        <v>0</v>
      </c>
      <c r="X518" s="12">
        <v>1</v>
      </c>
      <c r="Y518" s="12" t="b">
        <v>0</v>
      </c>
      <c r="Z518" s="12" t="b">
        <v>0</v>
      </c>
      <c r="AA518" s="12" t="b">
        <v>1</v>
      </c>
      <c r="AB518" s="12" t="b">
        <v>1</v>
      </c>
      <c r="AC518" s="12" t="b">
        <v>1</v>
      </c>
      <c r="AD518" s="12" t="b">
        <v>1</v>
      </c>
      <c r="AE518" s="12" t="b">
        <v>0</v>
      </c>
      <c r="AF518" s="12" t="b">
        <v>0</v>
      </c>
      <c r="AG518" s="12" t="b">
        <v>0</v>
      </c>
      <c r="AH518" s="12">
        <v>1</v>
      </c>
      <c r="AI518" s="12" t="b">
        <v>0</v>
      </c>
      <c r="AJ518" s="12" t="b">
        <v>0</v>
      </c>
      <c r="AK518" s="12" t="b">
        <v>1</v>
      </c>
      <c r="AL518" s="12">
        <v>0</v>
      </c>
      <c r="AM518" s="12" t="s">
        <v>922</v>
      </c>
      <c r="AN518" s="12">
        <v>0</v>
      </c>
    </row>
    <row r="519" spans="1:40" x14ac:dyDescent="0.3">
      <c r="A519" s="62" t="s">
        <v>2422</v>
      </c>
      <c r="B519" s="62"/>
      <c r="C519" s="63"/>
      <c r="D519" s="63"/>
      <c r="E519" s="12" t="s">
        <v>1524</v>
      </c>
      <c r="F519" s="12" t="s">
        <v>1568</v>
      </c>
      <c r="G519" s="12" t="b">
        <v>0</v>
      </c>
      <c r="H519" s="12" t="b">
        <v>1</v>
      </c>
      <c r="I519" s="12" t="b">
        <v>1</v>
      </c>
      <c r="J519" s="12" t="b">
        <v>1</v>
      </c>
      <c r="K519" s="12" t="b">
        <v>0</v>
      </c>
      <c r="L519" s="12" t="b">
        <v>0</v>
      </c>
      <c r="M519" s="12" t="b">
        <v>0</v>
      </c>
      <c r="N519" s="12">
        <v>0</v>
      </c>
      <c r="O519" s="12" t="b">
        <v>0</v>
      </c>
      <c r="P519" s="12" t="b">
        <v>0</v>
      </c>
      <c r="Q519" s="12" t="b">
        <v>0</v>
      </c>
      <c r="R519" s="12" t="b">
        <v>0</v>
      </c>
      <c r="S519" s="12" t="b">
        <v>0</v>
      </c>
      <c r="T519" s="12" t="b">
        <v>0</v>
      </c>
      <c r="U519" s="12" t="b">
        <v>0</v>
      </c>
      <c r="V519" s="12" t="b">
        <v>0</v>
      </c>
      <c r="W519" s="12" t="b">
        <v>0</v>
      </c>
      <c r="X519" s="12">
        <v>1</v>
      </c>
      <c r="Y519" s="12" t="b">
        <v>0</v>
      </c>
      <c r="Z519" s="12" t="b">
        <v>0</v>
      </c>
      <c r="AA519" s="12" t="b">
        <v>1</v>
      </c>
      <c r="AB519" s="12" t="b">
        <v>1</v>
      </c>
      <c r="AC519" s="12" t="b">
        <v>1</v>
      </c>
      <c r="AD519" s="12" t="b">
        <v>1</v>
      </c>
      <c r="AE519" s="12" t="b">
        <v>0</v>
      </c>
      <c r="AF519" s="12" t="b">
        <v>0</v>
      </c>
      <c r="AG519" s="12" t="b">
        <v>0</v>
      </c>
      <c r="AH519" s="12">
        <v>1</v>
      </c>
      <c r="AI519" s="12" t="b">
        <v>0</v>
      </c>
      <c r="AJ519" s="12" t="b">
        <v>0</v>
      </c>
      <c r="AK519" s="12" t="b">
        <v>1</v>
      </c>
      <c r="AL519" s="12">
        <v>0</v>
      </c>
      <c r="AM519" s="12" t="s">
        <v>922</v>
      </c>
      <c r="AN519" s="12">
        <v>0</v>
      </c>
    </row>
    <row r="520" spans="1:40" x14ac:dyDescent="0.3">
      <c r="A520" s="62" t="s">
        <v>2422</v>
      </c>
      <c r="B520" s="62"/>
      <c r="C520" s="63"/>
      <c r="D520" s="63"/>
      <c r="E520" s="12" t="s">
        <v>1254</v>
      </c>
      <c r="F520" s="12" t="s">
        <v>1255</v>
      </c>
      <c r="G520" s="12" t="b">
        <v>0</v>
      </c>
      <c r="H520" s="12" t="b">
        <v>0</v>
      </c>
      <c r="I520" s="12" t="b">
        <v>0</v>
      </c>
      <c r="J520" s="12" t="b">
        <v>1</v>
      </c>
      <c r="K520" s="12" t="b">
        <v>0</v>
      </c>
      <c r="L520" s="12" t="b">
        <v>1</v>
      </c>
      <c r="M520" s="12" t="b">
        <v>0</v>
      </c>
      <c r="N520" s="12">
        <v>0</v>
      </c>
      <c r="O520" s="12" t="b">
        <v>0</v>
      </c>
      <c r="P520" s="12" t="b">
        <v>0</v>
      </c>
      <c r="Q520" s="12" t="b">
        <v>0</v>
      </c>
      <c r="R520" s="12" t="b">
        <v>0</v>
      </c>
      <c r="S520" s="12" t="b">
        <v>0</v>
      </c>
      <c r="T520" s="12" t="b">
        <v>1</v>
      </c>
      <c r="U520" s="12" t="b">
        <v>0</v>
      </c>
      <c r="V520" s="12" t="b">
        <v>1</v>
      </c>
      <c r="W520" s="12" t="b">
        <v>0</v>
      </c>
      <c r="X520" s="12">
        <v>1</v>
      </c>
      <c r="Y520" s="12" t="b">
        <v>0</v>
      </c>
      <c r="Z520" s="12" t="b">
        <v>0</v>
      </c>
      <c r="AA520" s="12" t="b">
        <v>0</v>
      </c>
      <c r="AB520" s="12" t="b">
        <v>0</v>
      </c>
      <c r="AC520" s="12" t="b">
        <v>0</v>
      </c>
      <c r="AD520" s="12" t="b">
        <v>1</v>
      </c>
      <c r="AE520" s="12" t="b">
        <v>0</v>
      </c>
      <c r="AF520" s="12" t="b">
        <v>1</v>
      </c>
      <c r="AG520" s="12" t="b">
        <v>0</v>
      </c>
      <c r="AH520" s="12">
        <v>1</v>
      </c>
      <c r="AI520" s="12" t="b">
        <v>0</v>
      </c>
      <c r="AJ520" s="12" t="b">
        <v>0</v>
      </c>
      <c r="AK520" s="12" t="b">
        <v>1</v>
      </c>
      <c r="AL520" s="12">
        <v>0</v>
      </c>
      <c r="AM520" s="12" t="s">
        <v>922</v>
      </c>
      <c r="AN520" s="12">
        <v>0</v>
      </c>
    </row>
    <row r="521" spans="1:40" x14ac:dyDescent="0.3">
      <c r="A521" s="62" t="s">
        <v>2422</v>
      </c>
      <c r="B521" s="62"/>
      <c r="C521" s="63"/>
      <c r="D521" s="63"/>
      <c r="E521" s="12" t="s">
        <v>1256</v>
      </c>
      <c r="F521" s="12" t="s">
        <v>1257</v>
      </c>
      <c r="G521" s="12" t="b">
        <v>0</v>
      </c>
      <c r="H521" s="12" t="b">
        <v>0</v>
      </c>
      <c r="I521" s="12" t="b">
        <v>0</v>
      </c>
      <c r="J521" s="12" t="b">
        <v>1</v>
      </c>
      <c r="K521" s="12" t="b">
        <v>0</v>
      </c>
      <c r="L521" s="12" t="b">
        <v>1</v>
      </c>
      <c r="M521" s="12" t="b">
        <v>0</v>
      </c>
      <c r="N521" s="12">
        <v>0</v>
      </c>
      <c r="O521" s="12" t="b">
        <v>0</v>
      </c>
      <c r="P521" s="12" t="b">
        <v>0</v>
      </c>
      <c r="Q521" s="12" t="b">
        <v>0</v>
      </c>
      <c r="R521" s="12" t="b">
        <v>0</v>
      </c>
      <c r="S521" s="12" t="b">
        <v>0</v>
      </c>
      <c r="T521" s="12" t="b">
        <v>1</v>
      </c>
      <c r="U521" s="12" t="b">
        <v>0</v>
      </c>
      <c r="V521" s="12" t="b">
        <v>1</v>
      </c>
      <c r="W521" s="12" t="b">
        <v>0</v>
      </c>
      <c r="X521" s="12">
        <v>1</v>
      </c>
      <c r="Y521" s="12" t="b">
        <v>0</v>
      </c>
      <c r="Z521" s="12" t="b">
        <v>0</v>
      </c>
      <c r="AA521" s="12" t="b">
        <v>0</v>
      </c>
      <c r="AB521" s="12" t="b">
        <v>0</v>
      </c>
      <c r="AC521" s="12" t="b">
        <v>0</v>
      </c>
      <c r="AD521" s="12" t="b">
        <v>1</v>
      </c>
      <c r="AE521" s="12" t="b">
        <v>0</v>
      </c>
      <c r="AF521" s="12" t="b">
        <v>1</v>
      </c>
      <c r="AG521" s="12" t="b">
        <v>0</v>
      </c>
      <c r="AH521" s="12">
        <v>1</v>
      </c>
      <c r="AI521" s="12" t="b">
        <v>0</v>
      </c>
      <c r="AJ521" s="12" t="b">
        <v>0</v>
      </c>
      <c r="AK521" s="12" t="b">
        <v>1</v>
      </c>
      <c r="AL521" s="12">
        <v>0</v>
      </c>
      <c r="AM521" s="12" t="s">
        <v>922</v>
      </c>
      <c r="AN521" s="12">
        <v>0</v>
      </c>
    </row>
    <row r="522" spans="1:40" x14ac:dyDescent="0.3">
      <c r="A522" s="62" t="s">
        <v>2422</v>
      </c>
      <c r="B522" s="62"/>
      <c r="C522" s="63"/>
      <c r="D522" s="63"/>
      <c r="E522" s="12" t="s">
        <v>1258</v>
      </c>
      <c r="F522" s="12" t="s">
        <v>1259</v>
      </c>
      <c r="G522" s="12" t="b">
        <v>0</v>
      </c>
      <c r="H522" s="12" t="b">
        <v>0</v>
      </c>
      <c r="I522" s="12" t="b">
        <v>0</v>
      </c>
      <c r="J522" s="12" t="b">
        <v>1</v>
      </c>
      <c r="K522" s="12" t="b">
        <v>0</v>
      </c>
      <c r="L522" s="12" t="b">
        <v>1</v>
      </c>
      <c r="M522" s="12" t="b">
        <v>0</v>
      </c>
      <c r="N522" s="12">
        <v>0</v>
      </c>
      <c r="O522" s="12" t="b">
        <v>0</v>
      </c>
      <c r="P522" s="12" t="b">
        <v>0</v>
      </c>
      <c r="Q522" s="12" t="b">
        <v>0</v>
      </c>
      <c r="R522" s="12" t="b">
        <v>0</v>
      </c>
      <c r="S522" s="12" t="b">
        <v>0</v>
      </c>
      <c r="T522" s="12" t="b">
        <v>1</v>
      </c>
      <c r="U522" s="12" t="b">
        <v>0</v>
      </c>
      <c r="V522" s="12" t="b">
        <v>1</v>
      </c>
      <c r="W522" s="12" t="b">
        <v>0</v>
      </c>
      <c r="X522" s="12">
        <v>1</v>
      </c>
      <c r="Y522" s="12" t="b">
        <v>0</v>
      </c>
      <c r="Z522" s="12" t="b">
        <v>0</v>
      </c>
      <c r="AA522" s="12" t="b">
        <v>0</v>
      </c>
      <c r="AB522" s="12" t="b">
        <v>0</v>
      </c>
      <c r="AC522" s="12" t="b">
        <v>0</v>
      </c>
      <c r="AD522" s="12" t="b">
        <v>1</v>
      </c>
      <c r="AE522" s="12" t="b">
        <v>0</v>
      </c>
      <c r="AF522" s="12" t="b">
        <v>1</v>
      </c>
      <c r="AG522" s="12" t="b">
        <v>0</v>
      </c>
      <c r="AH522" s="12">
        <v>1</v>
      </c>
      <c r="AI522" s="12" t="b">
        <v>0</v>
      </c>
      <c r="AJ522" s="12" t="b">
        <v>0</v>
      </c>
      <c r="AK522" s="12" t="b">
        <v>1</v>
      </c>
      <c r="AL522" s="12">
        <v>0</v>
      </c>
      <c r="AM522" s="12" t="s">
        <v>922</v>
      </c>
      <c r="AN522" s="12">
        <v>0</v>
      </c>
    </row>
    <row r="523" spans="1:40" x14ac:dyDescent="0.3">
      <c r="A523" s="62" t="s">
        <v>2422</v>
      </c>
      <c r="B523" s="62"/>
      <c r="C523" s="63"/>
      <c r="D523" s="63"/>
      <c r="E523" s="12" t="s">
        <v>1260</v>
      </c>
      <c r="F523" s="12" t="s">
        <v>1261</v>
      </c>
      <c r="G523" s="12" t="b">
        <v>0</v>
      </c>
      <c r="H523" s="12" t="b">
        <v>0</v>
      </c>
      <c r="I523" s="12" t="b">
        <v>0</v>
      </c>
      <c r="J523" s="12" t="b">
        <v>1</v>
      </c>
      <c r="K523" s="12" t="b">
        <v>0</v>
      </c>
      <c r="L523" s="12" t="b">
        <v>1</v>
      </c>
      <c r="M523" s="12" t="b">
        <v>0</v>
      </c>
      <c r="N523" s="12">
        <v>0</v>
      </c>
      <c r="O523" s="12" t="b">
        <v>0</v>
      </c>
      <c r="P523" s="12" t="b">
        <v>0</v>
      </c>
      <c r="Q523" s="12" t="b">
        <v>0</v>
      </c>
      <c r="R523" s="12" t="b">
        <v>0</v>
      </c>
      <c r="S523" s="12" t="b">
        <v>0</v>
      </c>
      <c r="T523" s="12" t="b">
        <v>1</v>
      </c>
      <c r="U523" s="12" t="b">
        <v>0</v>
      </c>
      <c r="V523" s="12" t="b">
        <v>1</v>
      </c>
      <c r="W523" s="12" t="b">
        <v>0</v>
      </c>
      <c r="X523" s="12">
        <v>1</v>
      </c>
      <c r="Y523" s="12" t="b">
        <v>0</v>
      </c>
      <c r="Z523" s="12" t="b">
        <v>0</v>
      </c>
      <c r="AA523" s="12" t="b">
        <v>0</v>
      </c>
      <c r="AB523" s="12" t="b">
        <v>0</v>
      </c>
      <c r="AC523" s="12" t="b">
        <v>0</v>
      </c>
      <c r="AD523" s="12" t="b">
        <v>1</v>
      </c>
      <c r="AE523" s="12" t="b">
        <v>0</v>
      </c>
      <c r="AF523" s="12" t="b">
        <v>1</v>
      </c>
      <c r="AG523" s="12" t="b">
        <v>0</v>
      </c>
      <c r="AH523" s="12">
        <v>1</v>
      </c>
      <c r="AI523" s="12" t="b">
        <v>0</v>
      </c>
      <c r="AJ523" s="12" t="b">
        <v>0</v>
      </c>
      <c r="AK523" s="12" t="b">
        <v>1</v>
      </c>
      <c r="AL523" s="12">
        <v>0</v>
      </c>
      <c r="AM523" s="12" t="s">
        <v>922</v>
      </c>
      <c r="AN523" s="12">
        <v>0</v>
      </c>
    </row>
    <row r="524" spans="1:40" x14ac:dyDescent="0.3">
      <c r="A524" s="62" t="s">
        <v>2422</v>
      </c>
      <c r="B524" s="62"/>
      <c r="C524" s="63"/>
      <c r="D524" s="63"/>
      <c r="E524" s="12" t="s">
        <v>1262</v>
      </c>
      <c r="F524" s="12" t="s">
        <v>1263</v>
      </c>
      <c r="G524" s="12" t="b">
        <v>0</v>
      </c>
      <c r="H524" s="12" t="b">
        <v>0</v>
      </c>
      <c r="I524" s="12" t="b">
        <v>0</v>
      </c>
      <c r="J524" s="12" t="b">
        <v>1</v>
      </c>
      <c r="K524" s="12" t="b">
        <v>0</v>
      </c>
      <c r="L524" s="12" t="b">
        <v>1</v>
      </c>
      <c r="M524" s="12" t="b">
        <v>0</v>
      </c>
      <c r="N524" s="12">
        <v>0</v>
      </c>
      <c r="O524" s="12" t="b">
        <v>0</v>
      </c>
      <c r="P524" s="12" t="b">
        <v>0</v>
      </c>
      <c r="Q524" s="12" t="b">
        <v>0</v>
      </c>
      <c r="R524" s="12" t="b">
        <v>0</v>
      </c>
      <c r="S524" s="12" t="b">
        <v>0</v>
      </c>
      <c r="T524" s="12" t="b">
        <v>1</v>
      </c>
      <c r="U524" s="12" t="b">
        <v>0</v>
      </c>
      <c r="V524" s="12" t="b">
        <v>1</v>
      </c>
      <c r="W524" s="12" t="b">
        <v>0</v>
      </c>
      <c r="X524" s="12">
        <v>1</v>
      </c>
      <c r="Y524" s="12" t="b">
        <v>0</v>
      </c>
      <c r="Z524" s="12" t="b">
        <v>0</v>
      </c>
      <c r="AA524" s="12" t="b">
        <v>0</v>
      </c>
      <c r="AB524" s="12" t="b">
        <v>0</v>
      </c>
      <c r="AC524" s="12" t="b">
        <v>0</v>
      </c>
      <c r="AD524" s="12" t="b">
        <v>1</v>
      </c>
      <c r="AE524" s="12" t="b">
        <v>0</v>
      </c>
      <c r="AF524" s="12" t="b">
        <v>1</v>
      </c>
      <c r="AG524" s="12" t="b">
        <v>0</v>
      </c>
      <c r="AH524" s="12">
        <v>1</v>
      </c>
      <c r="AI524" s="12" t="b">
        <v>0</v>
      </c>
      <c r="AJ524" s="12" t="b">
        <v>0</v>
      </c>
      <c r="AK524" s="12" t="b">
        <v>1</v>
      </c>
      <c r="AL524" s="12">
        <v>0</v>
      </c>
      <c r="AM524" s="12" t="s">
        <v>922</v>
      </c>
      <c r="AN524" s="12">
        <v>0</v>
      </c>
    </row>
    <row r="525" spans="1:40" x14ac:dyDescent="0.3">
      <c r="A525" s="62" t="s">
        <v>2422</v>
      </c>
      <c r="B525" s="62"/>
      <c r="C525" s="63"/>
      <c r="D525" s="63"/>
      <c r="E525" s="12" t="s">
        <v>1264</v>
      </c>
      <c r="F525" s="12" t="s">
        <v>1265</v>
      </c>
      <c r="G525" s="12" t="b">
        <v>0</v>
      </c>
      <c r="H525" s="12" t="b">
        <v>0</v>
      </c>
      <c r="I525" s="12" t="b">
        <v>0</v>
      </c>
      <c r="J525" s="12" t="b">
        <v>1</v>
      </c>
      <c r="K525" s="12" t="b">
        <v>0</v>
      </c>
      <c r="L525" s="12" t="b">
        <v>1</v>
      </c>
      <c r="M525" s="12" t="b">
        <v>0</v>
      </c>
      <c r="N525" s="12">
        <v>0</v>
      </c>
      <c r="O525" s="12" t="b">
        <v>0</v>
      </c>
      <c r="P525" s="12" t="b">
        <v>0</v>
      </c>
      <c r="Q525" s="12" t="b">
        <v>0</v>
      </c>
      <c r="R525" s="12" t="b">
        <v>0</v>
      </c>
      <c r="S525" s="12" t="b">
        <v>0</v>
      </c>
      <c r="T525" s="12" t="b">
        <v>1</v>
      </c>
      <c r="U525" s="12" t="b">
        <v>0</v>
      </c>
      <c r="V525" s="12" t="b">
        <v>1</v>
      </c>
      <c r="W525" s="12" t="b">
        <v>0</v>
      </c>
      <c r="X525" s="12">
        <v>1</v>
      </c>
      <c r="Y525" s="12" t="b">
        <v>0</v>
      </c>
      <c r="Z525" s="12" t="b">
        <v>0</v>
      </c>
      <c r="AA525" s="12" t="b">
        <v>0</v>
      </c>
      <c r="AB525" s="12" t="b">
        <v>0</v>
      </c>
      <c r="AC525" s="12" t="b">
        <v>0</v>
      </c>
      <c r="AD525" s="12" t="b">
        <v>1</v>
      </c>
      <c r="AE525" s="12" t="b">
        <v>0</v>
      </c>
      <c r="AF525" s="12" t="b">
        <v>1</v>
      </c>
      <c r="AG525" s="12" t="b">
        <v>0</v>
      </c>
      <c r="AH525" s="12">
        <v>1</v>
      </c>
      <c r="AI525" s="12" t="b">
        <v>0</v>
      </c>
      <c r="AJ525" s="12" t="b">
        <v>0</v>
      </c>
      <c r="AK525" s="12" t="b">
        <v>1</v>
      </c>
      <c r="AL525" s="12">
        <v>0</v>
      </c>
      <c r="AM525" s="12" t="s">
        <v>922</v>
      </c>
      <c r="AN525" s="12">
        <v>0</v>
      </c>
    </row>
    <row r="526" spans="1:40" x14ac:dyDescent="0.3">
      <c r="A526" s="62" t="s">
        <v>2422</v>
      </c>
      <c r="B526" s="62"/>
      <c r="C526" s="63"/>
      <c r="D526" s="63"/>
      <c r="E526" s="12" t="s">
        <v>1266</v>
      </c>
      <c r="F526" s="12" t="s">
        <v>1267</v>
      </c>
      <c r="G526" s="12" t="b">
        <v>0</v>
      </c>
      <c r="H526" s="12" t="b">
        <v>0</v>
      </c>
      <c r="I526" s="12" t="b">
        <v>0</v>
      </c>
      <c r="J526" s="12" t="b">
        <v>1</v>
      </c>
      <c r="K526" s="12" t="b">
        <v>0</v>
      </c>
      <c r="L526" s="12" t="b">
        <v>1</v>
      </c>
      <c r="M526" s="12" t="b">
        <v>0</v>
      </c>
      <c r="N526" s="12">
        <v>0</v>
      </c>
      <c r="O526" s="12" t="b">
        <v>0</v>
      </c>
      <c r="P526" s="12" t="b">
        <v>0</v>
      </c>
      <c r="Q526" s="12" t="b">
        <v>0</v>
      </c>
      <c r="R526" s="12" t="b">
        <v>0</v>
      </c>
      <c r="S526" s="12" t="b">
        <v>0</v>
      </c>
      <c r="T526" s="12" t="b">
        <v>1</v>
      </c>
      <c r="U526" s="12" t="b">
        <v>0</v>
      </c>
      <c r="V526" s="12" t="b">
        <v>1</v>
      </c>
      <c r="W526" s="12" t="b">
        <v>0</v>
      </c>
      <c r="X526" s="12">
        <v>1</v>
      </c>
      <c r="Y526" s="12" t="b">
        <v>0</v>
      </c>
      <c r="Z526" s="12" t="b">
        <v>0</v>
      </c>
      <c r="AA526" s="12" t="b">
        <v>0</v>
      </c>
      <c r="AB526" s="12" t="b">
        <v>0</v>
      </c>
      <c r="AC526" s="12" t="b">
        <v>0</v>
      </c>
      <c r="AD526" s="12" t="b">
        <v>1</v>
      </c>
      <c r="AE526" s="12" t="b">
        <v>0</v>
      </c>
      <c r="AF526" s="12" t="b">
        <v>1</v>
      </c>
      <c r="AG526" s="12" t="b">
        <v>0</v>
      </c>
      <c r="AH526" s="12">
        <v>1</v>
      </c>
      <c r="AI526" s="12" t="b">
        <v>0</v>
      </c>
      <c r="AJ526" s="12" t="b">
        <v>0</v>
      </c>
      <c r="AK526" s="12" t="b">
        <v>1</v>
      </c>
      <c r="AL526" s="12">
        <v>0</v>
      </c>
      <c r="AM526" s="12" t="s">
        <v>922</v>
      </c>
      <c r="AN526" s="12">
        <v>0</v>
      </c>
    </row>
    <row r="527" spans="1:40" x14ac:dyDescent="0.3">
      <c r="A527" s="62" t="s">
        <v>2422</v>
      </c>
      <c r="B527" s="62"/>
      <c r="C527" s="63"/>
      <c r="D527" s="63"/>
      <c r="E527" s="12" t="s">
        <v>1284</v>
      </c>
      <c r="F527" s="12" t="s">
        <v>1285</v>
      </c>
      <c r="G527" s="12" t="b">
        <v>0</v>
      </c>
      <c r="H527" s="12" t="b">
        <v>1</v>
      </c>
      <c r="I527" s="12" t="b">
        <v>1</v>
      </c>
      <c r="J527" s="12" t="b">
        <v>1</v>
      </c>
      <c r="K527" s="12" t="b">
        <v>0</v>
      </c>
      <c r="L527" s="12" t="b">
        <v>0</v>
      </c>
      <c r="M527" s="12" t="b">
        <v>0</v>
      </c>
      <c r="N527" s="12">
        <v>0</v>
      </c>
      <c r="O527" s="12" t="b">
        <v>0</v>
      </c>
      <c r="P527" s="12" t="b">
        <v>0</v>
      </c>
      <c r="Q527" s="12" t="b">
        <v>0</v>
      </c>
      <c r="R527" s="12" t="b">
        <v>0</v>
      </c>
      <c r="S527" s="12" t="b">
        <v>0</v>
      </c>
      <c r="T527" s="12" t="b">
        <v>1</v>
      </c>
      <c r="U527" s="12" t="b">
        <v>0</v>
      </c>
      <c r="V527" s="12" t="b">
        <v>1</v>
      </c>
      <c r="W527" s="12" t="b">
        <v>0</v>
      </c>
      <c r="X527" s="12">
        <v>1</v>
      </c>
      <c r="Y527" s="12" t="b">
        <v>0</v>
      </c>
      <c r="Z527" s="12" t="b">
        <v>0</v>
      </c>
      <c r="AA527" s="12" t="b">
        <v>1</v>
      </c>
      <c r="AB527" s="12" t="b">
        <v>1</v>
      </c>
      <c r="AC527" s="12" t="b">
        <v>1</v>
      </c>
      <c r="AD527" s="12" t="b">
        <v>1</v>
      </c>
      <c r="AE527" s="12" t="b">
        <v>0</v>
      </c>
      <c r="AF527" s="12" t="b">
        <v>0</v>
      </c>
      <c r="AG527" s="12" t="b">
        <v>0</v>
      </c>
      <c r="AH527" s="12">
        <v>0</v>
      </c>
      <c r="AI527" s="12" t="b">
        <v>0</v>
      </c>
      <c r="AJ527" s="12" t="b">
        <v>0</v>
      </c>
      <c r="AK527" s="12" t="b">
        <v>1</v>
      </c>
      <c r="AL527" s="12">
        <v>0</v>
      </c>
      <c r="AM527" s="12" t="s">
        <v>900</v>
      </c>
      <c r="AN527" s="12">
        <v>0</v>
      </c>
    </row>
    <row r="528" spans="1:40" x14ac:dyDescent="0.3">
      <c r="A528" s="62" t="s">
        <v>2422</v>
      </c>
      <c r="B528" s="62"/>
      <c r="C528" s="63"/>
      <c r="D528" s="63"/>
      <c r="E528" s="12" t="s">
        <v>1294</v>
      </c>
      <c r="F528" s="12" t="s">
        <v>1295</v>
      </c>
      <c r="G528" s="12" t="b">
        <v>0</v>
      </c>
      <c r="H528" s="12" t="b">
        <v>1</v>
      </c>
      <c r="I528" s="12" t="b">
        <v>1</v>
      </c>
      <c r="J528" s="12" t="b">
        <v>1</v>
      </c>
      <c r="K528" s="12" t="b">
        <v>0</v>
      </c>
      <c r="L528" s="12" t="b">
        <v>0</v>
      </c>
      <c r="M528" s="12" t="b">
        <v>0</v>
      </c>
      <c r="N528" s="12">
        <v>0</v>
      </c>
      <c r="O528" s="12" t="b">
        <v>0</v>
      </c>
      <c r="P528" s="12" t="b">
        <v>0</v>
      </c>
      <c r="Q528" s="12" t="b">
        <v>0</v>
      </c>
      <c r="R528" s="12" t="b">
        <v>0</v>
      </c>
      <c r="S528" s="12" t="b">
        <v>0</v>
      </c>
      <c r="T528" s="12" t="b">
        <v>1</v>
      </c>
      <c r="U528" s="12" t="b">
        <v>0</v>
      </c>
      <c r="V528" s="12" t="b">
        <v>1</v>
      </c>
      <c r="W528" s="12" t="b">
        <v>0</v>
      </c>
      <c r="X528" s="12">
        <v>1</v>
      </c>
      <c r="Y528" s="12" t="b">
        <v>0</v>
      </c>
      <c r="Z528" s="12" t="b">
        <v>0</v>
      </c>
      <c r="AA528" s="12" t="b">
        <v>0</v>
      </c>
      <c r="AB528" s="12" t="b">
        <v>0</v>
      </c>
      <c r="AC528" s="12" t="b">
        <v>0</v>
      </c>
      <c r="AD528" s="12" t="b">
        <v>1</v>
      </c>
      <c r="AE528" s="12" t="b">
        <v>0</v>
      </c>
      <c r="AF528" s="12" t="b">
        <v>1</v>
      </c>
      <c r="AG528" s="12" t="b">
        <v>0</v>
      </c>
      <c r="AH528" s="12">
        <v>1</v>
      </c>
      <c r="AI528" s="12" t="b">
        <v>0</v>
      </c>
      <c r="AJ528" s="12" t="b">
        <v>0</v>
      </c>
      <c r="AK528" s="12" t="b">
        <v>1</v>
      </c>
      <c r="AL528" s="12">
        <v>1</v>
      </c>
      <c r="AM528" s="12" t="s">
        <v>1476</v>
      </c>
      <c r="AN528" s="12">
        <v>1</v>
      </c>
    </row>
    <row r="529" spans="1:40" x14ac:dyDescent="0.3">
      <c r="A529" s="62" t="s">
        <v>2422</v>
      </c>
      <c r="B529" s="62"/>
      <c r="C529" s="63"/>
      <c r="D529" s="63"/>
      <c r="E529" s="12" t="s">
        <v>1833</v>
      </c>
      <c r="F529" s="12" t="s">
        <v>1834</v>
      </c>
      <c r="G529" s="12" t="b">
        <v>0</v>
      </c>
      <c r="H529" s="12" t="b">
        <v>1</v>
      </c>
      <c r="I529" s="12" t="b">
        <v>1</v>
      </c>
      <c r="J529" s="12" t="b">
        <v>1</v>
      </c>
      <c r="K529" s="12" t="b">
        <v>0</v>
      </c>
      <c r="L529" s="12" t="b">
        <v>0</v>
      </c>
      <c r="M529" s="12" t="b">
        <v>0</v>
      </c>
      <c r="N529" s="12">
        <v>0</v>
      </c>
      <c r="O529" s="12" t="b">
        <v>0</v>
      </c>
      <c r="P529" s="12" t="b">
        <v>0</v>
      </c>
      <c r="Q529" s="12" t="b">
        <v>0</v>
      </c>
      <c r="R529" s="12" t="b">
        <v>0</v>
      </c>
      <c r="S529" s="12" t="b">
        <v>0</v>
      </c>
      <c r="T529" s="12" t="b">
        <v>0</v>
      </c>
      <c r="U529" s="12" t="b">
        <v>0</v>
      </c>
      <c r="V529" s="12" t="b">
        <v>1</v>
      </c>
      <c r="W529" s="12" t="b">
        <v>0</v>
      </c>
      <c r="X529" s="12">
        <v>1</v>
      </c>
      <c r="Y529" s="12" t="b">
        <v>0</v>
      </c>
      <c r="Z529" s="12" t="b">
        <v>0</v>
      </c>
      <c r="AA529" s="12" t="b">
        <v>0</v>
      </c>
      <c r="AB529" s="12" t="b">
        <v>0</v>
      </c>
      <c r="AC529" s="12" t="b">
        <v>0</v>
      </c>
      <c r="AD529" s="12" t="b">
        <v>0</v>
      </c>
      <c r="AE529" s="12" t="b">
        <v>0</v>
      </c>
      <c r="AF529" s="12" t="b">
        <v>1</v>
      </c>
      <c r="AG529" s="12" t="b">
        <v>0</v>
      </c>
      <c r="AH529" s="12">
        <v>1</v>
      </c>
      <c r="AI529" s="12" t="b">
        <v>0</v>
      </c>
      <c r="AJ529" s="12" t="b">
        <v>0</v>
      </c>
      <c r="AK529" s="12" t="b">
        <v>1</v>
      </c>
      <c r="AL529" s="12">
        <v>1</v>
      </c>
      <c r="AM529" s="12" t="s">
        <v>922</v>
      </c>
      <c r="AN529" s="12">
        <v>1</v>
      </c>
    </row>
    <row r="530" spans="1:40" x14ac:dyDescent="0.3">
      <c r="A530" s="62" t="s">
        <v>2422</v>
      </c>
      <c r="B530" s="62"/>
      <c r="C530" s="52"/>
      <c r="D530" s="52"/>
      <c r="E530" s="12" t="s">
        <v>1296</v>
      </c>
      <c r="F530" s="12" t="s">
        <v>1624</v>
      </c>
      <c r="G530" s="12" t="b">
        <v>0</v>
      </c>
      <c r="H530" s="12" t="b">
        <v>1</v>
      </c>
      <c r="I530" s="12" t="b">
        <v>1</v>
      </c>
      <c r="J530" s="12" t="b">
        <v>1</v>
      </c>
      <c r="K530" s="12" t="b">
        <v>0</v>
      </c>
      <c r="L530" s="12" t="b">
        <v>0</v>
      </c>
      <c r="M530" s="12" t="b">
        <v>0</v>
      </c>
      <c r="N530" s="12">
        <v>0</v>
      </c>
      <c r="O530" s="12" t="b">
        <v>0</v>
      </c>
      <c r="P530" s="12" t="b">
        <v>0</v>
      </c>
      <c r="Q530" s="12" t="b">
        <v>0</v>
      </c>
      <c r="R530" s="12" t="b">
        <v>0</v>
      </c>
      <c r="S530" s="12" t="b">
        <v>0</v>
      </c>
      <c r="T530" s="12" t="b">
        <v>1</v>
      </c>
      <c r="U530" s="12" t="b">
        <v>0</v>
      </c>
      <c r="V530" s="12" t="b">
        <v>1</v>
      </c>
      <c r="W530" s="12" t="b">
        <v>0</v>
      </c>
      <c r="X530" s="12">
        <v>2</v>
      </c>
      <c r="Y530" s="12" t="b">
        <v>0</v>
      </c>
      <c r="Z530" s="12" t="b">
        <v>0</v>
      </c>
      <c r="AA530" s="12" t="b">
        <v>1</v>
      </c>
      <c r="AB530" s="12" t="b">
        <v>1</v>
      </c>
      <c r="AC530" s="12" t="b">
        <v>1</v>
      </c>
      <c r="AD530" s="12" t="b">
        <v>1</v>
      </c>
      <c r="AE530" s="12" t="b">
        <v>0</v>
      </c>
      <c r="AF530" s="12" t="b">
        <v>0</v>
      </c>
      <c r="AG530" s="12" t="b">
        <v>0</v>
      </c>
      <c r="AH530" s="12">
        <v>0</v>
      </c>
      <c r="AI530" s="12" t="b">
        <v>0</v>
      </c>
      <c r="AJ530" s="12" t="b">
        <v>0</v>
      </c>
      <c r="AK530" s="12" t="b">
        <v>1</v>
      </c>
      <c r="AL530" s="12">
        <v>1</v>
      </c>
      <c r="AM530" s="12" t="s">
        <v>900</v>
      </c>
      <c r="AN530" s="12">
        <v>1</v>
      </c>
    </row>
    <row r="531" spans="1:40" x14ac:dyDescent="0.3">
      <c r="A531" s="62" t="s">
        <v>2422</v>
      </c>
      <c r="B531" s="62"/>
      <c r="C531" s="52"/>
      <c r="D531" s="52"/>
      <c r="E531" s="12" t="s">
        <v>1558</v>
      </c>
      <c r="F531" s="12" t="s">
        <v>1562</v>
      </c>
      <c r="G531" s="12" t="b">
        <v>0</v>
      </c>
      <c r="H531" s="12" t="b">
        <v>1</v>
      </c>
      <c r="I531" s="12" t="b">
        <v>1</v>
      </c>
      <c r="J531" s="12" t="b">
        <v>1</v>
      </c>
      <c r="K531" s="12" t="b">
        <v>0</v>
      </c>
      <c r="L531" s="12" t="b">
        <v>0</v>
      </c>
      <c r="M531" s="12" t="b">
        <v>0</v>
      </c>
      <c r="N531" s="12">
        <v>0</v>
      </c>
      <c r="O531" s="12" t="b">
        <v>0</v>
      </c>
      <c r="P531" s="12" t="b">
        <v>0</v>
      </c>
      <c r="Q531" s="12" t="b">
        <v>0</v>
      </c>
      <c r="R531" s="12" t="b">
        <v>0</v>
      </c>
      <c r="S531" s="12" t="b">
        <v>0</v>
      </c>
      <c r="T531" s="12" t="b">
        <v>1</v>
      </c>
      <c r="U531" s="12" t="b">
        <v>0</v>
      </c>
      <c r="V531" s="12" t="b">
        <v>1</v>
      </c>
      <c r="W531" s="12" t="b">
        <v>0</v>
      </c>
      <c r="X531" s="12">
        <v>1</v>
      </c>
      <c r="Y531" s="12" t="b">
        <v>0</v>
      </c>
      <c r="Z531" s="12" t="b">
        <v>0</v>
      </c>
      <c r="AA531" s="12" t="b">
        <v>1</v>
      </c>
      <c r="AB531" s="12" t="b">
        <v>1</v>
      </c>
      <c r="AC531" s="12" t="b">
        <v>1</v>
      </c>
      <c r="AD531" s="12" t="b">
        <v>1</v>
      </c>
      <c r="AE531" s="12" t="b">
        <v>0</v>
      </c>
      <c r="AF531" s="12" t="b">
        <v>0</v>
      </c>
      <c r="AG531" s="12" t="b">
        <v>0</v>
      </c>
      <c r="AH531" s="12">
        <v>1</v>
      </c>
      <c r="AI531" s="12" t="b">
        <v>0</v>
      </c>
      <c r="AJ531" s="12" t="b">
        <v>0</v>
      </c>
      <c r="AK531" s="12" t="b">
        <v>1</v>
      </c>
      <c r="AL531" s="12">
        <v>1</v>
      </c>
      <c r="AM531" s="12" t="s">
        <v>900</v>
      </c>
      <c r="AN531" s="12">
        <v>1</v>
      </c>
    </row>
    <row r="532" spans="1:40" x14ac:dyDescent="0.3">
      <c r="A532" s="62" t="s">
        <v>2422</v>
      </c>
      <c r="B532" s="62"/>
      <c r="C532" s="52"/>
      <c r="D532" s="52"/>
      <c r="E532" s="12" t="s">
        <v>2050</v>
      </c>
      <c r="F532" s="12" t="s">
        <v>2051</v>
      </c>
      <c r="G532" s="12" t="b">
        <v>0</v>
      </c>
      <c r="H532" s="12" t="b">
        <v>1</v>
      </c>
      <c r="I532" s="12" t="b">
        <v>1</v>
      </c>
      <c r="J532" s="12" t="b">
        <v>1</v>
      </c>
      <c r="K532" s="12" t="b">
        <v>0</v>
      </c>
      <c r="L532" s="12" t="b">
        <v>0</v>
      </c>
      <c r="M532" s="12" t="b">
        <v>0</v>
      </c>
      <c r="N532" s="12">
        <v>0</v>
      </c>
      <c r="O532" s="12" t="b">
        <v>0</v>
      </c>
      <c r="P532" s="12" t="b">
        <v>0</v>
      </c>
      <c r="Q532" s="12" t="b">
        <v>0</v>
      </c>
      <c r="R532" s="12" t="b">
        <v>0</v>
      </c>
      <c r="S532" s="12" t="b">
        <v>0</v>
      </c>
      <c r="T532" s="12" t="b">
        <v>0</v>
      </c>
      <c r="U532" s="12" t="b">
        <v>0</v>
      </c>
      <c r="V532" s="12" t="b">
        <v>1</v>
      </c>
      <c r="W532" s="12" t="b">
        <v>0</v>
      </c>
      <c r="X532" s="12">
        <v>1</v>
      </c>
      <c r="Y532" s="12" t="b">
        <v>0</v>
      </c>
      <c r="Z532" s="12" t="b">
        <v>0</v>
      </c>
      <c r="AA532" s="12" t="b">
        <v>0</v>
      </c>
      <c r="AB532" s="12" t="b">
        <v>0</v>
      </c>
      <c r="AC532" s="12" t="b">
        <v>0</v>
      </c>
      <c r="AD532" s="12" t="b">
        <v>0</v>
      </c>
      <c r="AE532" s="12" t="b">
        <v>0</v>
      </c>
      <c r="AF532" s="12" t="b">
        <v>1</v>
      </c>
      <c r="AG532" s="12" t="b">
        <v>0</v>
      </c>
      <c r="AH532" s="12">
        <v>1</v>
      </c>
      <c r="AI532" s="12" t="b">
        <v>0</v>
      </c>
      <c r="AJ532" s="12" t="b">
        <v>0</v>
      </c>
      <c r="AK532" s="12" t="b">
        <v>1</v>
      </c>
      <c r="AL532" s="12">
        <v>1</v>
      </c>
      <c r="AM532" s="12" t="s">
        <v>1476</v>
      </c>
      <c r="AN532" s="12">
        <v>1</v>
      </c>
    </row>
    <row r="533" spans="1:40" x14ac:dyDescent="0.3">
      <c r="A533" s="62" t="s">
        <v>2422</v>
      </c>
      <c r="B533" s="62"/>
      <c r="C533" s="52"/>
      <c r="D533" s="52"/>
      <c r="E533" s="12" t="s">
        <v>1560</v>
      </c>
      <c r="F533" s="12" t="s">
        <v>1561</v>
      </c>
      <c r="G533" s="12" t="b">
        <v>0</v>
      </c>
      <c r="H533" s="12" t="b">
        <v>1</v>
      </c>
      <c r="I533" s="12" t="b">
        <v>1</v>
      </c>
      <c r="J533" s="12" t="b">
        <v>1</v>
      </c>
      <c r="K533" s="12" t="b">
        <v>0</v>
      </c>
      <c r="L533" s="12" t="b">
        <v>1</v>
      </c>
      <c r="M533" s="12" t="b">
        <v>0</v>
      </c>
      <c r="N533" s="12">
        <v>0</v>
      </c>
      <c r="O533" s="12" t="b">
        <v>0</v>
      </c>
      <c r="P533" s="12" t="b">
        <v>0</v>
      </c>
      <c r="Q533" s="12" t="b">
        <v>0</v>
      </c>
      <c r="R533" s="12" t="b">
        <v>0</v>
      </c>
      <c r="S533" s="12" t="b">
        <v>0</v>
      </c>
      <c r="T533" s="12" t="b">
        <v>1</v>
      </c>
      <c r="U533" s="12" t="b">
        <v>0</v>
      </c>
      <c r="V533" s="12" t="b">
        <v>1</v>
      </c>
      <c r="W533" s="12" t="b">
        <v>0</v>
      </c>
      <c r="X533" s="12">
        <v>-2</v>
      </c>
      <c r="Y533" s="12" t="b">
        <v>0</v>
      </c>
      <c r="Z533" s="12" t="b">
        <v>0</v>
      </c>
      <c r="AA533" s="12" t="b">
        <v>1</v>
      </c>
      <c r="AB533" s="12" t="b">
        <v>1</v>
      </c>
      <c r="AC533" s="12" t="b">
        <v>1</v>
      </c>
      <c r="AD533" s="12" t="b">
        <v>1</v>
      </c>
      <c r="AE533" s="12" t="b">
        <v>0</v>
      </c>
      <c r="AF533" s="12" t="b">
        <v>0</v>
      </c>
      <c r="AG533" s="12" t="b">
        <v>0</v>
      </c>
      <c r="AH533" s="12">
        <v>0</v>
      </c>
      <c r="AI533" s="12" t="b">
        <v>0</v>
      </c>
      <c r="AJ533" s="12" t="b">
        <v>0</v>
      </c>
      <c r="AK533" s="12" t="b">
        <v>1</v>
      </c>
      <c r="AL533" s="12">
        <v>1</v>
      </c>
      <c r="AM533" s="12" t="s">
        <v>900</v>
      </c>
      <c r="AN533" s="12">
        <v>1</v>
      </c>
    </row>
    <row r="534" spans="1:40" x14ac:dyDescent="0.3">
      <c r="A534" s="62" t="s">
        <v>2422</v>
      </c>
      <c r="B534" s="62"/>
      <c r="C534" s="63"/>
      <c r="D534" s="63"/>
      <c r="E534" s="12" t="s">
        <v>2052</v>
      </c>
      <c r="F534" s="12" t="s">
        <v>2053</v>
      </c>
      <c r="G534" s="12" t="b">
        <v>0</v>
      </c>
      <c r="H534" s="12" t="b">
        <v>1</v>
      </c>
      <c r="I534" s="12" t="b">
        <v>1</v>
      </c>
      <c r="J534" s="12" t="b">
        <v>1</v>
      </c>
      <c r="K534" s="12" t="b">
        <v>0</v>
      </c>
      <c r="L534" s="12" t="b">
        <v>0</v>
      </c>
      <c r="M534" s="12" t="b">
        <v>0</v>
      </c>
      <c r="N534" s="12">
        <v>0</v>
      </c>
      <c r="O534" s="12" t="b">
        <v>0</v>
      </c>
      <c r="P534" s="12" t="b">
        <v>0</v>
      </c>
      <c r="Q534" s="12" t="b">
        <v>0</v>
      </c>
      <c r="R534" s="12" t="b">
        <v>0</v>
      </c>
      <c r="S534" s="12" t="b">
        <v>0</v>
      </c>
      <c r="T534" s="12" t="b">
        <v>1</v>
      </c>
      <c r="U534" s="12" t="b">
        <v>0</v>
      </c>
      <c r="V534" s="12" t="b">
        <v>1</v>
      </c>
      <c r="W534" s="12" t="b">
        <v>0</v>
      </c>
      <c r="X534" s="12">
        <v>1</v>
      </c>
      <c r="Y534" s="12" t="b">
        <v>0</v>
      </c>
      <c r="Z534" s="12" t="b">
        <v>0</v>
      </c>
      <c r="AA534" s="12" t="b">
        <v>1</v>
      </c>
      <c r="AB534" s="12" t="b">
        <v>1</v>
      </c>
      <c r="AC534" s="12" t="b">
        <v>1</v>
      </c>
      <c r="AD534" s="12" t="b">
        <v>1</v>
      </c>
      <c r="AE534" s="12" t="b">
        <v>0</v>
      </c>
      <c r="AF534" s="12" t="b">
        <v>0</v>
      </c>
      <c r="AG534" s="12" t="b">
        <v>0</v>
      </c>
      <c r="AH534" s="12">
        <v>-1</v>
      </c>
      <c r="AI534" s="12" t="b">
        <v>0</v>
      </c>
      <c r="AJ534" s="12" t="b">
        <v>0</v>
      </c>
      <c r="AK534" s="12" t="b">
        <v>1</v>
      </c>
      <c r="AL534" s="12">
        <v>1</v>
      </c>
      <c r="AM534" s="12" t="s">
        <v>1476</v>
      </c>
      <c r="AN534" s="12">
        <v>1</v>
      </c>
    </row>
    <row r="535" spans="1:40" x14ac:dyDescent="0.3">
      <c r="A535" s="62" t="s">
        <v>2422</v>
      </c>
      <c r="B535" s="62"/>
      <c r="C535" s="52"/>
      <c r="D535" s="52"/>
      <c r="E535" s="12" t="s">
        <v>2036</v>
      </c>
      <c r="F535" s="12" t="s">
        <v>2037</v>
      </c>
      <c r="G535" s="12" t="b">
        <v>1</v>
      </c>
      <c r="H535" s="12" t="b">
        <v>1</v>
      </c>
      <c r="I535" s="12" t="b">
        <v>1</v>
      </c>
      <c r="J535" s="12" t="b">
        <v>1</v>
      </c>
      <c r="K535" s="12" t="b">
        <v>0</v>
      </c>
      <c r="L535" s="12" t="b">
        <v>0</v>
      </c>
      <c r="M535" s="12" t="b">
        <v>0</v>
      </c>
      <c r="N535" s="12">
        <v>0</v>
      </c>
      <c r="O535" s="12" t="b">
        <v>0</v>
      </c>
      <c r="P535" s="12" t="b">
        <v>0</v>
      </c>
      <c r="Q535" s="12" t="b">
        <v>0</v>
      </c>
      <c r="R535" s="12" t="b">
        <v>0</v>
      </c>
      <c r="S535" s="12" t="b">
        <v>0</v>
      </c>
      <c r="T535" s="12" t="b">
        <v>1</v>
      </c>
      <c r="U535" s="12" t="b">
        <v>0</v>
      </c>
      <c r="V535" s="12" t="b">
        <v>1</v>
      </c>
      <c r="W535" s="12" t="b">
        <v>0</v>
      </c>
      <c r="X535" s="12">
        <v>12</v>
      </c>
      <c r="Y535" s="12" t="b">
        <v>0</v>
      </c>
      <c r="Z535" s="12" t="b">
        <v>0</v>
      </c>
      <c r="AA535" s="12" t="b">
        <v>1</v>
      </c>
      <c r="AB535" s="12" t="b">
        <v>1</v>
      </c>
      <c r="AC535" s="12" t="b">
        <v>1</v>
      </c>
      <c r="AD535" s="12" t="b">
        <v>1</v>
      </c>
      <c r="AE535" s="12" t="b">
        <v>0</v>
      </c>
      <c r="AF535" s="12" t="b">
        <v>0</v>
      </c>
      <c r="AG535" s="12" t="b">
        <v>0</v>
      </c>
      <c r="AH535" s="12">
        <v>7</v>
      </c>
      <c r="AI535" s="12" t="b">
        <v>0</v>
      </c>
      <c r="AJ535" s="12" t="b">
        <v>0</v>
      </c>
      <c r="AK535" s="12" t="b">
        <v>1</v>
      </c>
      <c r="AL535" s="12">
        <v>1</v>
      </c>
      <c r="AM535" s="12" t="s">
        <v>978</v>
      </c>
      <c r="AN535" s="12">
        <v>1</v>
      </c>
    </row>
    <row r="536" spans="1:40" x14ac:dyDescent="0.3">
      <c r="A536" s="62" t="s">
        <v>2422</v>
      </c>
      <c r="B536" s="62"/>
      <c r="C536" s="63"/>
      <c r="D536" s="63"/>
      <c r="E536" s="12" t="s">
        <v>1580</v>
      </c>
      <c r="F536" s="12" t="s">
        <v>1581</v>
      </c>
      <c r="G536" s="12" t="b">
        <v>0</v>
      </c>
      <c r="H536" s="12" t="b">
        <v>1</v>
      </c>
      <c r="I536" s="12" t="b">
        <v>1</v>
      </c>
      <c r="J536" s="12" t="b">
        <v>1</v>
      </c>
      <c r="K536" s="12" t="b">
        <v>0</v>
      </c>
      <c r="L536" s="12" t="b">
        <v>1</v>
      </c>
      <c r="M536" s="12" t="b">
        <v>0</v>
      </c>
      <c r="N536" s="12">
        <v>0</v>
      </c>
      <c r="O536" s="12" t="b">
        <v>0</v>
      </c>
      <c r="P536" s="12" t="b">
        <v>0</v>
      </c>
      <c r="Q536" s="12" t="b">
        <v>0</v>
      </c>
      <c r="R536" s="12" t="b">
        <v>0</v>
      </c>
      <c r="S536" s="12" t="b">
        <v>0</v>
      </c>
      <c r="T536" s="12" t="b">
        <v>1</v>
      </c>
      <c r="U536" s="12" t="b">
        <v>0</v>
      </c>
      <c r="V536" s="12" t="b">
        <v>1</v>
      </c>
      <c r="W536" s="12" t="b">
        <v>0</v>
      </c>
      <c r="X536" s="12">
        <v>1</v>
      </c>
      <c r="Y536" s="12" t="b">
        <v>0</v>
      </c>
      <c r="Z536" s="12" t="b">
        <v>0</v>
      </c>
      <c r="AA536" s="12" t="b">
        <v>1</v>
      </c>
      <c r="AB536" s="12" t="b">
        <v>1</v>
      </c>
      <c r="AC536" s="12" t="b">
        <v>1</v>
      </c>
      <c r="AD536" s="12" t="b">
        <v>1</v>
      </c>
      <c r="AE536" s="12" t="b">
        <v>0</v>
      </c>
      <c r="AF536" s="12" t="b">
        <v>0</v>
      </c>
      <c r="AG536" s="12" t="b">
        <v>0</v>
      </c>
      <c r="AH536" s="12">
        <v>0</v>
      </c>
      <c r="AI536" s="12" t="b">
        <v>0</v>
      </c>
      <c r="AJ536" s="12" t="b">
        <v>0</v>
      </c>
      <c r="AK536" s="12" t="b">
        <v>1</v>
      </c>
      <c r="AL536" s="12">
        <v>1</v>
      </c>
      <c r="AM536" s="12" t="s">
        <v>1476</v>
      </c>
      <c r="AN536" s="12">
        <v>1</v>
      </c>
    </row>
    <row r="537" spans="1:40" x14ac:dyDescent="0.3">
      <c r="A537" s="62" t="s">
        <v>2422</v>
      </c>
      <c r="B537" s="62"/>
      <c r="C537" s="63"/>
      <c r="D537" s="63"/>
      <c r="E537" s="12" t="s">
        <v>1513</v>
      </c>
      <c r="F537" s="12" t="s">
        <v>1514</v>
      </c>
      <c r="G537" s="12" t="b">
        <v>0</v>
      </c>
      <c r="H537" s="12" t="b">
        <v>1</v>
      </c>
      <c r="I537" s="12" t="b">
        <v>1</v>
      </c>
      <c r="J537" s="12" t="b">
        <v>1</v>
      </c>
      <c r="K537" s="12" t="b">
        <v>1</v>
      </c>
      <c r="L537" s="12" t="b">
        <v>1</v>
      </c>
      <c r="M537" s="12" t="b">
        <v>0</v>
      </c>
      <c r="N537" s="12">
        <v>0</v>
      </c>
      <c r="O537" s="12" t="b">
        <v>0</v>
      </c>
      <c r="P537" s="12" t="b">
        <v>0</v>
      </c>
      <c r="Q537" s="12" t="b">
        <v>0</v>
      </c>
      <c r="R537" s="12" t="b">
        <v>1</v>
      </c>
      <c r="S537" s="12" t="b">
        <v>1</v>
      </c>
      <c r="T537" s="12" t="b">
        <v>1</v>
      </c>
      <c r="U537" s="12" t="b">
        <v>0</v>
      </c>
      <c r="V537" s="12" t="b">
        <v>1</v>
      </c>
      <c r="W537" s="12" t="b">
        <v>0</v>
      </c>
      <c r="X537" s="12">
        <v>0</v>
      </c>
      <c r="Y537" s="12" t="b">
        <v>0</v>
      </c>
      <c r="Z537" s="12" t="b">
        <v>0</v>
      </c>
      <c r="AA537" s="12" t="b">
        <v>0</v>
      </c>
      <c r="AB537" s="12" t="b">
        <v>1</v>
      </c>
      <c r="AC537" s="12" t="b">
        <v>1</v>
      </c>
      <c r="AD537" s="12" t="b">
        <v>1</v>
      </c>
      <c r="AE537" s="12" t="b">
        <v>0</v>
      </c>
      <c r="AF537" s="12" t="b">
        <v>0</v>
      </c>
      <c r="AG537" s="12" t="b">
        <v>0</v>
      </c>
      <c r="AH537" s="12">
        <v>0</v>
      </c>
      <c r="AI537" s="12" t="b">
        <v>0</v>
      </c>
      <c r="AJ537" s="12" t="b">
        <v>0</v>
      </c>
      <c r="AK537" s="12" t="b">
        <v>1</v>
      </c>
      <c r="AL537" s="12">
        <v>0</v>
      </c>
      <c r="AM537" s="12" t="s">
        <v>51</v>
      </c>
      <c r="AN537" s="12">
        <v>0</v>
      </c>
    </row>
    <row r="538" spans="1:40" x14ac:dyDescent="0.3">
      <c r="A538" s="62" t="s">
        <v>2422</v>
      </c>
      <c r="B538" s="62"/>
      <c r="C538" s="63"/>
      <c r="D538" s="63"/>
      <c r="E538" s="12" t="s">
        <v>1511</v>
      </c>
      <c r="F538" s="12" t="s">
        <v>1512</v>
      </c>
      <c r="G538" s="12" t="b">
        <v>0</v>
      </c>
      <c r="H538" s="12" t="b">
        <v>1</v>
      </c>
      <c r="I538" s="12" t="b">
        <v>1</v>
      </c>
      <c r="J538" s="12" t="b">
        <v>1</v>
      </c>
      <c r="K538" s="12" t="b">
        <v>1</v>
      </c>
      <c r="L538" s="12" t="b">
        <v>1</v>
      </c>
      <c r="M538" s="12" t="b">
        <v>0</v>
      </c>
      <c r="N538" s="12">
        <v>0</v>
      </c>
      <c r="O538" s="12" t="b">
        <v>0</v>
      </c>
      <c r="P538" s="12" t="b">
        <v>0</v>
      </c>
      <c r="Q538" s="12" t="b">
        <v>0</v>
      </c>
      <c r="R538" s="12" t="b">
        <v>1</v>
      </c>
      <c r="S538" s="12" t="b">
        <v>1</v>
      </c>
      <c r="T538" s="12" t="b">
        <v>1</v>
      </c>
      <c r="U538" s="12" t="b">
        <v>0</v>
      </c>
      <c r="V538" s="12" t="b">
        <v>1</v>
      </c>
      <c r="W538" s="12" t="b">
        <v>0</v>
      </c>
      <c r="X538" s="12">
        <v>0</v>
      </c>
      <c r="Y538" s="12" t="b">
        <v>0</v>
      </c>
      <c r="Z538" s="12" t="b">
        <v>0</v>
      </c>
      <c r="AA538" s="12" t="b">
        <v>0</v>
      </c>
      <c r="AB538" s="12" t="b">
        <v>1</v>
      </c>
      <c r="AC538" s="12" t="b">
        <v>1</v>
      </c>
      <c r="AD538" s="12" t="b">
        <v>1</v>
      </c>
      <c r="AE538" s="12" t="b">
        <v>0</v>
      </c>
      <c r="AF538" s="12" t="b">
        <v>0</v>
      </c>
      <c r="AG538" s="12" t="b">
        <v>0</v>
      </c>
      <c r="AH538" s="12">
        <v>0</v>
      </c>
      <c r="AI538" s="12" t="b">
        <v>0</v>
      </c>
      <c r="AJ538" s="12" t="b">
        <v>0</v>
      </c>
      <c r="AK538" s="12" t="b">
        <v>1</v>
      </c>
      <c r="AL538" s="12">
        <v>0</v>
      </c>
      <c r="AM538" s="12" t="s">
        <v>51</v>
      </c>
      <c r="AN538" s="12">
        <v>0</v>
      </c>
    </row>
    <row r="539" spans="1:40" x14ac:dyDescent="0.3">
      <c r="A539" s="62" t="s">
        <v>2422</v>
      </c>
      <c r="B539" s="62"/>
      <c r="C539" s="63"/>
      <c r="D539" s="63"/>
      <c r="E539" s="12" t="s">
        <v>1221</v>
      </c>
      <c r="F539" s="12" t="s">
        <v>1222</v>
      </c>
      <c r="G539" s="12" t="b">
        <v>0</v>
      </c>
      <c r="H539" s="12" t="b">
        <v>1</v>
      </c>
      <c r="I539" s="12" t="b">
        <v>1</v>
      </c>
      <c r="J539" s="12" t="b">
        <v>1</v>
      </c>
      <c r="K539" s="12" t="b">
        <v>1</v>
      </c>
      <c r="L539" s="12" t="b">
        <v>1</v>
      </c>
      <c r="M539" s="12" t="b">
        <v>0</v>
      </c>
      <c r="N539" s="12">
        <v>0</v>
      </c>
      <c r="O539" s="12" t="b">
        <v>0</v>
      </c>
      <c r="P539" s="12" t="b">
        <v>0</v>
      </c>
      <c r="Q539" s="12" t="b">
        <v>0</v>
      </c>
      <c r="R539" s="12" t="b">
        <v>1</v>
      </c>
      <c r="S539" s="12" t="b">
        <v>1</v>
      </c>
      <c r="T539" s="12" t="b">
        <v>1</v>
      </c>
      <c r="U539" s="12" t="b">
        <v>0</v>
      </c>
      <c r="V539" s="12" t="b">
        <v>1</v>
      </c>
      <c r="W539" s="12" t="b">
        <v>0</v>
      </c>
      <c r="X539" s="12">
        <v>0</v>
      </c>
      <c r="Y539" s="12" t="b">
        <v>0</v>
      </c>
      <c r="Z539" s="12" t="b">
        <v>0</v>
      </c>
      <c r="AA539" s="12" t="b">
        <v>0</v>
      </c>
      <c r="AB539" s="12" t="b">
        <v>1</v>
      </c>
      <c r="AC539" s="12" t="b">
        <v>1</v>
      </c>
      <c r="AD539" s="12" t="b">
        <v>1</v>
      </c>
      <c r="AE539" s="12" t="b">
        <v>0</v>
      </c>
      <c r="AF539" s="12" t="b">
        <v>0</v>
      </c>
      <c r="AG539" s="12" t="b">
        <v>0</v>
      </c>
      <c r="AH539" s="12">
        <v>0</v>
      </c>
      <c r="AI539" s="12" t="b">
        <v>0</v>
      </c>
      <c r="AJ539" s="12" t="b">
        <v>0</v>
      </c>
      <c r="AK539" s="12" t="b">
        <v>1</v>
      </c>
      <c r="AL539" s="12">
        <v>0</v>
      </c>
      <c r="AM539" s="12" t="s">
        <v>51</v>
      </c>
      <c r="AN539" s="12">
        <v>0</v>
      </c>
    </row>
    <row r="540" spans="1:40" x14ac:dyDescent="0.3">
      <c r="A540" s="62" t="s">
        <v>2422</v>
      </c>
      <c r="B540" s="62"/>
      <c r="C540" s="63"/>
      <c r="D540" s="63"/>
      <c r="E540" s="12" t="s">
        <v>1211</v>
      </c>
      <c r="F540" s="12" t="s">
        <v>1212</v>
      </c>
      <c r="G540" s="12" t="b">
        <v>0</v>
      </c>
      <c r="H540" s="12" t="b">
        <v>1</v>
      </c>
      <c r="I540" s="12" t="b">
        <v>1</v>
      </c>
      <c r="J540" s="12" t="b">
        <v>1</v>
      </c>
      <c r="K540" s="12" t="b">
        <v>1</v>
      </c>
      <c r="L540" s="12" t="b">
        <v>1</v>
      </c>
      <c r="M540" s="12" t="b">
        <v>0</v>
      </c>
      <c r="N540" s="12">
        <v>0</v>
      </c>
      <c r="O540" s="12" t="b">
        <v>0</v>
      </c>
      <c r="P540" s="12" t="b">
        <v>0</v>
      </c>
      <c r="Q540" s="12" t="b">
        <v>0</v>
      </c>
      <c r="R540" s="12" t="b">
        <v>1</v>
      </c>
      <c r="S540" s="12" t="b">
        <v>1</v>
      </c>
      <c r="T540" s="12" t="b">
        <v>1</v>
      </c>
      <c r="U540" s="12" t="b">
        <v>0</v>
      </c>
      <c r="V540" s="12" t="b">
        <v>1</v>
      </c>
      <c r="W540" s="12" t="b">
        <v>0</v>
      </c>
      <c r="X540" s="12">
        <v>0</v>
      </c>
      <c r="Y540" s="12" t="b">
        <v>0</v>
      </c>
      <c r="Z540" s="12" t="b">
        <v>0</v>
      </c>
      <c r="AA540" s="12" t="b">
        <v>0</v>
      </c>
      <c r="AB540" s="12" t="b">
        <v>1</v>
      </c>
      <c r="AC540" s="12" t="b">
        <v>1</v>
      </c>
      <c r="AD540" s="12" t="b">
        <v>1</v>
      </c>
      <c r="AE540" s="12" t="b">
        <v>0</v>
      </c>
      <c r="AF540" s="12" t="b">
        <v>0</v>
      </c>
      <c r="AG540" s="12" t="b">
        <v>0</v>
      </c>
      <c r="AH540" s="12">
        <v>0</v>
      </c>
      <c r="AI540" s="12" t="b">
        <v>0</v>
      </c>
      <c r="AJ540" s="12" t="b">
        <v>0</v>
      </c>
      <c r="AK540" s="12" t="b">
        <v>1</v>
      </c>
      <c r="AL540" s="12">
        <v>0</v>
      </c>
      <c r="AM540" s="12" t="s">
        <v>51</v>
      </c>
      <c r="AN540" s="12">
        <v>0</v>
      </c>
    </row>
    <row r="541" spans="1:40" x14ac:dyDescent="0.3">
      <c r="A541" s="62" t="s">
        <v>2422</v>
      </c>
      <c r="B541" s="62"/>
      <c r="C541" s="63"/>
      <c r="D541" s="63"/>
      <c r="E541" s="12" t="s">
        <v>1223</v>
      </c>
      <c r="F541" s="12" t="s">
        <v>1224</v>
      </c>
      <c r="G541" s="12" t="b">
        <v>0</v>
      </c>
      <c r="H541" s="12" t="b">
        <v>1</v>
      </c>
      <c r="I541" s="12" t="b">
        <v>1</v>
      </c>
      <c r="J541" s="12" t="b">
        <v>1</v>
      </c>
      <c r="K541" s="12" t="b">
        <v>1</v>
      </c>
      <c r="L541" s="12" t="b">
        <v>1</v>
      </c>
      <c r="M541" s="12" t="b">
        <v>0</v>
      </c>
      <c r="N541" s="12">
        <v>0</v>
      </c>
      <c r="O541" s="12" t="b">
        <v>0</v>
      </c>
      <c r="P541" s="12" t="b">
        <v>0</v>
      </c>
      <c r="Q541" s="12" t="b">
        <v>0</v>
      </c>
      <c r="R541" s="12" t="b">
        <v>1</v>
      </c>
      <c r="S541" s="12" t="b">
        <v>1</v>
      </c>
      <c r="T541" s="12" t="b">
        <v>1</v>
      </c>
      <c r="U541" s="12" t="b">
        <v>0</v>
      </c>
      <c r="V541" s="12" t="b">
        <v>1</v>
      </c>
      <c r="W541" s="12" t="b">
        <v>0</v>
      </c>
      <c r="X541" s="12">
        <v>0</v>
      </c>
      <c r="Y541" s="12" t="b">
        <v>0</v>
      </c>
      <c r="Z541" s="12" t="b">
        <v>0</v>
      </c>
      <c r="AA541" s="12" t="b">
        <v>0</v>
      </c>
      <c r="AB541" s="12" t="b">
        <v>1</v>
      </c>
      <c r="AC541" s="12" t="b">
        <v>1</v>
      </c>
      <c r="AD541" s="12" t="b">
        <v>1</v>
      </c>
      <c r="AE541" s="12" t="b">
        <v>0</v>
      </c>
      <c r="AF541" s="12" t="b">
        <v>0</v>
      </c>
      <c r="AG541" s="12" t="b">
        <v>0</v>
      </c>
      <c r="AH541" s="12">
        <v>0</v>
      </c>
      <c r="AI541" s="12" t="b">
        <v>0</v>
      </c>
      <c r="AJ541" s="12" t="b">
        <v>0</v>
      </c>
      <c r="AK541" s="12" t="b">
        <v>1</v>
      </c>
      <c r="AL541" s="12">
        <v>0</v>
      </c>
      <c r="AM541" s="12" t="s">
        <v>51</v>
      </c>
      <c r="AN541" s="12">
        <v>0</v>
      </c>
    </row>
    <row r="542" spans="1:40" x14ac:dyDescent="0.3">
      <c r="A542" s="62" t="s">
        <v>2422</v>
      </c>
      <c r="B542" s="62"/>
      <c r="C542" s="63"/>
      <c r="D542" s="63"/>
      <c r="E542" s="12" t="s">
        <v>1213</v>
      </c>
      <c r="F542" s="12" t="s">
        <v>1214</v>
      </c>
      <c r="G542" s="12" t="b">
        <v>0</v>
      </c>
      <c r="H542" s="12" t="b">
        <v>1</v>
      </c>
      <c r="I542" s="12" t="b">
        <v>1</v>
      </c>
      <c r="J542" s="12" t="b">
        <v>1</v>
      </c>
      <c r="K542" s="12" t="b">
        <v>1</v>
      </c>
      <c r="L542" s="12" t="b">
        <v>1</v>
      </c>
      <c r="M542" s="12" t="b">
        <v>0</v>
      </c>
      <c r="N542" s="12">
        <v>0</v>
      </c>
      <c r="O542" s="12" t="b">
        <v>0</v>
      </c>
      <c r="P542" s="12" t="b">
        <v>0</v>
      </c>
      <c r="Q542" s="12" t="b">
        <v>0</v>
      </c>
      <c r="R542" s="12" t="b">
        <v>1</v>
      </c>
      <c r="S542" s="12" t="b">
        <v>1</v>
      </c>
      <c r="T542" s="12" t="b">
        <v>1</v>
      </c>
      <c r="U542" s="12" t="b">
        <v>0</v>
      </c>
      <c r="V542" s="12" t="b">
        <v>1</v>
      </c>
      <c r="W542" s="12" t="b">
        <v>0</v>
      </c>
      <c r="X542" s="12">
        <v>0</v>
      </c>
      <c r="Y542" s="12" t="b">
        <v>0</v>
      </c>
      <c r="Z542" s="12" t="b">
        <v>0</v>
      </c>
      <c r="AA542" s="12" t="b">
        <v>0</v>
      </c>
      <c r="AB542" s="12" t="b">
        <v>1</v>
      </c>
      <c r="AC542" s="12" t="b">
        <v>1</v>
      </c>
      <c r="AD542" s="12" t="b">
        <v>1</v>
      </c>
      <c r="AE542" s="12" t="b">
        <v>0</v>
      </c>
      <c r="AF542" s="12" t="b">
        <v>0</v>
      </c>
      <c r="AG542" s="12" t="b">
        <v>0</v>
      </c>
      <c r="AH542" s="12">
        <v>0</v>
      </c>
      <c r="AI542" s="12" t="b">
        <v>0</v>
      </c>
      <c r="AJ542" s="12" t="b">
        <v>0</v>
      </c>
      <c r="AK542" s="12" t="b">
        <v>1</v>
      </c>
      <c r="AL542" s="12">
        <v>0</v>
      </c>
      <c r="AM542" s="12" t="s">
        <v>51</v>
      </c>
      <c r="AN542" s="12">
        <v>0</v>
      </c>
    </row>
    <row r="543" spans="1:40" x14ac:dyDescent="0.3">
      <c r="A543" s="62" t="s">
        <v>859</v>
      </c>
      <c r="B543" s="62"/>
      <c r="C543" s="63" t="s">
        <v>1464</v>
      </c>
      <c r="D543" s="52" t="s">
        <v>1481</v>
      </c>
      <c r="E543" s="21" t="s">
        <v>1759</v>
      </c>
      <c r="F543" s="12" t="s">
        <v>1582</v>
      </c>
      <c r="G543" s="12" t="b">
        <v>0</v>
      </c>
      <c r="H543" s="12" t="b">
        <v>1</v>
      </c>
      <c r="I543" s="12" t="b">
        <v>1</v>
      </c>
      <c r="J543" s="12" t="b">
        <v>1</v>
      </c>
      <c r="K543" s="12" t="b">
        <v>0</v>
      </c>
      <c r="L543" s="12" t="b">
        <v>0</v>
      </c>
      <c r="M543" s="12" t="b">
        <v>0</v>
      </c>
      <c r="N543" s="12">
        <v>0</v>
      </c>
      <c r="O543" s="12" t="b">
        <v>0</v>
      </c>
      <c r="P543" s="12" t="b">
        <v>0</v>
      </c>
      <c r="Q543" s="12" t="b">
        <v>0</v>
      </c>
      <c r="R543" s="12" t="b">
        <v>0</v>
      </c>
      <c r="S543" s="12" t="b">
        <v>0</v>
      </c>
      <c r="T543" s="12" t="b">
        <v>1</v>
      </c>
      <c r="U543" s="12" t="b">
        <v>0</v>
      </c>
      <c r="V543" s="12" t="b">
        <v>1</v>
      </c>
      <c r="W543" s="12" t="b">
        <v>0</v>
      </c>
      <c r="X543" s="12">
        <v>1</v>
      </c>
      <c r="Y543" s="12" t="b">
        <v>0</v>
      </c>
      <c r="Z543" s="12" t="b">
        <v>0</v>
      </c>
      <c r="AA543" s="12" t="b">
        <v>1</v>
      </c>
      <c r="AB543" s="12" t="b">
        <v>1</v>
      </c>
      <c r="AC543" s="12" t="b">
        <v>1</v>
      </c>
      <c r="AD543" s="12" t="b">
        <v>1</v>
      </c>
      <c r="AE543" s="12" t="b">
        <v>0</v>
      </c>
      <c r="AF543" s="12" t="b">
        <v>0</v>
      </c>
      <c r="AG543" s="12" t="b">
        <v>0</v>
      </c>
      <c r="AH543" s="12">
        <v>0</v>
      </c>
      <c r="AI543" s="12" t="b">
        <v>0</v>
      </c>
      <c r="AJ543" s="12" t="b">
        <v>0</v>
      </c>
      <c r="AK543" s="12" t="b">
        <v>1</v>
      </c>
      <c r="AL543" s="12">
        <v>1</v>
      </c>
      <c r="AM543" s="12" t="s">
        <v>900</v>
      </c>
      <c r="AN543" s="12">
        <v>1</v>
      </c>
    </row>
    <row r="544" spans="1:40" x14ac:dyDescent="0.3">
      <c r="A544" s="62" t="s">
        <v>859</v>
      </c>
      <c r="B544" s="62"/>
      <c r="C544" s="63" t="s">
        <v>1466</v>
      </c>
      <c r="D544" s="52" t="s">
        <v>1481</v>
      </c>
      <c r="E544" s="21" t="s">
        <v>1759</v>
      </c>
      <c r="F544" s="12" t="s">
        <v>1582</v>
      </c>
      <c r="G544" s="12" t="b">
        <v>0</v>
      </c>
      <c r="H544" s="12" t="b">
        <v>1</v>
      </c>
      <c r="I544" s="12" t="b">
        <v>1</v>
      </c>
      <c r="J544" s="12" t="b">
        <v>1</v>
      </c>
      <c r="K544" s="12" t="b">
        <v>0</v>
      </c>
      <c r="L544" s="12" t="b">
        <v>0</v>
      </c>
      <c r="M544" s="12" t="b">
        <v>0</v>
      </c>
      <c r="N544" s="12">
        <v>0</v>
      </c>
      <c r="O544" s="12" t="b">
        <v>0</v>
      </c>
      <c r="P544" s="12" t="b">
        <v>0</v>
      </c>
      <c r="Q544" s="12" t="b">
        <v>0</v>
      </c>
      <c r="R544" s="12" t="b">
        <v>0</v>
      </c>
      <c r="S544" s="12" t="b">
        <v>0</v>
      </c>
      <c r="T544" s="12" t="b">
        <v>1</v>
      </c>
      <c r="U544" s="12" t="b">
        <v>0</v>
      </c>
      <c r="V544" s="12" t="b">
        <v>1</v>
      </c>
      <c r="W544" s="12" t="b">
        <v>0</v>
      </c>
      <c r="X544" s="12">
        <v>1</v>
      </c>
      <c r="Y544" s="12" t="b">
        <v>0</v>
      </c>
      <c r="Z544" s="12" t="b">
        <v>0</v>
      </c>
      <c r="AA544" s="12" t="b">
        <v>1</v>
      </c>
      <c r="AB544" s="12" t="b">
        <v>1</v>
      </c>
      <c r="AC544" s="12" t="b">
        <v>1</v>
      </c>
      <c r="AD544" s="12" t="b">
        <v>1</v>
      </c>
      <c r="AE544" s="12" t="b">
        <v>0</v>
      </c>
      <c r="AF544" s="12" t="b">
        <v>0</v>
      </c>
      <c r="AG544" s="12" t="b">
        <v>0</v>
      </c>
      <c r="AH544" s="12">
        <v>0</v>
      </c>
      <c r="AI544" s="12" t="b">
        <v>0</v>
      </c>
      <c r="AJ544" s="12" t="b">
        <v>0</v>
      </c>
      <c r="AK544" s="12" t="b">
        <v>1</v>
      </c>
      <c r="AL544" s="12">
        <v>1</v>
      </c>
      <c r="AM544" s="12" t="s">
        <v>900</v>
      </c>
      <c r="AN544" s="12">
        <v>1</v>
      </c>
    </row>
    <row r="545" spans="1:40" x14ac:dyDescent="0.3">
      <c r="A545" s="62" t="s">
        <v>859</v>
      </c>
      <c r="B545" s="62"/>
      <c r="C545" s="63" t="s">
        <v>1467</v>
      </c>
      <c r="D545" s="52" t="s">
        <v>1481</v>
      </c>
      <c r="E545" s="21" t="s">
        <v>1759</v>
      </c>
      <c r="F545" s="12" t="s">
        <v>1582</v>
      </c>
      <c r="G545" s="12" t="b">
        <v>0</v>
      </c>
      <c r="H545" s="12" t="b">
        <v>1</v>
      </c>
      <c r="I545" s="12" t="b">
        <v>1</v>
      </c>
      <c r="J545" s="12" t="b">
        <v>1</v>
      </c>
      <c r="K545" s="12" t="b">
        <v>0</v>
      </c>
      <c r="L545" s="12" t="b">
        <v>0</v>
      </c>
      <c r="M545" s="12" t="b">
        <v>0</v>
      </c>
      <c r="N545" s="12">
        <v>0</v>
      </c>
      <c r="O545" s="12" t="b">
        <v>0</v>
      </c>
      <c r="P545" s="12" t="b">
        <v>0</v>
      </c>
      <c r="Q545" s="12" t="b">
        <v>0</v>
      </c>
      <c r="R545" s="12" t="b">
        <v>0</v>
      </c>
      <c r="S545" s="12" t="b">
        <v>0</v>
      </c>
      <c r="T545" s="12" t="b">
        <v>1</v>
      </c>
      <c r="U545" s="12" t="b">
        <v>0</v>
      </c>
      <c r="V545" s="12" t="b">
        <v>1</v>
      </c>
      <c r="W545" s="12" t="b">
        <v>0</v>
      </c>
      <c r="X545" s="12">
        <v>1</v>
      </c>
      <c r="Y545" s="12" t="b">
        <v>0</v>
      </c>
      <c r="Z545" s="12" t="b">
        <v>0</v>
      </c>
      <c r="AA545" s="12" t="b">
        <v>1</v>
      </c>
      <c r="AB545" s="12" t="b">
        <v>1</v>
      </c>
      <c r="AC545" s="12" t="b">
        <v>1</v>
      </c>
      <c r="AD545" s="12" t="b">
        <v>1</v>
      </c>
      <c r="AE545" s="12" t="b">
        <v>0</v>
      </c>
      <c r="AF545" s="12" t="b">
        <v>0</v>
      </c>
      <c r="AG545" s="12" t="b">
        <v>0</v>
      </c>
      <c r="AH545" s="12">
        <v>0</v>
      </c>
      <c r="AI545" s="12" t="b">
        <v>0</v>
      </c>
      <c r="AJ545" s="12" t="b">
        <v>0</v>
      </c>
      <c r="AK545" s="12" t="b">
        <v>1</v>
      </c>
      <c r="AL545" s="12">
        <v>1</v>
      </c>
      <c r="AM545" s="12" t="s">
        <v>900</v>
      </c>
      <c r="AN545" s="12">
        <v>1</v>
      </c>
    </row>
    <row r="546" spans="1:40" x14ac:dyDescent="0.3">
      <c r="A546" s="62" t="s">
        <v>859</v>
      </c>
      <c r="B546" s="62"/>
      <c r="C546" s="63" t="s">
        <v>1468</v>
      </c>
      <c r="D546" s="52" t="s">
        <v>1481</v>
      </c>
      <c r="E546" s="21" t="s">
        <v>1759</v>
      </c>
      <c r="F546" s="12" t="s">
        <v>1582</v>
      </c>
      <c r="G546" s="12" t="b">
        <v>0</v>
      </c>
      <c r="H546" s="12" t="b">
        <v>1</v>
      </c>
      <c r="I546" s="12" t="b">
        <v>1</v>
      </c>
      <c r="J546" s="12" t="b">
        <v>1</v>
      </c>
      <c r="K546" s="12" t="b">
        <v>0</v>
      </c>
      <c r="L546" s="12" t="b">
        <v>0</v>
      </c>
      <c r="M546" s="12" t="b">
        <v>0</v>
      </c>
      <c r="N546" s="12">
        <v>0</v>
      </c>
      <c r="O546" s="12" t="b">
        <v>0</v>
      </c>
      <c r="P546" s="12" t="b">
        <v>0</v>
      </c>
      <c r="Q546" s="12" t="b">
        <v>0</v>
      </c>
      <c r="R546" s="12" t="b">
        <v>0</v>
      </c>
      <c r="S546" s="12" t="b">
        <v>0</v>
      </c>
      <c r="T546" s="12" t="b">
        <v>1</v>
      </c>
      <c r="U546" s="12" t="b">
        <v>0</v>
      </c>
      <c r="V546" s="12" t="b">
        <v>1</v>
      </c>
      <c r="W546" s="12" t="b">
        <v>0</v>
      </c>
      <c r="X546" s="12">
        <v>1</v>
      </c>
      <c r="Y546" s="12" t="b">
        <v>0</v>
      </c>
      <c r="Z546" s="12" t="b">
        <v>0</v>
      </c>
      <c r="AA546" s="12" t="b">
        <v>1</v>
      </c>
      <c r="AB546" s="12" t="b">
        <v>1</v>
      </c>
      <c r="AC546" s="12" t="b">
        <v>1</v>
      </c>
      <c r="AD546" s="12" t="b">
        <v>1</v>
      </c>
      <c r="AE546" s="12" t="b">
        <v>0</v>
      </c>
      <c r="AF546" s="12" t="b">
        <v>0</v>
      </c>
      <c r="AG546" s="12" t="b">
        <v>0</v>
      </c>
      <c r="AH546" s="12">
        <v>0</v>
      </c>
      <c r="AI546" s="12" t="b">
        <v>0</v>
      </c>
      <c r="AJ546" s="12" t="b">
        <v>0</v>
      </c>
      <c r="AK546" s="12" t="b">
        <v>1</v>
      </c>
      <c r="AL546" s="12">
        <v>1</v>
      </c>
      <c r="AM546" s="12" t="s">
        <v>900</v>
      </c>
      <c r="AN546" s="12">
        <v>1</v>
      </c>
    </row>
    <row r="547" spans="1:40" x14ac:dyDescent="0.3">
      <c r="A547" s="62" t="s">
        <v>859</v>
      </c>
      <c r="B547" s="62"/>
      <c r="C547" s="63" t="s">
        <v>1469</v>
      </c>
      <c r="D547" s="52" t="s">
        <v>1481</v>
      </c>
      <c r="E547" s="21" t="s">
        <v>1759</v>
      </c>
      <c r="F547" s="12" t="s">
        <v>1582</v>
      </c>
      <c r="G547" s="12" t="b">
        <v>0</v>
      </c>
      <c r="H547" s="12" t="b">
        <v>1</v>
      </c>
      <c r="I547" s="12" t="b">
        <v>1</v>
      </c>
      <c r="J547" s="12" t="b">
        <v>1</v>
      </c>
      <c r="K547" s="12" t="b">
        <v>0</v>
      </c>
      <c r="L547" s="12" t="b">
        <v>0</v>
      </c>
      <c r="M547" s="12" t="b">
        <v>0</v>
      </c>
      <c r="N547" s="12">
        <v>0</v>
      </c>
      <c r="O547" s="12" t="b">
        <v>0</v>
      </c>
      <c r="P547" s="12" t="b">
        <v>0</v>
      </c>
      <c r="Q547" s="12" t="b">
        <v>0</v>
      </c>
      <c r="R547" s="12" t="b">
        <v>0</v>
      </c>
      <c r="S547" s="12" t="b">
        <v>0</v>
      </c>
      <c r="T547" s="12" t="b">
        <v>1</v>
      </c>
      <c r="U547" s="12" t="b">
        <v>0</v>
      </c>
      <c r="V547" s="12" t="b">
        <v>1</v>
      </c>
      <c r="W547" s="12" t="b">
        <v>0</v>
      </c>
      <c r="X547" s="12">
        <v>1</v>
      </c>
      <c r="Y547" s="12" t="b">
        <v>0</v>
      </c>
      <c r="Z547" s="12" t="b">
        <v>0</v>
      </c>
      <c r="AA547" s="12" t="b">
        <v>1</v>
      </c>
      <c r="AB547" s="12" t="b">
        <v>1</v>
      </c>
      <c r="AC547" s="12" t="b">
        <v>1</v>
      </c>
      <c r="AD547" s="12" t="b">
        <v>1</v>
      </c>
      <c r="AE547" s="12" t="b">
        <v>0</v>
      </c>
      <c r="AF547" s="12" t="b">
        <v>0</v>
      </c>
      <c r="AG547" s="12" t="b">
        <v>0</v>
      </c>
      <c r="AH547" s="12">
        <v>0</v>
      </c>
      <c r="AI547" s="12" t="b">
        <v>0</v>
      </c>
      <c r="AJ547" s="12" t="b">
        <v>0</v>
      </c>
      <c r="AK547" s="12" t="b">
        <v>1</v>
      </c>
      <c r="AL547" s="12">
        <v>1</v>
      </c>
      <c r="AM547" s="12" t="s">
        <v>900</v>
      </c>
      <c r="AN547" s="12">
        <v>1</v>
      </c>
    </row>
    <row r="548" spans="1:40" x14ac:dyDescent="0.3">
      <c r="A548" s="62" t="s">
        <v>859</v>
      </c>
      <c r="B548" s="62"/>
      <c r="C548" s="63" t="s">
        <v>1470</v>
      </c>
      <c r="D548" s="52" t="s">
        <v>1481</v>
      </c>
      <c r="E548" s="21" t="s">
        <v>1759</v>
      </c>
      <c r="F548" s="12" t="s">
        <v>1582</v>
      </c>
      <c r="G548" s="12" t="b">
        <v>0</v>
      </c>
      <c r="H548" s="12" t="b">
        <v>1</v>
      </c>
      <c r="I548" s="12" t="b">
        <v>1</v>
      </c>
      <c r="J548" s="12" t="b">
        <v>1</v>
      </c>
      <c r="K548" s="12" t="b">
        <v>0</v>
      </c>
      <c r="L548" s="12" t="b">
        <v>0</v>
      </c>
      <c r="M548" s="12" t="b">
        <v>0</v>
      </c>
      <c r="N548" s="12">
        <v>0</v>
      </c>
      <c r="O548" s="12" t="b">
        <v>0</v>
      </c>
      <c r="P548" s="12" t="b">
        <v>0</v>
      </c>
      <c r="Q548" s="12" t="b">
        <v>0</v>
      </c>
      <c r="R548" s="12" t="b">
        <v>0</v>
      </c>
      <c r="S548" s="12" t="b">
        <v>0</v>
      </c>
      <c r="T548" s="12" t="b">
        <v>1</v>
      </c>
      <c r="U548" s="12" t="b">
        <v>0</v>
      </c>
      <c r="V548" s="12" t="b">
        <v>1</v>
      </c>
      <c r="W548" s="12" t="b">
        <v>0</v>
      </c>
      <c r="X548" s="12">
        <v>1</v>
      </c>
      <c r="Y548" s="12" t="b">
        <v>0</v>
      </c>
      <c r="Z548" s="12" t="b">
        <v>0</v>
      </c>
      <c r="AA548" s="12" t="b">
        <v>1</v>
      </c>
      <c r="AB548" s="12" t="b">
        <v>1</v>
      </c>
      <c r="AC548" s="12" t="b">
        <v>1</v>
      </c>
      <c r="AD548" s="12" t="b">
        <v>1</v>
      </c>
      <c r="AE548" s="12" t="b">
        <v>0</v>
      </c>
      <c r="AF548" s="12" t="b">
        <v>0</v>
      </c>
      <c r="AG548" s="12" t="b">
        <v>0</v>
      </c>
      <c r="AH548" s="12">
        <v>0</v>
      </c>
      <c r="AI548" s="12" t="b">
        <v>0</v>
      </c>
      <c r="AJ548" s="12" t="b">
        <v>0</v>
      </c>
      <c r="AK548" s="12" t="b">
        <v>1</v>
      </c>
      <c r="AL548" s="12">
        <v>1</v>
      </c>
      <c r="AM548" s="12" t="s">
        <v>900</v>
      </c>
      <c r="AN548" s="12">
        <v>1</v>
      </c>
    </row>
    <row r="549" spans="1:40" x14ac:dyDescent="0.3">
      <c r="A549" s="62" t="s">
        <v>859</v>
      </c>
      <c r="B549" s="62"/>
      <c r="C549" s="63" t="s">
        <v>1934</v>
      </c>
      <c r="D549" s="63" t="s">
        <v>1481</v>
      </c>
      <c r="E549" s="21" t="s">
        <v>1759</v>
      </c>
      <c r="F549" s="12" t="s">
        <v>1582</v>
      </c>
      <c r="G549" s="12" t="b">
        <v>0</v>
      </c>
      <c r="H549" s="12" t="b">
        <v>1</v>
      </c>
      <c r="I549" s="12" t="b">
        <v>1</v>
      </c>
      <c r="J549" s="12" t="b">
        <v>1</v>
      </c>
      <c r="K549" s="12" t="b">
        <v>0</v>
      </c>
      <c r="L549" s="12" t="b">
        <v>0</v>
      </c>
      <c r="M549" s="12" t="b">
        <v>0</v>
      </c>
      <c r="N549" s="12">
        <v>0</v>
      </c>
      <c r="O549" s="12" t="b">
        <v>0</v>
      </c>
      <c r="P549" s="12" t="b">
        <v>0</v>
      </c>
      <c r="Q549" s="12" t="b">
        <v>0</v>
      </c>
      <c r="R549" s="12" t="b">
        <v>0</v>
      </c>
      <c r="S549" s="12" t="b">
        <v>0</v>
      </c>
      <c r="T549" s="12" t="b">
        <v>1</v>
      </c>
      <c r="U549" s="12" t="b">
        <v>0</v>
      </c>
      <c r="V549" s="12" t="b">
        <v>1</v>
      </c>
      <c r="W549" s="12" t="b">
        <v>0</v>
      </c>
      <c r="X549" s="12">
        <v>1</v>
      </c>
      <c r="Y549" s="12" t="b">
        <v>0</v>
      </c>
      <c r="Z549" s="12" t="b">
        <v>0</v>
      </c>
      <c r="AA549" s="12" t="b">
        <v>1</v>
      </c>
      <c r="AB549" s="12" t="b">
        <v>1</v>
      </c>
      <c r="AC549" s="12" t="b">
        <v>1</v>
      </c>
      <c r="AD549" s="12" t="b">
        <v>1</v>
      </c>
      <c r="AE549" s="12" t="b">
        <v>0</v>
      </c>
      <c r="AF549" s="12" t="b">
        <v>0</v>
      </c>
      <c r="AG549" s="12" t="b">
        <v>0</v>
      </c>
      <c r="AH549" s="12">
        <v>0</v>
      </c>
      <c r="AI549" s="12" t="b">
        <v>0</v>
      </c>
      <c r="AJ549" s="12" t="b">
        <v>0</v>
      </c>
      <c r="AK549" s="12" t="b">
        <v>1</v>
      </c>
      <c r="AL549" s="12">
        <v>1</v>
      </c>
      <c r="AM549" s="12" t="s">
        <v>900</v>
      </c>
      <c r="AN549" s="12">
        <v>1</v>
      </c>
    </row>
    <row r="550" spans="1:40" x14ac:dyDescent="0.3">
      <c r="A550" s="62" t="s">
        <v>859</v>
      </c>
      <c r="B550" s="62"/>
      <c r="C550" s="63" t="s">
        <v>1935</v>
      </c>
      <c r="D550" s="63" t="s">
        <v>1481</v>
      </c>
      <c r="E550" s="21" t="s">
        <v>1759</v>
      </c>
      <c r="F550" s="12" t="s">
        <v>1582</v>
      </c>
      <c r="G550" s="12" t="b">
        <v>0</v>
      </c>
      <c r="H550" s="12" t="b">
        <v>1</v>
      </c>
      <c r="I550" s="12" t="b">
        <v>1</v>
      </c>
      <c r="J550" s="12" t="b">
        <v>1</v>
      </c>
      <c r="K550" s="12" t="b">
        <v>0</v>
      </c>
      <c r="L550" s="12" t="b">
        <v>0</v>
      </c>
      <c r="M550" s="12" t="b">
        <v>0</v>
      </c>
      <c r="N550" s="12">
        <v>0</v>
      </c>
      <c r="O550" s="12" t="b">
        <v>0</v>
      </c>
      <c r="P550" s="12" t="b">
        <v>0</v>
      </c>
      <c r="Q550" s="12" t="b">
        <v>0</v>
      </c>
      <c r="R550" s="12" t="b">
        <v>0</v>
      </c>
      <c r="S550" s="12" t="b">
        <v>0</v>
      </c>
      <c r="T550" s="12" t="b">
        <v>1</v>
      </c>
      <c r="U550" s="12" t="b">
        <v>0</v>
      </c>
      <c r="V550" s="12" t="b">
        <v>1</v>
      </c>
      <c r="W550" s="12" t="b">
        <v>0</v>
      </c>
      <c r="X550" s="12">
        <v>1</v>
      </c>
      <c r="Y550" s="12" t="b">
        <v>0</v>
      </c>
      <c r="Z550" s="12" t="b">
        <v>0</v>
      </c>
      <c r="AA550" s="12" t="b">
        <v>1</v>
      </c>
      <c r="AB550" s="12" t="b">
        <v>1</v>
      </c>
      <c r="AC550" s="12" t="b">
        <v>1</v>
      </c>
      <c r="AD550" s="12" t="b">
        <v>1</v>
      </c>
      <c r="AE550" s="12" t="b">
        <v>0</v>
      </c>
      <c r="AF550" s="12" t="b">
        <v>0</v>
      </c>
      <c r="AG550" s="12" t="b">
        <v>0</v>
      </c>
      <c r="AH550" s="12">
        <v>0</v>
      </c>
      <c r="AI550" s="12" t="b">
        <v>0</v>
      </c>
      <c r="AJ550" s="12" t="b">
        <v>0</v>
      </c>
      <c r="AK550" s="12" t="b">
        <v>1</v>
      </c>
      <c r="AL550" s="12">
        <v>1</v>
      </c>
      <c r="AM550" s="12" t="s">
        <v>900</v>
      </c>
      <c r="AN550" s="12">
        <v>1</v>
      </c>
    </row>
    <row r="551" spans="1:40" x14ac:dyDescent="0.3">
      <c r="A551" s="62" t="s">
        <v>859</v>
      </c>
      <c r="B551" s="62"/>
      <c r="C551" s="63" t="s">
        <v>1936</v>
      </c>
      <c r="D551" s="63" t="s">
        <v>1481</v>
      </c>
      <c r="E551" s="21" t="s">
        <v>1759</v>
      </c>
      <c r="F551" s="12" t="s">
        <v>1582</v>
      </c>
      <c r="G551" s="12" t="b">
        <v>0</v>
      </c>
      <c r="H551" s="12" t="b">
        <v>1</v>
      </c>
      <c r="I551" s="12" t="b">
        <v>1</v>
      </c>
      <c r="J551" s="12" t="b">
        <v>1</v>
      </c>
      <c r="K551" s="12" t="b">
        <v>0</v>
      </c>
      <c r="L551" s="12" t="b">
        <v>0</v>
      </c>
      <c r="M551" s="12" t="b">
        <v>0</v>
      </c>
      <c r="N551" s="12">
        <v>0</v>
      </c>
      <c r="O551" s="12" t="b">
        <v>0</v>
      </c>
      <c r="P551" s="12" t="b">
        <v>0</v>
      </c>
      <c r="Q551" s="12" t="b">
        <v>0</v>
      </c>
      <c r="R551" s="12" t="b">
        <v>0</v>
      </c>
      <c r="S551" s="12" t="b">
        <v>0</v>
      </c>
      <c r="T551" s="12" t="b">
        <v>1</v>
      </c>
      <c r="U551" s="12" t="b">
        <v>0</v>
      </c>
      <c r="V551" s="12" t="b">
        <v>1</v>
      </c>
      <c r="W551" s="12" t="b">
        <v>0</v>
      </c>
      <c r="X551" s="12">
        <v>1</v>
      </c>
      <c r="Y551" s="12" t="b">
        <v>0</v>
      </c>
      <c r="Z551" s="12" t="b">
        <v>0</v>
      </c>
      <c r="AA551" s="12" t="b">
        <v>1</v>
      </c>
      <c r="AB551" s="12" t="b">
        <v>1</v>
      </c>
      <c r="AC551" s="12" t="b">
        <v>1</v>
      </c>
      <c r="AD551" s="12" t="b">
        <v>1</v>
      </c>
      <c r="AE551" s="12" t="b">
        <v>0</v>
      </c>
      <c r="AF551" s="12" t="b">
        <v>0</v>
      </c>
      <c r="AG551" s="12" t="b">
        <v>0</v>
      </c>
      <c r="AH551" s="12">
        <v>0</v>
      </c>
      <c r="AI551" s="12" t="b">
        <v>0</v>
      </c>
      <c r="AJ551" s="12" t="b">
        <v>0</v>
      </c>
      <c r="AK551" s="12" t="b">
        <v>1</v>
      </c>
      <c r="AL551" s="12">
        <v>1</v>
      </c>
      <c r="AM551" s="12" t="s">
        <v>900</v>
      </c>
      <c r="AN551" s="12">
        <v>1</v>
      </c>
    </row>
    <row r="552" spans="1:40" x14ac:dyDescent="0.3">
      <c r="A552" s="62" t="s">
        <v>859</v>
      </c>
      <c r="B552" s="62"/>
      <c r="C552" s="63" t="s">
        <v>1937</v>
      </c>
      <c r="D552" s="63" t="s">
        <v>1481</v>
      </c>
      <c r="E552" s="21" t="s">
        <v>1759</v>
      </c>
      <c r="F552" s="12" t="s">
        <v>1582</v>
      </c>
      <c r="G552" s="12" t="b">
        <v>0</v>
      </c>
      <c r="H552" s="12" t="b">
        <v>1</v>
      </c>
      <c r="I552" s="12" t="b">
        <v>1</v>
      </c>
      <c r="J552" s="12" t="b">
        <v>1</v>
      </c>
      <c r="K552" s="12" t="b">
        <v>0</v>
      </c>
      <c r="L552" s="12" t="b">
        <v>0</v>
      </c>
      <c r="M552" s="12" t="b">
        <v>0</v>
      </c>
      <c r="N552" s="12">
        <v>0</v>
      </c>
      <c r="O552" s="12" t="b">
        <v>0</v>
      </c>
      <c r="P552" s="12" t="b">
        <v>0</v>
      </c>
      <c r="Q552" s="12" t="b">
        <v>0</v>
      </c>
      <c r="R552" s="12" t="b">
        <v>0</v>
      </c>
      <c r="S552" s="12" t="b">
        <v>0</v>
      </c>
      <c r="T552" s="12" t="b">
        <v>1</v>
      </c>
      <c r="U552" s="12" t="b">
        <v>0</v>
      </c>
      <c r="V552" s="12" t="b">
        <v>1</v>
      </c>
      <c r="W552" s="12" t="b">
        <v>0</v>
      </c>
      <c r="X552" s="12">
        <v>1</v>
      </c>
      <c r="Y552" s="12" t="b">
        <v>0</v>
      </c>
      <c r="Z552" s="12" t="b">
        <v>0</v>
      </c>
      <c r="AA552" s="12" t="b">
        <v>1</v>
      </c>
      <c r="AB552" s="12" t="b">
        <v>1</v>
      </c>
      <c r="AC552" s="12" t="b">
        <v>1</v>
      </c>
      <c r="AD552" s="12" t="b">
        <v>1</v>
      </c>
      <c r="AE552" s="12" t="b">
        <v>0</v>
      </c>
      <c r="AF552" s="12" t="b">
        <v>0</v>
      </c>
      <c r="AG552" s="12" t="b">
        <v>0</v>
      </c>
      <c r="AH552" s="12">
        <v>0</v>
      </c>
      <c r="AI552" s="12" t="b">
        <v>0</v>
      </c>
      <c r="AJ552" s="12" t="b">
        <v>0</v>
      </c>
      <c r="AK552" s="12" t="b">
        <v>1</v>
      </c>
      <c r="AL552" s="12">
        <v>1</v>
      </c>
      <c r="AM552" s="12" t="s">
        <v>900</v>
      </c>
      <c r="AN552" s="12">
        <v>1</v>
      </c>
    </row>
    <row r="553" spans="1:40" x14ac:dyDescent="0.3">
      <c r="A553" s="62" t="s">
        <v>859</v>
      </c>
      <c r="B553" s="62"/>
      <c r="C553" s="63" t="s">
        <v>1938</v>
      </c>
      <c r="D553" s="63" t="s">
        <v>1481</v>
      </c>
      <c r="E553" s="21" t="s">
        <v>1759</v>
      </c>
      <c r="F553" s="12" t="s">
        <v>1582</v>
      </c>
      <c r="G553" s="12" t="b">
        <v>0</v>
      </c>
      <c r="H553" s="12" t="b">
        <v>1</v>
      </c>
      <c r="I553" s="12" t="b">
        <v>1</v>
      </c>
      <c r="J553" s="12" t="b">
        <v>1</v>
      </c>
      <c r="K553" s="12" t="b">
        <v>0</v>
      </c>
      <c r="L553" s="12" t="b">
        <v>0</v>
      </c>
      <c r="M553" s="12" t="b">
        <v>0</v>
      </c>
      <c r="N553" s="12">
        <v>0</v>
      </c>
      <c r="O553" s="12" t="b">
        <v>0</v>
      </c>
      <c r="P553" s="12" t="b">
        <v>0</v>
      </c>
      <c r="Q553" s="12" t="b">
        <v>0</v>
      </c>
      <c r="R553" s="12" t="b">
        <v>0</v>
      </c>
      <c r="S553" s="12" t="b">
        <v>0</v>
      </c>
      <c r="T553" s="12" t="b">
        <v>1</v>
      </c>
      <c r="U553" s="12" t="b">
        <v>0</v>
      </c>
      <c r="V553" s="12" t="b">
        <v>1</v>
      </c>
      <c r="W553" s="12" t="b">
        <v>0</v>
      </c>
      <c r="X553" s="12">
        <v>1</v>
      </c>
      <c r="Y553" s="12" t="b">
        <v>0</v>
      </c>
      <c r="Z553" s="12" t="b">
        <v>0</v>
      </c>
      <c r="AA553" s="12" t="b">
        <v>1</v>
      </c>
      <c r="AB553" s="12" t="b">
        <v>1</v>
      </c>
      <c r="AC553" s="12" t="b">
        <v>1</v>
      </c>
      <c r="AD553" s="12" t="b">
        <v>1</v>
      </c>
      <c r="AE553" s="12" t="b">
        <v>0</v>
      </c>
      <c r="AF553" s="12" t="b">
        <v>0</v>
      </c>
      <c r="AG553" s="12" t="b">
        <v>0</v>
      </c>
      <c r="AH553" s="12">
        <v>0</v>
      </c>
      <c r="AI553" s="12" t="b">
        <v>0</v>
      </c>
      <c r="AJ553" s="12" t="b">
        <v>0</v>
      </c>
      <c r="AK553" s="12" t="b">
        <v>1</v>
      </c>
      <c r="AL553" s="12">
        <v>1</v>
      </c>
      <c r="AM553" s="12" t="s">
        <v>900</v>
      </c>
      <c r="AN553" s="12">
        <v>1</v>
      </c>
    </row>
    <row r="554" spans="1:40" x14ac:dyDescent="0.3">
      <c r="A554" s="62" t="s">
        <v>859</v>
      </c>
      <c r="B554" s="62"/>
      <c r="C554" s="63" t="s">
        <v>1939</v>
      </c>
      <c r="D554" s="63" t="s">
        <v>1481</v>
      </c>
      <c r="E554" s="21" t="s">
        <v>1759</v>
      </c>
      <c r="F554" s="12" t="s">
        <v>1582</v>
      </c>
      <c r="G554" s="12" t="b">
        <v>0</v>
      </c>
      <c r="H554" s="12" t="b">
        <v>1</v>
      </c>
      <c r="I554" s="12" t="b">
        <v>1</v>
      </c>
      <c r="J554" s="12" t="b">
        <v>1</v>
      </c>
      <c r="K554" s="12" t="b">
        <v>0</v>
      </c>
      <c r="L554" s="12" t="b">
        <v>0</v>
      </c>
      <c r="M554" s="12" t="b">
        <v>0</v>
      </c>
      <c r="N554" s="12">
        <v>0</v>
      </c>
      <c r="O554" s="12" t="b">
        <v>0</v>
      </c>
      <c r="P554" s="12" t="b">
        <v>0</v>
      </c>
      <c r="Q554" s="12" t="b">
        <v>0</v>
      </c>
      <c r="R554" s="12" t="b">
        <v>0</v>
      </c>
      <c r="S554" s="12" t="b">
        <v>0</v>
      </c>
      <c r="T554" s="12" t="b">
        <v>1</v>
      </c>
      <c r="U554" s="12" t="b">
        <v>0</v>
      </c>
      <c r="V554" s="12" t="b">
        <v>1</v>
      </c>
      <c r="W554" s="12" t="b">
        <v>0</v>
      </c>
      <c r="X554" s="12">
        <v>1</v>
      </c>
      <c r="Y554" s="12" t="b">
        <v>0</v>
      </c>
      <c r="Z554" s="12" t="b">
        <v>0</v>
      </c>
      <c r="AA554" s="12" t="b">
        <v>1</v>
      </c>
      <c r="AB554" s="12" t="b">
        <v>1</v>
      </c>
      <c r="AC554" s="12" t="b">
        <v>1</v>
      </c>
      <c r="AD554" s="12" t="b">
        <v>1</v>
      </c>
      <c r="AE554" s="12" t="b">
        <v>0</v>
      </c>
      <c r="AF554" s="12" t="b">
        <v>0</v>
      </c>
      <c r="AG554" s="12" t="b">
        <v>0</v>
      </c>
      <c r="AH554" s="12">
        <v>0</v>
      </c>
      <c r="AI554" s="12" t="b">
        <v>0</v>
      </c>
      <c r="AJ554" s="12" t="b">
        <v>0</v>
      </c>
      <c r="AK554" s="12" t="b">
        <v>1</v>
      </c>
      <c r="AL554" s="12">
        <v>1</v>
      </c>
      <c r="AM554" s="12" t="s">
        <v>900</v>
      </c>
      <c r="AN554" s="12">
        <v>1</v>
      </c>
    </row>
    <row r="555" spans="1:40" x14ac:dyDescent="0.3">
      <c r="A555" s="62" t="s">
        <v>859</v>
      </c>
      <c r="B555" s="62"/>
      <c r="C555" s="63" t="s">
        <v>1464</v>
      </c>
      <c r="D555" s="52" t="s">
        <v>1594</v>
      </c>
      <c r="E555" s="21" t="s">
        <v>1760</v>
      </c>
      <c r="F555" s="12" t="s">
        <v>1583</v>
      </c>
      <c r="G555" s="12" t="b">
        <v>0</v>
      </c>
      <c r="H555" s="12" t="b">
        <v>1</v>
      </c>
      <c r="I555" s="12" t="b">
        <v>1</v>
      </c>
      <c r="J555" s="12" t="b">
        <v>1</v>
      </c>
      <c r="K555" s="12" t="b">
        <v>0</v>
      </c>
      <c r="L555" s="12" t="b">
        <v>0</v>
      </c>
      <c r="M555" s="12" t="b">
        <v>0</v>
      </c>
      <c r="N555" s="12">
        <v>0</v>
      </c>
      <c r="O555" s="12" t="b">
        <v>0</v>
      </c>
      <c r="P555" s="12" t="b">
        <v>0</v>
      </c>
      <c r="Q555" s="12" t="b">
        <v>0</v>
      </c>
      <c r="R555" s="12" t="b">
        <v>0</v>
      </c>
      <c r="S555" s="12" t="b">
        <v>0</v>
      </c>
      <c r="T555" s="12" t="b">
        <v>1</v>
      </c>
      <c r="U555" s="12" t="b">
        <v>0</v>
      </c>
      <c r="V555" s="12" t="b">
        <v>1</v>
      </c>
      <c r="W555" s="12" t="b">
        <v>0</v>
      </c>
      <c r="X555" s="12">
        <v>1</v>
      </c>
      <c r="Y555" s="12" t="b">
        <v>0</v>
      </c>
      <c r="Z555" s="12" t="b">
        <v>0</v>
      </c>
      <c r="AA555" s="12" t="b">
        <v>1</v>
      </c>
      <c r="AB555" s="12" t="b">
        <v>1</v>
      </c>
      <c r="AC555" s="12" t="b">
        <v>1</v>
      </c>
      <c r="AD555" s="12" t="b">
        <v>1</v>
      </c>
      <c r="AE555" s="12" t="b">
        <v>0</v>
      </c>
      <c r="AF555" s="12" t="b">
        <v>0</v>
      </c>
      <c r="AG555" s="12" t="b">
        <v>0</v>
      </c>
      <c r="AH555" s="12">
        <v>0</v>
      </c>
      <c r="AI555" s="12" t="b">
        <v>0</v>
      </c>
      <c r="AJ555" s="12" t="b">
        <v>0</v>
      </c>
      <c r="AK555" s="12" t="b">
        <v>1</v>
      </c>
      <c r="AL555" s="12">
        <v>1</v>
      </c>
      <c r="AM555" s="12" t="s">
        <v>900</v>
      </c>
      <c r="AN555" s="12">
        <v>1</v>
      </c>
    </row>
    <row r="556" spans="1:40" x14ac:dyDescent="0.3">
      <c r="A556" s="62" t="s">
        <v>859</v>
      </c>
      <c r="B556" s="62"/>
      <c r="C556" s="63" t="s">
        <v>1466</v>
      </c>
      <c r="D556" s="52" t="s">
        <v>1594</v>
      </c>
      <c r="E556" s="21" t="s">
        <v>1760</v>
      </c>
      <c r="F556" s="12" t="s">
        <v>1583</v>
      </c>
      <c r="G556" s="12" t="b">
        <v>0</v>
      </c>
      <c r="H556" s="12" t="b">
        <v>1</v>
      </c>
      <c r="I556" s="12" t="b">
        <v>1</v>
      </c>
      <c r="J556" s="12" t="b">
        <v>1</v>
      </c>
      <c r="K556" s="12" t="b">
        <v>0</v>
      </c>
      <c r="L556" s="12" t="b">
        <v>0</v>
      </c>
      <c r="M556" s="12" t="b">
        <v>0</v>
      </c>
      <c r="N556" s="12">
        <v>0</v>
      </c>
      <c r="O556" s="12" t="b">
        <v>0</v>
      </c>
      <c r="P556" s="12" t="b">
        <v>0</v>
      </c>
      <c r="Q556" s="12" t="b">
        <v>0</v>
      </c>
      <c r="R556" s="12" t="b">
        <v>0</v>
      </c>
      <c r="S556" s="12" t="b">
        <v>0</v>
      </c>
      <c r="T556" s="12" t="b">
        <v>1</v>
      </c>
      <c r="U556" s="12" t="b">
        <v>0</v>
      </c>
      <c r="V556" s="12" t="b">
        <v>1</v>
      </c>
      <c r="W556" s="12" t="b">
        <v>0</v>
      </c>
      <c r="X556" s="12">
        <v>1</v>
      </c>
      <c r="Y556" s="12" t="b">
        <v>0</v>
      </c>
      <c r="Z556" s="12" t="b">
        <v>0</v>
      </c>
      <c r="AA556" s="12" t="b">
        <v>1</v>
      </c>
      <c r="AB556" s="12" t="b">
        <v>1</v>
      </c>
      <c r="AC556" s="12" t="b">
        <v>1</v>
      </c>
      <c r="AD556" s="12" t="b">
        <v>1</v>
      </c>
      <c r="AE556" s="12" t="b">
        <v>0</v>
      </c>
      <c r="AF556" s="12" t="b">
        <v>0</v>
      </c>
      <c r="AG556" s="12" t="b">
        <v>0</v>
      </c>
      <c r="AH556" s="12">
        <v>0</v>
      </c>
      <c r="AI556" s="12" t="b">
        <v>0</v>
      </c>
      <c r="AJ556" s="12" t="b">
        <v>0</v>
      </c>
      <c r="AK556" s="12" t="b">
        <v>1</v>
      </c>
      <c r="AL556" s="12">
        <v>1</v>
      </c>
      <c r="AM556" s="12" t="s">
        <v>900</v>
      </c>
      <c r="AN556" s="12">
        <v>1</v>
      </c>
    </row>
    <row r="557" spans="1:40" x14ac:dyDescent="0.3">
      <c r="A557" s="62" t="s">
        <v>859</v>
      </c>
      <c r="B557" s="62"/>
      <c r="C557" s="63" t="s">
        <v>1467</v>
      </c>
      <c r="D557" s="52" t="s">
        <v>1594</v>
      </c>
      <c r="E557" s="21" t="s">
        <v>1760</v>
      </c>
      <c r="F557" s="12" t="s">
        <v>1583</v>
      </c>
      <c r="G557" s="12" t="b">
        <v>0</v>
      </c>
      <c r="H557" s="12" t="b">
        <v>1</v>
      </c>
      <c r="I557" s="12" t="b">
        <v>1</v>
      </c>
      <c r="J557" s="12" t="b">
        <v>1</v>
      </c>
      <c r="K557" s="12" t="b">
        <v>0</v>
      </c>
      <c r="L557" s="12" t="b">
        <v>0</v>
      </c>
      <c r="M557" s="12" t="b">
        <v>0</v>
      </c>
      <c r="N557" s="12">
        <v>0</v>
      </c>
      <c r="O557" s="12" t="b">
        <v>0</v>
      </c>
      <c r="P557" s="12" t="b">
        <v>0</v>
      </c>
      <c r="Q557" s="12" t="b">
        <v>0</v>
      </c>
      <c r="R557" s="12" t="b">
        <v>0</v>
      </c>
      <c r="S557" s="12" t="b">
        <v>0</v>
      </c>
      <c r="T557" s="12" t="b">
        <v>1</v>
      </c>
      <c r="U557" s="12" t="b">
        <v>0</v>
      </c>
      <c r="V557" s="12" t="b">
        <v>1</v>
      </c>
      <c r="W557" s="12" t="b">
        <v>0</v>
      </c>
      <c r="X557" s="12">
        <v>1</v>
      </c>
      <c r="Y557" s="12" t="b">
        <v>0</v>
      </c>
      <c r="Z557" s="12" t="b">
        <v>0</v>
      </c>
      <c r="AA557" s="12" t="b">
        <v>1</v>
      </c>
      <c r="AB557" s="12" t="b">
        <v>1</v>
      </c>
      <c r="AC557" s="12" t="b">
        <v>1</v>
      </c>
      <c r="AD557" s="12" t="b">
        <v>1</v>
      </c>
      <c r="AE557" s="12" t="b">
        <v>0</v>
      </c>
      <c r="AF557" s="12" t="b">
        <v>0</v>
      </c>
      <c r="AG557" s="12" t="b">
        <v>0</v>
      </c>
      <c r="AH557" s="12">
        <v>0</v>
      </c>
      <c r="AI557" s="12" t="b">
        <v>0</v>
      </c>
      <c r="AJ557" s="12" t="b">
        <v>0</v>
      </c>
      <c r="AK557" s="12" t="b">
        <v>1</v>
      </c>
      <c r="AL557" s="12">
        <v>1</v>
      </c>
      <c r="AM557" s="12" t="s">
        <v>900</v>
      </c>
      <c r="AN557" s="12">
        <v>1</v>
      </c>
    </row>
    <row r="558" spans="1:40" x14ac:dyDescent="0.3">
      <c r="A558" s="62" t="s">
        <v>859</v>
      </c>
      <c r="B558" s="62"/>
      <c r="C558" s="63" t="s">
        <v>1468</v>
      </c>
      <c r="D558" s="52" t="s">
        <v>1594</v>
      </c>
      <c r="E558" s="21" t="s">
        <v>1760</v>
      </c>
      <c r="F558" s="12" t="s">
        <v>1583</v>
      </c>
      <c r="G558" s="12" t="b">
        <v>0</v>
      </c>
      <c r="H558" s="12" t="b">
        <v>1</v>
      </c>
      <c r="I558" s="12" t="b">
        <v>1</v>
      </c>
      <c r="J558" s="12" t="b">
        <v>1</v>
      </c>
      <c r="K558" s="12" t="b">
        <v>0</v>
      </c>
      <c r="L558" s="12" t="b">
        <v>0</v>
      </c>
      <c r="M558" s="12" t="b">
        <v>0</v>
      </c>
      <c r="N558" s="12">
        <v>0</v>
      </c>
      <c r="O558" s="12" t="b">
        <v>0</v>
      </c>
      <c r="P558" s="12" t="b">
        <v>0</v>
      </c>
      <c r="Q558" s="12" t="b">
        <v>0</v>
      </c>
      <c r="R558" s="12" t="b">
        <v>0</v>
      </c>
      <c r="S558" s="12" t="b">
        <v>0</v>
      </c>
      <c r="T558" s="12" t="b">
        <v>1</v>
      </c>
      <c r="U558" s="12" t="b">
        <v>0</v>
      </c>
      <c r="V558" s="12" t="b">
        <v>1</v>
      </c>
      <c r="W558" s="12" t="b">
        <v>0</v>
      </c>
      <c r="X558" s="12">
        <v>1</v>
      </c>
      <c r="Y558" s="12" t="b">
        <v>0</v>
      </c>
      <c r="Z558" s="12" t="b">
        <v>0</v>
      </c>
      <c r="AA558" s="12" t="b">
        <v>1</v>
      </c>
      <c r="AB558" s="12" t="b">
        <v>1</v>
      </c>
      <c r="AC558" s="12" t="b">
        <v>1</v>
      </c>
      <c r="AD558" s="12" t="b">
        <v>1</v>
      </c>
      <c r="AE558" s="12" t="b">
        <v>0</v>
      </c>
      <c r="AF558" s="12" t="b">
        <v>0</v>
      </c>
      <c r="AG558" s="12" t="b">
        <v>0</v>
      </c>
      <c r="AH558" s="12">
        <v>0</v>
      </c>
      <c r="AI558" s="12" t="b">
        <v>0</v>
      </c>
      <c r="AJ558" s="12" t="b">
        <v>0</v>
      </c>
      <c r="AK558" s="12" t="b">
        <v>1</v>
      </c>
      <c r="AL558" s="12">
        <v>1</v>
      </c>
      <c r="AM558" s="12" t="s">
        <v>900</v>
      </c>
      <c r="AN558" s="12">
        <v>1</v>
      </c>
    </row>
    <row r="559" spans="1:40" x14ac:dyDescent="0.3">
      <c r="A559" s="62" t="s">
        <v>859</v>
      </c>
      <c r="B559" s="62"/>
      <c r="C559" s="63" t="s">
        <v>1469</v>
      </c>
      <c r="D559" s="52" t="s">
        <v>1594</v>
      </c>
      <c r="E559" s="21" t="s">
        <v>1760</v>
      </c>
      <c r="F559" s="12" t="s">
        <v>1583</v>
      </c>
      <c r="G559" s="12" t="b">
        <v>0</v>
      </c>
      <c r="H559" s="12" t="b">
        <v>1</v>
      </c>
      <c r="I559" s="12" t="b">
        <v>1</v>
      </c>
      <c r="J559" s="12" t="b">
        <v>1</v>
      </c>
      <c r="K559" s="12" t="b">
        <v>0</v>
      </c>
      <c r="L559" s="12" t="b">
        <v>0</v>
      </c>
      <c r="M559" s="12" t="b">
        <v>0</v>
      </c>
      <c r="N559" s="12">
        <v>0</v>
      </c>
      <c r="O559" s="12" t="b">
        <v>0</v>
      </c>
      <c r="P559" s="12" t="b">
        <v>0</v>
      </c>
      <c r="Q559" s="12" t="b">
        <v>0</v>
      </c>
      <c r="R559" s="12" t="b">
        <v>0</v>
      </c>
      <c r="S559" s="12" t="b">
        <v>0</v>
      </c>
      <c r="T559" s="12" t="b">
        <v>1</v>
      </c>
      <c r="U559" s="12" t="b">
        <v>0</v>
      </c>
      <c r="V559" s="12" t="b">
        <v>1</v>
      </c>
      <c r="W559" s="12" t="b">
        <v>0</v>
      </c>
      <c r="X559" s="12">
        <v>1</v>
      </c>
      <c r="Y559" s="12" t="b">
        <v>0</v>
      </c>
      <c r="Z559" s="12" t="b">
        <v>0</v>
      </c>
      <c r="AA559" s="12" t="b">
        <v>1</v>
      </c>
      <c r="AB559" s="12" t="b">
        <v>1</v>
      </c>
      <c r="AC559" s="12" t="b">
        <v>1</v>
      </c>
      <c r="AD559" s="12" t="b">
        <v>1</v>
      </c>
      <c r="AE559" s="12" t="b">
        <v>0</v>
      </c>
      <c r="AF559" s="12" t="b">
        <v>0</v>
      </c>
      <c r="AG559" s="12" t="b">
        <v>0</v>
      </c>
      <c r="AH559" s="12">
        <v>0</v>
      </c>
      <c r="AI559" s="12" t="b">
        <v>0</v>
      </c>
      <c r="AJ559" s="12" t="b">
        <v>0</v>
      </c>
      <c r="AK559" s="12" t="b">
        <v>1</v>
      </c>
      <c r="AL559" s="12">
        <v>1</v>
      </c>
      <c r="AM559" s="12" t="s">
        <v>900</v>
      </c>
      <c r="AN559" s="12">
        <v>1</v>
      </c>
    </row>
    <row r="560" spans="1:40" x14ac:dyDescent="0.3">
      <c r="A560" s="62" t="s">
        <v>859</v>
      </c>
      <c r="B560" s="62"/>
      <c r="C560" s="63" t="s">
        <v>1470</v>
      </c>
      <c r="D560" s="52" t="s">
        <v>1594</v>
      </c>
      <c r="E560" s="21" t="s">
        <v>1760</v>
      </c>
      <c r="F560" s="12" t="s">
        <v>1583</v>
      </c>
      <c r="G560" s="12" t="b">
        <v>0</v>
      </c>
      <c r="H560" s="12" t="b">
        <v>1</v>
      </c>
      <c r="I560" s="12" t="b">
        <v>1</v>
      </c>
      <c r="J560" s="12" t="b">
        <v>1</v>
      </c>
      <c r="K560" s="12" t="b">
        <v>0</v>
      </c>
      <c r="L560" s="12" t="b">
        <v>0</v>
      </c>
      <c r="M560" s="12" t="b">
        <v>0</v>
      </c>
      <c r="N560" s="12">
        <v>0</v>
      </c>
      <c r="O560" s="12" t="b">
        <v>0</v>
      </c>
      <c r="P560" s="12" t="b">
        <v>0</v>
      </c>
      <c r="Q560" s="12" t="b">
        <v>0</v>
      </c>
      <c r="R560" s="12" t="b">
        <v>0</v>
      </c>
      <c r="S560" s="12" t="b">
        <v>0</v>
      </c>
      <c r="T560" s="12" t="b">
        <v>1</v>
      </c>
      <c r="U560" s="12" t="b">
        <v>0</v>
      </c>
      <c r="V560" s="12" t="b">
        <v>1</v>
      </c>
      <c r="W560" s="12" t="b">
        <v>0</v>
      </c>
      <c r="X560" s="12">
        <v>1</v>
      </c>
      <c r="Y560" s="12" t="b">
        <v>0</v>
      </c>
      <c r="Z560" s="12" t="b">
        <v>0</v>
      </c>
      <c r="AA560" s="12" t="b">
        <v>1</v>
      </c>
      <c r="AB560" s="12" t="b">
        <v>1</v>
      </c>
      <c r="AC560" s="12" t="b">
        <v>1</v>
      </c>
      <c r="AD560" s="12" t="b">
        <v>1</v>
      </c>
      <c r="AE560" s="12" t="b">
        <v>0</v>
      </c>
      <c r="AF560" s="12" t="b">
        <v>0</v>
      </c>
      <c r="AG560" s="12" t="b">
        <v>0</v>
      </c>
      <c r="AH560" s="12">
        <v>0</v>
      </c>
      <c r="AI560" s="12" t="b">
        <v>0</v>
      </c>
      <c r="AJ560" s="12" t="b">
        <v>0</v>
      </c>
      <c r="AK560" s="12" t="b">
        <v>1</v>
      </c>
      <c r="AL560" s="12">
        <v>1</v>
      </c>
      <c r="AM560" s="12" t="s">
        <v>900</v>
      </c>
      <c r="AN560" s="12">
        <v>1</v>
      </c>
    </row>
    <row r="561" spans="1:40" x14ac:dyDescent="0.3">
      <c r="A561" s="62" t="s">
        <v>859</v>
      </c>
      <c r="B561" s="62"/>
      <c r="C561" s="63" t="s">
        <v>1934</v>
      </c>
      <c r="D561" s="63" t="s">
        <v>1594</v>
      </c>
      <c r="E561" s="21" t="s">
        <v>1760</v>
      </c>
      <c r="F561" s="12" t="s">
        <v>1583</v>
      </c>
      <c r="G561" s="12" t="b">
        <v>0</v>
      </c>
      <c r="H561" s="12" t="b">
        <v>1</v>
      </c>
      <c r="I561" s="12" t="b">
        <v>1</v>
      </c>
      <c r="J561" s="12" t="b">
        <v>1</v>
      </c>
      <c r="K561" s="12" t="b">
        <v>0</v>
      </c>
      <c r="L561" s="12" t="b">
        <v>0</v>
      </c>
      <c r="M561" s="12" t="b">
        <v>0</v>
      </c>
      <c r="N561" s="12">
        <v>0</v>
      </c>
      <c r="O561" s="12" t="b">
        <v>0</v>
      </c>
      <c r="P561" s="12" t="b">
        <v>0</v>
      </c>
      <c r="Q561" s="12" t="b">
        <v>0</v>
      </c>
      <c r="R561" s="12" t="b">
        <v>0</v>
      </c>
      <c r="S561" s="12" t="b">
        <v>0</v>
      </c>
      <c r="T561" s="12" t="b">
        <v>1</v>
      </c>
      <c r="U561" s="12" t="b">
        <v>0</v>
      </c>
      <c r="V561" s="12" t="b">
        <v>1</v>
      </c>
      <c r="W561" s="12" t="b">
        <v>0</v>
      </c>
      <c r="X561" s="12">
        <v>1</v>
      </c>
      <c r="Y561" s="12" t="b">
        <v>0</v>
      </c>
      <c r="Z561" s="12" t="b">
        <v>0</v>
      </c>
      <c r="AA561" s="12" t="b">
        <v>1</v>
      </c>
      <c r="AB561" s="12" t="b">
        <v>1</v>
      </c>
      <c r="AC561" s="12" t="b">
        <v>1</v>
      </c>
      <c r="AD561" s="12" t="b">
        <v>1</v>
      </c>
      <c r="AE561" s="12" t="b">
        <v>0</v>
      </c>
      <c r="AF561" s="12" t="b">
        <v>0</v>
      </c>
      <c r="AG561" s="12" t="b">
        <v>0</v>
      </c>
      <c r="AH561" s="12">
        <v>0</v>
      </c>
      <c r="AI561" s="12" t="b">
        <v>0</v>
      </c>
      <c r="AJ561" s="12" t="b">
        <v>0</v>
      </c>
      <c r="AK561" s="12" t="b">
        <v>1</v>
      </c>
      <c r="AL561" s="12">
        <v>1</v>
      </c>
      <c r="AM561" s="12" t="s">
        <v>900</v>
      </c>
      <c r="AN561" s="12">
        <v>1</v>
      </c>
    </row>
    <row r="562" spans="1:40" x14ac:dyDescent="0.3">
      <c r="A562" s="62" t="s">
        <v>859</v>
      </c>
      <c r="B562" s="62"/>
      <c r="C562" s="63" t="s">
        <v>1935</v>
      </c>
      <c r="D562" s="63" t="s">
        <v>1594</v>
      </c>
      <c r="E562" s="21" t="s">
        <v>1760</v>
      </c>
      <c r="F562" s="12" t="s">
        <v>1583</v>
      </c>
      <c r="G562" s="12" t="b">
        <v>0</v>
      </c>
      <c r="H562" s="12" t="b">
        <v>1</v>
      </c>
      <c r="I562" s="12" t="b">
        <v>1</v>
      </c>
      <c r="J562" s="12" t="b">
        <v>1</v>
      </c>
      <c r="K562" s="12" t="b">
        <v>0</v>
      </c>
      <c r="L562" s="12" t="b">
        <v>0</v>
      </c>
      <c r="M562" s="12" t="b">
        <v>0</v>
      </c>
      <c r="N562" s="12">
        <v>0</v>
      </c>
      <c r="O562" s="12" t="b">
        <v>0</v>
      </c>
      <c r="P562" s="12" t="b">
        <v>0</v>
      </c>
      <c r="Q562" s="12" t="b">
        <v>0</v>
      </c>
      <c r="R562" s="12" t="b">
        <v>0</v>
      </c>
      <c r="S562" s="12" t="b">
        <v>0</v>
      </c>
      <c r="T562" s="12" t="b">
        <v>1</v>
      </c>
      <c r="U562" s="12" t="b">
        <v>0</v>
      </c>
      <c r="V562" s="12" t="b">
        <v>1</v>
      </c>
      <c r="W562" s="12" t="b">
        <v>0</v>
      </c>
      <c r="X562" s="12">
        <v>1</v>
      </c>
      <c r="Y562" s="12" t="b">
        <v>0</v>
      </c>
      <c r="Z562" s="12" t="b">
        <v>0</v>
      </c>
      <c r="AA562" s="12" t="b">
        <v>1</v>
      </c>
      <c r="AB562" s="12" t="b">
        <v>1</v>
      </c>
      <c r="AC562" s="12" t="b">
        <v>1</v>
      </c>
      <c r="AD562" s="12" t="b">
        <v>1</v>
      </c>
      <c r="AE562" s="12" t="b">
        <v>0</v>
      </c>
      <c r="AF562" s="12" t="b">
        <v>0</v>
      </c>
      <c r="AG562" s="12" t="b">
        <v>0</v>
      </c>
      <c r="AH562" s="12">
        <v>0</v>
      </c>
      <c r="AI562" s="12" t="b">
        <v>0</v>
      </c>
      <c r="AJ562" s="12" t="b">
        <v>0</v>
      </c>
      <c r="AK562" s="12" t="b">
        <v>1</v>
      </c>
      <c r="AL562" s="12">
        <v>1</v>
      </c>
      <c r="AM562" s="12" t="s">
        <v>900</v>
      </c>
      <c r="AN562" s="12">
        <v>1</v>
      </c>
    </row>
    <row r="563" spans="1:40" x14ac:dyDescent="0.3">
      <c r="A563" s="62" t="s">
        <v>859</v>
      </c>
      <c r="B563" s="62"/>
      <c r="C563" s="63" t="s">
        <v>1936</v>
      </c>
      <c r="D563" s="63" t="s">
        <v>1594</v>
      </c>
      <c r="E563" s="21" t="s">
        <v>1760</v>
      </c>
      <c r="F563" s="12" t="s">
        <v>1583</v>
      </c>
      <c r="G563" s="12" t="b">
        <v>0</v>
      </c>
      <c r="H563" s="12" t="b">
        <v>1</v>
      </c>
      <c r="I563" s="12" t="b">
        <v>1</v>
      </c>
      <c r="J563" s="12" t="b">
        <v>1</v>
      </c>
      <c r="K563" s="12" t="b">
        <v>0</v>
      </c>
      <c r="L563" s="12" t="b">
        <v>0</v>
      </c>
      <c r="M563" s="12" t="b">
        <v>0</v>
      </c>
      <c r="N563" s="12">
        <v>0</v>
      </c>
      <c r="O563" s="12" t="b">
        <v>0</v>
      </c>
      <c r="P563" s="12" t="b">
        <v>0</v>
      </c>
      <c r="Q563" s="12" t="b">
        <v>0</v>
      </c>
      <c r="R563" s="12" t="b">
        <v>0</v>
      </c>
      <c r="S563" s="12" t="b">
        <v>0</v>
      </c>
      <c r="T563" s="12" t="b">
        <v>1</v>
      </c>
      <c r="U563" s="12" t="b">
        <v>0</v>
      </c>
      <c r="V563" s="12" t="b">
        <v>1</v>
      </c>
      <c r="W563" s="12" t="b">
        <v>0</v>
      </c>
      <c r="X563" s="12">
        <v>1</v>
      </c>
      <c r="Y563" s="12" t="b">
        <v>0</v>
      </c>
      <c r="Z563" s="12" t="b">
        <v>0</v>
      </c>
      <c r="AA563" s="12" t="b">
        <v>1</v>
      </c>
      <c r="AB563" s="12" t="b">
        <v>1</v>
      </c>
      <c r="AC563" s="12" t="b">
        <v>1</v>
      </c>
      <c r="AD563" s="12" t="b">
        <v>1</v>
      </c>
      <c r="AE563" s="12" t="b">
        <v>0</v>
      </c>
      <c r="AF563" s="12" t="b">
        <v>0</v>
      </c>
      <c r="AG563" s="12" t="b">
        <v>0</v>
      </c>
      <c r="AH563" s="12">
        <v>0</v>
      </c>
      <c r="AI563" s="12" t="b">
        <v>0</v>
      </c>
      <c r="AJ563" s="12" t="b">
        <v>0</v>
      </c>
      <c r="AK563" s="12" t="b">
        <v>1</v>
      </c>
      <c r="AL563" s="12">
        <v>1</v>
      </c>
      <c r="AM563" s="12" t="s">
        <v>900</v>
      </c>
      <c r="AN563" s="12">
        <v>1</v>
      </c>
    </row>
    <row r="564" spans="1:40" x14ac:dyDescent="0.3">
      <c r="A564" s="62" t="s">
        <v>859</v>
      </c>
      <c r="B564" s="62"/>
      <c r="C564" s="63" t="s">
        <v>1937</v>
      </c>
      <c r="D564" s="63" t="s">
        <v>1594</v>
      </c>
      <c r="E564" s="21" t="s">
        <v>1760</v>
      </c>
      <c r="F564" s="12" t="s">
        <v>1583</v>
      </c>
      <c r="G564" s="12" t="b">
        <v>0</v>
      </c>
      <c r="H564" s="12" t="b">
        <v>1</v>
      </c>
      <c r="I564" s="12" t="b">
        <v>1</v>
      </c>
      <c r="J564" s="12" t="b">
        <v>1</v>
      </c>
      <c r="K564" s="12" t="b">
        <v>0</v>
      </c>
      <c r="L564" s="12" t="b">
        <v>0</v>
      </c>
      <c r="M564" s="12" t="b">
        <v>0</v>
      </c>
      <c r="N564" s="12">
        <v>0</v>
      </c>
      <c r="O564" s="12" t="b">
        <v>0</v>
      </c>
      <c r="P564" s="12" t="b">
        <v>0</v>
      </c>
      <c r="Q564" s="12" t="b">
        <v>0</v>
      </c>
      <c r="R564" s="12" t="b">
        <v>0</v>
      </c>
      <c r="S564" s="12" t="b">
        <v>0</v>
      </c>
      <c r="T564" s="12" t="b">
        <v>1</v>
      </c>
      <c r="U564" s="12" t="b">
        <v>0</v>
      </c>
      <c r="V564" s="12" t="b">
        <v>1</v>
      </c>
      <c r="W564" s="12" t="b">
        <v>0</v>
      </c>
      <c r="X564" s="12">
        <v>1</v>
      </c>
      <c r="Y564" s="12" t="b">
        <v>0</v>
      </c>
      <c r="Z564" s="12" t="b">
        <v>0</v>
      </c>
      <c r="AA564" s="12" t="b">
        <v>1</v>
      </c>
      <c r="AB564" s="12" t="b">
        <v>1</v>
      </c>
      <c r="AC564" s="12" t="b">
        <v>1</v>
      </c>
      <c r="AD564" s="12" t="b">
        <v>1</v>
      </c>
      <c r="AE564" s="12" t="b">
        <v>0</v>
      </c>
      <c r="AF564" s="12" t="b">
        <v>0</v>
      </c>
      <c r="AG564" s="12" t="b">
        <v>0</v>
      </c>
      <c r="AH564" s="12">
        <v>0</v>
      </c>
      <c r="AI564" s="12" t="b">
        <v>0</v>
      </c>
      <c r="AJ564" s="12" t="b">
        <v>0</v>
      </c>
      <c r="AK564" s="12" t="b">
        <v>1</v>
      </c>
      <c r="AL564" s="12">
        <v>1</v>
      </c>
      <c r="AM564" s="12" t="s">
        <v>900</v>
      </c>
      <c r="AN564" s="12">
        <v>1</v>
      </c>
    </row>
    <row r="565" spans="1:40" x14ac:dyDescent="0.3">
      <c r="A565" s="62" t="s">
        <v>859</v>
      </c>
      <c r="B565" s="62"/>
      <c r="C565" s="63" t="s">
        <v>1938</v>
      </c>
      <c r="D565" s="63" t="s">
        <v>1594</v>
      </c>
      <c r="E565" s="21" t="s">
        <v>1760</v>
      </c>
      <c r="F565" s="12" t="s">
        <v>1583</v>
      </c>
      <c r="G565" s="12" t="b">
        <v>0</v>
      </c>
      <c r="H565" s="12" t="b">
        <v>1</v>
      </c>
      <c r="I565" s="12" t="b">
        <v>1</v>
      </c>
      <c r="J565" s="12" t="b">
        <v>1</v>
      </c>
      <c r="K565" s="12" t="b">
        <v>0</v>
      </c>
      <c r="L565" s="12" t="b">
        <v>0</v>
      </c>
      <c r="M565" s="12" t="b">
        <v>0</v>
      </c>
      <c r="N565" s="12">
        <v>0</v>
      </c>
      <c r="O565" s="12" t="b">
        <v>0</v>
      </c>
      <c r="P565" s="12" t="b">
        <v>0</v>
      </c>
      <c r="Q565" s="12" t="b">
        <v>0</v>
      </c>
      <c r="R565" s="12" t="b">
        <v>0</v>
      </c>
      <c r="S565" s="12" t="b">
        <v>0</v>
      </c>
      <c r="T565" s="12" t="b">
        <v>1</v>
      </c>
      <c r="U565" s="12" t="b">
        <v>0</v>
      </c>
      <c r="V565" s="12" t="b">
        <v>1</v>
      </c>
      <c r="W565" s="12" t="b">
        <v>0</v>
      </c>
      <c r="X565" s="12">
        <v>1</v>
      </c>
      <c r="Y565" s="12" t="b">
        <v>0</v>
      </c>
      <c r="Z565" s="12" t="b">
        <v>0</v>
      </c>
      <c r="AA565" s="12" t="b">
        <v>1</v>
      </c>
      <c r="AB565" s="12" t="b">
        <v>1</v>
      </c>
      <c r="AC565" s="12" t="b">
        <v>1</v>
      </c>
      <c r="AD565" s="12" t="b">
        <v>1</v>
      </c>
      <c r="AE565" s="12" t="b">
        <v>0</v>
      </c>
      <c r="AF565" s="12" t="b">
        <v>0</v>
      </c>
      <c r="AG565" s="12" t="b">
        <v>0</v>
      </c>
      <c r="AH565" s="12">
        <v>0</v>
      </c>
      <c r="AI565" s="12" t="b">
        <v>0</v>
      </c>
      <c r="AJ565" s="12" t="b">
        <v>0</v>
      </c>
      <c r="AK565" s="12" t="b">
        <v>1</v>
      </c>
      <c r="AL565" s="12">
        <v>1</v>
      </c>
      <c r="AM565" s="12" t="s">
        <v>900</v>
      </c>
      <c r="AN565" s="12">
        <v>1</v>
      </c>
    </row>
    <row r="566" spans="1:40" x14ac:dyDescent="0.3">
      <c r="A566" s="62" t="s">
        <v>859</v>
      </c>
      <c r="B566" s="62"/>
      <c r="C566" s="63" t="s">
        <v>1939</v>
      </c>
      <c r="D566" s="63" t="s">
        <v>1594</v>
      </c>
      <c r="E566" s="21" t="s">
        <v>1760</v>
      </c>
      <c r="F566" s="12" t="s">
        <v>1583</v>
      </c>
      <c r="G566" s="12" t="b">
        <v>0</v>
      </c>
      <c r="H566" s="12" t="b">
        <v>1</v>
      </c>
      <c r="I566" s="12" t="b">
        <v>1</v>
      </c>
      <c r="J566" s="12" t="b">
        <v>1</v>
      </c>
      <c r="K566" s="12" t="b">
        <v>0</v>
      </c>
      <c r="L566" s="12" t="b">
        <v>0</v>
      </c>
      <c r="M566" s="12" t="b">
        <v>0</v>
      </c>
      <c r="N566" s="12">
        <v>0</v>
      </c>
      <c r="O566" s="12" t="b">
        <v>0</v>
      </c>
      <c r="P566" s="12" t="b">
        <v>0</v>
      </c>
      <c r="Q566" s="12" t="b">
        <v>0</v>
      </c>
      <c r="R566" s="12" t="b">
        <v>0</v>
      </c>
      <c r="S566" s="12" t="b">
        <v>0</v>
      </c>
      <c r="T566" s="12" t="b">
        <v>1</v>
      </c>
      <c r="U566" s="12" t="b">
        <v>0</v>
      </c>
      <c r="V566" s="12" t="b">
        <v>1</v>
      </c>
      <c r="W566" s="12" t="b">
        <v>0</v>
      </c>
      <c r="X566" s="12">
        <v>1</v>
      </c>
      <c r="Y566" s="12" t="b">
        <v>0</v>
      </c>
      <c r="Z566" s="12" t="b">
        <v>0</v>
      </c>
      <c r="AA566" s="12" t="b">
        <v>1</v>
      </c>
      <c r="AB566" s="12" t="b">
        <v>1</v>
      </c>
      <c r="AC566" s="12" t="b">
        <v>1</v>
      </c>
      <c r="AD566" s="12" t="b">
        <v>1</v>
      </c>
      <c r="AE566" s="12" t="b">
        <v>0</v>
      </c>
      <c r="AF566" s="12" t="b">
        <v>0</v>
      </c>
      <c r="AG566" s="12" t="b">
        <v>0</v>
      </c>
      <c r="AH566" s="12">
        <v>0</v>
      </c>
      <c r="AI566" s="12" t="b">
        <v>0</v>
      </c>
      <c r="AJ566" s="12" t="b">
        <v>0</v>
      </c>
      <c r="AK566" s="12" t="b">
        <v>1</v>
      </c>
      <c r="AL566" s="12">
        <v>1</v>
      </c>
      <c r="AM566" s="12" t="s">
        <v>900</v>
      </c>
      <c r="AN566" s="12">
        <v>1</v>
      </c>
    </row>
    <row r="567" spans="1:40" x14ac:dyDescent="0.3">
      <c r="A567" s="62" t="s">
        <v>859</v>
      </c>
      <c r="B567" s="62"/>
      <c r="C567" s="63"/>
      <c r="D567" s="63"/>
      <c r="E567" s="12" t="s">
        <v>1001</v>
      </c>
      <c r="F567" s="12" t="s">
        <v>1189</v>
      </c>
      <c r="G567" s="12" t="b">
        <v>0</v>
      </c>
      <c r="H567" s="12" t="b">
        <v>1</v>
      </c>
      <c r="I567" s="12" t="b">
        <v>1</v>
      </c>
      <c r="J567" s="12" t="b">
        <v>1</v>
      </c>
      <c r="K567" s="12" t="b">
        <v>0</v>
      </c>
      <c r="L567" s="12" t="b">
        <v>1</v>
      </c>
      <c r="M567" s="12" t="b">
        <v>0</v>
      </c>
      <c r="N567" s="12">
        <v>0</v>
      </c>
      <c r="O567" s="12" t="b">
        <v>0</v>
      </c>
      <c r="P567" s="12" t="b">
        <v>0</v>
      </c>
      <c r="Q567" s="12" t="b">
        <v>0</v>
      </c>
      <c r="R567" s="12" t="b">
        <v>0</v>
      </c>
      <c r="S567" s="12" t="b">
        <v>0</v>
      </c>
      <c r="T567" s="12" t="b">
        <v>1</v>
      </c>
      <c r="U567" s="12" t="b">
        <v>0</v>
      </c>
      <c r="V567" s="12" t="b">
        <v>1</v>
      </c>
      <c r="W567" s="12" t="b">
        <v>0</v>
      </c>
      <c r="X567" s="12">
        <v>1</v>
      </c>
      <c r="Y567" s="12" t="b">
        <v>0</v>
      </c>
      <c r="Z567" s="12" t="b">
        <v>0</v>
      </c>
      <c r="AA567" s="12" t="b">
        <v>1</v>
      </c>
      <c r="AB567" s="12" t="b">
        <v>1</v>
      </c>
      <c r="AC567" s="12" t="b">
        <v>1</v>
      </c>
      <c r="AD567" s="12" t="b">
        <v>1</v>
      </c>
      <c r="AE567" s="12" t="b">
        <v>0</v>
      </c>
      <c r="AF567" s="12" t="b">
        <v>0</v>
      </c>
      <c r="AG567" s="12" t="b">
        <v>0</v>
      </c>
      <c r="AH567" s="12">
        <v>0</v>
      </c>
      <c r="AI567" s="12" t="b">
        <v>0</v>
      </c>
      <c r="AJ567" s="12" t="b">
        <v>0</v>
      </c>
      <c r="AK567" s="12" t="b">
        <v>1</v>
      </c>
      <c r="AL567" s="12">
        <v>0</v>
      </c>
      <c r="AM567" s="12" t="s">
        <v>900</v>
      </c>
      <c r="AN567" s="12">
        <v>0</v>
      </c>
    </row>
    <row r="568" spans="1:40" x14ac:dyDescent="0.3">
      <c r="A568" s="62" t="s">
        <v>859</v>
      </c>
      <c r="B568" s="62"/>
      <c r="C568" s="63"/>
      <c r="D568" s="63"/>
      <c r="E568" s="12" t="s">
        <v>1005</v>
      </c>
      <c r="F568" s="12" t="s">
        <v>1191</v>
      </c>
      <c r="G568" s="12" t="b">
        <v>0</v>
      </c>
      <c r="H568" s="12" t="b">
        <v>1</v>
      </c>
      <c r="I568" s="12" t="b">
        <v>1</v>
      </c>
      <c r="J568" s="12" t="b">
        <v>1</v>
      </c>
      <c r="K568" s="12" t="b">
        <v>0</v>
      </c>
      <c r="L568" s="12" t="b">
        <v>1</v>
      </c>
      <c r="M568" s="12" t="b">
        <v>0</v>
      </c>
      <c r="N568" s="12">
        <v>0</v>
      </c>
      <c r="O568" s="12" t="b">
        <v>0</v>
      </c>
      <c r="P568" s="12" t="b">
        <v>0</v>
      </c>
      <c r="Q568" s="12" t="b">
        <v>0</v>
      </c>
      <c r="R568" s="12" t="b">
        <v>0</v>
      </c>
      <c r="S568" s="12" t="b">
        <v>0</v>
      </c>
      <c r="T568" s="12" t="b">
        <v>1</v>
      </c>
      <c r="U568" s="12" t="b">
        <v>0</v>
      </c>
      <c r="V568" s="12" t="b">
        <v>1</v>
      </c>
      <c r="W568" s="12" t="b">
        <v>0</v>
      </c>
      <c r="X568" s="12">
        <v>1</v>
      </c>
      <c r="Y568" s="12" t="b">
        <v>0</v>
      </c>
      <c r="Z568" s="12" t="b">
        <v>0</v>
      </c>
      <c r="AA568" s="12" t="b">
        <v>1</v>
      </c>
      <c r="AB568" s="12" t="b">
        <v>1</v>
      </c>
      <c r="AC568" s="12" t="b">
        <v>1</v>
      </c>
      <c r="AD568" s="12" t="b">
        <v>1</v>
      </c>
      <c r="AE568" s="12" t="b">
        <v>0</v>
      </c>
      <c r="AF568" s="12" t="b">
        <v>0</v>
      </c>
      <c r="AG568" s="12" t="b">
        <v>0</v>
      </c>
      <c r="AH568" s="12">
        <v>0</v>
      </c>
      <c r="AI568" s="12" t="b">
        <v>0</v>
      </c>
      <c r="AJ568" s="12" t="b">
        <v>0</v>
      </c>
      <c r="AK568" s="12" t="b">
        <v>1</v>
      </c>
      <c r="AL568" s="12">
        <v>0</v>
      </c>
      <c r="AM568" s="12" t="s">
        <v>900</v>
      </c>
      <c r="AN568" s="12">
        <v>0</v>
      </c>
    </row>
    <row r="569" spans="1:40" x14ac:dyDescent="0.3">
      <c r="A569" s="62" t="s">
        <v>859</v>
      </c>
      <c r="B569" s="62"/>
      <c r="C569" s="63"/>
      <c r="D569" s="63"/>
      <c r="E569" s="12" t="s">
        <v>2093</v>
      </c>
      <c r="F569" s="12" t="s">
        <v>2097</v>
      </c>
      <c r="G569" s="12" t="b">
        <v>0</v>
      </c>
      <c r="H569" s="12" t="b">
        <v>1</v>
      </c>
      <c r="I569" s="12" t="b">
        <v>1</v>
      </c>
      <c r="J569" s="12" t="b">
        <v>1</v>
      </c>
      <c r="K569" s="12" t="b">
        <v>0</v>
      </c>
      <c r="L569" s="12" t="b">
        <v>0</v>
      </c>
      <c r="M569" s="12" t="b">
        <v>0</v>
      </c>
      <c r="N569" s="12">
        <v>0</v>
      </c>
      <c r="O569" s="12" t="b">
        <v>0</v>
      </c>
      <c r="P569" s="12" t="b">
        <v>0</v>
      </c>
      <c r="Q569" s="12" t="b">
        <v>0</v>
      </c>
      <c r="R569" s="12" t="b">
        <v>1</v>
      </c>
      <c r="S569" s="12" t="b">
        <v>1</v>
      </c>
      <c r="T569" s="12" t="b">
        <v>1</v>
      </c>
      <c r="U569" s="12" t="b">
        <v>0</v>
      </c>
      <c r="V569" s="12" t="b">
        <v>0</v>
      </c>
      <c r="W569" s="12" t="b">
        <v>0</v>
      </c>
      <c r="X569" s="12">
        <v>-1</v>
      </c>
      <c r="Y569" s="12" t="b">
        <v>0</v>
      </c>
      <c r="Z569" s="12" t="b">
        <v>0</v>
      </c>
      <c r="AA569" s="12" t="b">
        <v>0</v>
      </c>
      <c r="AB569" s="12" t="b">
        <v>0</v>
      </c>
      <c r="AC569" s="12" t="b">
        <v>0</v>
      </c>
      <c r="AD569" s="12" t="b">
        <v>1</v>
      </c>
      <c r="AE569" s="12" t="b">
        <v>0</v>
      </c>
      <c r="AF569" s="12" t="b">
        <v>1</v>
      </c>
      <c r="AG569" s="12" t="b">
        <v>0</v>
      </c>
      <c r="AH569" s="12">
        <v>1</v>
      </c>
      <c r="AI569" s="12" t="b">
        <v>0</v>
      </c>
      <c r="AJ569" s="12" t="b">
        <v>0</v>
      </c>
      <c r="AK569" s="12" t="b">
        <v>1</v>
      </c>
      <c r="AL569" s="12">
        <v>1</v>
      </c>
      <c r="AM569" s="12" t="s">
        <v>900</v>
      </c>
      <c r="AN569" s="12">
        <v>1</v>
      </c>
    </row>
    <row r="570" spans="1:40" x14ac:dyDescent="0.3">
      <c r="A570" s="62" t="s">
        <v>859</v>
      </c>
      <c r="B570" s="62"/>
      <c r="C570" s="63"/>
      <c r="D570" s="63"/>
      <c r="E570" s="12" t="s">
        <v>2001</v>
      </c>
      <c r="F570" s="12" t="s">
        <v>1198</v>
      </c>
      <c r="G570" s="12" t="b">
        <v>0</v>
      </c>
      <c r="H570" s="12" t="b">
        <v>0</v>
      </c>
      <c r="I570" s="12" t="b">
        <v>0</v>
      </c>
      <c r="J570" s="12" t="b">
        <v>1</v>
      </c>
      <c r="K570" s="12" t="b">
        <v>0</v>
      </c>
      <c r="L570" s="12" t="b">
        <v>1</v>
      </c>
      <c r="M570" s="12" t="b">
        <v>0</v>
      </c>
      <c r="N570" s="12">
        <v>0</v>
      </c>
      <c r="O570" s="12" t="b">
        <v>0</v>
      </c>
      <c r="P570" s="12" t="b">
        <v>0</v>
      </c>
      <c r="Q570" s="12" t="b">
        <v>0</v>
      </c>
      <c r="R570" s="12" t="b">
        <v>0</v>
      </c>
      <c r="S570" s="12" t="b">
        <v>0</v>
      </c>
      <c r="T570" s="12" t="b">
        <v>1</v>
      </c>
      <c r="U570" s="12" t="b">
        <v>0</v>
      </c>
      <c r="V570" s="12" t="b">
        <v>1</v>
      </c>
      <c r="W570" s="12" t="b">
        <v>0</v>
      </c>
      <c r="X570" s="12">
        <v>1</v>
      </c>
      <c r="Y570" s="12" t="b">
        <v>0</v>
      </c>
      <c r="Z570" s="12" t="b">
        <v>0</v>
      </c>
      <c r="AA570" s="12" t="b">
        <v>0</v>
      </c>
      <c r="AB570" s="12" t="b">
        <v>0</v>
      </c>
      <c r="AC570" s="12" t="b">
        <v>0</v>
      </c>
      <c r="AD570" s="12" t="b">
        <v>1</v>
      </c>
      <c r="AE570" s="12" t="b">
        <v>0</v>
      </c>
      <c r="AF570" s="12" t="b">
        <v>1</v>
      </c>
      <c r="AG570" s="12" t="b">
        <v>0</v>
      </c>
      <c r="AH570" s="12">
        <v>1</v>
      </c>
      <c r="AI570" s="12" t="b">
        <v>0</v>
      </c>
      <c r="AJ570" s="12" t="b">
        <v>0</v>
      </c>
      <c r="AK570" s="12" t="b">
        <v>1</v>
      </c>
      <c r="AL570" s="12">
        <v>0</v>
      </c>
      <c r="AM570" s="12" t="s">
        <v>922</v>
      </c>
      <c r="AN570" s="12">
        <v>0</v>
      </c>
    </row>
    <row r="571" spans="1:40" x14ac:dyDescent="0.3">
      <c r="A571" s="62" t="s">
        <v>859</v>
      </c>
      <c r="B571" s="62"/>
      <c r="C571" s="63"/>
      <c r="D571" s="63"/>
      <c r="E571" s="12" t="s">
        <v>927</v>
      </c>
      <c r="F571" s="12" t="s">
        <v>1196</v>
      </c>
      <c r="G571" s="12" t="b">
        <v>0</v>
      </c>
      <c r="H571" s="12" t="b">
        <v>0</v>
      </c>
      <c r="I571" s="12" t="b">
        <v>0</v>
      </c>
      <c r="J571" s="12" t="b">
        <v>1</v>
      </c>
      <c r="K571" s="12" t="b">
        <v>0</v>
      </c>
      <c r="L571" s="12" t="b">
        <v>1</v>
      </c>
      <c r="M571" s="12" t="b">
        <v>0</v>
      </c>
      <c r="N571" s="12">
        <v>0</v>
      </c>
      <c r="O571" s="12" t="b">
        <v>0</v>
      </c>
      <c r="P571" s="12" t="b">
        <v>0</v>
      </c>
      <c r="Q571" s="12" t="b">
        <v>0</v>
      </c>
      <c r="R571" s="12" t="b">
        <v>0</v>
      </c>
      <c r="S571" s="12" t="b">
        <v>0</v>
      </c>
      <c r="T571" s="12" t="b">
        <v>1</v>
      </c>
      <c r="U571" s="12" t="b">
        <v>0</v>
      </c>
      <c r="V571" s="12" t="b">
        <v>1</v>
      </c>
      <c r="W571" s="12" t="b">
        <v>0</v>
      </c>
      <c r="X571" s="12">
        <v>1</v>
      </c>
      <c r="Y571" s="12" t="b">
        <v>0</v>
      </c>
      <c r="Z571" s="12" t="b">
        <v>0</v>
      </c>
      <c r="AA571" s="12" t="b">
        <v>0</v>
      </c>
      <c r="AB571" s="12" t="b">
        <v>0</v>
      </c>
      <c r="AC571" s="12" t="b">
        <v>0</v>
      </c>
      <c r="AD571" s="12" t="b">
        <v>1</v>
      </c>
      <c r="AE571" s="12" t="b">
        <v>0</v>
      </c>
      <c r="AF571" s="12" t="b">
        <v>1</v>
      </c>
      <c r="AG571" s="12" t="b">
        <v>0</v>
      </c>
      <c r="AH571" s="12">
        <v>1</v>
      </c>
      <c r="AI571" s="12" t="b">
        <v>0</v>
      </c>
      <c r="AJ571" s="12" t="b">
        <v>0</v>
      </c>
      <c r="AK571" s="12" t="b">
        <v>1</v>
      </c>
      <c r="AL571" s="12">
        <v>1</v>
      </c>
      <c r="AM571" s="12" t="s">
        <v>922</v>
      </c>
      <c r="AN571" s="12">
        <v>1</v>
      </c>
    </row>
    <row r="572" spans="1:40" x14ac:dyDescent="0.3">
      <c r="A572" s="62" t="s">
        <v>859</v>
      </c>
      <c r="B572" s="62"/>
      <c r="C572" s="63"/>
      <c r="D572" s="63"/>
      <c r="E572" s="12" t="s">
        <v>929</v>
      </c>
      <c r="F572" s="12" t="s">
        <v>1197</v>
      </c>
      <c r="G572" s="12" t="b">
        <v>0</v>
      </c>
      <c r="H572" s="12" t="b">
        <v>0</v>
      </c>
      <c r="I572" s="12" t="b">
        <v>0</v>
      </c>
      <c r="J572" s="12" t="b">
        <v>1</v>
      </c>
      <c r="K572" s="12" t="b">
        <v>0</v>
      </c>
      <c r="L572" s="12" t="b">
        <v>1</v>
      </c>
      <c r="M572" s="12" t="b">
        <v>0</v>
      </c>
      <c r="N572" s="12">
        <v>0</v>
      </c>
      <c r="O572" s="12" t="b">
        <v>0</v>
      </c>
      <c r="P572" s="12" t="b">
        <v>0</v>
      </c>
      <c r="Q572" s="12" t="b">
        <v>0</v>
      </c>
      <c r="R572" s="12" t="b">
        <v>0</v>
      </c>
      <c r="S572" s="12" t="b">
        <v>0</v>
      </c>
      <c r="T572" s="12" t="b">
        <v>1</v>
      </c>
      <c r="U572" s="12" t="b">
        <v>0</v>
      </c>
      <c r="V572" s="12" t="b">
        <v>1</v>
      </c>
      <c r="W572" s="12" t="b">
        <v>0</v>
      </c>
      <c r="X572" s="12">
        <v>1</v>
      </c>
      <c r="Y572" s="12" t="b">
        <v>0</v>
      </c>
      <c r="Z572" s="12" t="b">
        <v>0</v>
      </c>
      <c r="AA572" s="12" t="b">
        <v>0</v>
      </c>
      <c r="AB572" s="12" t="b">
        <v>0</v>
      </c>
      <c r="AC572" s="12" t="b">
        <v>0</v>
      </c>
      <c r="AD572" s="12" t="b">
        <v>1</v>
      </c>
      <c r="AE572" s="12" t="b">
        <v>0</v>
      </c>
      <c r="AF572" s="12" t="b">
        <v>1</v>
      </c>
      <c r="AG572" s="12" t="b">
        <v>0</v>
      </c>
      <c r="AH572" s="12">
        <v>1</v>
      </c>
      <c r="AI572" s="12" t="b">
        <v>0</v>
      </c>
      <c r="AJ572" s="12" t="b">
        <v>0</v>
      </c>
      <c r="AK572" s="12" t="b">
        <v>1</v>
      </c>
      <c r="AL572" s="12">
        <v>1</v>
      </c>
      <c r="AM572" s="12" t="s">
        <v>922</v>
      </c>
      <c r="AN572" s="12">
        <v>1</v>
      </c>
    </row>
    <row r="573" spans="1:40" x14ac:dyDescent="0.3">
      <c r="A573" s="62" t="s">
        <v>859</v>
      </c>
      <c r="B573" s="62"/>
      <c r="C573" s="63"/>
      <c r="D573" s="63"/>
      <c r="E573" s="12" t="s">
        <v>931</v>
      </c>
      <c r="F573" s="12" t="s">
        <v>1198</v>
      </c>
      <c r="G573" s="12" t="b">
        <v>0</v>
      </c>
      <c r="H573" s="12" t="b">
        <v>0</v>
      </c>
      <c r="I573" s="12" t="b">
        <v>0</v>
      </c>
      <c r="J573" s="12" t="b">
        <v>1</v>
      </c>
      <c r="K573" s="12" t="b">
        <v>0</v>
      </c>
      <c r="L573" s="12" t="b">
        <v>1</v>
      </c>
      <c r="M573" s="12" t="b">
        <v>0</v>
      </c>
      <c r="N573" s="12">
        <v>0</v>
      </c>
      <c r="O573" s="12" t="b">
        <v>0</v>
      </c>
      <c r="P573" s="12" t="b">
        <v>0</v>
      </c>
      <c r="Q573" s="12" t="b">
        <v>0</v>
      </c>
      <c r="R573" s="12" t="b">
        <v>0</v>
      </c>
      <c r="S573" s="12" t="b">
        <v>0</v>
      </c>
      <c r="T573" s="12" t="b">
        <v>1</v>
      </c>
      <c r="U573" s="12" t="b">
        <v>0</v>
      </c>
      <c r="V573" s="12" t="b">
        <v>1</v>
      </c>
      <c r="W573" s="12" t="b">
        <v>0</v>
      </c>
      <c r="X573" s="12">
        <v>1</v>
      </c>
      <c r="Y573" s="12" t="b">
        <v>0</v>
      </c>
      <c r="Z573" s="12" t="b">
        <v>0</v>
      </c>
      <c r="AA573" s="12" t="b">
        <v>0</v>
      </c>
      <c r="AB573" s="12" t="b">
        <v>0</v>
      </c>
      <c r="AC573" s="12" t="b">
        <v>0</v>
      </c>
      <c r="AD573" s="12" t="b">
        <v>1</v>
      </c>
      <c r="AE573" s="12" t="b">
        <v>0</v>
      </c>
      <c r="AF573" s="12" t="b">
        <v>1</v>
      </c>
      <c r="AG573" s="12" t="b">
        <v>0</v>
      </c>
      <c r="AH573" s="12">
        <v>1</v>
      </c>
      <c r="AI573" s="12" t="b">
        <v>0</v>
      </c>
      <c r="AJ573" s="12" t="b">
        <v>0</v>
      </c>
      <c r="AK573" s="12" t="b">
        <v>1</v>
      </c>
      <c r="AL573" s="12">
        <v>1</v>
      </c>
      <c r="AM573" s="12" t="s">
        <v>922</v>
      </c>
      <c r="AN573" s="12">
        <v>1</v>
      </c>
    </row>
    <row r="574" spans="1:40" x14ac:dyDescent="0.3">
      <c r="A574" s="62" t="s">
        <v>859</v>
      </c>
      <c r="B574" s="62"/>
      <c r="C574" s="63"/>
      <c r="D574" s="63"/>
      <c r="E574" s="12" t="s">
        <v>1586</v>
      </c>
      <c r="F574" s="12" t="s">
        <v>2046</v>
      </c>
      <c r="G574" s="12" t="b">
        <v>0</v>
      </c>
      <c r="H574" s="12" t="b">
        <v>1</v>
      </c>
      <c r="I574" s="12" t="b">
        <v>1</v>
      </c>
      <c r="J574" s="12" t="b">
        <v>1</v>
      </c>
      <c r="K574" s="12" t="b">
        <v>0</v>
      </c>
      <c r="L574" s="12" t="b">
        <v>0</v>
      </c>
      <c r="M574" s="12" t="b">
        <v>0</v>
      </c>
      <c r="N574" s="12">
        <v>0</v>
      </c>
      <c r="O574" s="12" t="b">
        <v>0</v>
      </c>
      <c r="P574" s="12" t="b">
        <v>0</v>
      </c>
      <c r="Q574" s="12" t="b">
        <v>0</v>
      </c>
      <c r="R574" s="12" t="b">
        <v>1</v>
      </c>
      <c r="S574" s="12" t="b">
        <v>1</v>
      </c>
      <c r="T574" s="12" t="b">
        <v>1</v>
      </c>
      <c r="U574" s="12" t="b">
        <v>0</v>
      </c>
      <c r="V574" s="12" t="b">
        <v>0</v>
      </c>
      <c r="W574" s="12" t="b">
        <v>0</v>
      </c>
      <c r="X574" s="12">
        <v>1</v>
      </c>
      <c r="Y574" s="12" t="b">
        <v>0</v>
      </c>
      <c r="Z574" s="12" t="b">
        <v>0</v>
      </c>
      <c r="AA574" s="12" t="b">
        <v>0</v>
      </c>
      <c r="AB574" s="12" t="b">
        <v>0</v>
      </c>
      <c r="AC574" s="12" t="b">
        <v>0</v>
      </c>
      <c r="AD574" s="12" t="b">
        <v>1</v>
      </c>
      <c r="AE574" s="12" t="b">
        <v>0</v>
      </c>
      <c r="AF574" s="12" t="b">
        <v>1</v>
      </c>
      <c r="AG574" s="12" t="b">
        <v>0</v>
      </c>
      <c r="AH574" s="12">
        <v>1</v>
      </c>
      <c r="AI574" s="12" t="b">
        <v>0</v>
      </c>
      <c r="AJ574" s="12" t="b">
        <v>0</v>
      </c>
      <c r="AK574" s="12" t="b">
        <v>1</v>
      </c>
      <c r="AL574" s="12">
        <v>1</v>
      </c>
      <c r="AM574" s="12" t="s">
        <v>1476</v>
      </c>
      <c r="AN574" s="12">
        <v>1</v>
      </c>
    </row>
    <row r="575" spans="1:40" x14ac:dyDescent="0.3">
      <c r="A575" s="62" t="s">
        <v>859</v>
      </c>
      <c r="B575" s="62"/>
      <c r="C575" s="63"/>
      <c r="D575" s="63"/>
      <c r="E575" s="12" t="s">
        <v>904</v>
      </c>
      <c r="F575" s="12" t="s">
        <v>1201</v>
      </c>
      <c r="G575" s="12" t="b">
        <v>0</v>
      </c>
      <c r="H575" s="12" t="b">
        <v>1</v>
      </c>
      <c r="I575" s="12" t="b">
        <v>1</v>
      </c>
      <c r="J575" s="12" t="b">
        <v>1</v>
      </c>
      <c r="K575" s="12" t="b">
        <v>0</v>
      </c>
      <c r="L575" s="12" t="b">
        <v>0</v>
      </c>
      <c r="M575" s="12" t="b">
        <v>0</v>
      </c>
      <c r="N575" s="12">
        <v>0</v>
      </c>
      <c r="O575" s="12" t="b">
        <v>0</v>
      </c>
      <c r="P575" s="12" t="b">
        <v>0</v>
      </c>
      <c r="Q575" s="12" t="b">
        <v>0</v>
      </c>
      <c r="R575" s="12" t="b">
        <v>1</v>
      </c>
      <c r="S575" s="12" t="b">
        <v>1</v>
      </c>
      <c r="T575" s="12" t="b">
        <v>1</v>
      </c>
      <c r="U575" s="12" t="b">
        <v>0</v>
      </c>
      <c r="V575" s="12" t="b">
        <v>0</v>
      </c>
      <c r="W575" s="12" t="b">
        <v>0</v>
      </c>
      <c r="X575" s="12">
        <v>1</v>
      </c>
      <c r="Y575" s="12" t="b">
        <v>0</v>
      </c>
      <c r="Z575" s="12" t="b">
        <v>0</v>
      </c>
      <c r="AA575" s="12" t="b">
        <v>0</v>
      </c>
      <c r="AB575" s="12" t="b">
        <v>0</v>
      </c>
      <c r="AC575" s="12" t="b">
        <v>0</v>
      </c>
      <c r="AD575" s="12" t="b">
        <v>1</v>
      </c>
      <c r="AE575" s="12" t="b">
        <v>0</v>
      </c>
      <c r="AF575" s="12" t="b">
        <v>1</v>
      </c>
      <c r="AG575" s="12" t="b">
        <v>0</v>
      </c>
      <c r="AH575" s="12">
        <v>1</v>
      </c>
      <c r="AI575" s="12" t="b">
        <v>0</v>
      </c>
      <c r="AJ575" s="12" t="b">
        <v>0</v>
      </c>
      <c r="AK575" s="12" t="b">
        <v>1</v>
      </c>
      <c r="AL575" s="12">
        <v>1</v>
      </c>
      <c r="AM575" s="12" t="s">
        <v>1476</v>
      </c>
      <c r="AN575" s="12">
        <v>1</v>
      </c>
    </row>
    <row r="576" spans="1:40" x14ac:dyDescent="0.3">
      <c r="A576" s="62" t="s">
        <v>859</v>
      </c>
      <c r="B576" s="62"/>
      <c r="C576" s="63"/>
      <c r="D576" s="63"/>
      <c r="E576" s="12" t="s">
        <v>908</v>
      </c>
      <c r="F576" s="12" t="s">
        <v>1199</v>
      </c>
      <c r="G576" s="12" t="b">
        <v>0</v>
      </c>
      <c r="H576" s="12" t="b">
        <v>1</v>
      </c>
      <c r="I576" s="12" t="b">
        <v>1</v>
      </c>
      <c r="J576" s="12" t="b">
        <v>1</v>
      </c>
      <c r="K576" s="12" t="b">
        <v>0</v>
      </c>
      <c r="L576" s="12" t="b">
        <v>0</v>
      </c>
      <c r="M576" s="12" t="b">
        <v>0</v>
      </c>
      <c r="N576" s="12">
        <v>0</v>
      </c>
      <c r="O576" s="12" t="b">
        <v>0</v>
      </c>
      <c r="P576" s="12" t="b">
        <v>0</v>
      </c>
      <c r="Q576" s="12" t="b">
        <v>0</v>
      </c>
      <c r="R576" s="12" t="b">
        <v>1</v>
      </c>
      <c r="S576" s="12" t="b">
        <v>1</v>
      </c>
      <c r="T576" s="12" t="b">
        <v>1</v>
      </c>
      <c r="U576" s="12" t="b">
        <v>0</v>
      </c>
      <c r="V576" s="12" t="b">
        <v>0</v>
      </c>
      <c r="W576" s="12" t="b">
        <v>0</v>
      </c>
      <c r="X576" s="12">
        <v>1</v>
      </c>
      <c r="Y576" s="12" t="b">
        <v>0</v>
      </c>
      <c r="Z576" s="12" t="b">
        <v>0</v>
      </c>
      <c r="AA576" s="12" t="b">
        <v>0</v>
      </c>
      <c r="AB576" s="12" t="b">
        <v>0</v>
      </c>
      <c r="AC576" s="12" t="b">
        <v>0</v>
      </c>
      <c r="AD576" s="12" t="b">
        <v>1</v>
      </c>
      <c r="AE576" s="12" t="b">
        <v>0</v>
      </c>
      <c r="AF576" s="12" t="b">
        <v>1</v>
      </c>
      <c r="AG576" s="12" t="b">
        <v>0</v>
      </c>
      <c r="AH576" s="12">
        <v>1</v>
      </c>
      <c r="AI576" s="12" t="b">
        <v>0</v>
      </c>
      <c r="AJ576" s="12" t="b">
        <v>0</v>
      </c>
      <c r="AK576" s="12" t="b">
        <v>1</v>
      </c>
      <c r="AL576" s="12">
        <v>1</v>
      </c>
      <c r="AM576" s="12" t="s">
        <v>1476</v>
      </c>
      <c r="AN576" s="12">
        <v>1</v>
      </c>
    </row>
    <row r="577" spans="1:40" x14ac:dyDescent="0.3">
      <c r="A577" s="62" t="s">
        <v>859</v>
      </c>
      <c r="B577" s="62"/>
      <c r="C577" s="63"/>
      <c r="D577" s="63"/>
      <c r="E577" s="12" t="s">
        <v>906</v>
      </c>
      <c r="F577" s="12" t="s">
        <v>1202</v>
      </c>
      <c r="G577" s="12" t="b">
        <v>0</v>
      </c>
      <c r="H577" s="12" t="b">
        <v>1</v>
      </c>
      <c r="I577" s="12" t="b">
        <v>1</v>
      </c>
      <c r="J577" s="12" t="b">
        <v>1</v>
      </c>
      <c r="K577" s="12" t="b">
        <v>0</v>
      </c>
      <c r="L577" s="12" t="b">
        <v>0</v>
      </c>
      <c r="M577" s="12" t="b">
        <v>0</v>
      </c>
      <c r="N577" s="12">
        <v>0</v>
      </c>
      <c r="O577" s="12" t="b">
        <v>0</v>
      </c>
      <c r="P577" s="12" t="b">
        <v>0</v>
      </c>
      <c r="Q577" s="12" t="b">
        <v>0</v>
      </c>
      <c r="R577" s="12" t="b">
        <v>1</v>
      </c>
      <c r="S577" s="12" t="b">
        <v>1</v>
      </c>
      <c r="T577" s="12" t="b">
        <v>1</v>
      </c>
      <c r="U577" s="12" t="b">
        <v>0</v>
      </c>
      <c r="V577" s="12" t="b">
        <v>0</v>
      </c>
      <c r="W577" s="12" t="b">
        <v>0</v>
      </c>
      <c r="X577" s="12">
        <v>1</v>
      </c>
      <c r="Y577" s="12" t="b">
        <v>0</v>
      </c>
      <c r="Z577" s="12" t="b">
        <v>0</v>
      </c>
      <c r="AA577" s="12" t="b">
        <v>0</v>
      </c>
      <c r="AB577" s="12" t="b">
        <v>0</v>
      </c>
      <c r="AC577" s="12" t="b">
        <v>0</v>
      </c>
      <c r="AD577" s="12" t="b">
        <v>1</v>
      </c>
      <c r="AE577" s="12" t="b">
        <v>0</v>
      </c>
      <c r="AF577" s="12" t="b">
        <v>1</v>
      </c>
      <c r="AG577" s="12" t="b">
        <v>0</v>
      </c>
      <c r="AH577" s="12">
        <v>1</v>
      </c>
      <c r="AI577" s="12" t="b">
        <v>0</v>
      </c>
      <c r="AJ577" s="12" t="b">
        <v>0</v>
      </c>
      <c r="AK577" s="12" t="b">
        <v>1</v>
      </c>
      <c r="AL577" s="12">
        <v>1</v>
      </c>
      <c r="AM577" s="12" t="s">
        <v>1476</v>
      </c>
      <c r="AN577" s="12">
        <v>1</v>
      </c>
    </row>
    <row r="578" spans="1:40" x14ac:dyDescent="0.3">
      <c r="A578" s="62" t="s">
        <v>859</v>
      </c>
      <c r="B578" s="62"/>
      <c r="C578" s="63"/>
      <c r="D578" s="63"/>
      <c r="E578" s="12" t="s">
        <v>910</v>
      </c>
      <c r="F578" s="12" t="s">
        <v>1200</v>
      </c>
      <c r="G578" s="12" t="b">
        <v>0</v>
      </c>
      <c r="H578" s="12" t="b">
        <v>1</v>
      </c>
      <c r="I578" s="12" t="b">
        <v>1</v>
      </c>
      <c r="J578" s="12" t="b">
        <v>1</v>
      </c>
      <c r="K578" s="12" t="b">
        <v>0</v>
      </c>
      <c r="L578" s="12" t="b">
        <v>0</v>
      </c>
      <c r="M578" s="12" t="b">
        <v>0</v>
      </c>
      <c r="N578" s="12">
        <v>0</v>
      </c>
      <c r="O578" s="12" t="b">
        <v>0</v>
      </c>
      <c r="P578" s="12" t="b">
        <v>0</v>
      </c>
      <c r="Q578" s="12" t="b">
        <v>0</v>
      </c>
      <c r="R578" s="12" t="b">
        <v>1</v>
      </c>
      <c r="S578" s="12" t="b">
        <v>1</v>
      </c>
      <c r="T578" s="12" t="b">
        <v>1</v>
      </c>
      <c r="U578" s="12" t="b">
        <v>0</v>
      </c>
      <c r="V578" s="12" t="b">
        <v>0</v>
      </c>
      <c r="W578" s="12" t="b">
        <v>0</v>
      </c>
      <c r="X578" s="12">
        <v>1</v>
      </c>
      <c r="Y578" s="12" t="b">
        <v>0</v>
      </c>
      <c r="Z578" s="12" t="b">
        <v>0</v>
      </c>
      <c r="AA578" s="12" t="b">
        <v>0</v>
      </c>
      <c r="AB578" s="12" t="b">
        <v>0</v>
      </c>
      <c r="AC578" s="12" t="b">
        <v>0</v>
      </c>
      <c r="AD578" s="12" t="b">
        <v>1</v>
      </c>
      <c r="AE578" s="12" t="b">
        <v>0</v>
      </c>
      <c r="AF578" s="12" t="b">
        <v>1</v>
      </c>
      <c r="AG578" s="12" t="b">
        <v>0</v>
      </c>
      <c r="AH578" s="12">
        <v>1</v>
      </c>
      <c r="AI578" s="12" t="b">
        <v>0</v>
      </c>
      <c r="AJ578" s="12" t="b">
        <v>0</v>
      </c>
      <c r="AK578" s="12" t="b">
        <v>1</v>
      </c>
      <c r="AL578" s="12">
        <v>1</v>
      </c>
      <c r="AM578" s="12" t="s">
        <v>1476</v>
      </c>
      <c r="AN578" s="12">
        <v>1</v>
      </c>
    </row>
    <row r="579" spans="1:40" x14ac:dyDescent="0.3">
      <c r="A579" s="62" t="s">
        <v>859</v>
      </c>
      <c r="B579" s="62"/>
      <c r="C579" s="63"/>
      <c r="D579" s="63"/>
      <c r="E579" s="12" t="s">
        <v>2047</v>
      </c>
      <c r="F579" s="12" t="s">
        <v>2048</v>
      </c>
      <c r="G579" s="12" t="b">
        <v>0</v>
      </c>
      <c r="H579" s="12" t="b">
        <v>1</v>
      </c>
      <c r="I579" s="12" t="b">
        <v>1</v>
      </c>
      <c r="J579" s="12" t="b">
        <v>1</v>
      </c>
      <c r="K579" s="12" t="b">
        <v>0</v>
      </c>
      <c r="L579" s="12" t="b">
        <v>0</v>
      </c>
      <c r="M579" s="12" t="b">
        <v>0</v>
      </c>
      <c r="N579" s="12">
        <v>0</v>
      </c>
      <c r="O579" s="12" t="b">
        <v>0</v>
      </c>
      <c r="P579" s="12" t="b">
        <v>0</v>
      </c>
      <c r="Q579" s="12" t="b">
        <v>0</v>
      </c>
      <c r="R579" s="12" t="b">
        <v>1</v>
      </c>
      <c r="S579" s="12" t="b">
        <v>1</v>
      </c>
      <c r="T579" s="12" t="b">
        <v>1</v>
      </c>
      <c r="U579" s="12" t="b">
        <v>0</v>
      </c>
      <c r="V579" s="12" t="b">
        <v>0</v>
      </c>
      <c r="W579" s="12" t="b">
        <v>0</v>
      </c>
      <c r="X579" s="12">
        <v>1</v>
      </c>
      <c r="Y579" s="12" t="b">
        <v>0</v>
      </c>
      <c r="Z579" s="12" t="b">
        <v>0</v>
      </c>
      <c r="AA579" s="12" t="b">
        <v>0</v>
      </c>
      <c r="AB579" s="12" t="b">
        <v>0</v>
      </c>
      <c r="AC579" s="12" t="b">
        <v>0</v>
      </c>
      <c r="AD579" s="12" t="b">
        <v>1</v>
      </c>
      <c r="AE579" s="12" t="b">
        <v>0</v>
      </c>
      <c r="AF579" s="12" t="b">
        <v>1</v>
      </c>
      <c r="AG579" s="12" t="b">
        <v>0</v>
      </c>
      <c r="AH579" s="12">
        <v>1</v>
      </c>
      <c r="AI579" s="12" t="b">
        <v>0</v>
      </c>
      <c r="AJ579" s="12" t="b">
        <v>0</v>
      </c>
      <c r="AK579" s="12" t="b">
        <v>1</v>
      </c>
      <c r="AL579" s="12">
        <v>1</v>
      </c>
      <c r="AM579" s="12" t="s">
        <v>1476</v>
      </c>
      <c r="AN579" s="12">
        <v>1</v>
      </c>
    </row>
    <row r="580" spans="1:40" x14ac:dyDescent="0.3">
      <c r="A580" s="62" t="s">
        <v>859</v>
      </c>
      <c r="B580" s="62"/>
      <c r="C580" s="63"/>
      <c r="D580" s="63"/>
      <c r="E580" s="12" t="s">
        <v>1207</v>
      </c>
      <c r="F580" s="12" t="s">
        <v>1208</v>
      </c>
      <c r="G580" s="12" t="b">
        <v>0</v>
      </c>
      <c r="H580" s="12" t="b">
        <v>1</v>
      </c>
      <c r="I580" s="12" t="b">
        <v>1</v>
      </c>
      <c r="J580" s="12" t="b">
        <v>1</v>
      </c>
      <c r="K580" s="12" t="b">
        <v>0</v>
      </c>
      <c r="L580" s="12" t="b">
        <v>0</v>
      </c>
      <c r="M580" s="12" t="b">
        <v>0</v>
      </c>
      <c r="N580" s="12">
        <v>0</v>
      </c>
      <c r="O580" s="12" t="b">
        <v>0</v>
      </c>
      <c r="P580" s="12" t="b">
        <v>0</v>
      </c>
      <c r="Q580" s="12" t="b">
        <v>0</v>
      </c>
      <c r="R580" s="12" t="b">
        <v>0</v>
      </c>
      <c r="S580" s="12" t="b">
        <v>0</v>
      </c>
      <c r="T580" s="12" t="b">
        <v>1</v>
      </c>
      <c r="U580" s="12" t="b">
        <v>0</v>
      </c>
      <c r="V580" s="12" t="b">
        <v>1</v>
      </c>
      <c r="W580" s="12" t="b">
        <v>0</v>
      </c>
      <c r="X580" s="12">
        <v>1</v>
      </c>
      <c r="Y580" s="12" t="b">
        <v>0</v>
      </c>
      <c r="Z580" s="12" t="b">
        <v>0</v>
      </c>
      <c r="AA580" s="12" t="b">
        <v>1</v>
      </c>
      <c r="AB580" s="12" t="b">
        <v>1</v>
      </c>
      <c r="AC580" s="12" t="b">
        <v>1</v>
      </c>
      <c r="AD580" s="12" t="b">
        <v>1</v>
      </c>
      <c r="AE580" s="12" t="b">
        <v>0</v>
      </c>
      <c r="AF580" s="12" t="b">
        <v>0</v>
      </c>
      <c r="AG580" s="12" t="b">
        <v>0</v>
      </c>
      <c r="AH580" s="12">
        <v>0</v>
      </c>
      <c r="AI580" s="12" t="b">
        <v>0</v>
      </c>
      <c r="AJ580" s="12" t="b">
        <v>0</v>
      </c>
      <c r="AK580" s="12" t="b">
        <v>1</v>
      </c>
      <c r="AL580" s="12">
        <v>1</v>
      </c>
      <c r="AM580" s="12" t="s">
        <v>900</v>
      </c>
      <c r="AN580" s="12">
        <v>1</v>
      </c>
    </row>
    <row r="581" spans="1:40" x14ac:dyDescent="0.3">
      <c r="A581" s="62" t="s">
        <v>859</v>
      </c>
      <c r="B581" s="62"/>
      <c r="C581" s="63"/>
      <c r="D581" s="63"/>
      <c r="E581" s="12" t="s">
        <v>1203</v>
      </c>
      <c r="F581" s="12" t="s">
        <v>1204</v>
      </c>
      <c r="G581" s="12" t="b">
        <v>0</v>
      </c>
      <c r="H581" s="12" t="b">
        <v>1</v>
      </c>
      <c r="I581" s="12" t="b">
        <v>1</v>
      </c>
      <c r="J581" s="12" t="b">
        <v>1</v>
      </c>
      <c r="K581" s="12" t="b">
        <v>0</v>
      </c>
      <c r="L581" s="12" t="b">
        <v>0</v>
      </c>
      <c r="M581" s="12" t="b">
        <v>0</v>
      </c>
      <c r="N581" s="12">
        <v>0</v>
      </c>
      <c r="O581" s="12" t="b">
        <v>0</v>
      </c>
      <c r="P581" s="12" t="b">
        <v>0</v>
      </c>
      <c r="Q581" s="12" t="b">
        <v>0</v>
      </c>
      <c r="R581" s="12" t="b">
        <v>0</v>
      </c>
      <c r="S581" s="12" t="b">
        <v>0</v>
      </c>
      <c r="T581" s="12" t="b">
        <v>1</v>
      </c>
      <c r="U581" s="12" t="b">
        <v>0</v>
      </c>
      <c r="V581" s="12" t="b">
        <v>1</v>
      </c>
      <c r="W581" s="12" t="b">
        <v>0</v>
      </c>
      <c r="X581" s="12">
        <v>1</v>
      </c>
      <c r="Y581" s="12" t="b">
        <v>0</v>
      </c>
      <c r="Z581" s="12" t="b">
        <v>0</v>
      </c>
      <c r="AA581" s="12" t="b">
        <v>1</v>
      </c>
      <c r="AB581" s="12" t="b">
        <v>1</v>
      </c>
      <c r="AC581" s="12" t="b">
        <v>1</v>
      </c>
      <c r="AD581" s="12" t="b">
        <v>1</v>
      </c>
      <c r="AE581" s="12" t="b">
        <v>0</v>
      </c>
      <c r="AF581" s="12" t="b">
        <v>0</v>
      </c>
      <c r="AG581" s="12" t="b">
        <v>0</v>
      </c>
      <c r="AH581" s="12">
        <v>0</v>
      </c>
      <c r="AI581" s="12" t="b">
        <v>0</v>
      </c>
      <c r="AJ581" s="12" t="b">
        <v>0</v>
      </c>
      <c r="AK581" s="12" t="b">
        <v>1</v>
      </c>
      <c r="AL581" s="12">
        <v>1</v>
      </c>
      <c r="AM581" s="12" t="s">
        <v>900</v>
      </c>
      <c r="AN581" s="12">
        <v>1</v>
      </c>
    </row>
    <row r="582" spans="1:40" x14ac:dyDescent="0.3">
      <c r="A582" s="62" t="s">
        <v>859</v>
      </c>
      <c r="B582" s="62"/>
      <c r="C582" s="63"/>
      <c r="D582" s="63"/>
      <c r="E582" s="12" t="s">
        <v>1209</v>
      </c>
      <c r="F582" s="12" t="s">
        <v>1210</v>
      </c>
      <c r="G582" s="12" t="b">
        <v>0</v>
      </c>
      <c r="H582" s="12" t="b">
        <v>1</v>
      </c>
      <c r="I582" s="12" t="b">
        <v>1</v>
      </c>
      <c r="J582" s="12" t="b">
        <v>1</v>
      </c>
      <c r="K582" s="12" t="b">
        <v>0</v>
      </c>
      <c r="L582" s="12" t="b">
        <v>0</v>
      </c>
      <c r="M582" s="12" t="b">
        <v>0</v>
      </c>
      <c r="N582" s="12">
        <v>0</v>
      </c>
      <c r="O582" s="12" t="b">
        <v>0</v>
      </c>
      <c r="P582" s="12" t="b">
        <v>0</v>
      </c>
      <c r="Q582" s="12" t="b">
        <v>0</v>
      </c>
      <c r="R582" s="12" t="b">
        <v>0</v>
      </c>
      <c r="S582" s="12" t="b">
        <v>0</v>
      </c>
      <c r="T582" s="12" t="b">
        <v>1</v>
      </c>
      <c r="U582" s="12" t="b">
        <v>0</v>
      </c>
      <c r="V582" s="12" t="b">
        <v>1</v>
      </c>
      <c r="W582" s="12" t="b">
        <v>0</v>
      </c>
      <c r="X582" s="12">
        <v>1</v>
      </c>
      <c r="Y582" s="12" t="b">
        <v>0</v>
      </c>
      <c r="Z582" s="12" t="b">
        <v>0</v>
      </c>
      <c r="AA582" s="12" t="b">
        <v>1</v>
      </c>
      <c r="AB582" s="12" t="b">
        <v>1</v>
      </c>
      <c r="AC582" s="12" t="b">
        <v>1</v>
      </c>
      <c r="AD582" s="12" t="b">
        <v>1</v>
      </c>
      <c r="AE582" s="12" t="b">
        <v>0</v>
      </c>
      <c r="AF582" s="12" t="b">
        <v>0</v>
      </c>
      <c r="AG582" s="12" t="b">
        <v>0</v>
      </c>
      <c r="AH582" s="12">
        <v>0</v>
      </c>
      <c r="AI582" s="12" t="b">
        <v>0</v>
      </c>
      <c r="AJ582" s="12" t="b">
        <v>0</v>
      </c>
      <c r="AK582" s="12" t="b">
        <v>1</v>
      </c>
      <c r="AL582" s="12">
        <v>1</v>
      </c>
      <c r="AM582" s="12" t="s">
        <v>900</v>
      </c>
      <c r="AN582" s="12">
        <v>1</v>
      </c>
    </row>
    <row r="583" spans="1:40" x14ac:dyDescent="0.3">
      <c r="A583" s="62" t="s">
        <v>859</v>
      </c>
      <c r="B583" s="62"/>
      <c r="C583" s="63"/>
      <c r="D583" s="63"/>
      <c r="E583" s="12" t="s">
        <v>1205</v>
      </c>
      <c r="F583" s="12" t="s">
        <v>1206</v>
      </c>
      <c r="G583" s="12" t="b">
        <v>0</v>
      </c>
      <c r="H583" s="12" t="b">
        <v>1</v>
      </c>
      <c r="I583" s="12" t="b">
        <v>1</v>
      </c>
      <c r="J583" s="12" t="b">
        <v>1</v>
      </c>
      <c r="K583" s="12" t="b">
        <v>0</v>
      </c>
      <c r="L583" s="12" t="b">
        <v>0</v>
      </c>
      <c r="M583" s="12" t="b">
        <v>0</v>
      </c>
      <c r="N583" s="12">
        <v>0</v>
      </c>
      <c r="O583" s="12" t="b">
        <v>0</v>
      </c>
      <c r="P583" s="12" t="b">
        <v>0</v>
      </c>
      <c r="Q583" s="12" t="b">
        <v>0</v>
      </c>
      <c r="R583" s="12" t="b">
        <v>0</v>
      </c>
      <c r="S583" s="12" t="b">
        <v>0</v>
      </c>
      <c r="T583" s="12" t="b">
        <v>1</v>
      </c>
      <c r="U583" s="12" t="b">
        <v>0</v>
      </c>
      <c r="V583" s="12" t="b">
        <v>1</v>
      </c>
      <c r="W583" s="12" t="b">
        <v>0</v>
      </c>
      <c r="X583" s="12">
        <v>1</v>
      </c>
      <c r="Y583" s="12" t="b">
        <v>0</v>
      </c>
      <c r="Z583" s="12" t="b">
        <v>0</v>
      </c>
      <c r="AA583" s="12" t="b">
        <v>1</v>
      </c>
      <c r="AB583" s="12" t="b">
        <v>1</v>
      </c>
      <c r="AC583" s="12" t="b">
        <v>1</v>
      </c>
      <c r="AD583" s="12" t="b">
        <v>1</v>
      </c>
      <c r="AE583" s="12" t="b">
        <v>0</v>
      </c>
      <c r="AF583" s="12" t="b">
        <v>0</v>
      </c>
      <c r="AG583" s="12" t="b">
        <v>0</v>
      </c>
      <c r="AH583" s="12">
        <v>0</v>
      </c>
      <c r="AI583" s="12" t="b">
        <v>0</v>
      </c>
      <c r="AJ583" s="12" t="b">
        <v>0</v>
      </c>
      <c r="AK583" s="12" t="b">
        <v>1</v>
      </c>
      <c r="AL583" s="12">
        <v>1</v>
      </c>
      <c r="AM583" s="12" t="s">
        <v>900</v>
      </c>
      <c r="AN583" s="12">
        <v>1</v>
      </c>
    </row>
    <row r="584" spans="1:40" x14ac:dyDescent="0.3">
      <c r="A584" s="62" t="s">
        <v>859</v>
      </c>
      <c r="B584" s="62"/>
      <c r="C584" s="63" t="s">
        <v>1464</v>
      </c>
      <c r="D584" s="52" t="s">
        <v>1631</v>
      </c>
      <c r="E584" s="12" t="s">
        <v>1761</v>
      </c>
      <c r="F584" s="12" t="s">
        <v>1550</v>
      </c>
      <c r="G584" s="12" t="b">
        <v>1</v>
      </c>
      <c r="H584" s="12" t="b">
        <v>1</v>
      </c>
      <c r="I584" s="12" t="b">
        <v>1</v>
      </c>
      <c r="J584" s="12" t="b">
        <v>1</v>
      </c>
      <c r="K584" s="12" t="b">
        <v>0</v>
      </c>
      <c r="L584" s="12" t="b">
        <v>0</v>
      </c>
      <c r="M584" s="12" t="b">
        <v>0</v>
      </c>
      <c r="N584" s="12">
        <v>0</v>
      </c>
      <c r="O584" s="12" t="b">
        <v>0</v>
      </c>
      <c r="P584" s="12" t="b">
        <v>0</v>
      </c>
      <c r="Q584" s="12" t="b">
        <v>0</v>
      </c>
      <c r="R584" s="12" t="b">
        <v>0</v>
      </c>
      <c r="S584" s="12" t="b">
        <v>0</v>
      </c>
      <c r="T584" s="12" t="b">
        <v>1</v>
      </c>
      <c r="U584" s="12" t="b">
        <v>0</v>
      </c>
      <c r="V584" s="12" t="b">
        <v>1</v>
      </c>
      <c r="W584" s="12" t="b">
        <v>0</v>
      </c>
      <c r="X584" s="12">
        <v>1</v>
      </c>
      <c r="Y584" s="12" t="b">
        <v>0</v>
      </c>
      <c r="Z584" s="12" t="b">
        <v>0</v>
      </c>
      <c r="AA584" s="12" t="b">
        <v>0</v>
      </c>
      <c r="AB584" s="12" t="b">
        <v>0</v>
      </c>
      <c r="AC584" s="12" t="b">
        <v>0</v>
      </c>
      <c r="AD584" s="12" t="b">
        <v>1</v>
      </c>
      <c r="AE584" s="12" t="b">
        <v>0</v>
      </c>
      <c r="AF584" s="12" t="b">
        <v>1</v>
      </c>
      <c r="AG584" s="12" t="b">
        <v>1</v>
      </c>
      <c r="AH584" s="12">
        <v>1</v>
      </c>
      <c r="AI584" s="12" t="b">
        <v>0</v>
      </c>
      <c r="AJ584" s="12" t="b">
        <v>0</v>
      </c>
      <c r="AK584" s="12" t="b">
        <v>1</v>
      </c>
      <c r="AL584" s="12">
        <v>1</v>
      </c>
      <c r="AM584" s="12" t="s">
        <v>900</v>
      </c>
      <c r="AN584" s="12">
        <v>1</v>
      </c>
    </row>
    <row r="585" spans="1:40" x14ac:dyDescent="0.3">
      <c r="A585" s="62" t="s">
        <v>859</v>
      </c>
      <c r="B585" s="62"/>
      <c r="C585" s="63" t="s">
        <v>1466</v>
      </c>
      <c r="D585" s="52" t="s">
        <v>1631</v>
      </c>
      <c r="E585" s="12" t="s">
        <v>1761</v>
      </c>
      <c r="F585" s="12" t="s">
        <v>1550</v>
      </c>
      <c r="G585" s="12" t="b">
        <v>1</v>
      </c>
      <c r="H585" s="12" t="b">
        <v>1</v>
      </c>
      <c r="I585" s="12" t="b">
        <v>1</v>
      </c>
      <c r="J585" s="12" t="b">
        <v>1</v>
      </c>
      <c r="K585" s="12" t="b">
        <v>0</v>
      </c>
      <c r="L585" s="12" t="b">
        <v>0</v>
      </c>
      <c r="M585" s="12" t="b">
        <v>0</v>
      </c>
      <c r="N585" s="12">
        <v>0</v>
      </c>
      <c r="O585" s="12" t="b">
        <v>0</v>
      </c>
      <c r="P585" s="12" t="b">
        <v>0</v>
      </c>
      <c r="Q585" s="12" t="b">
        <v>0</v>
      </c>
      <c r="R585" s="12" t="b">
        <v>0</v>
      </c>
      <c r="S585" s="12" t="b">
        <v>0</v>
      </c>
      <c r="T585" s="12" t="b">
        <v>1</v>
      </c>
      <c r="U585" s="12" t="b">
        <v>0</v>
      </c>
      <c r="V585" s="12" t="b">
        <v>1</v>
      </c>
      <c r="W585" s="12" t="b">
        <v>0</v>
      </c>
      <c r="X585" s="12">
        <v>1</v>
      </c>
      <c r="Y585" s="12" t="b">
        <v>0</v>
      </c>
      <c r="Z585" s="12" t="b">
        <v>0</v>
      </c>
      <c r="AA585" s="12" t="b">
        <v>0</v>
      </c>
      <c r="AB585" s="12" t="b">
        <v>0</v>
      </c>
      <c r="AC585" s="12" t="b">
        <v>0</v>
      </c>
      <c r="AD585" s="12" t="b">
        <v>1</v>
      </c>
      <c r="AE585" s="12" t="b">
        <v>0</v>
      </c>
      <c r="AF585" s="12" t="b">
        <v>1</v>
      </c>
      <c r="AG585" s="12" t="b">
        <v>1</v>
      </c>
      <c r="AH585" s="12">
        <v>1</v>
      </c>
      <c r="AI585" s="12" t="b">
        <v>0</v>
      </c>
      <c r="AJ585" s="12" t="b">
        <v>0</v>
      </c>
      <c r="AK585" s="12" t="b">
        <v>1</v>
      </c>
      <c r="AL585" s="12">
        <v>1</v>
      </c>
      <c r="AM585" s="12" t="s">
        <v>900</v>
      </c>
      <c r="AN585" s="12">
        <v>1</v>
      </c>
    </row>
    <row r="586" spans="1:40" x14ac:dyDescent="0.3">
      <c r="A586" s="62" t="s">
        <v>859</v>
      </c>
      <c r="B586" s="62"/>
      <c r="C586" s="63" t="s">
        <v>1467</v>
      </c>
      <c r="D586" s="52" t="s">
        <v>1631</v>
      </c>
      <c r="E586" s="12" t="s">
        <v>1761</v>
      </c>
      <c r="F586" s="12" t="s">
        <v>1550</v>
      </c>
      <c r="G586" s="12" t="b">
        <v>1</v>
      </c>
      <c r="H586" s="12" t="b">
        <v>1</v>
      </c>
      <c r="I586" s="12" t="b">
        <v>1</v>
      </c>
      <c r="J586" s="12" t="b">
        <v>1</v>
      </c>
      <c r="K586" s="12" t="b">
        <v>0</v>
      </c>
      <c r="L586" s="12" t="b">
        <v>0</v>
      </c>
      <c r="M586" s="12" t="b">
        <v>0</v>
      </c>
      <c r="N586" s="12">
        <v>0</v>
      </c>
      <c r="O586" s="12" t="b">
        <v>0</v>
      </c>
      <c r="P586" s="12" t="b">
        <v>0</v>
      </c>
      <c r="Q586" s="12" t="b">
        <v>0</v>
      </c>
      <c r="R586" s="12" t="b">
        <v>0</v>
      </c>
      <c r="S586" s="12" t="b">
        <v>0</v>
      </c>
      <c r="T586" s="12" t="b">
        <v>1</v>
      </c>
      <c r="U586" s="12" t="b">
        <v>0</v>
      </c>
      <c r="V586" s="12" t="b">
        <v>1</v>
      </c>
      <c r="W586" s="12" t="b">
        <v>0</v>
      </c>
      <c r="X586" s="12">
        <v>1</v>
      </c>
      <c r="Y586" s="12" t="b">
        <v>0</v>
      </c>
      <c r="Z586" s="12" t="b">
        <v>0</v>
      </c>
      <c r="AA586" s="12" t="b">
        <v>0</v>
      </c>
      <c r="AB586" s="12" t="b">
        <v>0</v>
      </c>
      <c r="AC586" s="12" t="b">
        <v>0</v>
      </c>
      <c r="AD586" s="12" t="b">
        <v>1</v>
      </c>
      <c r="AE586" s="12" t="b">
        <v>0</v>
      </c>
      <c r="AF586" s="12" t="b">
        <v>1</v>
      </c>
      <c r="AG586" s="12" t="b">
        <v>1</v>
      </c>
      <c r="AH586" s="12">
        <v>1</v>
      </c>
      <c r="AI586" s="12" t="b">
        <v>0</v>
      </c>
      <c r="AJ586" s="12" t="b">
        <v>0</v>
      </c>
      <c r="AK586" s="12" t="b">
        <v>1</v>
      </c>
      <c r="AL586" s="12">
        <v>1</v>
      </c>
      <c r="AM586" s="12" t="s">
        <v>900</v>
      </c>
      <c r="AN586" s="12">
        <v>1</v>
      </c>
    </row>
    <row r="587" spans="1:40" x14ac:dyDescent="0.3">
      <c r="A587" s="62" t="s">
        <v>859</v>
      </c>
      <c r="B587" s="62"/>
      <c r="C587" s="63" t="s">
        <v>1468</v>
      </c>
      <c r="D587" s="52" t="s">
        <v>1631</v>
      </c>
      <c r="E587" s="12" t="s">
        <v>1761</v>
      </c>
      <c r="F587" s="12" t="s">
        <v>1550</v>
      </c>
      <c r="G587" s="12" t="b">
        <v>1</v>
      </c>
      <c r="H587" s="12" t="b">
        <v>1</v>
      </c>
      <c r="I587" s="12" t="b">
        <v>1</v>
      </c>
      <c r="J587" s="12" t="b">
        <v>1</v>
      </c>
      <c r="K587" s="12" t="b">
        <v>0</v>
      </c>
      <c r="L587" s="12" t="b">
        <v>0</v>
      </c>
      <c r="M587" s="12" t="b">
        <v>0</v>
      </c>
      <c r="N587" s="12">
        <v>0</v>
      </c>
      <c r="O587" s="12" t="b">
        <v>0</v>
      </c>
      <c r="P587" s="12" t="b">
        <v>0</v>
      </c>
      <c r="Q587" s="12" t="b">
        <v>0</v>
      </c>
      <c r="R587" s="12" t="b">
        <v>0</v>
      </c>
      <c r="S587" s="12" t="b">
        <v>0</v>
      </c>
      <c r="T587" s="12" t="b">
        <v>1</v>
      </c>
      <c r="U587" s="12" t="b">
        <v>0</v>
      </c>
      <c r="V587" s="12" t="b">
        <v>1</v>
      </c>
      <c r="W587" s="12" t="b">
        <v>0</v>
      </c>
      <c r="X587" s="12">
        <v>1</v>
      </c>
      <c r="Y587" s="12" t="b">
        <v>0</v>
      </c>
      <c r="Z587" s="12" t="b">
        <v>0</v>
      </c>
      <c r="AA587" s="12" t="b">
        <v>0</v>
      </c>
      <c r="AB587" s="12" t="b">
        <v>0</v>
      </c>
      <c r="AC587" s="12" t="b">
        <v>0</v>
      </c>
      <c r="AD587" s="12" t="b">
        <v>1</v>
      </c>
      <c r="AE587" s="12" t="b">
        <v>0</v>
      </c>
      <c r="AF587" s="12" t="b">
        <v>1</v>
      </c>
      <c r="AG587" s="12" t="b">
        <v>1</v>
      </c>
      <c r="AH587" s="12">
        <v>1</v>
      </c>
      <c r="AI587" s="12" t="b">
        <v>0</v>
      </c>
      <c r="AJ587" s="12" t="b">
        <v>0</v>
      </c>
      <c r="AK587" s="12" t="b">
        <v>1</v>
      </c>
      <c r="AL587" s="12">
        <v>1</v>
      </c>
      <c r="AM587" s="12" t="s">
        <v>900</v>
      </c>
      <c r="AN587" s="12">
        <v>1</v>
      </c>
    </row>
    <row r="588" spans="1:40" x14ac:dyDescent="0.3">
      <c r="A588" s="62" t="s">
        <v>859</v>
      </c>
      <c r="B588" s="62"/>
      <c r="C588" s="63" t="s">
        <v>1469</v>
      </c>
      <c r="D588" s="52" t="s">
        <v>1631</v>
      </c>
      <c r="E588" s="12" t="s">
        <v>1761</v>
      </c>
      <c r="F588" s="12" t="s">
        <v>1550</v>
      </c>
      <c r="G588" s="12" t="b">
        <v>1</v>
      </c>
      <c r="H588" s="12" t="b">
        <v>1</v>
      </c>
      <c r="I588" s="12" t="b">
        <v>1</v>
      </c>
      <c r="J588" s="12" t="b">
        <v>1</v>
      </c>
      <c r="K588" s="12" t="b">
        <v>0</v>
      </c>
      <c r="L588" s="12" t="b">
        <v>0</v>
      </c>
      <c r="M588" s="12" t="b">
        <v>0</v>
      </c>
      <c r="N588" s="12">
        <v>0</v>
      </c>
      <c r="O588" s="12" t="b">
        <v>0</v>
      </c>
      <c r="P588" s="12" t="b">
        <v>0</v>
      </c>
      <c r="Q588" s="12" t="b">
        <v>0</v>
      </c>
      <c r="R588" s="12" t="b">
        <v>0</v>
      </c>
      <c r="S588" s="12" t="b">
        <v>0</v>
      </c>
      <c r="T588" s="12" t="b">
        <v>1</v>
      </c>
      <c r="U588" s="12" t="b">
        <v>0</v>
      </c>
      <c r="V588" s="12" t="b">
        <v>1</v>
      </c>
      <c r="W588" s="12" t="b">
        <v>0</v>
      </c>
      <c r="X588" s="12">
        <v>1</v>
      </c>
      <c r="Y588" s="12" t="b">
        <v>0</v>
      </c>
      <c r="Z588" s="12" t="b">
        <v>0</v>
      </c>
      <c r="AA588" s="12" t="b">
        <v>0</v>
      </c>
      <c r="AB588" s="12" t="b">
        <v>0</v>
      </c>
      <c r="AC588" s="12" t="b">
        <v>0</v>
      </c>
      <c r="AD588" s="12" t="b">
        <v>1</v>
      </c>
      <c r="AE588" s="12" t="b">
        <v>0</v>
      </c>
      <c r="AF588" s="12" t="b">
        <v>1</v>
      </c>
      <c r="AG588" s="12" t="b">
        <v>1</v>
      </c>
      <c r="AH588" s="12">
        <v>1</v>
      </c>
      <c r="AI588" s="12" t="b">
        <v>0</v>
      </c>
      <c r="AJ588" s="12" t="b">
        <v>0</v>
      </c>
      <c r="AK588" s="12" t="b">
        <v>1</v>
      </c>
      <c r="AL588" s="12">
        <v>1</v>
      </c>
      <c r="AM588" s="12" t="s">
        <v>900</v>
      </c>
      <c r="AN588" s="12">
        <v>1</v>
      </c>
    </row>
    <row r="589" spans="1:40" x14ac:dyDescent="0.3">
      <c r="A589" s="62" t="s">
        <v>859</v>
      </c>
      <c r="B589" s="62"/>
      <c r="C589" s="63" t="s">
        <v>1470</v>
      </c>
      <c r="D589" s="52" t="s">
        <v>1631</v>
      </c>
      <c r="E589" s="12" t="s">
        <v>1761</v>
      </c>
      <c r="F589" s="12" t="s">
        <v>1550</v>
      </c>
      <c r="G589" s="12" t="b">
        <v>1</v>
      </c>
      <c r="H589" s="12" t="b">
        <v>1</v>
      </c>
      <c r="I589" s="12" t="b">
        <v>1</v>
      </c>
      <c r="J589" s="12" t="b">
        <v>1</v>
      </c>
      <c r="K589" s="12" t="b">
        <v>0</v>
      </c>
      <c r="L589" s="12" t="b">
        <v>0</v>
      </c>
      <c r="M589" s="12" t="b">
        <v>0</v>
      </c>
      <c r="N589" s="12">
        <v>0</v>
      </c>
      <c r="O589" s="12" t="b">
        <v>0</v>
      </c>
      <c r="P589" s="12" t="b">
        <v>0</v>
      </c>
      <c r="Q589" s="12" t="b">
        <v>0</v>
      </c>
      <c r="R589" s="12" t="b">
        <v>0</v>
      </c>
      <c r="S589" s="12" t="b">
        <v>0</v>
      </c>
      <c r="T589" s="12" t="b">
        <v>1</v>
      </c>
      <c r="U589" s="12" t="b">
        <v>0</v>
      </c>
      <c r="V589" s="12" t="b">
        <v>1</v>
      </c>
      <c r="W589" s="12" t="b">
        <v>0</v>
      </c>
      <c r="X589" s="12">
        <v>1</v>
      </c>
      <c r="Y589" s="12" t="b">
        <v>0</v>
      </c>
      <c r="Z589" s="12" t="b">
        <v>0</v>
      </c>
      <c r="AA589" s="12" t="b">
        <v>0</v>
      </c>
      <c r="AB589" s="12" t="b">
        <v>0</v>
      </c>
      <c r="AC589" s="12" t="b">
        <v>0</v>
      </c>
      <c r="AD589" s="12" t="b">
        <v>1</v>
      </c>
      <c r="AE589" s="12" t="b">
        <v>0</v>
      </c>
      <c r="AF589" s="12" t="b">
        <v>1</v>
      </c>
      <c r="AG589" s="12" t="b">
        <v>1</v>
      </c>
      <c r="AH589" s="12">
        <v>1</v>
      </c>
      <c r="AI589" s="12" t="b">
        <v>0</v>
      </c>
      <c r="AJ589" s="12" t="b">
        <v>0</v>
      </c>
      <c r="AK589" s="12" t="b">
        <v>1</v>
      </c>
      <c r="AL589" s="12">
        <v>1</v>
      </c>
      <c r="AM589" s="12" t="s">
        <v>900</v>
      </c>
      <c r="AN589" s="12">
        <v>1</v>
      </c>
    </row>
    <row r="590" spans="1:40" x14ac:dyDescent="0.3">
      <c r="A590" s="62" t="s">
        <v>859</v>
      </c>
      <c r="B590" s="62"/>
      <c r="C590" s="63" t="s">
        <v>1934</v>
      </c>
      <c r="D590" s="52" t="s">
        <v>1631</v>
      </c>
      <c r="E590" s="12" t="s">
        <v>1761</v>
      </c>
      <c r="F590" s="12" t="s">
        <v>1550</v>
      </c>
      <c r="G590" s="12" t="b">
        <v>1</v>
      </c>
      <c r="H590" s="12" t="b">
        <v>1</v>
      </c>
      <c r="I590" s="12" t="b">
        <v>1</v>
      </c>
      <c r="J590" s="12" t="b">
        <v>1</v>
      </c>
      <c r="K590" s="12" t="b">
        <v>0</v>
      </c>
      <c r="L590" s="12" t="b">
        <v>0</v>
      </c>
      <c r="M590" s="12" t="b">
        <v>0</v>
      </c>
      <c r="N590" s="12">
        <v>0</v>
      </c>
      <c r="O590" s="12" t="b">
        <v>0</v>
      </c>
      <c r="P590" s="12" t="b">
        <v>0</v>
      </c>
      <c r="Q590" s="12" t="b">
        <v>0</v>
      </c>
      <c r="R590" s="12" t="b">
        <v>0</v>
      </c>
      <c r="S590" s="12" t="b">
        <v>0</v>
      </c>
      <c r="T590" s="12" t="b">
        <v>1</v>
      </c>
      <c r="U590" s="12" t="b">
        <v>0</v>
      </c>
      <c r="V590" s="12" t="b">
        <v>1</v>
      </c>
      <c r="W590" s="12" t="b">
        <v>0</v>
      </c>
      <c r="X590" s="12">
        <v>1</v>
      </c>
      <c r="Y590" s="12" t="b">
        <v>0</v>
      </c>
      <c r="Z590" s="12" t="b">
        <v>0</v>
      </c>
      <c r="AA590" s="12" t="b">
        <v>0</v>
      </c>
      <c r="AB590" s="12" t="b">
        <v>0</v>
      </c>
      <c r="AC590" s="12" t="b">
        <v>0</v>
      </c>
      <c r="AD590" s="12" t="b">
        <v>1</v>
      </c>
      <c r="AE590" s="12" t="b">
        <v>0</v>
      </c>
      <c r="AF590" s="12" t="b">
        <v>1</v>
      </c>
      <c r="AG590" s="12" t="b">
        <v>1</v>
      </c>
      <c r="AH590" s="12">
        <v>1</v>
      </c>
      <c r="AI590" s="12" t="b">
        <v>0</v>
      </c>
      <c r="AJ590" s="12" t="b">
        <v>0</v>
      </c>
      <c r="AK590" s="12" t="b">
        <v>1</v>
      </c>
      <c r="AL590" s="12">
        <v>1</v>
      </c>
      <c r="AM590" s="12" t="s">
        <v>900</v>
      </c>
      <c r="AN590" s="12">
        <v>1</v>
      </c>
    </row>
    <row r="591" spans="1:40" x14ac:dyDescent="0.3">
      <c r="A591" s="62" t="s">
        <v>859</v>
      </c>
      <c r="B591" s="62"/>
      <c r="C591" s="63" t="s">
        <v>1935</v>
      </c>
      <c r="D591" s="52" t="s">
        <v>1631</v>
      </c>
      <c r="E591" s="12" t="s">
        <v>1761</v>
      </c>
      <c r="F591" s="12" t="s">
        <v>1550</v>
      </c>
      <c r="G591" s="12" t="b">
        <v>1</v>
      </c>
      <c r="H591" s="12" t="b">
        <v>1</v>
      </c>
      <c r="I591" s="12" t="b">
        <v>1</v>
      </c>
      <c r="J591" s="12" t="b">
        <v>1</v>
      </c>
      <c r="K591" s="12" t="b">
        <v>0</v>
      </c>
      <c r="L591" s="12" t="b">
        <v>0</v>
      </c>
      <c r="M591" s="12" t="b">
        <v>0</v>
      </c>
      <c r="N591" s="12">
        <v>0</v>
      </c>
      <c r="O591" s="12" t="b">
        <v>0</v>
      </c>
      <c r="P591" s="12" t="b">
        <v>0</v>
      </c>
      <c r="Q591" s="12" t="b">
        <v>0</v>
      </c>
      <c r="R591" s="12" t="b">
        <v>0</v>
      </c>
      <c r="S591" s="12" t="b">
        <v>0</v>
      </c>
      <c r="T591" s="12" t="b">
        <v>1</v>
      </c>
      <c r="U591" s="12" t="b">
        <v>0</v>
      </c>
      <c r="V591" s="12" t="b">
        <v>1</v>
      </c>
      <c r="W591" s="12" t="b">
        <v>0</v>
      </c>
      <c r="X591" s="12">
        <v>1</v>
      </c>
      <c r="Y591" s="12" t="b">
        <v>0</v>
      </c>
      <c r="Z591" s="12" t="b">
        <v>0</v>
      </c>
      <c r="AA591" s="12" t="b">
        <v>0</v>
      </c>
      <c r="AB591" s="12" t="b">
        <v>0</v>
      </c>
      <c r="AC591" s="12" t="b">
        <v>0</v>
      </c>
      <c r="AD591" s="12" t="b">
        <v>1</v>
      </c>
      <c r="AE591" s="12" t="b">
        <v>0</v>
      </c>
      <c r="AF591" s="12" t="b">
        <v>1</v>
      </c>
      <c r="AG591" s="12" t="b">
        <v>1</v>
      </c>
      <c r="AH591" s="12">
        <v>1</v>
      </c>
      <c r="AI591" s="12" t="b">
        <v>0</v>
      </c>
      <c r="AJ591" s="12" t="b">
        <v>0</v>
      </c>
      <c r="AK591" s="12" t="b">
        <v>1</v>
      </c>
      <c r="AL591" s="12">
        <v>1</v>
      </c>
      <c r="AM591" s="12" t="s">
        <v>900</v>
      </c>
      <c r="AN591" s="12">
        <v>1</v>
      </c>
    </row>
    <row r="592" spans="1:40" x14ac:dyDescent="0.3">
      <c r="A592" s="62" t="s">
        <v>859</v>
      </c>
      <c r="B592" s="62"/>
      <c r="C592" s="63" t="s">
        <v>1936</v>
      </c>
      <c r="D592" s="52" t="s">
        <v>1631</v>
      </c>
      <c r="E592" s="12" t="s">
        <v>1761</v>
      </c>
      <c r="F592" s="12" t="s">
        <v>1550</v>
      </c>
      <c r="G592" s="12" t="b">
        <v>1</v>
      </c>
      <c r="H592" s="12" t="b">
        <v>1</v>
      </c>
      <c r="I592" s="12" t="b">
        <v>1</v>
      </c>
      <c r="J592" s="12" t="b">
        <v>1</v>
      </c>
      <c r="K592" s="12" t="b">
        <v>0</v>
      </c>
      <c r="L592" s="12" t="b">
        <v>0</v>
      </c>
      <c r="M592" s="12" t="b">
        <v>0</v>
      </c>
      <c r="N592" s="12">
        <v>0</v>
      </c>
      <c r="O592" s="12" t="b">
        <v>0</v>
      </c>
      <c r="P592" s="12" t="b">
        <v>0</v>
      </c>
      <c r="Q592" s="12" t="b">
        <v>0</v>
      </c>
      <c r="R592" s="12" t="b">
        <v>0</v>
      </c>
      <c r="S592" s="12" t="b">
        <v>0</v>
      </c>
      <c r="T592" s="12" t="b">
        <v>1</v>
      </c>
      <c r="U592" s="12" t="b">
        <v>0</v>
      </c>
      <c r="V592" s="12" t="b">
        <v>1</v>
      </c>
      <c r="W592" s="12" t="b">
        <v>0</v>
      </c>
      <c r="X592" s="12">
        <v>1</v>
      </c>
      <c r="Y592" s="12" t="b">
        <v>0</v>
      </c>
      <c r="Z592" s="12" t="b">
        <v>0</v>
      </c>
      <c r="AA592" s="12" t="b">
        <v>0</v>
      </c>
      <c r="AB592" s="12" t="b">
        <v>0</v>
      </c>
      <c r="AC592" s="12" t="b">
        <v>0</v>
      </c>
      <c r="AD592" s="12" t="b">
        <v>1</v>
      </c>
      <c r="AE592" s="12" t="b">
        <v>0</v>
      </c>
      <c r="AF592" s="12" t="b">
        <v>1</v>
      </c>
      <c r="AG592" s="12" t="b">
        <v>1</v>
      </c>
      <c r="AH592" s="12">
        <v>1</v>
      </c>
      <c r="AI592" s="12" t="b">
        <v>0</v>
      </c>
      <c r="AJ592" s="12" t="b">
        <v>0</v>
      </c>
      <c r="AK592" s="12" t="b">
        <v>1</v>
      </c>
      <c r="AL592" s="12">
        <v>1</v>
      </c>
      <c r="AM592" s="12" t="s">
        <v>900</v>
      </c>
      <c r="AN592" s="12">
        <v>1</v>
      </c>
    </row>
    <row r="593" spans="1:40" x14ac:dyDescent="0.3">
      <c r="A593" s="62" t="s">
        <v>859</v>
      </c>
      <c r="B593" s="62"/>
      <c r="C593" s="63" t="s">
        <v>1937</v>
      </c>
      <c r="D593" s="52" t="s">
        <v>1631</v>
      </c>
      <c r="E593" s="12" t="s">
        <v>1761</v>
      </c>
      <c r="F593" s="12" t="s">
        <v>1550</v>
      </c>
      <c r="G593" s="12" t="b">
        <v>1</v>
      </c>
      <c r="H593" s="12" t="b">
        <v>1</v>
      </c>
      <c r="I593" s="12" t="b">
        <v>1</v>
      </c>
      <c r="J593" s="12" t="b">
        <v>1</v>
      </c>
      <c r="K593" s="12" t="b">
        <v>0</v>
      </c>
      <c r="L593" s="12" t="b">
        <v>0</v>
      </c>
      <c r="M593" s="12" t="b">
        <v>0</v>
      </c>
      <c r="N593" s="12">
        <v>0</v>
      </c>
      <c r="O593" s="12" t="b">
        <v>0</v>
      </c>
      <c r="P593" s="12" t="b">
        <v>0</v>
      </c>
      <c r="Q593" s="12" t="b">
        <v>0</v>
      </c>
      <c r="R593" s="12" t="b">
        <v>0</v>
      </c>
      <c r="S593" s="12" t="b">
        <v>0</v>
      </c>
      <c r="T593" s="12" t="b">
        <v>1</v>
      </c>
      <c r="U593" s="12" t="b">
        <v>0</v>
      </c>
      <c r="V593" s="12" t="b">
        <v>1</v>
      </c>
      <c r="W593" s="12" t="b">
        <v>0</v>
      </c>
      <c r="X593" s="12">
        <v>1</v>
      </c>
      <c r="Y593" s="12" t="b">
        <v>0</v>
      </c>
      <c r="Z593" s="12" t="b">
        <v>0</v>
      </c>
      <c r="AA593" s="12" t="b">
        <v>0</v>
      </c>
      <c r="AB593" s="12" t="b">
        <v>0</v>
      </c>
      <c r="AC593" s="12" t="b">
        <v>0</v>
      </c>
      <c r="AD593" s="12" t="b">
        <v>1</v>
      </c>
      <c r="AE593" s="12" t="b">
        <v>0</v>
      </c>
      <c r="AF593" s="12" t="b">
        <v>1</v>
      </c>
      <c r="AG593" s="12" t="b">
        <v>1</v>
      </c>
      <c r="AH593" s="12">
        <v>1</v>
      </c>
      <c r="AI593" s="12" t="b">
        <v>0</v>
      </c>
      <c r="AJ593" s="12" t="b">
        <v>0</v>
      </c>
      <c r="AK593" s="12" t="b">
        <v>1</v>
      </c>
      <c r="AL593" s="12">
        <v>1</v>
      </c>
      <c r="AM593" s="12" t="s">
        <v>900</v>
      </c>
      <c r="AN593" s="12">
        <v>1</v>
      </c>
    </row>
    <row r="594" spans="1:40" x14ac:dyDescent="0.3">
      <c r="A594" s="62" t="s">
        <v>859</v>
      </c>
      <c r="B594" s="62"/>
      <c r="C594" s="63" t="s">
        <v>1938</v>
      </c>
      <c r="D594" s="52" t="s">
        <v>1631</v>
      </c>
      <c r="E594" s="12" t="s">
        <v>1761</v>
      </c>
      <c r="F594" s="12" t="s">
        <v>1550</v>
      </c>
      <c r="G594" s="12" t="b">
        <v>1</v>
      </c>
      <c r="H594" s="12" t="b">
        <v>1</v>
      </c>
      <c r="I594" s="12" t="b">
        <v>1</v>
      </c>
      <c r="J594" s="12" t="b">
        <v>1</v>
      </c>
      <c r="K594" s="12" t="b">
        <v>0</v>
      </c>
      <c r="L594" s="12" t="b">
        <v>0</v>
      </c>
      <c r="M594" s="12" t="b">
        <v>0</v>
      </c>
      <c r="N594" s="12">
        <v>0</v>
      </c>
      <c r="O594" s="12" t="b">
        <v>0</v>
      </c>
      <c r="P594" s="12" t="b">
        <v>0</v>
      </c>
      <c r="Q594" s="12" t="b">
        <v>0</v>
      </c>
      <c r="R594" s="12" t="b">
        <v>0</v>
      </c>
      <c r="S594" s="12" t="b">
        <v>0</v>
      </c>
      <c r="T594" s="12" t="b">
        <v>1</v>
      </c>
      <c r="U594" s="12" t="b">
        <v>0</v>
      </c>
      <c r="V594" s="12" t="b">
        <v>1</v>
      </c>
      <c r="W594" s="12" t="b">
        <v>0</v>
      </c>
      <c r="X594" s="12">
        <v>1</v>
      </c>
      <c r="Y594" s="12" t="b">
        <v>0</v>
      </c>
      <c r="Z594" s="12" t="b">
        <v>0</v>
      </c>
      <c r="AA594" s="12" t="b">
        <v>0</v>
      </c>
      <c r="AB594" s="12" t="b">
        <v>0</v>
      </c>
      <c r="AC594" s="12" t="b">
        <v>0</v>
      </c>
      <c r="AD594" s="12" t="b">
        <v>1</v>
      </c>
      <c r="AE594" s="12" t="b">
        <v>0</v>
      </c>
      <c r="AF594" s="12" t="b">
        <v>1</v>
      </c>
      <c r="AG594" s="12" t="b">
        <v>1</v>
      </c>
      <c r="AH594" s="12">
        <v>1</v>
      </c>
      <c r="AI594" s="12" t="b">
        <v>0</v>
      </c>
      <c r="AJ594" s="12" t="b">
        <v>0</v>
      </c>
      <c r="AK594" s="12" t="b">
        <v>1</v>
      </c>
      <c r="AL594" s="12">
        <v>1</v>
      </c>
      <c r="AM594" s="12" t="s">
        <v>900</v>
      </c>
      <c r="AN594" s="12">
        <v>1</v>
      </c>
    </row>
    <row r="595" spans="1:40" x14ac:dyDescent="0.3">
      <c r="A595" s="62" t="s">
        <v>859</v>
      </c>
      <c r="B595" s="62"/>
      <c r="C595" s="63" t="s">
        <v>1939</v>
      </c>
      <c r="D595" s="52" t="s">
        <v>1631</v>
      </c>
      <c r="E595" s="12" t="s">
        <v>1761</v>
      </c>
      <c r="F595" s="12" t="s">
        <v>1550</v>
      </c>
      <c r="G595" s="12" t="b">
        <v>1</v>
      </c>
      <c r="H595" s="12" t="b">
        <v>1</v>
      </c>
      <c r="I595" s="12" t="b">
        <v>1</v>
      </c>
      <c r="J595" s="12" t="b">
        <v>1</v>
      </c>
      <c r="K595" s="12" t="b">
        <v>0</v>
      </c>
      <c r="L595" s="12" t="b">
        <v>0</v>
      </c>
      <c r="M595" s="12" t="b">
        <v>0</v>
      </c>
      <c r="N595" s="12">
        <v>0</v>
      </c>
      <c r="O595" s="12" t="b">
        <v>0</v>
      </c>
      <c r="P595" s="12" t="b">
        <v>0</v>
      </c>
      <c r="Q595" s="12" t="b">
        <v>0</v>
      </c>
      <c r="R595" s="12" t="b">
        <v>0</v>
      </c>
      <c r="S595" s="12" t="b">
        <v>0</v>
      </c>
      <c r="T595" s="12" t="b">
        <v>1</v>
      </c>
      <c r="U595" s="12" t="b">
        <v>0</v>
      </c>
      <c r="V595" s="12" t="b">
        <v>1</v>
      </c>
      <c r="W595" s="12" t="b">
        <v>0</v>
      </c>
      <c r="X595" s="12">
        <v>1</v>
      </c>
      <c r="Y595" s="12" t="b">
        <v>0</v>
      </c>
      <c r="Z595" s="12" t="b">
        <v>0</v>
      </c>
      <c r="AA595" s="12" t="b">
        <v>0</v>
      </c>
      <c r="AB595" s="12" t="b">
        <v>0</v>
      </c>
      <c r="AC595" s="12" t="b">
        <v>0</v>
      </c>
      <c r="AD595" s="12" t="b">
        <v>1</v>
      </c>
      <c r="AE595" s="12" t="b">
        <v>0</v>
      </c>
      <c r="AF595" s="12" t="b">
        <v>1</v>
      </c>
      <c r="AG595" s="12" t="b">
        <v>1</v>
      </c>
      <c r="AH595" s="12">
        <v>1</v>
      </c>
      <c r="AI595" s="12" t="b">
        <v>0</v>
      </c>
      <c r="AJ595" s="12" t="b">
        <v>0</v>
      </c>
      <c r="AK595" s="12" t="b">
        <v>1</v>
      </c>
      <c r="AL595" s="12">
        <v>1</v>
      </c>
      <c r="AM595" s="12" t="s">
        <v>900</v>
      </c>
      <c r="AN595" s="12">
        <v>1</v>
      </c>
    </row>
    <row r="596" spans="1:40" x14ac:dyDescent="0.3">
      <c r="A596" s="62" t="s">
        <v>859</v>
      </c>
      <c r="B596" s="132" t="s">
        <v>878</v>
      </c>
      <c r="C596" s="63"/>
      <c r="D596" s="63"/>
      <c r="E596" s="12" t="s">
        <v>2019</v>
      </c>
      <c r="F596" s="12" t="s">
        <v>2020</v>
      </c>
      <c r="G596" s="12" t="b">
        <v>0</v>
      </c>
      <c r="H596" s="12" t="b">
        <v>1</v>
      </c>
      <c r="I596" s="12" t="b">
        <v>1</v>
      </c>
      <c r="J596" s="12" t="b">
        <v>1</v>
      </c>
      <c r="K596" s="12" t="b">
        <v>0</v>
      </c>
      <c r="L596" s="12" t="b">
        <v>0</v>
      </c>
      <c r="M596" s="12" t="b">
        <v>0</v>
      </c>
      <c r="N596" s="12">
        <v>0</v>
      </c>
      <c r="O596" s="12" t="b">
        <v>0</v>
      </c>
      <c r="P596" s="12" t="b">
        <v>0</v>
      </c>
      <c r="Q596" s="12" t="b">
        <v>0</v>
      </c>
      <c r="R596" s="12" t="b">
        <v>0</v>
      </c>
      <c r="S596" s="12" t="b">
        <v>0</v>
      </c>
      <c r="T596" s="12" t="b">
        <v>0</v>
      </c>
      <c r="U596" s="12" t="b">
        <v>0</v>
      </c>
      <c r="V596" s="12" t="b">
        <v>0</v>
      </c>
      <c r="W596" s="12" t="b">
        <v>0</v>
      </c>
      <c r="X596" s="12">
        <v>1</v>
      </c>
      <c r="Y596" s="12" t="b">
        <v>0</v>
      </c>
      <c r="Z596" s="12" t="b">
        <v>0</v>
      </c>
      <c r="AA596" s="12" t="b">
        <v>1</v>
      </c>
      <c r="AB596" s="12" t="b">
        <v>1</v>
      </c>
      <c r="AC596" s="12" t="b">
        <v>1</v>
      </c>
      <c r="AD596" s="12" t="b">
        <v>1</v>
      </c>
      <c r="AE596" s="12" t="b">
        <v>0</v>
      </c>
      <c r="AF596" s="12" t="b">
        <v>0</v>
      </c>
      <c r="AG596" s="12" t="b">
        <v>0</v>
      </c>
      <c r="AH596" s="12">
        <v>0</v>
      </c>
      <c r="AI596" s="12" t="b">
        <v>0</v>
      </c>
      <c r="AJ596" s="12" t="b">
        <v>0</v>
      </c>
      <c r="AK596" s="12" t="b">
        <v>1</v>
      </c>
      <c r="AL596" s="12">
        <v>1</v>
      </c>
      <c r="AM596" s="12" t="s">
        <v>1476</v>
      </c>
      <c r="AN596" s="12">
        <v>1</v>
      </c>
    </row>
    <row r="597" spans="1:40" x14ac:dyDescent="0.3">
      <c r="A597" s="62" t="s">
        <v>859</v>
      </c>
      <c r="B597" s="132" t="s">
        <v>878</v>
      </c>
      <c r="C597" s="63"/>
      <c r="D597" s="63"/>
      <c r="E597" s="12" t="s">
        <v>2021</v>
      </c>
      <c r="F597" s="12" t="s">
        <v>2022</v>
      </c>
      <c r="G597" s="12" t="b">
        <v>0</v>
      </c>
      <c r="H597" s="12" t="b">
        <v>1</v>
      </c>
      <c r="I597" s="12" t="b">
        <v>1</v>
      </c>
      <c r="J597" s="12" t="b">
        <v>1</v>
      </c>
      <c r="K597" s="12" t="b">
        <v>0</v>
      </c>
      <c r="L597" s="12" t="b">
        <v>0</v>
      </c>
      <c r="M597" s="12" t="b">
        <v>0</v>
      </c>
      <c r="N597" s="12">
        <v>0</v>
      </c>
      <c r="O597" s="12" t="b">
        <v>0</v>
      </c>
      <c r="P597" s="12" t="b">
        <v>0</v>
      </c>
      <c r="Q597" s="12" t="b">
        <v>0</v>
      </c>
      <c r="R597" s="12" t="b">
        <v>0</v>
      </c>
      <c r="S597" s="12" t="b">
        <v>0</v>
      </c>
      <c r="T597" s="12" t="b">
        <v>0</v>
      </c>
      <c r="U597" s="12" t="b">
        <v>0</v>
      </c>
      <c r="V597" s="12" t="b">
        <v>0</v>
      </c>
      <c r="W597" s="12" t="b">
        <v>0</v>
      </c>
      <c r="X597" s="12">
        <v>1</v>
      </c>
      <c r="Y597" s="12" t="b">
        <v>0</v>
      </c>
      <c r="Z597" s="12" t="b">
        <v>0</v>
      </c>
      <c r="AA597" s="12" t="b">
        <v>1</v>
      </c>
      <c r="AB597" s="12" t="b">
        <v>1</v>
      </c>
      <c r="AC597" s="12" t="b">
        <v>1</v>
      </c>
      <c r="AD597" s="12" t="b">
        <v>1</v>
      </c>
      <c r="AE597" s="12" t="b">
        <v>0</v>
      </c>
      <c r="AF597" s="12" t="b">
        <v>0</v>
      </c>
      <c r="AG597" s="12" t="b">
        <v>0</v>
      </c>
      <c r="AH597" s="12">
        <v>0</v>
      </c>
      <c r="AI597" s="12" t="b">
        <v>0</v>
      </c>
      <c r="AJ597" s="12" t="b">
        <v>0</v>
      </c>
      <c r="AK597" s="12" t="b">
        <v>1</v>
      </c>
      <c r="AL597" s="12">
        <v>1</v>
      </c>
      <c r="AM597" s="12" t="s">
        <v>1476</v>
      </c>
      <c r="AN597" s="12">
        <v>1</v>
      </c>
    </row>
    <row r="598" spans="1:40" x14ac:dyDescent="0.3">
      <c r="A598" s="62" t="s">
        <v>859</v>
      </c>
      <c r="B598" s="132" t="s">
        <v>1014</v>
      </c>
      <c r="C598" s="63"/>
      <c r="D598" s="63"/>
      <c r="E598" s="12" t="s">
        <v>2023</v>
      </c>
      <c r="F598" s="12" t="s">
        <v>2024</v>
      </c>
      <c r="G598" s="12" t="b">
        <v>0</v>
      </c>
      <c r="H598" s="12" t="b">
        <v>1</v>
      </c>
      <c r="I598" s="12" t="b">
        <v>1</v>
      </c>
      <c r="J598" s="12" t="b">
        <v>1</v>
      </c>
      <c r="K598" s="12" t="b">
        <v>0</v>
      </c>
      <c r="L598" s="12" t="b">
        <v>0</v>
      </c>
      <c r="M598" s="12" t="b">
        <v>0</v>
      </c>
      <c r="N598" s="12">
        <v>0</v>
      </c>
      <c r="O598" s="12" t="b">
        <v>0</v>
      </c>
      <c r="P598" s="12" t="b">
        <v>0</v>
      </c>
      <c r="Q598" s="12" t="b">
        <v>0</v>
      </c>
      <c r="R598" s="12" t="b">
        <v>0</v>
      </c>
      <c r="S598" s="12" t="b">
        <v>0</v>
      </c>
      <c r="T598" s="12" t="b">
        <v>0</v>
      </c>
      <c r="U598" s="12" t="b">
        <v>0</v>
      </c>
      <c r="V598" s="12" t="b">
        <v>0</v>
      </c>
      <c r="W598" s="12" t="b">
        <v>0</v>
      </c>
      <c r="X598" s="12">
        <v>1</v>
      </c>
      <c r="Y598" s="12" t="b">
        <v>0</v>
      </c>
      <c r="Z598" s="12" t="b">
        <v>0</v>
      </c>
      <c r="AA598" s="12" t="b">
        <v>1</v>
      </c>
      <c r="AB598" s="12" t="b">
        <v>1</v>
      </c>
      <c r="AC598" s="12" t="b">
        <v>1</v>
      </c>
      <c r="AD598" s="12" t="b">
        <v>1</v>
      </c>
      <c r="AE598" s="12" t="b">
        <v>0</v>
      </c>
      <c r="AF598" s="12" t="b">
        <v>0</v>
      </c>
      <c r="AG598" s="12" t="b">
        <v>0</v>
      </c>
      <c r="AH598" s="12">
        <v>0</v>
      </c>
      <c r="AI598" s="12" t="b">
        <v>0</v>
      </c>
      <c r="AJ598" s="12" t="b">
        <v>0</v>
      </c>
      <c r="AK598" s="12" t="b">
        <v>1</v>
      </c>
      <c r="AL598" s="12">
        <v>1</v>
      </c>
      <c r="AM598" s="12" t="s">
        <v>1476</v>
      </c>
      <c r="AN598" s="12">
        <v>1</v>
      </c>
    </row>
    <row r="599" spans="1:40" x14ac:dyDescent="0.3">
      <c r="A599" s="62" t="s">
        <v>859</v>
      </c>
      <c r="B599" s="132" t="s">
        <v>1014</v>
      </c>
      <c r="C599" s="63"/>
      <c r="D599" s="63"/>
      <c r="E599" s="12" t="s">
        <v>2025</v>
      </c>
      <c r="F599" s="12" t="s">
        <v>2026</v>
      </c>
      <c r="G599" s="12" t="b">
        <v>0</v>
      </c>
      <c r="H599" s="12" t="b">
        <v>1</v>
      </c>
      <c r="I599" s="12" t="b">
        <v>1</v>
      </c>
      <c r="J599" s="12" t="b">
        <v>1</v>
      </c>
      <c r="K599" s="12" t="b">
        <v>0</v>
      </c>
      <c r="L599" s="12" t="b">
        <v>0</v>
      </c>
      <c r="M599" s="12" t="b">
        <v>0</v>
      </c>
      <c r="N599" s="12">
        <v>0</v>
      </c>
      <c r="O599" s="12" t="b">
        <v>0</v>
      </c>
      <c r="P599" s="12" t="b">
        <v>0</v>
      </c>
      <c r="Q599" s="12" t="b">
        <v>0</v>
      </c>
      <c r="R599" s="12" t="b">
        <v>0</v>
      </c>
      <c r="S599" s="12" t="b">
        <v>0</v>
      </c>
      <c r="T599" s="12" t="b">
        <v>0</v>
      </c>
      <c r="U599" s="12" t="b">
        <v>0</v>
      </c>
      <c r="V599" s="12" t="b">
        <v>0</v>
      </c>
      <c r="W599" s="12" t="b">
        <v>0</v>
      </c>
      <c r="X599" s="12">
        <v>1</v>
      </c>
      <c r="Y599" s="12" t="b">
        <v>0</v>
      </c>
      <c r="Z599" s="12" t="b">
        <v>0</v>
      </c>
      <c r="AA599" s="12" t="b">
        <v>1</v>
      </c>
      <c r="AB599" s="12" t="b">
        <v>1</v>
      </c>
      <c r="AC599" s="12" t="b">
        <v>1</v>
      </c>
      <c r="AD599" s="12" t="b">
        <v>1</v>
      </c>
      <c r="AE599" s="12" t="b">
        <v>0</v>
      </c>
      <c r="AF599" s="12" t="b">
        <v>0</v>
      </c>
      <c r="AG599" s="12" t="b">
        <v>0</v>
      </c>
      <c r="AH599" s="12">
        <v>0</v>
      </c>
      <c r="AI599" s="12" t="b">
        <v>0</v>
      </c>
      <c r="AJ599" s="12" t="b">
        <v>0</v>
      </c>
      <c r="AK599" s="12" t="b">
        <v>1</v>
      </c>
      <c r="AL599" s="12">
        <v>1</v>
      </c>
      <c r="AM599" s="12" t="s">
        <v>1476</v>
      </c>
      <c r="AN599" s="12">
        <v>1</v>
      </c>
    </row>
    <row r="600" spans="1:40" x14ac:dyDescent="0.3">
      <c r="A600" s="62" t="s">
        <v>859</v>
      </c>
      <c r="B600" s="132" t="s">
        <v>1015</v>
      </c>
      <c r="C600" s="63"/>
      <c r="D600" s="63"/>
      <c r="E600" s="12" t="s">
        <v>2027</v>
      </c>
      <c r="F600" s="12" t="s">
        <v>2028</v>
      </c>
      <c r="G600" s="12" t="b">
        <v>0</v>
      </c>
      <c r="H600" s="12" t="b">
        <v>1</v>
      </c>
      <c r="I600" s="12" t="b">
        <v>1</v>
      </c>
      <c r="J600" s="12" t="b">
        <v>1</v>
      </c>
      <c r="K600" s="12" t="b">
        <v>0</v>
      </c>
      <c r="L600" s="12" t="b">
        <v>0</v>
      </c>
      <c r="M600" s="12" t="b">
        <v>0</v>
      </c>
      <c r="N600" s="12">
        <v>0</v>
      </c>
      <c r="O600" s="12" t="b">
        <v>0</v>
      </c>
      <c r="P600" s="12" t="b">
        <v>0</v>
      </c>
      <c r="Q600" s="12" t="b">
        <v>0</v>
      </c>
      <c r="R600" s="12" t="b">
        <v>0</v>
      </c>
      <c r="S600" s="12" t="b">
        <v>0</v>
      </c>
      <c r="T600" s="12" t="b">
        <v>0</v>
      </c>
      <c r="U600" s="12" t="b">
        <v>0</v>
      </c>
      <c r="V600" s="12" t="b">
        <v>0</v>
      </c>
      <c r="W600" s="12" t="b">
        <v>0</v>
      </c>
      <c r="X600" s="12">
        <v>1</v>
      </c>
      <c r="Y600" s="12" t="b">
        <v>0</v>
      </c>
      <c r="Z600" s="12" t="b">
        <v>0</v>
      </c>
      <c r="AA600" s="12" t="b">
        <v>1</v>
      </c>
      <c r="AB600" s="12" t="b">
        <v>1</v>
      </c>
      <c r="AC600" s="12" t="b">
        <v>1</v>
      </c>
      <c r="AD600" s="12" t="b">
        <v>1</v>
      </c>
      <c r="AE600" s="12" t="b">
        <v>0</v>
      </c>
      <c r="AF600" s="12" t="b">
        <v>0</v>
      </c>
      <c r="AG600" s="12" t="b">
        <v>0</v>
      </c>
      <c r="AH600" s="12">
        <v>0</v>
      </c>
      <c r="AI600" s="12" t="b">
        <v>0</v>
      </c>
      <c r="AJ600" s="12" t="b">
        <v>0</v>
      </c>
      <c r="AK600" s="12" t="b">
        <v>1</v>
      </c>
      <c r="AL600" s="12">
        <v>1</v>
      </c>
      <c r="AM600" s="12" t="s">
        <v>1476</v>
      </c>
      <c r="AN600" s="12">
        <v>1</v>
      </c>
    </row>
    <row r="601" spans="1:40" x14ac:dyDescent="0.3">
      <c r="A601" s="62" t="s">
        <v>859</v>
      </c>
      <c r="B601" s="132" t="s">
        <v>1015</v>
      </c>
      <c r="C601" s="63"/>
      <c r="D601" s="63"/>
      <c r="E601" s="12" t="s">
        <v>2029</v>
      </c>
      <c r="F601" s="12" t="s">
        <v>2030</v>
      </c>
      <c r="G601" s="12" t="b">
        <v>0</v>
      </c>
      <c r="H601" s="12" t="b">
        <v>1</v>
      </c>
      <c r="I601" s="12" t="b">
        <v>1</v>
      </c>
      <c r="J601" s="12" t="b">
        <v>1</v>
      </c>
      <c r="K601" s="12" t="b">
        <v>0</v>
      </c>
      <c r="L601" s="12" t="b">
        <v>0</v>
      </c>
      <c r="M601" s="12" t="b">
        <v>0</v>
      </c>
      <c r="N601" s="12">
        <v>0</v>
      </c>
      <c r="O601" s="12" t="b">
        <v>0</v>
      </c>
      <c r="P601" s="12" t="b">
        <v>0</v>
      </c>
      <c r="Q601" s="12" t="b">
        <v>0</v>
      </c>
      <c r="R601" s="12" t="b">
        <v>0</v>
      </c>
      <c r="S601" s="12" t="b">
        <v>0</v>
      </c>
      <c r="T601" s="12" t="b">
        <v>0</v>
      </c>
      <c r="U601" s="12" t="b">
        <v>0</v>
      </c>
      <c r="V601" s="12" t="b">
        <v>0</v>
      </c>
      <c r="W601" s="12" t="b">
        <v>0</v>
      </c>
      <c r="X601" s="12">
        <v>1</v>
      </c>
      <c r="Y601" s="12" t="b">
        <v>0</v>
      </c>
      <c r="Z601" s="12" t="b">
        <v>0</v>
      </c>
      <c r="AA601" s="12" t="b">
        <v>1</v>
      </c>
      <c r="AB601" s="12" t="b">
        <v>1</v>
      </c>
      <c r="AC601" s="12" t="b">
        <v>1</v>
      </c>
      <c r="AD601" s="12" t="b">
        <v>1</v>
      </c>
      <c r="AE601" s="12" t="b">
        <v>0</v>
      </c>
      <c r="AF601" s="12" t="b">
        <v>0</v>
      </c>
      <c r="AG601" s="12" t="b">
        <v>0</v>
      </c>
      <c r="AH601" s="12">
        <v>0</v>
      </c>
      <c r="AI601" s="12" t="b">
        <v>0</v>
      </c>
      <c r="AJ601" s="12" t="b">
        <v>0</v>
      </c>
      <c r="AK601" s="12" t="b">
        <v>1</v>
      </c>
      <c r="AL601" s="12">
        <v>1</v>
      </c>
      <c r="AM601" s="12" t="s">
        <v>1476</v>
      </c>
      <c r="AN601" s="12">
        <v>1</v>
      </c>
    </row>
    <row r="602" spans="1:40" x14ac:dyDescent="0.3">
      <c r="A602" s="62" t="s">
        <v>859</v>
      </c>
      <c r="B602" s="132" t="s">
        <v>1016</v>
      </c>
      <c r="C602" s="63"/>
      <c r="D602" s="63"/>
      <c r="E602" s="12" t="s">
        <v>2031</v>
      </c>
      <c r="F602" s="12" t="s">
        <v>2032</v>
      </c>
      <c r="G602" s="12" t="b">
        <v>0</v>
      </c>
      <c r="H602" s="12" t="b">
        <v>1</v>
      </c>
      <c r="I602" s="12" t="b">
        <v>1</v>
      </c>
      <c r="J602" s="12" t="b">
        <v>1</v>
      </c>
      <c r="K602" s="12" t="b">
        <v>0</v>
      </c>
      <c r="L602" s="12" t="b">
        <v>0</v>
      </c>
      <c r="M602" s="12" t="b">
        <v>0</v>
      </c>
      <c r="N602" s="12">
        <v>0</v>
      </c>
      <c r="O602" s="12" t="b">
        <v>0</v>
      </c>
      <c r="P602" s="12" t="b">
        <v>0</v>
      </c>
      <c r="Q602" s="12" t="b">
        <v>0</v>
      </c>
      <c r="R602" s="12" t="b">
        <v>0</v>
      </c>
      <c r="S602" s="12" t="b">
        <v>0</v>
      </c>
      <c r="T602" s="12" t="b">
        <v>0</v>
      </c>
      <c r="U602" s="12" t="b">
        <v>0</v>
      </c>
      <c r="V602" s="12" t="b">
        <v>0</v>
      </c>
      <c r="W602" s="12" t="b">
        <v>0</v>
      </c>
      <c r="X602" s="12">
        <v>1</v>
      </c>
      <c r="Y602" s="12" t="b">
        <v>0</v>
      </c>
      <c r="Z602" s="12" t="b">
        <v>0</v>
      </c>
      <c r="AA602" s="12" t="b">
        <v>1</v>
      </c>
      <c r="AB602" s="12" t="b">
        <v>1</v>
      </c>
      <c r="AC602" s="12" t="b">
        <v>1</v>
      </c>
      <c r="AD602" s="12" t="b">
        <v>1</v>
      </c>
      <c r="AE602" s="12" t="b">
        <v>0</v>
      </c>
      <c r="AF602" s="12" t="b">
        <v>0</v>
      </c>
      <c r="AG602" s="12" t="b">
        <v>0</v>
      </c>
      <c r="AH602" s="12">
        <v>0</v>
      </c>
      <c r="AI602" s="12" t="b">
        <v>0</v>
      </c>
      <c r="AJ602" s="12" t="b">
        <v>0</v>
      </c>
      <c r="AK602" s="12" t="b">
        <v>1</v>
      </c>
      <c r="AL602" s="12">
        <v>1</v>
      </c>
      <c r="AM602" s="12" t="s">
        <v>1476</v>
      </c>
      <c r="AN602" s="12">
        <v>1</v>
      </c>
    </row>
    <row r="603" spans="1:40" x14ac:dyDescent="0.3">
      <c r="A603" s="62" t="s">
        <v>859</v>
      </c>
      <c r="B603" s="132" t="s">
        <v>1016</v>
      </c>
      <c r="C603" s="63"/>
      <c r="D603" s="63"/>
      <c r="E603" s="12" t="s">
        <v>2033</v>
      </c>
      <c r="F603" s="12" t="s">
        <v>2034</v>
      </c>
      <c r="G603" s="12" t="b">
        <v>0</v>
      </c>
      <c r="H603" s="12" t="b">
        <v>1</v>
      </c>
      <c r="I603" s="12" t="b">
        <v>1</v>
      </c>
      <c r="J603" s="12" t="b">
        <v>1</v>
      </c>
      <c r="K603" s="12" t="b">
        <v>0</v>
      </c>
      <c r="L603" s="12" t="b">
        <v>0</v>
      </c>
      <c r="M603" s="12" t="b">
        <v>0</v>
      </c>
      <c r="N603" s="12">
        <v>0</v>
      </c>
      <c r="O603" s="12" t="b">
        <v>0</v>
      </c>
      <c r="P603" s="12" t="b">
        <v>0</v>
      </c>
      <c r="Q603" s="12" t="b">
        <v>0</v>
      </c>
      <c r="R603" s="12" t="b">
        <v>0</v>
      </c>
      <c r="S603" s="12" t="b">
        <v>0</v>
      </c>
      <c r="T603" s="12" t="b">
        <v>0</v>
      </c>
      <c r="U603" s="12" t="b">
        <v>0</v>
      </c>
      <c r="V603" s="12" t="b">
        <v>0</v>
      </c>
      <c r="W603" s="12" t="b">
        <v>0</v>
      </c>
      <c r="X603" s="12">
        <v>1</v>
      </c>
      <c r="Y603" s="12" t="b">
        <v>0</v>
      </c>
      <c r="Z603" s="12" t="b">
        <v>0</v>
      </c>
      <c r="AA603" s="12" t="b">
        <v>1</v>
      </c>
      <c r="AB603" s="12" t="b">
        <v>1</v>
      </c>
      <c r="AC603" s="12" t="b">
        <v>1</v>
      </c>
      <c r="AD603" s="12" t="b">
        <v>1</v>
      </c>
      <c r="AE603" s="12" t="b">
        <v>0</v>
      </c>
      <c r="AF603" s="12" t="b">
        <v>0</v>
      </c>
      <c r="AG603" s="12" t="b">
        <v>0</v>
      </c>
      <c r="AH603" s="12">
        <v>0</v>
      </c>
      <c r="AI603" s="12" t="b">
        <v>0</v>
      </c>
      <c r="AJ603" s="12" t="b">
        <v>0</v>
      </c>
      <c r="AK603" s="12" t="b">
        <v>1</v>
      </c>
      <c r="AL603" s="12">
        <v>1</v>
      </c>
      <c r="AM603" s="12" t="s">
        <v>1476</v>
      </c>
      <c r="AN603" s="12">
        <v>1</v>
      </c>
    </row>
    <row r="604" spans="1:40" x14ac:dyDescent="0.3">
      <c r="A604" s="62" t="s">
        <v>859</v>
      </c>
      <c r="B604" s="62"/>
      <c r="C604" s="63"/>
      <c r="D604" s="63"/>
      <c r="E604" s="12" t="s">
        <v>1318</v>
      </c>
      <c r="F604" s="12" t="s">
        <v>1319</v>
      </c>
      <c r="G604" s="12" t="b">
        <v>0</v>
      </c>
      <c r="H604" s="12" t="b">
        <v>1</v>
      </c>
      <c r="I604" s="12" t="b">
        <v>1</v>
      </c>
      <c r="J604" s="12" t="b">
        <v>1</v>
      </c>
      <c r="K604" s="12" t="b">
        <v>0</v>
      </c>
      <c r="L604" s="12" t="b">
        <v>0</v>
      </c>
      <c r="M604" s="12" t="b">
        <v>0</v>
      </c>
      <c r="N604" s="12">
        <v>0</v>
      </c>
      <c r="O604" s="12" t="b">
        <v>0</v>
      </c>
      <c r="P604" s="12" t="b">
        <v>0</v>
      </c>
      <c r="Q604" s="12" t="b">
        <v>0</v>
      </c>
      <c r="R604" s="12" t="b">
        <v>0</v>
      </c>
      <c r="S604" s="12" t="b">
        <v>0</v>
      </c>
      <c r="T604" s="12" t="b">
        <v>0</v>
      </c>
      <c r="U604" s="12" t="b">
        <v>0</v>
      </c>
      <c r="V604" s="12" t="b">
        <v>0</v>
      </c>
      <c r="W604" s="12" t="b">
        <v>0</v>
      </c>
      <c r="X604" s="12">
        <v>12</v>
      </c>
      <c r="Y604" s="12" t="b">
        <v>0</v>
      </c>
      <c r="Z604" s="12" t="b">
        <v>0</v>
      </c>
      <c r="AA604" s="12" t="b">
        <v>0</v>
      </c>
      <c r="AB604" s="12" t="b">
        <v>0</v>
      </c>
      <c r="AC604" s="12" t="b">
        <v>0</v>
      </c>
      <c r="AD604" s="12" t="b">
        <v>0</v>
      </c>
      <c r="AE604" s="12" t="b">
        <v>0</v>
      </c>
      <c r="AF604" s="12" t="b">
        <v>0</v>
      </c>
      <c r="AG604" s="12" t="b">
        <v>0</v>
      </c>
      <c r="AH604" s="12">
        <v>5</v>
      </c>
      <c r="AI604" s="12" t="b">
        <v>0</v>
      </c>
      <c r="AJ604" s="12" t="b">
        <v>0</v>
      </c>
      <c r="AK604" s="12" t="b">
        <v>1</v>
      </c>
      <c r="AL604" s="12">
        <v>1</v>
      </c>
      <c r="AM604" s="12" t="s">
        <v>1476</v>
      </c>
      <c r="AN604" s="12">
        <v>1</v>
      </c>
    </row>
    <row r="605" spans="1:40" x14ac:dyDescent="0.3">
      <c r="A605" s="62" t="s">
        <v>859</v>
      </c>
      <c r="B605" s="62"/>
      <c r="C605" s="63"/>
      <c r="D605" s="63"/>
      <c r="E605" s="12" t="s">
        <v>1320</v>
      </c>
      <c r="F605" s="12" t="s">
        <v>1321</v>
      </c>
      <c r="G605" s="12" t="b">
        <v>0</v>
      </c>
      <c r="H605" s="12" t="b">
        <v>1</v>
      </c>
      <c r="I605" s="12" t="b">
        <v>1</v>
      </c>
      <c r="J605" s="12" t="b">
        <v>1</v>
      </c>
      <c r="K605" s="12" t="b">
        <v>0</v>
      </c>
      <c r="L605" s="12" t="b">
        <v>1</v>
      </c>
      <c r="M605" s="12" t="b">
        <v>0</v>
      </c>
      <c r="N605" s="12">
        <v>0</v>
      </c>
      <c r="O605" s="12" t="b">
        <v>0</v>
      </c>
      <c r="P605" s="12" t="b">
        <v>0</v>
      </c>
      <c r="Q605" s="12" t="b">
        <v>0</v>
      </c>
      <c r="R605" s="12" t="b">
        <v>0</v>
      </c>
      <c r="S605" s="12" t="b">
        <v>0</v>
      </c>
      <c r="T605" s="12" t="b">
        <v>0</v>
      </c>
      <c r="U605" s="12" t="b">
        <v>0</v>
      </c>
      <c r="V605" s="12" t="b">
        <v>0</v>
      </c>
      <c r="W605" s="12" t="b">
        <v>0</v>
      </c>
      <c r="X605" s="12">
        <v>12</v>
      </c>
      <c r="Y605" s="12" t="b">
        <v>0</v>
      </c>
      <c r="Z605" s="12" t="b">
        <v>0</v>
      </c>
      <c r="AA605" s="12" t="b">
        <v>0</v>
      </c>
      <c r="AB605" s="12" t="b">
        <v>0</v>
      </c>
      <c r="AC605" s="12" t="b">
        <v>0</v>
      </c>
      <c r="AD605" s="12" t="b">
        <v>0</v>
      </c>
      <c r="AE605" s="12" t="b">
        <v>0</v>
      </c>
      <c r="AF605" s="12" t="b">
        <v>0</v>
      </c>
      <c r="AG605" s="12" t="b">
        <v>0</v>
      </c>
      <c r="AH605" s="12">
        <v>7</v>
      </c>
      <c r="AI605" s="12" t="b">
        <v>0</v>
      </c>
      <c r="AJ605" s="12" t="b">
        <v>0</v>
      </c>
      <c r="AK605" s="12" t="b">
        <v>1</v>
      </c>
      <c r="AL605" s="12">
        <v>1</v>
      </c>
      <c r="AM605" s="12" t="s">
        <v>1476</v>
      </c>
      <c r="AN605" s="12">
        <v>1</v>
      </c>
    </row>
    <row r="606" spans="1:40" x14ac:dyDescent="0.3">
      <c r="A606" s="62" t="s">
        <v>859</v>
      </c>
      <c r="B606" s="62"/>
      <c r="C606" s="63"/>
      <c r="D606" s="63"/>
      <c r="E606" s="12" t="s">
        <v>1525</v>
      </c>
      <c r="F606" s="12" t="s">
        <v>1569</v>
      </c>
      <c r="G606" s="12" t="b">
        <v>0</v>
      </c>
      <c r="H606" s="12" t="b">
        <v>1</v>
      </c>
      <c r="I606" s="12" t="b">
        <v>1</v>
      </c>
      <c r="J606" s="12" t="b">
        <v>1</v>
      </c>
      <c r="K606" s="12" t="b">
        <v>0</v>
      </c>
      <c r="L606" s="12" t="b">
        <v>0</v>
      </c>
      <c r="M606" s="12" t="b">
        <v>0</v>
      </c>
      <c r="N606" s="12">
        <v>0</v>
      </c>
      <c r="O606" s="12" t="b">
        <v>0</v>
      </c>
      <c r="P606" s="12" t="b">
        <v>0</v>
      </c>
      <c r="Q606" s="12" t="b">
        <v>0</v>
      </c>
      <c r="R606" s="12" t="b">
        <v>0</v>
      </c>
      <c r="S606" s="12" t="b">
        <v>0</v>
      </c>
      <c r="T606" s="12" t="b">
        <v>0</v>
      </c>
      <c r="U606" s="12" t="b">
        <v>0</v>
      </c>
      <c r="V606" s="12" t="b">
        <v>0</v>
      </c>
      <c r="W606" s="12" t="b">
        <v>0</v>
      </c>
      <c r="X606" s="12">
        <v>1</v>
      </c>
      <c r="Y606" s="12" t="b">
        <v>0</v>
      </c>
      <c r="Z606" s="12" t="b">
        <v>0</v>
      </c>
      <c r="AA606" s="12" t="b">
        <v>1</v>
      </c>
      <c r="AB606" s="12" t="b">
        <v>1</v>
      </c>
      <c r="AC606" s="12" t="b">
        <v>1</v>
      </c>
      <c r="AD606" s="12" t="b">
        <v>1</v>
      </c>
      <c r="AE606" s="12" t="b">
        <v>0</v>
      </c>
      <c r="AF606" s="12" t="b">
        <v>0</v>
      </c>
      <c r="AG606" s="12" t="b">
        <v>0</v>
      </c>
      <c r="AH606" s="12">
        <v>1</v>
      </c>
      <c r="AI606" s="12" t="b">
        <v>0</v>
      </c>
      <c r="AJ606" s="12" t="b">
        <v>0</v>
      </c>
      <c r="AK606" s="12" t="b">
        <v>1</v>
      </c>
      <c r="AL606" s="12">
        <v>0</v>
      </c>
      <c r="AM606" s="12" t="s">
        <v>922</v>
      </c>
      <c r="AN606" s="12">
        <v>0</v>
      </c>
    </row>
    <row r="607" spans="1:40" x14ac:dyDescent="0.3">
      <c r="A607" s="62" t="s">
        <v>859</v>
      </c>
      <c r="B607" s="62"/>
      <c r="C607" s="63"/>
      <c r="D607" s="63"/>
      <c r="E607" s="12" t="s">
        <v>1526</v>
      </c>
      <c r="F607" s="12" t="s">
        <v>1570</v>
      </c>
      <c r="G607" s="12" t="b">
        <v>0</v>
      </c>
      <c r="H607" s="12" t="b">
        <v>1</v>
      </c>
      <c r="I607" s="12" t="b">
        <v>1</v>
      </c>
      <c r="J607" s="12" t="b">
        <v>1</v>
      </c>
      <c r="K607" s="12" t="b">
        <v>0</v>
      </c>
      <c r="L607" s="12" t="b">
        <v>0</v>
      </c>
      <c r="M607" s="12" t="b">
        <v>0</v>
      </c>
      <c r="N607" s="12">
        <v>0</v>
      </c>
      <c r="O607" s="12" t="b">
        <v>0</v>
      </c>
      <c r="P607" s="12" t="b">
        <v>0</v>
      </c>
      <c r="Q607" s="12" t="b">
        <v>0</v>
      </c>
      <c r="R607" s="12" t="b">
        <v>0</v>
      </c>
      <c r="S607" s="12" t="b">
        <v>0</v>
      </c>
      <c r="T607" s="12" t="b">
        <v>0</v>
      </c>
      <c r="U607" s="12" t="b">
        <v>0</v>
      </c>
      <c r="V607" s="12" t="b">
        <v>0</v>
      </c>
      <c r="W607" s="12" t="b">
        <v>0</v>
      </c>
      <c r="X607" s="12">
        <v>1</v>
      </c>
      <c r="Y607" s="12" t="b">
        <v>0</v>
      </c>
      <c r="Z607" s="12" t="b">
        <v>0</v>
      </c>
      <c r="AA607" s="12" t="b">
        <v>1</v>
      </c>
      <c r="AB607" s="12" t="b">
        <v>1</v>
      </c>
      <c r="AC607" s="12" t="b">
        <v>1</v>
      </c>
      <c r="AD607" s="12" t="b">
        <v>1</v>
      </c>
      <c r="AE607" s="12" t="b">
        <v>0</v>
      </c>
      <c r="AF607" s="12" t="b">
        <v>0</v>
      </c>
      <c r="AG607" s="12" t="b">
        <v>0</v>
      </c>
      <c r="AH607" s="12">
        <v>1</v>
      </c>
      <c r="AI607" s="12" t="b">
        <v>0</v>
      </c>
      <c r="AJ607" s="12" t="b">
        <v>0</v>
      </c>
      <c r="AK607" s="12" t="b">
        <v>1</v>
      </c>
      <c r="AL607" s="12">
        <v>0</v>
      </c>
      <c r="AM607" s="12" t="s">
        <v>922</v>
      </c>
      <c r="AN607" s="12">
        <v>0</v>
      </c>
    </row>
    <row r="608" spans="1:40" x14ac:dyDescent="0.3">
      <c r="A608" s="62" t="s">
        <v>859</v>
      </c>
      <c r="B608" s="62"/>
      <c r="C608" s="63"/>
      <c r="D608" s="63"/>
      <c r="E608" s="12" t="s">
        <v>1527</v>
      </c>
      <c r="F608" s="12" t="s">
        <v>1571</v>
      </c>
      <c r="G608" s="12" t="b">
        <v>0</v>
      </c>
      <c r="H608" s="12" t="b">
        <v>1</v>
      </c>
      <c r="I608" s="12" t="b">
        <v>1</v>
      </c>
      <c r="J608" s="12" t="b">
        <v>1</v>
      </c>
      <c r="K608" s="12" t="b">
        <v>0</v>
      </c>
      <c r="L608" s="12" t="b">
        <v>0</v>
      </c>
      <c r="M608" s="12" t="b">
        <v>0</v>
      </c>
      <c r="N608" s="12">
        <v>0</v>
      </c>
      <c r="O608" s="12" t="b">
        <v>0</v>
      </c>
      <c r="P608" s="12" t="b">
        <v>0</v>
      </c>
      <c r="Q608" s="12" t="b">
        <v>0</v>
      </c>
      <c r="R608" s="12" t="b">
        <v>0</v>
      </c>
      <c r="S608" s="12" t="b">
        <v>0</v>
      </c>
      <c r="T608" s="12" t="b">
        <v>0</v>
      </c>
      <c r="U608" s="12" t="b">
        <v>0</v>
      </c>
      <c r="V608" s="12" t="b">
        <v>0</v>
      </c>
      <c r="W608" s="12" t="b">
        <v>0</v>
      </c>
      <c r="X608" s="12">
        <v>1</v>
      </c>
      <c r="Y608" s="12" t="b">
        <v>0</v>
      </c>
      <c r="Z608" s="12" t="b">
        <v>0</v>
      </c>
      <c r="AA608" s="12" t="b">
        <v>1</v>
      </c>
      <c r="AB608" s="12" t="b">
        <v>1</v>
      </c>
      <c r="AC608" s="12" t="b">
        <v>1</v>
      </c>
      <c r="AD608" s="12" t="b">
        <v>1</v>
      </c>
      <c r="AE608" s="12" t="b">
        <v>0</v>
      </c>
      <c r="AF608" s="12" t="b">
        <v>0</v>
      </c>
      <c r="AG608" s="12" t="b">
        <v>0</v>
      </c>
      <c r="AH608" s="12">
        <v>1</v>
      </c>
      <c r="AI608" s="12" t="b">
        <v>0</v>
      </c>
      <c r="AJ608" s="12" t="b">
        <v>0</v>
      </c>
      <c r="AK608" s="12" t="b">
        <v>1</v>
      </c>
      <c r="AL608" s="12">
        <v>0</v>
      </c>
      <c r="AM608" s="12" t="s">
        <v>922</v>
      </c>
      <c r="AN608" s="12">
        <v>0</v>
      </c>
    </row>
    <row r="609" spans="1:40" x14ac:dyDescent="0.3">
      <c r="A609" s="62" t="s">
        <v>859</v>
      </c>
      <c r="B609" s="62"/>
      <c r="C609" s="63"/>
      <c r="D609" s="63"/>
      <c r="E609" s="12" t="s">
        <v>1246</v>
      </c>
      <c r="F609" s="12" t="s">
        <v>1247</v>
      </c>
      <c r="G609" s="12" t="b">
        <v>0</v>
      </c>
      <c r="H609" s="12" t="b">
        <v>1</v>
      </c>
      <c r="I609" s="12" t="b">
        <v>1</v>
      </c>
      <c r="J609" s="12" t="b">
        <v>1</v>
      </c>
      <c r="K609" s="12" t="b">
        <v>0</v>
      </c>
      <c r="L609" s="12" t="b">
        <v>0</v>
      </c>
      <c r="M609" s="12" t="b">
        <v>0</v>
      </c>
      <c r="N609" s="12">
        <v>0</v>
      </c>
      <c r="O609" s="12" t="b">
        <v>0</v>
      </c>
      <c r="P609" s="12" t="b">
        <v>0</v>
      </c>
      <c r="Q609" s="12" t="b">
        <v>0</v>
      </c>
      <c r="R609" s="12" t="b">
        <v>1</v>
      </c>
      <c r="S609" s="12" t="b">
        <v>1</v>
      </c>
      <c r="T609" s="12" t="b">
        <v>1</v>
      </c>
      <c r="U609" s="12" t="b">
        <v>0</v>
      </c>
      <c r="V609" s="12" t="b">
        <v>1</v>
      </c>
      <c r="W609" s="12" t="b">
        <v>0</v>
      </c>
      <c r="X609" s="12">
        <v>0</v>
      </c>
      <c r="Y609" s="12" t="b">
        <v>0</v>
      </c>
      <c r="Z609" s="12" t="b">
        <v>0</v>
      </c>
      <c r="AA609" s="12" t="b">
        <v>1</v>
      </c>
      <c r="AB609" s="12" t="b">
        <v>1</v>
      </c>
      <c r="AC609" s="12" t="b">
        <v>1</v>
      </c>
      <c r="AD609" s="12" t="b">
        <v>1</v>
      </c>
      <c r="AE609" s="12" t="b">
        <v>0</v>
      </c>
      <c r="AF609" s="12" t="b">
        <v>0</v>
      </c>
      <c r="AG609" s="12" t="b">
        <v>0</v>
      </c>
      <c r="AH609" s="12">
        <v>100</v>
      </c>
      <c r="AI609" s="12" t="b">
        <v>0</v>
      </c>
      <c r="AJ609" s="12" t="b">
        <v>0</v>
      </c>
      <c r="AK609" s="12" t="b">
        <v>1</v>
      </c>
      <c r="AL609" s="12">
        <v>1</v>
      </c>
      <c r="AM609" s="12" t="s">
        <v>978</v>
      </c>
      <c r="AN609" s="12">
        <v>1</v>
      </c>
    </row>
    <row r="610" spans="1:40" x14ac:dyDescent="0.3">
      <c r="A610" s="62" t="s">
        <v>859</v>
      </c>
      <c r="B610" s="62"/>
      <c r="C610" s="63"/>
      <c r="D610" s="63"/>
      <c r="E610" s="12" t="s">
        <v>1268</v>
      </c>
      <c r="F610" s="12" t="s">
        <v>1269</v>
      </c>
      <c r="G610" s="12" t="b">
        <v>0</v>
      </c>
      <c r="H610" s="12" t="b">
        <v>0</v>
      </c>
      <c r="I610" s="12" t="b">
        <v>0</v>
      </c>
      <c r="J610" s="12" t="b">
        <v>1</v>
      </c>
      <c r="K610" s="12" t="b">
        <v>0</v>
      </c>
      <c r="L610" s="12" t="b">
        <v>1</v>
      </c>
      <c r="M610" s="12" t="b">
        <v>0</v>
      </c>
      <c r="N610" s="12">
        <v>0</v>
      </c>
      <c r="O610" s="12" t="b">
        <v>0</v>
      </c>
      <c r="P610" s="12" t="b">
        <v>0</v>
      </c>
      <c r="Q610" s="12" t="b">
        <v>0</v>
      </c>
      <c r="R610" s="12" t="b">
        <v>0</v>
      </c>
      <c r="S610" s="12" t="b">
        <v>0</v>
      </c>
      <c r="T610" s="12" t="b">
        <v>1</v>
      </c>
      <c r="U610" s="12" t="b">
        <v>0</v>
      </c>
      <c r="V610" s="12" t="b">
        <v>1</v>
      </c>
      <c r="W610" s="12" t="b">
        <v>0</v>
      </c>
      <c r="X610" s="12">
        <v>1</v>
      </c>
      <c r="Y610" s="12" t="b">
        <v>0</v>
      </c>
      <c r="Z610" s="12" t="b">
        <v>0</v>
      </c>
      <c r="AA610" s="12" t="b">
        <v>0</v>
      </c>
      <c r="AB610" s="12" t="b">
        <v>0</v>
      </c>
      <c r="AC610" s="12" t="b">
        <v>0</v>
      </c>
      <c r="AD610" s="12" t="b">
        <v>1</v>
      </c>
      <c r="AE610" s="12" t="b">
        <v>0</v>
      </c>
      <c r="AF610" s="12" t="b">
        <v>1</v>
      </c>
      <c r="AG610" s="12" t="b">
        <v>0</v>
      </c>
      <c r="AH610" s="12">
        <v>1</v>
      </c>
      <c r="AI610" s="12" t="b">
        <v>0</v>
      </c>
      <c r="AJ610" s="12" t="b">
        <v>0</v>
      </c>
      <c r="AK610" s="12" t="b">
        <v>1</v>
      </c>
      <c r="AL610" s="12">
        <v>0</v>
      </c>
      <c r="AM610" s="12" t="s">
        <v>922</v>
      </c>
      <c r="AN610" s="12">
        <v>0</v>
      </c>
    </row>
    <row r="611" spans="1:40" x14ac:dyDescent="0.3">
      <c r="A611" s="62" t="s">
        <v>859</v>
      </c>
      <c r="B611" s="62"/>
      <c r="C611" s="63"/>
      <c r="D611" s="63"/>
      <c r="E611" s="12" t="s">
        <v>1270</v>
      </c>
      <c r="F611" s="12" t="s">
        <v>1271</v>
      </c>
      <c r="G611" s="12" t="b">
        <v>0</v>
      </c>
      <c r="H611" s="12" t="b">
        <v>0</v>
      </c>
      <c r="I611" s="12" t="b">
        <v>0</v>
      </c>
      <c r="J611" s="12" t="b">
        <v>1</v>
      </c>
      <c r="K611" s="12" t="b">
        <v>0</v>
      </c>
      <c r="L611" s="12" t="b">
        <v>1</v>
      </c>
      <c r="M611" s="12" t="b">
        <v>0</v>
      </c>
      <c r="N611" s="12">
        <v>0</v>
      </c>
      <c r="O611" s="12" t="b">
        <v>0</v>
      </c>
      <c r="P611" s="12" t="b">
        <v>0</v>
      </c>
      <c r="Q611" s="12" t="b">
        <v>0</v>
      </c>
      <c r="R611" s="12" t="b">
        <v>0</v>
      </c>
      <c r="S611" s="12" t="b">
        <v>0</v>
      </c>
      <c r="T611" s="12" t="b">
        <v>1</v>
      </c>
      <c r="U611" s="12" t="b">
        <v>0</v>
      </c>
      <c r="V611" s="12" t="b">
        <v>1</v>
      </c>
      <c r="W611" s="12" t="b">
        <v>0</v>
      </c>
      <c r="X611" s="12">
        <v>1</v>
      </c>
      <c r="Y611" s="12" t="b">
        <v>0</v>
      </c>
      <c r="Z611" s="12" t="b">
        <v>0</v>
      </c>
      <c r="AA611" s="12" t="b">
        <v>0</v>
      </c>
      <c r="AB611" s="12" t="b">
        <v>0</v>
      </c>
      <c r="AC611" s="12" t="b">
        <v>0</v>
      </c>
      <c r="AD611" s="12" t="b">
        <v>1</v>
      </c>
      <c r="AE611" s="12" t="b">
        <v>0</v>
      </c>
      <c r="AF611" s="12" t="b">
        <v>1</v>
      </c>
      <c r="AG611" s="12" t="b">
        <v>0</v>
      </c>
      <c r="AH611" s="12">
        <v>1</v>
      </c>
      <c r="AI611" s="12" t="b">
        <v>0</v>
      </c>
      <c r="AJ611" s="12" t="b">
        <v>0</v>
      </c>
      <c r="AK611" s="12" t="b">
        <v>1</v>
      </c>
      <c r="AL611" s="12">
        <v>0</v>
      </c>
      <c r="AM611" s="12" t="s">
        <v>922</v>
      </c>
      <c r="AN611" s="12">
        <v>0</v>
      </c>
    </row>
    <row r="612" spans="1:40" x14ac:dyDescent="0.3">
      <c r="A612" s="62" t="s">
        <v>859</v>
      </c>
      <c r="B612" s="62"/>
      <c r="C612" s="63"/>
      <c r="D612" s="63"/>
      <c r="E612" s="12" t="s">
        <v>1272</v>
      </c>
      <c r="F612" s="12" t="s">
        <v>1273</v>
      </c>
      <c r="G612" s="12" t="b">
        <v>0</v>
      </c>
      <c r="H612" s="12" t="b">
        <v>0</v>
      </c>
      <c r="I612" s="12" t="b">
        <v>0</v>
      </c>
      <c r="J612" s="12" t="b">
        <v>1</v>
      </c>
      <c r="K612" s="12" t="b">
        <v>0</v>
      </c>
      <c r="L612" s="12" t="b">
        <v>1</v>
      </c>
      <c r="M612" s="12" t="b">
        <v>0</v>
      </c>
      <c r="N612" s="12">
        <v>0</v>
      </c>
      <c r="O612" s="12" t="b">
        <v>0</v>
      </c>
      <c r="P612" s="12" t="b">
        <v>0</v>
      </c>
      <c r="Q612" s="12" t="b">
        <v>0</v>
      </c>
      <c r="R612" s="12" t="b">
        <v>0</v>
      </c>
      <c r="S612" s="12" t="b">
        <v>0</v>
      </c>
      <c r="T612" s="12" t="b">
        <v>1</v>
      </c>
      <c r="U612" s="12" t="b">
        <v>0</v>
      </c>
      <c r="V612" s="12" t="b">
        <v>1</v>
      </c>
      <c r="W612" s="12" t="b">
        <v>0</v>
      </c>
      <c r="X612" s="12">
        <v>1</v>
      </c>
      <c r="Y612" s="12" t="b">
        <v>0</v>
      </c>
      <c r="Z612" s="12" t="b">
        <v>0</v>
      </c>
      <c r="AA612" s="12" t="b">
        <v>0</v>
      </c>
      <c r="AB612" s="12" t="b">
        <v>0</v>
      </c>
      <c r="AC612" s="12" t="b">
        <v>0</v>
      </c>
      <c r="AD612" s="12" t="b">
        <v>1</v>
      </c>
      <c r="AE612" s="12" t="b">
        <v>0</v>
      </c>
      <c r="AF612" s="12" t="b">
        <v>1</v>
      </c>
      <c r="AG612" s="12" t="b">
        <v>0</v>
      </c>
      <c r="AH612" s="12">
        <v>1</v>
      </c>
      <c r="AI612" s="12" t="b">
        <v>0</v>
      </c>
      <c r="AJ612" s="12" t="b">
        <v>0</v>
      </c>
      <c r="AK612" s="12" t="b">
        <v>1</v>
      </c>
      <c r="AL612" s="12">
        <v>0</v>
      </c>
      <c r="AM612" s="12" t="s">
        <v>922</v>
      </c>
      <c r="AN612" s="12">
        <v>0</v>
      </c>
    </row>
    <row r="613" spans="1:40" x14ac:dyDescent="0.3">
      <c r="A613" s="62" t="s">
        <v>859</v>
      </c>
      <c r="B613" s="62"/>
      <c r="C613" s="63"/>
      <c r="D613" s="63"/>
      <c r="E613" s="12" t="s">
        <v>1274</v>
      </c>
      <c r="F613" s="12" t="s">
        <v>1275</v>
      </c>
      <c r="G613" s="12" t="b">
        <v>0</v>
      </c>
      <c r="H613" s="12" t="b">
        <v>0</v>
      </c>
      <c r="I613" s="12" t="b">
        <v>0</v>
      </c>
      <c r="J613" s="12" t="b">
        <v>1</v>
      </c>
      <c r="K613" s="12" t="b">
        <v>0</v>
      </c>
      <c r="L613" s="12" t="b">
        <v>1</v>
      </c>
      <c r="M613" s="12" t="b">
        <v>0</v>
      </c>
      <c r="N613" s="12">
        <v>0</v>
      </c>
      <c r="O613" s="12" t="b">
        <v>0</v>
      </c>
      <c r="P613" s="12" t="b">
        <v>0</v>
      </c>
      <c r="Q613" s="12" t="b">
        <v>0</v>
      </c>
      <c r="R613" s="12" t="b">
        <v>0</v>
      </c>
      <c r="S613" s="12" t="b">
        <v>0</v>
      </c>
      <c r="T613" s="12" t="b">
        <v>1</v>
      </c>
      <c r="U613" s="12" t="b">
        <v>0</v>
      </c>
      <c r="V613" s="12" t="b">
        <v>1</v>
      </c>
      <c r="W613" s="12" t="b">
        <v>0</v>
      </c>
      <c r="X613" s="12">
        <v>1</v>
      </c>
      <c r="Y613" s="12" t="b">
        <v>0</v>
      </c>
      <c r="Z613" s="12" t="b">
        <v>0</v>
      </c>
      <c r="AA613" s="12" t="b">
        <v>0</v>
      </c>
      <c r="AB613" s="12" t="b">
        <v>0</v>
      </c>
      <c r="AC613" s="12" t="b">
        <v>0</v>
      </c>
      <c r="AD613" s="12" t="b">
        <v>1</v>
      </c>
      <c r="AE613" s="12" t="b">
        <v>0</v>
      </c>
      <c r="AF613" s="12" t="b">
        <v>1</v>
      </c>
      <c r="AG613" s="12" t="b">
        <v>0</v>
      </c>
      <c r="AH613" s="12">
        <v>1</v>
      </c>
      <c r="AI613" s="12" t="b">
        <v>0</v>
      </c>
      <c r="AJ613" s="12" t="b">
        <v>0</v>
      </c>
      <c r="AK613" s="12" t="b">
        <v>1</v>
      </c>
      <c r="AL613" s="12">
        <v>0</v>
      </c>
      <c r="AM613" s="12" t="s">
        <v>922</v>
      </c>
      <c r="AN613" s="12">
        <v>0</v>
      </c>
    </row>
    <row r="614" spans="1:40" x14ac:dyDescent="0.3">
      <c r="A614" s="62" t="s">
        <v>859</v>
      </c>
      <c r="B614" s="62"/>
      <c r="C614" s="63"/>
      <c r="D614" s="63"/>
      <c r="E614" s="12" t="s">
        <v>1276</v>
      </c>
      <c r="F614" s="12" t="s">
        <v>1277</v>
      </c>
      <c r="G614" s="12" t="b">
        <v>0</v>
      </c>
      <c r="H614" s="12" t="b">
        <v>0</v>
      </c>
      <c r="I614" s="12" t="b">
        <v>0</v>
      </c>
      <c r="J614" s="12" t="b">
        <v>1</v>
      </c>
      <c r="K614" s="12" t="b">
        <v>0</v>
      </c>
      <c r="L614" s="12" t="b">
        <v>1</v>
      </c>
      <c r="M614" s="12" t="b">
        <v>0</v>
      </c>
      <c r="N614" s="12">
        <v>0</v>
      </c>
      <c r="O614" s="12" t="b">
        <v>0</v>
      </c>
      <c r="P614" s="12" t="b">
        <v>0</v>
      </c>
      <c r="Q614" s="12" t="b">
        <v>0</v>
      </c>
      <c r="R614" s="12" t="b">
        <v>0</v>
      </c>
      <c r="S614" s="12" t="b">
        <v>0</v>
      </c>
      <c r="T614" s="12" t="b">
        <v>1</v>
      </c>
      <c r="U614" s="12" t="b">
        <v>0</v>
      </c>
      <c r="V614" s="12" t="b">
        <v>1</v>
      </c>
      <c r="W614" s="12" t="b">
        <v>0</v>
      </c>
      <c r="X614" s="12">
        <v>1</v>
      </c>
      <c r="Y614" s="12" t="b">
        <v>0</v>
      </c>
      <c r="Z614" s="12" t="b">
        <v>0</v>
      </c>
      <c r="AA614" s="12" t="b">
        <v>0</v>
      </c>
      <c r="AB614" s="12" t="b">
        <v>0</v>
      </c>
      <c r="AC614" s="12" t="b">
        <v>0</v>
      </c>
      <c r="AD614" s="12" t="b">
        <v>1</v>
      </c>
      <c r="AE614" s="12" t="b">
        <v>0</v>
      </c>
      <c r="AF614" s="12" t="b">
        <v>1</v>
      </c>
      <c r="AG614" s="12" t="b">
        <v>0</v>
      </c>
      <c r="AH614" s="12">
        <v>1</v>
      </c>
      <c r="AI614" s="12" t="b">
        <v>0</v>
      </c>
      <c r="AJ614" s="12" t="b">
        <v>0</v>
      </c>
      <c r="AK614" s="12" t="b">
        <v>1</v>
      </c>
      <c r="AL614" s="12">
        <v>0</v>
      </c>
      <c r="AM614" s="12" t="s">
        <v>922</v>
      </c>
      <c r="AN614" s="12">
        <v>0</v>
      </c>
    </row>
    <row r="615" spans="1:40" x14ac:dyDescent="0.3">
      <c r="A615" s="62" t="s">
        <v>859</v>
      </c>
      <c r="B615" s="62"/>
      <c r="C615" s="63"/>
      <c r="D615" s="63"/>
      <c r="E615" s="12" t="s">
        <v>1278</v>
      </c>
      <c r="F615" s="12" t="s">
        <v>1279</v>
      </c>
      <c r="G615" s="12" t="b">
        <v>0</v>
      </c>
      <c r="H615" s="12" t="b">
        <v>0</v>
      </c>
      <c r="I615" s="12" t="b">
        <v>0</v>
      </c>
      <c r="J615" s="12" t="b">
        <v>1</v>
      </c>
      <c r="K615" s="12" t="b">
        <v>0</v>
      </c>
      <c r="L615" s="12" t="b">
        <v>1</v>
      </c>
      <c r="M615" s="12" t="b">
        <v>0</v>
      </c>
      <c r="N615" s="12">
        <v>0</v>
      </c>
      <c r="O615" s="12" t="b">
        <v>0</v>
      </c>
      <c r="P615" s="12" t="b">
        <v>0</v>
      </c>
      <c r="Q615" s="12" t="b">
        <v>0</v>
      </c>
      <c r="R615" s="12" t="b">
        <v>0</v>
      </c>
      <c r="S615" s="12" t="b">
        <v>0</v>
      </c>
      <c r="T615" s="12" t="b">
        <v>1</v>
      </c>
      <c r="U615" s="12" t="b">
        <v>0</v>
      </c>
      <c r="V615" s="12" t="b">
        <v>1</v>
      </c>
      <c r="W615" s="12" t="b">
        <v>0</v>
      </c>
      <c r="X615" s="12">
        <v>1</v>
      </c>
      <c r="Y615" s="12" t="b">
        <v>0</v>
      </c>
      <c r="Z615" s="12" t="b">
        <v>0</v>
      </c>
      <c r="AA615" s="12" t="b">
        <v>0</v>
      </c>
      <c r="AB615" s="12" t="b">
        <v>0</v>
      </c>
      <c r="AC615" s="12" t="b">
        <v>0</v>
      </c>
      <c r="AD615" s="12" t="b">
        <v>1</v>
      </c>
      <c r="AE615" s="12" t="b">
        <v>0</v>
      </c>
      <c r="AF615" s="12" t="b">
        <v>1</v>
      </c>
      <c r="AG615" s="12" t="b">
        <v>0</v>
      </c>
      <c r="AH615" s="12">
        <v>1</v>
      </c>
      <c r="AI615" s="12" t="b">
        <v>0</v>
      </c>
      <c r="AJ615" s="12" t="b">
        <v>0</v>
      </c>
      <c r="AK615" s="12" t="b">
        <v>1</v>
      </c>
      <c r="AL615" s="12">
        <v>0</v>
      </c>
      <c r="AM615" s="12" t="s">
        <v>922</v>
      </c>
      <c r="AN615" s="12">
        <v>0</v>
      </c>
    </row>
    <row r="616" spans="1:40" x14ac:dyDescent="0.3">
      <c r="A616" s="62" t="s">
        <v>859</v>
      </c>
      <c r="B616" s="62"/>
      <c r="C616" s="63"/>
      <c r="D616" s="63"/>
      <c r="E616" s="12" t="s">
        <v>1280</v>
      </c>
      <c r="F616" s="12" t="s">
        <v>1281</v>
      </c>
      <c r="G616" s="12" t="b">
        <v>0</v>
      </c>
      <c r="H616" s="12" t="b">
        <v>0</v>
      </c>
      <c r="I616" s="12" t="b">
        <v>0</v>
      </c>
      <c r="J616" s="12" t="b">
        <v>1</v>
      </c>
      <c r="K616" s="12" t="b">
        <v>0</v>
      </c>
      <c r="L616" s="12" t="b">
        <v>1</v>
      </c>
      <c r="M616" s="12" t="b">
        <v>0</v>
      </c>
      <c r="N616" s="12">
        <v>0</v>
      </c>
      <c r="O616" s="12" t="b">
        <v>0</v>
      </c>
      <c r="P616" s="12" t="b">
        <v>0</v>
      </c>
      <c r="Q616" s="12" t="b">
        <v>0</v>
      </c>
      <c r="R616" s="12" t="b">
        <v>0</v>
      </c>
      <c r="S616" s="12" t="b">
        <v>0</v>
      </c>
      <c r="T616" s="12" t="b">
        <v>1</v>
      </c>
      <c r="U616" s="12" t="b">
        <v>0</v>
      </c>
      <c r="V616" s="12" t="b">
        <v>1</v>
      </c>
      <c r="W616" s="12" t="b">
        <v>0</v>
      </c>
      <c r="X616" s="12">
        <v>1</v>
      </c>
      <c r="Y616" s="12" t="b">
        <v>0</v>
      </c>
      <c r="Z616" s="12" t="b">
        <v>0</v>
      </c>
      <c r="AA616" s="12" t="b">
        <v>0</v>
      </c>
      <c r="AB616" s="12" t="b">
        <v>0</v>
      </c>
      <c r="AC616" s="12" t="b">
        <v>0</v>
      </c>
      <c r="AD616" s="12" t="b">
        <v>1</v>
      </c>
      <c r="AE616" s="12" t="b">
        <v>0</v>
      </c>
      <c r="AF616" s="12" t="b">
        <v>1</v>
      </c>
      <c r="AG616" s="12" t="b">
        <v>0</v>
      </c>
      <c r="AH616" s="12">
        <v>1</v>
      </c>
      <c r="AI616" s="12" t="b">
        <v>0</v>
      </c>
      <c r="AJ616" s="12" t="b">
        <v>0</v>
      </c>
      <c r="AK616" s="12" t="b">
        <v>1</v>
      </c>
      <c r="AL616" s="12">
        <v>0</v>
      </c>
      <c r="AM616" s="12" t="s">
        <v>922</v>
      </c>
      <c r="AN616" s="12">
        <v>0</v>
      </c>
    </row>
    <row r="617" spans="1:40" x14ac:dyDescent="0.3">
      <c r="A617" s="62" t="s">
        <v>859</v>
      </c>
      <c r="B617" s="62"/>
      <c r="C617" s="63"/>
      <c r="D617" s="63"/>
      <c r="E617" s="12" t="s">
        <v>1286</v>
      </c>
      <c r="F617" s="12" t="s">
        <v>1287</v>
      </c>
      <c r="G617" s="12" t="b">
        <v>0</v>
      </c>
      <c r="H617" s="12" t="b">
        <v>1</v>
      </c>
      <c r="I617" s="12" t="b">
        <v>1</v>
      </c>
      <c r="J617" s="12" t="b">
        <v>1</v>
      </c>
      <c r="K617" s="12" t="b">
        <v>0</v>
      </c>
      <c r="L617" s="12" t="b">
        <v>0</v>
      </c>
      <c r="M617" s="12" t="b">
        <v>0</v>
      </c>
      <c r="N617" s="12">
        <v>0</v>
      </c>
      <c r="O617" s="12" t="b">
        <v>0</v>
      </c>
      <c r="P617" s="12" t="b">
        <v>0</v>
      </c>
      <c r="Q617" s="12" t="b">
        <v>0</v>
      </c>
      <c r="R617" s="12" t="b">
        <v>0</v>
      </c>
      <c r="S617" s="12" t="b">
        <v>0</v>
      </c>
      <c r="T617" s="12" t="b">
        <v>1</v>
      </c>
      <c r="U617" s="12" t="b">
        <v>0</v>
      </c>
      <c r="V617" s="12" t="b">
        <v>1</v>
      </c>
      <c r="W617" s="12" t="b">
        <v>0</v>
      </c>
      <c r="X617" s="12">
        <v>1</v>
      </c>
      <c r="Y617" s="12" t="b">
        <v>0</v>
      </c>
      <c r="Z617" s="12" t="b">
        <v>0</v>
      </c>
      <c r="AA617" s="12" t="b">
        <v>1</v>
      </c>
      <c r="AB617" s="12" t="b">
        <v>1</v>
      </c>
      <c r="AC617" s="12" t="b">
        <v>1</v>
      </c>
      <c r="AD617" s="12" t="b">
        <v>1</v>
      </c>
      <c r="AE617" s="12" t="b">
        <v>0</v>
      </c>
      <c r="AF617" s="12" t="b">
        <v>0</v>
      </c>
      <c r="AG617" s="12" t="b">
        <v>0</v>
      </c>
      <c r="AH617" s="12">
        <v>0</v>
      </c>
      <c r="AI617" s="12" t="b">
        <v>0</v>
      </c>
      <c r="AJ617" s="12" t="b">
        <v>0</v>
      </c>
      <c r="AK617" s="12" t="b">
        <v>1</v>
      </c>
      <c r="AL617" s="12">
        <v>0</v>
      </c>
      <c r="AM617" s="12" t="s">
        <v>900</v>
      </c>
      <c r="AN617" s="12">
        <v>0</v>
      </c>
    </row>
    <row r="618" spans="1:40" x14ac:dyDescent="0.3">
      <c r="A618" s="62" t="s">
        <v>859</v>
      </c>
      <c r="B618" s="62"/>
      <c r="C618" s="63"/>
      <c r="D618" s="63"/>
      <c r="E618" s="12" t="s">
        <v>1837</v>
      </c>
      <c r="F618" s="12" t="s">
        <v>1838</v>
      </c>
      <c r="G618" s="12" t="b">
        <v>0</v>
      </c>
      <c r="H618" s="12" t="b">
        <v>1</v>
      </c>
      <c r="I618" s="12" t="b">
        <v>1</v>
      </c>
      <c r="J618" s="12" t="b">
        <v>1</v>
      </c>
      <c r="K618" s="12" t="b">
        <v>0</v>
      </c>
      <c r="L618" s="12" t="b">
        <v>0</v>
      </c>
      <c r="M618" s="12" t="b">
        <v>0</v>
      </c>
      <c r="N618" s="12">
        <v>0</v>
      </c>
      <c r="O618" s="12" t="b">
        <v>0</v>
      </c>
      <c r="P618" s="12" t="b">
        <v>0</v>
      </c>
      <c r="Q618" s="12" t="b">
        <v>0</v>
      </c>
      <c r="R618" s="12" t="b">
        <v>0</v>
      </c>
      <c r="S618" s="12" t="b">
        <v>0</v>
      </c>
      <c r="T618" s="12" t="b">
        <v>0</v>
      </c>
      <c r="U618" s="12" t="b">
        <v>0</v>
      </c>
      <c r="V618" s="12" t="b">
        <v>1</v>
      </c>
      <c r="W618" s="12" t="b">
        <v>0</v>
      </c>
      <c r="X618" s="12">
        <v>1</v>
      </c>
      <c r="Y618" s="12" t="b">
        <v>0</v>
      </c>
      <c r="Z618" s="12" t="b">
        <v>0</v>
      </c>
      <c r="AA618" s="12" t="b">
        <v>0</v>
      </c>
      <c r="AB618" s="12" t="b">
        <v>0</v>
      </c>
      <c r="AC618" s="12" t="b">
        <v>0</v>
      </c>
      <c r="AD618" s="12" t="b">
        <v>0</v>
      </c>
      <c r="AE618" s="12" t="b">
        <v>0</v>
      </c>
      <c r="AF618" s="12" t="b">
        <v>1</v>
      </c>
      <c r="AG618" s="12" t="b">
        <v>0</v>
      </c>
      <c r="AH618" s="12">
        <v>1</v>
      </c>
      <c r="AI618" s="12" t="b">
        <v>0</v>
      </c>
      <c r="AJ618" s="12" t="b">
        <v>0</v>
      </c>
      <c r="AK618" s="12" t="b">
        <v>1</v>
      </c>
      <c r="AL618" s="12">
        <v>1</v>
      </c>
      <c r="AM618" s="12" t="s">
        <v>922</v>
      </c>
      <c r="AN618" s="12">
        <v>1</v>
      </c>
    </row>
    <row r="619" spans="1:40" x14ac:dyDescent="0.3">
      <c r="A619" s="62" t="s">
        <v>859</v>
      </c>
      <c r="B619" s="62"/>
      <c r="C619" s="63"/>
      <c r="D619" s="63"/>
      <c r="E619" s="12" t="s">
        <v>1225</v>
      </c>
      <c r="F619" s="12" t="s">
        <v>1226</v>
      </c>
      <c r="G619" s="12" t="b">
        <v>0</v>
      </c>
      <c r="H619" s="12" t="b">
        <v>1</v>
      </c>
      <c r="I619" s="12" t="b">
        <v>1</v>
      </c>
      <c r="J619" s="12" t="b">
        <v>1</v>
      </c>
      <c r="K619" s="12" t="b">
        <v>1</v>
      </c>
      <c r="L619" s="12" t="b">
        <v>1</v>
      </c>
      <c r="M619" s="12" t="b">
        <v>0</v>
      </c>
      <c r="N619" s="12">
        <v>0</v>
      </c>
      <c r="O619" s="12" t="b">
        <v>0</v>
      </c>
      <c r="P619" s="12" t="b">
        <v>0</v>
      </c>
      <c r="Q619" s="12" t="b">
        <v>0</v>
      </c>
      <c r="R619" s="12" t="b">
        <v>1</v>
      </c>
      <c r="S619" s="12" t="b">
        <v>1</v>
      </c>
      <c r="T619" s="12" t="b">
        <v>1</v>
      </c>
      <c r="U619" s="12" t="b">
        <v>0</v>
      </c>
      <c r="V619" s="12" t="b">
        <v>1</v>
      </c>
      <c r="W619" s="12" t="b">
        <v>0</v>
      </c>
      <c r="X619" s="12">
        <v>0</v>
      </c>
      <c r="Y619" s="12" t="b">
        <v>0</v>
      </c>
      <c r="Z619" s="12" t="b">
        <v>0</v>
      </c>
      <c r="AA619" s="12" t="b">
        <v>0</v>
      </c>
      <c r="AB619" s="12" t="b">
        <v>1</v>
      </c>
      <c r="AC619" s="12" t="b">
        <v>1</v>
      </c>
      <c r="AD619" s="12" t="b">
        <v>1</v>
      </c>
      <c r="AE619" s="12" t="b">
        <v>0</v>
      </c>
      <c r="AF619" s="12" t="b">
        <v>0</v>
      </c>
      <c r="AG619" s="12" t="b">
        <v>0</v>
      </c>
      <c r="AH619" s="12">
        <v>0</v>
      </c>
      <c r="AI619" s="12" t="b">
        <v>0</v>
      </c>
      <c r="AJ619" s="12" t="b">
        <v>0</v>
      </c>
      <c r="AK619" s="12" t="b">
        <v>1</v>
      </c>
      <c r="AL619" s="12">
        <v>0</v>
      </c>
      <c r="AM619" s="12" t="s">
        <v>51</v>
      </c>
      <c r="AN619" s="12">
        <v>0</v>
      </c>
    </row>
    <row r="620" spans="1:40" x14ac:dyDescent="0.3">
      <c r="A620" s="62" t="s">
        <v>859</v>
      </c>
      <c r="B620" s="62"/>
      <c r="C620" s="63"/>
      <c r="D620" s="63"/>
      <c r="E620" s="12" t="s">
        <v>1215</v>
      </c>
      <c r="F620" s="12" t="s">
        <v>1216</v>
      </c>
      <c r="G620" s="12" t="b">
        <v>0</v>
      </c>
      <c r="H620" s="12" t="b">
        <v>1</v>
      </c>
      <c r="I620" s="12" t="b">
        <v>1</v>
      </c>
      <c r="J620" s="12" t="b">
        <v>1</v>
      </c>
      <c r="K620" s="12" t="b">
        <v>1</v>
      </c>
      <c r="L620" s="12" t="b">
        <v>1</v>
      </c>
      <c r="M620" s="12" t="b">
        <v>0</v>
      </c>
      <c r="N620" s="12">
        <v>0</v>
      </c>
      <c r="O620" s="12" t="b">
        <v>0</v>
      </c>
      <c r="P620" s="12" t="b">
        <v>0</v>
      </c>
      <c r="Q620" s="12" t="b">
        <v>0</v>
      </c>
      <c r="R620" s="12" t="b">
        <v>1</v>
      </c>
      <c r="S620" s="12" t="b">
        <v>1</v>
      </c>
      <c r="T620" s="12" t="b">
        <v>1</v>
      </c>
      <c r="U620" s="12" t="b">
        <v>0</v>
      </c>
      <c r="V620" s="12" t="b">
        <v>1</v>
      </c>
      <c r="W620" s="12" t="b">
        <v>0</v>
      </c>
      <c r="X620" s="12">
        <v>0</v>
      </c>
      <c r="Y620" s="12" t="b">
        <v>0</v>
      </c>
      <c r="Z620" s="12" t="b">
        <v>0</v>
      </c>
      <c r="AA620" s="12" t="b">
        <v>0</v>
      </c>
      <c r="AB620" s="12" t="b">
        <v>1</v>
      </c>
      <c r="AC620" s="12" t="b">
        <v>1</v>
      </c>
      <c r="AD620" s="12" t="b">
        <v>1</v>
      </c>
      <c r="AE620" s="12" t="b">
        <v>0</v>
      </c>
      <c r="AF620" s="12" t="b">
        <v>0</v>
      </c>
      <c r="AG620" s="12" t="b">
        <v>0</v>
      </c>
      <c r="AH620" s="12">
        <v>0</v>
      </c>
      <c r="AI620" s="12" t="b">
        <v>0</v>
      </c>
      <c r="AJ620" s="12" t="b">
        <v>0</v>
      </c>
      <c r="AK620" s="12" t="b">
        <v>1</v>
      </c>
      <c r="AL620" s="12">
        <v>0</v>
      </c>
      <c r="AM620" s="12" t="s">
        <v>51</v>
      </c>
      <c r="AN620" s="12">
        <v>0</v>
      </c>
    </row>
    <row r="621" spans="1:40" x14ac:dyDescent="0.3">
      <c r="A621" s="62" t="s">
        <v>859</v>
      </c>
      <c r="B621" s="62"/>
      <c r="C621" s="63"/>
      <c r="D621" s="63"/>
      <c r="E621" s="12" t="s">
        <v>1227</v>
      </c>
      <c r="F621" s="12" t="s">
        <v>1228</v>
      </c>
      <c r="G621" s="12" t="b">
        <v>0</v>
      </c>
      <c r="H621" s="12" t="b">
        <v>1</v>
      </c>
      <c r="I621" s="12" t="b">
        <v>1</v>
      </c>
      <c r="J621" s="12" t="b">
        <v>1</v>
      </c>
      <c r="K621" s="12" t="b">
        <v>1</v>
      </c>
      <c r="L621" s="12" t="b">
        <v>1</v>
      </c>
      <c r="M621" s="12" t="b">
        <v>0</v>
      </c>
      <c r="N621" s="12">
        <v>0</v>
      </c>
      <c r="O621" s="12" t="b">
        <v>0</v>
      </c>
      <c r="P621" s="12" t="b">
        <v>0</v>
      </c>
      <c r="Q621" s="12" t="b">
        <v>0</v>
      </c>
      <c r="R621" s="12" t="b">
        <v>1</v>
      </c>
      <c r="S621" s="12" t="b">
        <v>1</v>
      </c>
      <c r="T621" s="12" t="b">
        <v>1</v>
      </c>
      <c r="U621" s="12" t="b">
        <v>0</v>
      </c>
      <c r="V621" s="12" t="b">
        <v>1</v>
      </c>
      <c r="W621" s="12" t="b">
        <v>0</v>
      </c>
      <c r="X621" s="12">
        <v>0</v>
      </c>
      <c r="Y621" s="12" t="b">
        <v>0</v>
      </c>
      <c r="Z621" s="12" t="b">
        <v>0</v>
      </c>
      <c r="AA621" s="12" t="b">
        <v>0</v>
      </c>
      <c r="AB621" s="12" t="b">
        <v>1</v>
      </c>
      <c r="AC621" s="12" t="b">
        <v>1</v>
      </c>
      <c r="AD621" s="12" t="b">
        <v>1</v>
      </c>
      <c r="AE621" s="12" t="b">
        <v>0</v>
      </c>
      <c r="AF621" s="12" t="b">
        <v>0</v>
      </c>
      <c r="AG621" s="12" t="b">
        <v>0</v>
      </c>
      <c r="AH621" s="12">
        <v>0</v>
      </c>
      <c r="AI621" s="12" t="b">
        <v>0</v>
      </c>
      <c r="AJ621" s="12" t="b">
        <v>0</v>
      </c>
      <c r="AK621" s="12" t="b">
        <v>1</v>
      </c>
      <c r="AL621" s="12">
        <v>0</v>
      </c>
      <c r="AM621" s="12" t="s">
        <v>51</v>
      </c>
      <c r="AN621" s="12">
        <v>0</v>
      </c>
    </row>
    <row r="622" spans="1:40" x14ac:dyDescent="0.3">
      <c r="A622" s="62" t="s">
        <v>859</v>
      </c>
      <c r="B622" s="62"/>
      <c r="C622" s="63"/>
      <c r="D622" s="63"/>
      <c r="E622" s="12" t="s">
        <v>1217</v>
      </c>
      <c r="F622" s="12" t="s">
        <v>1218</v>
      </c>
      <c r="G622" s="12" t="b">
        <v>0</v>
      </c>
      <c r="H622" s="12" t="b">
        <v>1</v>
      </c>
      <c r="I622" s="12" t="b">
        <v>1</v>
      </c>
      <c r="J622" s="12" t="b">
        <v>1</v>
      </c>
      <c r="K622" s="12" t="b">
        <v>1</v>
      </c>
      <c r="L622" s="12" t="b">
        <v>1</v>
      </c>
      <c r="M622" s="12" t="b">
        <v>0</v>
      </c>
      <c r="N622" s="12">
        <v>0</v>
      </c>
      <c r="O622" s="12" t="b">
        <v>0</v>
      </c>
      <c r="P622" s="12" t="b">
        <v>0</v>
      </c>
      <c r="Q622" s="12" t="b">
        <v>0</v>
      </c>
      <c r="R622" s="12" t="b">
        <v>1</v>
      </c>
      <c r="S622" s="12" t="b">
        <v>1</v>
      </c>
      <c r="T622" s="12" t="b">
        <v>1</v>
      </c>
      <c r="U622" s="12" t="b">
        <v>0</v>
      </c>
      <c r="V622" s="12" t="b">
        <v>1</v>
      </c>
      <c r="W622" s="12" t="b">
        <v>0</v>
      </c>
      <c r="X622" s="12">
        <v>0</v>
      </c>
      <c r="Y622" s="12" t="b">
        <v>0</v>
      </c>
      <c r="Z622" s="12" t="b">
        <v>0</v>
      </c>
      <c r="AA622" s="12" t="b">
        <v>0</v>
      </c>
      <c r="AB622" s="12" t="b">
        <v>1</v>
      </c>
      <c r="AC622" s="12" t="b">
        <v>1</v>
      </c>
      <c r="AD622" s="12" t="b">
        <v>1</v>
      </c>
      <c r="AE622" s="12" t="b">
        <v>0</v>
      </c>
      <c r="AF622" s="12" t="b">
        <v>0</v>
      </c>
      <c r="AG622" s="12" t="b">
        <v>0</v>
      </c>
      <c r="AH622" s="12">
        <v>0</v>
      </c>
      <c r="AI622" s="12" t="b">
        <v>0</v>
      </c>
      <c r="AJ622" s="12" t="b">
        <v>0</v>
      </c>
      <c r="AK622" s="12" t="b">
        <v>1</v>
      </c>
      <c r="AL622" s="12">
        <v>0</v>
      </c>
      <c r="AM622" s="12" t="s">
        <v>51</v>
      </c>
      <c r="AN622" s="12">
        <v>0</v>
      </c>
    </row>
    <row r="623" spans="1:40" x14ac:dyDescent="0.3">
      <c r="A623" s="62" t="s">
        <v>859</v>
      </c>
      <c r="B623" s="62"/>
      <c r="C623" s="63"/>
      <c r="D623" s="63"/>
      <c r="E623" s="12" t="s">
        <v>1229</v>
      </c>
      <c r="F623" s="12" t="s">
        <v>1230</v>
      </c>
      <c r="G623" s="12" t="b">
        <v>0</v>
      </c>
      <c r="H623" s="12" t="b">
        <v>1</v>
      </c>
      <c r="I623" s="12" t="b">
        <v>1</v>
      </c>
      <c r="J623" s="12" t="b">
        <v>1</v>
      </c>
      <c r="K623" s="12" t="b">
        <v>1</v>
      </c>
      <c r="L623" s="12" t="b">
        <v>1</v>
      </c>
      <c r="M623" s="12" t="b">
        <v>0</v>
      </c>
      <c r="N623" s="12">
        <v>0</v>
      </c>
      <c r="O623" s="12" t="b">
        <v>0</v>
      </c>
      <c r="P623" s="12" t="b">
        <v>0</v>
      </c>
      <c r="Q623" s="12" t="b">
        <v>0</v>
      </c>
      <c r="R623" s="12" t="b">
        <v>1</v>
      </c>
      <c r="S623" s="12" t="b">
        <v>1</v>
      </c>
      <c r="T623" s="12" t="b">
        <v>1</v>
      </c>
      <c r="U623" s="12" t="b">
        <v>0</v>
      </c>
      <c r="V623" s="12" t="b">
        <v>1</v>
      </c>
      <c r="W623" s="12" t="b">
        <v>0</v>
      </c>
      <c r="X623" s="12">
        <v>0</v>
      </c>
      <c r="Y623" s="12" t="b">
        <v>0</v>
      </c>
      <c r="Z623" s="12" t="b">
        <v>0</v>
      </c>
      <c r="AA623" s="12" t="b">
        <v>0</v>
      </c>
      <c r="AB623" s="12" t="b">
        <v>1</v>
      </c>
      <c r="AC623" s="12" t="b">
        <v>1</v>
      </c>
      <c r="AD623" s="12" t="b">
        <v>1</v>
      </c>
      <c r="AE623" s="12" t="b">
        <v>0</v>
      </c>
      <c r="AF623" s="12" t="b">
        <v>0</v>
      </c>
      <c r="AG623" s="12" t="b">
        <v>0</v>
      </c>
      <c r="AH623" s="12">
        <v>0</v>
      </c>
      <c r="AI623" s="12" t="b">
        <v>0</v>
      </c>
      <c r="AJ623" s="12" t="b">
        <v>0</v>
      </c>
      <c r="AK623" s="12" t="b">
        <v>1</v>
      </c>
      <c r="AL623" s="12">
        <v>0</v>
      </c>
      <c r="AM623" s="12" t="s">
        <v>51</v>
      </c>
      <c r="AN623" s="12">
        <v>0</v>
      </c>
    </row>
    <row r="624" spans="1:40" x14ac:dyDescent="0.3">
      <c r="A624" s="62" t="s">
        <v>859</v>
      </c>
      <c r="B624" s="62"/>
      <c r="C624" s="63"/>
      <c r="D624" s="63"/>
      <c r="E624" s="12" t="s">
        <v>1219</v>
      </c>
      <c r="F624" s="12" t="s">
        <v>1220</v>
      </c>
      <c r="G624" s="12" t="b">
        <v>0</v>
      </c>
      <c r="H624" s="12" t="b">
        <v>1</v>
      </c>
      <c r="I624" s="12" t="b">
        <v>1</v>
      </c>
      <c r="J624" s="12" t="b">
        <v>1</v>
      </c>
      <c r="K624" s="12" t="b">
        <v>1</v>
      </c>
      <c r="L624" s="12" t="b">
        <v>1</v>
      </c>
      <c r="M624" s="12" t="b">
        <v>0</v>
      </c>
      <c r="N624" s="12">
        <v>0</v>
      </c>
      <c r="O624" s="12" t="b">
        <v>0</v>
      </c>
      <c r="P624" s="12" t="b">
        <v>0</v>
      </c>
      <c r="Q624" s="12" t="b">
        <v>0</v>
      </c>
      <c r="R624" s="12" t="b">
        <v>1</v>
      </c>
      <c r="S624" s="12" t="b">
        <v>1</v>
      </c>
      <c r="T624" s="12" t="b">
        <v>1</v>
      </c>
      <c r="U624" s="12" t="b">
        <v>0</v>
      </c>
      <c r="V624" s="12" t="b">
        <v>1</v>
      </c>
      <c r="W624" s="12" t="b">
        <v>0</v>
      </c>
      <c r="X624" s="12">
        <v>0</v>
      </c>
      <c r="Y624" s="12" t="b">
        <v>0</v>
      </c>
      <c r="Z624" s="12" t="b">
        <v>0</v>
      </c>
      <c r="AA624" s="12" t="b">
        <v>0</v>
      </c>
      <c r="AB624" s="12" t="b">
        <v>1</v>
      </c>
      <c r="AC624" s="12" t="b">
        <v>1</v>
      </c>
      <c r="AD624" s="12" t="b">
        <v>1</v>
      </c>
      <c r="AE624" s="12" t="b">
        <v>0</v>
      </c>
      <c r="AF624" s="12" t="b">
        <v>0</v>
      </c>
      <c r="AG624" s="12" t="b">
        <v>0</v>
      </c>
      <c r="AH624" s="12">
        <v>0</v>
      </c>
      <c r="AI624" s="12" t="b">
        <v>0</v>
      </c>
      <c r="AJ624" s="12" t="b">
        <v>0</v>
      </c>
      <c r="AK624" s="12" t="b">
        <v>1</v>
      </c>
      <c r="AL624" s="12">
        <v>0</v>
      </c>
      <c r="AM624" s="12" t="s">
        <v>51</v>
      </c>
      <c r="AN624" s="12">
        <v>0</v>
      </c>
    </row>
    <row r="625" spans="1:40" x14ac:dyDescent="0.3">
      <c r="A625" s="62" t="s">
        <v>859</v>
      </c>
      <c r="B625" s="62"/>
      <c r="C625" s="63"/>
      <c r="D625" s="63"/>
      <c r="E625" s="12" t="s">
        <v>1034</v>
      </c>
      <c r="F625" s="12" t="s">
        <v>1311</v>
      </c>
      <c r="G625" s="12" t="b">
        <v>0</v>
      </c>
      <c r="H625" s="12" t="b">
        <v>0</v>
      </c>
      <c r="I625" s="12" t="b">
        <v>0</v>
      </c>
      <c r="J625" s="12" t="b">
        <v>0</v>
      </c>
      <c r="K625" s="12" t="b">
        <v>1</v>
      </c>
      <c r="L625" s="12" t="b">
        <v>1</v>
      </c>
      <c r="M625" s="12" t="b">
        <v>0</v>
      </c>
      <c r="N625" s="12">
        <v>0</v>
      </c>
      <c r="O625" s="12" t="b">
        <v>0</v>
      </c>
      <c r="P625" s="12" t="b">
        <v>0</v>
      </c>
      <c r="Q625" s="12" t="b">
        <v>0</v>
      </c>
      <c r="R625" s="12" t="b">
        <v>0</v>
      </c>
      <c r="S625" s="12" t="b">
        <v>0</v>
      </c>
      <c r="T625" s="12" t="b">
        <v>0</v>
      </c>
      <c r="U625" s="12" t="b">
        <v>0</v>
      </c>
      <c r="V625" s="12" t="b">
        <v>0</v>
      </c>
      <c r="W625" s="12" t="b">
        <v>0</v>
      </c>
      <c r="X625" s="12">
        <v>100</v>
      </c>
      <c r="Y625" s="12" t="b">
        <v>0</v>
      </c>
      <c r="Z625" s="12" t="b">
        <v>0</v>
      </c>
      <c r="AA625" s="12" t="b">
        <v>1</v>
      </c>
      <c r="AB625" s="12" t="b">
        <v>1</v>
      </c>
      <c r="AC625" s="12" t="b">
        <v>1</v>
      </c>
      <c r="AD625" s="12" t="b">
        <v>1</v>
      </c>
      <c r="AE625" s="12" t="b">
        <v>0</v>
      </c>
      <c r="AF625" s="12" t="b">
        <v>0</v>
      </c>
      <c r="AG625" s="12" t="b">
        <v>0</v>
      </c>
      <c r="AH625" s="12">
        <v>100</v>
      </c>
      <c r="AI625" s="12" t="b">
        <v>0</v>
      </c>
      <c r="AJ625" s="12" t="b">
        <v>0</v>
      </c>
      <c r="AK625" s="12" t="b">
        <v>1</v>
      </c>
      <c r="AL625" s="12">
        <v>0</v>
      </c>
      <c r="AM625" s="12" t="s">
        <v>51</v>
      </c>
      <c r="AN625" s="12">
        <v>0</v>
      </c>
    </row>
    <row r="626" spans="1:40" x14ac:dyDescent="0.3">
      <c r="A626" s="62" t="s">
        <v>859</v>
      </c>
      <c r="B626" s="62"/>
      <c r="C626" s="63"/>
      <c r="D626" s="63"/>
      <c r="E626" s="12" t="s">
        <v>1312</v>
      </c>
      <c r="F626" s="12" t="s">
        <v>1313</v>
      </c>
      <c r="G626" s="12" t="b">
        <v>0</v>
      </c>
      <c r="H626" s="12" t="b">
        <v>0</v>
      </c>
      <c r="I626" s="12" t="b">
        <v>0</v>
      </c>
      <c r="J626" s="12" t="b">
        <v>0</v>
      </c>
      <c r="K626" s="12" t="b">
        <v>1</v>
      </c>
      <c r="L626" s="12" t="b">
        <v>1</v>
      </c>
      <c r="M626" s="12" t="b">
        <v>0</v>
      </c>
      <c r="N626" s="12">
        <v>0</v>
      </c>
      <c r="O626" s="12" t="b">
        <v>0</v>
      </c>
      <c r="P626" s="12" t="b">
        <v>0</v>
      </c>
      <c r="Q626" s="12" t="b">
        <v>0</v>
      </c>
      <c r="R626" s="12" t="b">
        <v>0</v>
      </c>
      <c r="S626" s="12" t="b">
        <v>0</v>
      </c>
      <c r="T626" s="12" t="b">
        <v>0</v>
      </c>
      <c r="U626" s="12" t="b">
        <v>0</v>
      </c>
      <c r="V626" s="12" t="b">
        <v>0</v>
      </c>
      <c r="W626" s="12" t="b">
        <v>0</v>
      </c>
      <c r="X626" s="12">
        <v>100</v>
      </c>
      <c r="Y626" s="12" t="b">
        <v>0</v>
      </c>
      <c r="Z626" s="12" t="b">
        <v>0</v>
      </c>
      <c r="AA626" s="12" t="b">
        <v>0</v>
      </c>
      <c r="AB626" s="12" t="b">
        <v>1</v>
      </c>
      <c r="AC626" s="12" t="b">
        <v>1</v>
      </c>
      <c r="AD626" s="12" t="b">
        <v>1</v>
      </c>
      <c r="AE626" s="12" t="b">
        <v>0</v>
      </c>
      <c r="AF626" s="12" t="b">
        <v>0</v>
      </c>
      <c r="AG626" s="12" t="b">
        <v>0</v>
      </c>
      <c r="AH626" s="12">
        <v>0</v>
      </c>
      <c r="AI626" s="12" t="b">
        <v>0</v>
      </c>
      <c r="AJ626" s="12" t="b">
        <v>0</v>
      </c>
      <c r="AK626" s="12" t="b">
        <v>1</v>
      </c>
      <c r="AL626" s="12">
        <v>0</v>
      </c>
      <c r="AM626" s="12" t="s">
        <v>51</v>
      </c>
      <c r="AN626" s="12">
        <v>0</v>
      </c>
    </row>
    <row r="627" spans="1:40" x14ac:dyDescent="0.3">
      <c r="A627" s="62" t="s">
        <v>860</v>
      </c>
      <c r="B627" s="62"/>
      <c r="C627" s="63"/>
      <c r="D627" s="63"/>
      <c r="E627" s="12" t="s">
        <v>1517</v>
      </c>
      <c r="F627" s="12" t="s">
        <v>1519</v>
      </c>
      <c r="G627" s="12" t="b">
        <v>0</v>
      </c>
      <c r="H627" s="12" t="b">
        <v>1</v>
      </c>
      <c r="I627" s="12" t="b">
        <v>1</v>
      </c>
      <c r="J627" s="12" t="b">
        <v>1</v>
      </c>
      <c r="K627" s="12" t="b">
        <v>0</v>
      </c>
      <c r="L627" s="12" t="b">
        <v>1</v>
      </c>
      <c r="M627" s="12" t="b">
        <v>0</v>
      </c>
      <c r="N627" s="12">
        <v>0</v>
      </c>
      <c r="O627" s="12" t="b">
        <v>0</v>
      </c>
      <c r="P627" s="12" t="b">
        <v>0</v>
      </c>
      <c r="Q627" s="12" t="b">
        <v>0</v>
      </c>
      <c r="R627" s="12" t="b">
        <v>0</v>
      </c>
      <c r="S627" s="12" t="b">
        <v>0</v>
      </c>
      <c r="T627" s="12" t="b">
        <v>1</v>
      </c>
      <c r="U627" s="12" t="b">
        <v>0</v>
      </c>
      <c r="V627" s="12" t="b">
        <v>1</v>
      </c>
      <c r="W627" s="12" t="b">
        <v>0</v>
      </c>
      <c r="X627" s="12">
        <v>1</v>
      </c>
      <c r="Y627" s="12" t="b">
        <v>0</v>
      </c>
      <c r="Z627" s="12" t="b">
        <v>0</v>
      </c>
      <c r="AA627" s="12" t="b">
        <v>1</v>
      </c>
      <c r="AB627" s="12" t="b">
        <v>1</v>
      </c>
      <c r="AC627" s="12" t="b">
        <v>1</v>
      </c>
      <c r="AD627" s="12" t="b">
        <v>1</v>
      </c>
      <c r="AE627" s="12" t="b">
        <v>0</v>
      </c>
      <c r="AF627" s="12" t="b">
        <v>0</v>
      </c>
      <c r="AG627" s="12" t="b">
        <v>0</v>
      </c>
      <c r="AH627" s="12">
        <v>0</v>
      </c>
      <c r="AI627" s="12" t="b">
        <v>0</v>
      </c>
      <c r="AJ627" s="12" t="b">
        <v>0</v>
      </c>
      <c r="AK627" s="12" t="b">
        <v>1</v>
      </c>
      <c r="AL627" s="12">
        <v>0</v>
      </c>
      <c r="AM627" s="12" t="s">
        <v>900</v>
      </c>
      <c r="AN627" s="12">
        <v>0</v>
      </c>
    </row>
    <row r="628" spans="1:40" x14ac:dyDescent="0.3">
      <c r="A628" s="62" t="s">
        <v>860</v>
      </c>
      <c r="B628" s="62"/>
      <c r="C628" s="63"/>
      <c r="D628" s="63"/>
      <c r="E628" s="12" t="s">
        <v>1003</v>
      </c>
      <c r="F628" s="12" t="s">
        <v>1190</v>
      </c>
      <c r="G628" s="12" t="b">
        <v>0</v>
      </c>
      <c r="H628" s="12" t="b">
        <v>1</v>
      </c>
      <c r="I628" s="12" t="b">
        <v>1</v>
      </c>
      <c r="J628" s="12" t="b">
        <v>1</v>
      </c>
      <c r="K628" s="12" t="b">
        <v>0</v>
      </c>
      <c r="L628" s="12" t="b">
        <v>1</v>
      </c>
      <c r="M628" s="12" t="b">
        <v>0</v>
      </c>
      <c r="N628" s="12">
        <v>0</v>
      </c>
      <c r="O628" s="12" t="b">
        <v>0</v>
      </c>
      <c r="P628" s="12" t="b">
        <v>0</v>
      </c>
      <c r="Q628" s="12" t="b">
        <v>0</v>
      </c>
      <c r="R628" s="12" t="b">
        <v>0</v>
      </c>
      <c r="S628" s="12" t="b">
        <v>0</v>
      </c>
      <c r="T628" s="12" t="b">
        <v>1</v>
      </c>
      <c r="U628" s="12" t="b">
        <v>0</v>
      </c>
      <c r="V628" s="12" t="b">
        <v>1</v>
      </c>
      <c r="W628" s="12" t="b">
        <v>0</v>
      </c>
      <c r="X628" s="12">
        <v>1</v>
      </c>
      <c r="Y628" s="12" t="b">
        <v>0</v>
      </c>
      <c r="Z628" s="12" t="b">
        <v>0</v>
      </c>
      <c r="AA628" s="12" t="b">
        <v>1</v>
      </c>
      <c r="AB628" s="12" t="b">
        <v>1</v>
      </c>
      <c r="AC628" s="12" t="b">
        <v>1</v>
      </c>
      <c r="AD628" s="12" t="b">
        <v>1</v>
      </c>
      <c r="AE628" s="12" t="b">
        <v>0</v>
      </c>
      <c r="AF628" s="12" t="b">
        <v>0</v>
      </c>
      <c r="AG628" s="12" t="b">
        <v>0</v>
      </c>
      <c r="AH628" s="12">
        <v>0</v>
      </c>
      <c r="AI628" s="12" t="b">
        <v>0</v>
      </c>
      <c r="AJ628" s="12" t="b">
        <v>0</v>
      </c>
      <c r="AK628" s="12" t="b">
        <v>1</v>
      </c>
      <c r="AL628" s="12">
        <v>0</v>
      </c>
      <c r="AM628" s="12" t="s">
        <v>900</v>
      </c>
      <c r="AN628" s="12">
        <v>0</v>
      </c>
    </row>
    <row r="629" spans="1:40" x14ac:dyDescent="0.3">
      <c r="A629" s="62" t="s">
        <v>860</v>
      </c>
      <c r="B629" s="62"/>
      <c r="C629" s="63"/>
      <c r="D629" s="63"/>
      <c r="E629" s="12" t="s">
        <v>1007</v>
      </c>
      <c r="F629" s="12" t="s">
        <v>1192</v>
      </c>
      <c r="G629" s="12" t="b">
        <v>0</v>
      </c>
      <c r="H629" s="12" t="b">
        <v>1</v>
      </c>
      <c r="I629" s="12" t="b">
        <v>1</v>
      </c>
      <c r="J629" s="12" t="b">
        <v>1</v>
      </c>
      <c r="K629" s="12" t="b">
        <v>0</v>
      </c>
      <c r="L629" s="12" t="b">
        <v>1</v>
      </c>
      <c r="M629" s="12" t="b">
        <v>0</v>
      </c>
      <c r="N629" s="12">
        <v>0</v>
      </c>
      <c r="O629" s="12" t="b">
        <v>0</v>
      </c>
      <c r="P629" s="12" t="b">
        <v>0</v>
      </c>
      <c r="Q629" s="12" t="b">
        <v>0</v>
      </c>
      <c r="R629" s="12" t="b">
        <v>0</v>
      </c>
      <c r="S629" s="12" t="b">
        <v>0</v>
      </c>
      <c r="T629" s="12" t="b">
        <v>1</v>
      </c>
      <c r="U629" s="12" t="b">
        <v>0</v>
      </c>
      <c r="V629" s="12" t="b">
        <v>1</v>
      </c>
      <c r="W629" s="12" t="b">
        <v>0</v>
      </c>
      <c r="X629" s="12">
        <v>1</v>
      </c>
      <c r="Y629" s="12" t="b">
        <v>0</v>
      </c>
      <c r="Z629" s="12" t="b">
        <v>0</v>
      </c>
      <c r="AA629" s="12" t="b">
        <v>1</v>
      </c>
      <c r="AB629" s="12" t="b">
        <v>1</v>
      </c>
      <c r="AC629" s="12" t="b">
        <v>1</v>
      </c>
      <c r="AD629" s="12" t="b">
        <v>1</v>
      </c>
      <c r="AE629" s="12" t="b">
        <v>0</v>
      </c>
      <c r="AF629" s="12" t="b">
        <v>0</v>
      </c>
      <c r="AG629" s="12" t="b">
        <v>0</v>
      </c>
      <c r="AH629" s="12">
        <v>0</v>
      </c>
      <c r="AI629" s="12" t="b">
        <v>0</v>
      </c>
      <c r="AJ629" s="12" t="b">
        <v>0</v>
      </c>
      <c r="AK629" s="12" t="b">
        <v>1</v>
      </c>
      <c r="AL629" s="12">
        <v>0</v>
      </c>
      <c r="AM629" s="12" t="s">
        <v>900</v>
      </c>
      <c r="AN629" s="12">
        <v>0</v>
      </c>
    </row>
    <row r="630" spans="1:40" x14ac:dyDescent="0.3">
      <c r="A630" s="62" t="s">
        <v>860</v>
      </c>
      <c r="B630" s="62"/>
      <c r="C630" s="63"/>
      <c r="D630" s="63"/>
      <c r="E630" s="12" t="s">
        <v>904</v>
      </c>
      <c r="F630" s="12" t="s">
        <v>1201</v>
      </c>
      <c r="G630" s="12" t="b">
        <v>0</v>
      </c>
      <c r="H630" s="12" t="b">
        <v>1</v>
      </c>
      <c r="I630" s="12" t="b">
        <v>1</v>
      </c>
      <c r="J630" s="12" t="b">
        <v>1</v>
      </c>
      <c r="K630" s="12" t="b">
        <v>0</v>
      </c>
      <c r="L630" s="12" t="b">
        <v>0</v>
      </c>
      <c r="M630" s="12" t="b">
        <v>0</v>
      </c>
      <c r="N630" s="12">
        <v>0</v>
      </c>
      <c r="O630" s="12" t="b">
        <v>0</v>
      </c>
      <c r="P630" s="12" t="b">
        <v>0</v>
      </c>
      <c r="Q630" s="12" t="b">
        <v>0</v>
      </c>
      <c r="R630" s="12" t="b">
        <v>1</v>
      </c>
      <c r="S630" s="12" t="b">
        <v>1</v>
      </c>
      <c r="T630" s="12" t="b">
        <v>1</v>
      </c>
      <c r="U630" s="12" t="b">
        <v>0</v>
      </c>
      <c r="V630" s="12" t="b">
        <v>0</v>
      </c>
      <c r="W630" s="12" t="b">
        <v>0</v>
      </c>
      <c r="X630" s="12">
        <v>1</v>
      </c>
      <c r="Y630" s="12" t="b">
        <v>0</v>
      </c>
      <c r="Z630" s="12" t="b">
        <v>0</v>
      </c>
      <c r="AA630" s="12" t="b">
        <v>0</v>
      </c>
      <c r="AB630" s="12" t="b">
        <v>0</v>
      </c>
      <c r="AC630" s="12" t="b">
        <v>0</v>
      </c>
      <c r="AD630" s="12" t="b">
        <v>1</v>
      </c>
      <c r="AE630" s="12" t="b">
        <v>0</v>
      </c>
      <c r="AF630" s="12" t="b">
        <v>1</v>
      </c>
      <c r="AG630" s="12" t="b">
        <v>0</v>
      </c>
      <c r="AH630" s="12">
        <v>1</v>
      </c>
      <c r="AI630" s="12" t="b">
        <v>0</v>
      </c>
      <c r="AJ630" s="12" t="b">
        <v>0</v>
      </c>
      <c r="AK630" s="12" t="b">
        <v>1</v>
      </c>
      <c r="AL630" s="12">
        <v>1</v>
      </c>
      <c r="AM630" s="12" t="s">
        <v>1476</v>
      </c>
      <c r="AN630" s="12">
        <v>1</v>
      </c>
    </row>
    <row r="631" spans="1:40" x14ac:dyDescent="0.3">
      <c r="A631" s="62" t="s">
        <v>860</v>
      </c>
      <c r="B631" s="62"/>
      <c r="C631" s="63"/>
      <c r="D631" s="63"/>
      <c r="E631" s="12" t="s">
        <v>906</v>
      </c>
      <c r="F631" s="12" t="s">
        <v>1202</v>
      </c>
      <c r="G631" s="12" t="b">
        <v>0</v>
      </c>
      <c r="H631" s="12" t="b">
        <v>1</v>
      </c>
      <c r="I631" s="12" t="b">
        <v>1</v>
      </c>
      <c r="J631" s="12" t="b">
        <v>1</v>
      </c>
      <c r="K631" s="12" t="b">
        <v>0</v>
      </c>
      <c r="L631" s="12" t="b">
        <v>0</v>
      </c>
      <c r="M631" s="12" t="b">
        <v>0</v>
      </c>
      <c r="N631" s="12">
        <v>0</v>
      </c>
      <c r="O631" s="12" t="b">
        <v>0</v>
      </c>
      <c r="P631" s="12" t="b">
        <v>0</v>
      </c>
      <c r="Q631" s="12" t="b">
        <v>0</v>
      </c>
      <c r="R631" s="12" t="b">
        <v>1</v>
      </c>
      <c r="S631" s="12" t="b">
        <v>1</v>
      </c>
      <c r="T631" s="12" t="b">
        <v>1</v>
      </c>
      <c r="U631" s="12" t="b">
        <v>0</v>
      </c>
      <c r="V631" s="12" t="b">
        <v>0</v>
      </c>
      <c r="W631" s="12" t="b">
        <v>0</v>
      </c>
      <c r="X631" s="12">
        <v>1</v>
      </c>
      <c r="Y631" s="12" t="b">
        <v>0</v>
      </c>
      <c r="Z631" s="12" t="b">
        <v>0</v>
      </c>
      <c r="AA631" s="12" t="b">
        <v>0</v>
      </c>
      <c r="AB631" s="12" t="b">
        <v>0</v>
      </c>
      <c r="AC631" s="12" t="b">
        <v>0</v>
      </c>
      <c r="AD631" s="12" t="b">
        <v>1</v>
      </c>
      <c r="AE631" s="12" t="b">
        <v>0</v>
      </c>
      <c r="AF631" s="12" t="b">
        <v>1</v>
      </c>
      <c r="AG631" s="12" t="b">
        <v>0</v>
      </c>
      <c r="AH631" s="12">
        <v>1</v>
      </c>
      <c r="AI631" s="12" t="b">
        <v>0</v>
      </c>
      <c r="AJ631" s="12" t="b">
        <v>0</v>
      </c>
      <c r="AK631" s="12" t="b">
        <v>1</v>
      </c>
      <c r="AL631" s="12">
        <v>1</v>
      </c>
      <c r="AM631" s="12" t="s">
        <v>1476</v>
      </c>
      <c r="AN631" s="12">
        <v>1</v>
      </c>
    </row>
    <row r="632" spans="1:40" x14ac:dyDescent="0.3">
      <c r="A632" s="62" t="s">
        <v>860</v>
      </c>
      <c r="B632" s="62"/>
      <c r="C632" s="63"/>
      <c r="D632" s="63"/>
      <c r="E632" s="12" t="s">
        <v>1207</v>
      </c>
      <c r="F632" s="12" t="s">
        <v>1208</v>
      </c>
      <c r="G632" s="12" t="b">
        <v>0</v>
      </c>
      <c r="H632" s="12" t="b">
        <v>1</v>
      </c>
      <c r="I632" s="12" t="b">
        <v>1</v>
      </c>
      <c r="J632" s="12" t="b">
        <v>1</v>
      </c>
      <c r="K632" s="12" t="b">
        <v>0</v>
      </c>
      <c r="L632" s="12" t="b">
        <v>0</v>
      </c>
      <c r="M632" s="12" t="b">
        <v>0</v>
      </c>
      <c r="N632" s="12">
        <v>0</v>
      </c>
      <c r="O632" s="12" t="b">
        <v>0</v>
      </c>
      <c r="P632" s="12" t="b">
        <v>0</v>
      </c>
      <c r="Q632" s="12" t="b">
        <v>0</v>
      </c>
      <c r="R632" s="12" t="b">
        <v>0</v>
      </c>
      <c r="S632" s="12" t="b">
        <v>0</v>
      </c>
      <c r="T632" s="12" t="b">
        <v>1</v>
      </c>
      <c r="U632" s="12" t="b">
        <v>0</v>
      </c>
      <c r="V632" s="12" t="b">
        <v>1</v>
      </c>
      <c r="W632" s="12" t="b">
        <v>0</v>
      </c>
      <c r="X632" s="12">
        <v>1</v>
      </c>
      <c r="Y632" s="12" t="b">
        <v>0</v>
      </c>
      <c r="Z632" s="12" t="b">
        <v>0</v>
      </c>
      <c r="AA632" s="12" t="b">
        <v>1</v>
      </c>
      <c r="AB632" s="12" t="b">
        <v>1</v>
      </c>
      <c r="AC632" s="12" t="b">
        <v>1</v>
      </c>
      <c r="AD632" s="12" t="b">
        <v>1</v>
      </c>
      <c r="AE632" s="12" t="b">
        <v>0</v>
      </c>
      <c r="AF632" s="12" t="b">
        <v>0</v>
      </c>
      <c r="AG632" s="12" t="b">
        <v>0</v>
      </c>
      <c r="AH632" s="12">
        <v>0</v>
      </c>
      <c r="AI632" s="12" t="b">
        <v>0</v>
      </c>
      <c r="AJ632" s="12" t="b">
        <v>0</v>
      </c>
      <c r="AK632" s="12" t="b">
        <v>1</v>
      </c>
      <c r="AL632" s="12">
        <v>1</v>
      </c>
      <c r="AM632" s="12" t="s">
        <v>900</v>
      </c>
      <c r="AN632" s="12">
        <v>1</v>
      </c>
    </row>
    <row r="633" spans="1:40" x14ac:dyDescent="0.3">
      <c r="A633" s="62" t="s">
        <v>860</v>
      </c>
      <c r="B633" s="62"/>
      <c r="C633" s="63"/>
      <c r="D633" s="63"/>
      <c r="E633" s="12" t="s">
        <v>1209</v>
      </c>
      <c r="F633" s="12" t="s">
        <v>1210</v>
      </c>
      <c r="G633" s="12" t="b">
        <v>0</v>
      </c>
      <c r="H633" s="12" t="b">
        <v>1</v>
      </c>
      <c r="I633" s="12" t="b">
        <v>1</v>
      </c>
      <c r="J633" s="12" t="b">
        <v>1</v>
      </c>
      <c r="K633" s="12" t="b">
        <v>0</v>
      </c>
      <c r="L633" s="12" t="b">
        <v>0</v>
      </c>
      <c r="M633" s="12" t="b">
        <v>0</v>
      </c>
      <c r="N633" s="12">
        <v>0</v>
      </c>
      <c r="O633" s="12" t="b">
        <v>0</v>
      </c>
      <c r="P633" s="12" t="b">
        <v>0</v>
      </c>
      <c r="Q633" s="12" t="b">
        <v>0</v>
      </c>
      <c r="R633" s="12" t="b">
        <v>0</v>
      </c>
      <c r="S633" s="12" t="b">
        <v>0</v>
      </c>
      <c r="T633" s="12" t="b">
        <v>1</v>
      </c>
      <c r="U633" s="12" t="b">
        <v>0</v>
      </c>
      <c r="V633" s="12" t="b">
        <v>1</v>
      </c>
      <c r="W633" s="12" t="b">
        <v>0</v>
      </c>
      <c r="X633" s="12">
        <v>1</v>
      </c>
      <c r="Y633" s="12" t="b">
        <v>0</v>
      </c>
      <c r="Z633" s="12" t="b">
        <v>0</v>
      </c>
      <c r="AA633" s="12" t="b">
        <v>1</v>
      </c>
      <c r="AB633" s="12" t="b">
        <v>1</v>
      </c>
      <c r="AC633" s="12" t="b">
        <v>1</v>
      </c>
      <c r="AD633" s="12" t="b">
        <v>1</v>
      </c>
      <c r="AE633" s="12" t="b">
        <v>0</v>
      </c>
      <c r="AF633" s="12" t="b">
        <v>0</v>
      </c>
      <c r="AG633" s="12" t="b">
        <v>0</v>
      </c>
      <c r="AH633" s="12">
        <v>0</v>
      </c>
      <c r="AI633" s="12" t="b">
        <v>0</v>
      </c>
      <c r="AJ633" s="12" t="b">
        <v>0</v>
      </c>
      <c r="AK633" s="12" t="b">
        <v>1</v>
      </c>
      <c r="AL633" s="12">
        <v>1</v>
      </c>
      <c r="AM633" s="12" t="s">
        <v>900</v>
      </c>
      <c r="AN633" s="12">
        <v>1</v>
      </c>
    </row>
    <row r="634" spans="1:40" x14ac:dyDescent="0.3">
      <c r="A634" s="62" t="s">
        <v>860</v>
      </c>
      <c r="B634" s="62"/>
      <c r="C634" s="63"/>
      <c r="D634" s="63"/>
      <c r="E634" s="12" t="s">
        <v>1017</v>
      </c>
      <c r="F634" s="12" t="s">
        <v>1233</v>
      </c>
      <c r="G634" s="12" t="b">
        <v>1</v>
      </c>
      <c r="H634" s="12" t="b">
        <v>1</v>
      </c>
      <c r="I634" s="12" t="b">
        <v>1</v>
      </c>
      <c r="J634" s="12" t="b">
        <v>1</v>
      </c>
      <c r="K634" s="12" t="b">
        <v>0</v>
      </c>
      <c r="L634" s="12" t="b">
        <v>0</v>
      </c>
      <c r="M634" s="12" t="b">
        <v>0</v>
      </c>
      <c r="N634" s="12">
        <v>0</v>
      </c>
      <c r="O634" s="12" t="b">
        <v>0</v>
      </c>
      <c r="P634" s="12" t="b">
        <v>0</v>
      </c>
      <c r="Q634" s="12" t="b">
        <v>0</v>
      </c>
      <c r="R634" s="12" t="b">
        <v>0</v>
      </c>
      <c r="S634" s="12" t="b">
        <v>0</v>
      </c>
      <c r="T634" s="12" t="b">
        <v>1</v>
      </c>
      <c r="U634" s="12" t="b">
        <v>0</v>
      </c>
      <c r="V634" s="12" t="b">
        <v>1</v>
      </c>
      <c r="W634" s="12" t="b">
        <v>0</v>
      </c>
      <c r="X634" s="12">
        <v>1</v>
      </c>
      <c r="Y634" s="12" t="b">
        <v>0</v>
      </c>
      <c r="Z634" s="12" t="b">
        <v>0</v>
      </c>
      <c r="AA634" s="12" t="b">
        <v>0</v>
      </c>
      <c r="AB634" s="12" t="b">
        <v>0</v>
      </c>
      <c r="AC634" s="12" t="b">
        <v>0</v>
      </c>
      <c r="AD634" s="12" t="b">
        <v>1</v>
      </c>
      <c r="AE634" s="12" t="b">
        <v>0</v>
      </c>
      <c r="AF634" s="12" t="b">
        <v>1</v>
      </c>
      <c r="AG634" s="12" t="b">
        <v>0</v>
      </c>
      <c r="AH634" s="12">
        <v>1</v>
      </c>
      <c r="AI634" s="12" t="b">
        <v>0</v>
      </c>
      <c r="AJ634" s="12" t="b">
        <v>0</v>
      </c>
      <c r="AK634" s="12" t="b">
        <v>1</v>
      </c>
      <c r="AL634" s="12">
        <v>1</v>
      </c>
      <c r="AM634" s="12" t="s">
        <v>900</v>
      </c>
      <c r="AN634" s="12">
        <v>1</v>
      </c>
    </row>
    <row r="635" spans="1:40" x14ac:dyDescent="0.3">
      <c r="A635" s="62" t="s">
        <v>860</v>
      </c>
      <c r="B635" s="62"/>
      <c r="C635" s="63"/>
      <c r="D635" s="63"/>
      <c r="E635" s="12" t="s">
        <v>1019</v>
      </c>
      <c r="F635" s="12" t="s">
        <v>1234</v>
      </c>
      <c r="G635" s="12" t="b">
        <v>0</v>
      </c>
      <c r="H635" s="12" t="b">
        <v>1</v>
      </c>
      <c r="I635" s="12" t="b">
        <v>1</v>
      </c>
      <c r="J635" s="12" t="b">
        <v>1</v>
      </c>
      <c r="K635" s="12" t="b">
        <v>0</v>
      </c>
      <c r="L635" s="12" t="b">
        <v>1</v>
      </c>
      <c r="M635" s="12" t="b">
        <v>0</v>
      </c>
      <c r="N635" s="12">
        <v>0</v>
      </c>
      <c r="O635" s="12" t="b">
        <v>0</v>
      </c>
      <c r="P635" s="12" t="b">
        <v>0</v>
      </c>
      <c r="Q635" s="12" t="b">
        <v>0</v>
      </c>
      <c r="R635" s="12" t="b">
        <v>0</v>
      </c>
      <c r="S635" s="12" t="b">
        <v>0</v>
      </c>
      <c r="T635" s="12" t="b">
        <v>1</v>
      </c>
      <c r="U635" s="12" t="b">
        <v>0</v>
      </c>
      <c r="V635" s="12" t="b">
        <v>1</v>
      </c>
      <c r="W635" s="12" t="b">
        <v>0</v>
      </c>
      <c r="X635" s="12">
        <v>1</v>
      </c>
      <c r="Y635" s="12" t="b">
        <v>0</v>
      </c>
      <c r="Z635" s="12" t="b">
        <v>0</v>
      </c>
      <c r="AA635" s="12" t="b">
        <v>1</v>
      </c>
      <c r="AB635" s="12" t="b">
        <v>1</v>
      </c>
      <c r="AC635" s="12" t="b">
        <v>1</v>
      </c>
      <c r="AD635" s="12" t="b">
        <v>1</v>
      </c>
      <c r="AE635" s="12" t="b">
        <v>0</v>
      </c>
      <c r="AF635" s="12" t="b">
        <v>0</v>
      </c>
      <c r="AG635" s="12" t="b">
        <v>0</v>
      </c>
      <c r="AH635" s="12">
        <v>0</v>
      </c>
      <c r="AI635" s="12" t="b">
        <v>0</v>
      </c>
      <c r="AJ635" s="12" t="b">
        <v>0</v>
      </c>
      <c r="AK635" s="12" t="b">
        <v>1</v>
      </c>
      <c r="AL635" s="12">
        <v>1</v>
      </c>
      <c r="AM635" s="12" t="s">
        <v>900</v>
      </c>
      <c r="AN635" s="12">
        <v>1</v>
      </c>
    </row>
    <row r="636" spans="1:40" x14ac:dyDescent="0.3">
      <c r="A636" s="62" t="s">
        <v>860</v>
      </c>
      <c r="B636" s="62"/>
      <c r="C636" s="63"/>
      <c r="D636" s="63"/>
      <c r="E636" s="12" t="s">
        <v>1314</v>
      </c>
      <c r="F636" s="12" t="s">
        <v>1315</v>
      </c>
      <c r="G636" s="12" t="b">
        <v>0</v>
      </c>
      <c r="H636" s="12" t="b">
        <v>1</v>
      </c>
      <c r="I636" s="12" t="b">
        <v>1</v>
      </c>
      <c r="J636" s="12" t="b">
        <v>1</v>
      </c>
      <c r="K636" s="12" t="b">
        <v>0</v>
      </c>
      <c r="L636" s="12" t="b">
        <v>0</v>
      </c>
      <c r="M636" s="12" t="b">
        <v>0</v>
      </c>
      <c r="N636" s="12">
        <v>0</v>
      </c>
      <c r="O636" s="12" t="b">
        <v>0</v>
      </c>
      <c r="P636" s="12" t="b">
        <v>0</v>
      </c>
      <c r="Q636" s="12" t="b">
        <v>0</v>
      </c>
      <c r="R636" s="12" t="b">
        <v>0</v>
      </c>
      <c r="S636" s="12" t="b">
        <v>0</v>
      </c>
      <c r="T636" s="12" t="b">
        <v>0</v>
      </c>
      <c r="U636" s="12" t="b">
        <v>0</v>
      </c>
      <c r="V636" s="12" t="b">
        <v>0</v>
      </c>
      <c r="W636" s="12" t="b">
        <v>0</v>
      </c>
      <c r="X636" s="12">
        <v>12</v>
      </c>
      <c r="Y636" s="12" t="b">
        <v>0</v>
      </c>
      <c r="Z636" s="12" t="b">
        <v>0</v>
      </c>
      <c r="AA636" s="12" t="b">
        <v>0</v>
      </c>
      <c r="AB636" s="12" t="b">
        <v>0</v>
      </c>
      <c r="AC636" s="12" t="b">
        <v>0</v>
      </c>
      <c r="AD636" s="12" t="b">
        <v>0</v>
      </c>
      <c r="AE636" s="12" t="b">
        <v>0</v>
      </c>
      <c r="AF636" s="12" t="b">
        <v>0</v>
      </c>
      <c r="AG636" s="12" t="b">
        <v>0</v>
      </c>
      <c r="AH636" s="12">
        <v>5</v>
      </c>
      <c r="AI636" s="12" t="b">
        <v>0</v>
      </c>
      <c r="AJ636" s="12" t="b">
        <v>0</v>
      </c>
      <c r="AK636" s="12" t="b">
        <v>1</v>
      </c>
      <c r="AL636" s="12">
        <v>1</v>
      </c>
      <c r="AM636" s="12" t="s">
        <v>1476</v>
      </c>
      <c r="AN636" s="12">
        <v>1</v>
      </c>
    </row>
    <row r="637" spans="1:40" x14ac:dyDescent="0.3">
      <c r="A637" s="62" t="s">
        <v>860</v>
      </c>
      <c r="B637" s="62"/>
      <c r="C637" s="63"/>
      <c r="D637" s="63"/>
      <c r="E637" s="12" t="s">
        <v>1316</v>
      </c>
      <c r="F637" s="12" t="s">
        <v>1317</v>
      </c>
      <c r="G637" s="12" t="b">
        <v>0</v>
      </c>
      <c r="H637" s="12" t="b">
        <v>1</v>
      </c>
      <c r="I637" s="12" t="b">
        <v>1</v>
      </c>
      <c r="J637" s="12" t="b">
        <v>1</v>
      </c>
      <c r="K637" s="12" t="b">
        <v>0</v>
      </c>
      <c r="L637" s="12" t="b">
        <v>1</v>
      </c>
      <c r="M637" s="12" t="b">
        <v>0</v>
      </c>
      <c r="N637" s="12">
        <v>0</v>
      </c>
      <c r="O637" s="12" t="b">
        <v>0</v>
      </c>
      <c r="P637" s="12" t="b">
        <v>0</v>
      </c>
      <c r="Q637" s="12" t="b">
        <v>0</v>
      </c>
      <c r="R637" s="12" t="b">
        <v>0</v>
      </c>
      <c r="S637" s="12" t="b">
        <v>0</v>
      </c>
      <c r="T637" s="12" t="b">
        <v>0</v>
      </c>
      <c r="U637" s="12" t="b">
        <v>0</v>
      </c>
      <c r="V637" s="12" t="b">
        <v>0</v>
      </c>
      <c r="W637" s="12" t="b">
        <v>0</v>
      </c>
      <c r="X637" s="12">
        <v>12</v>
      </c>
      <c r="Y637" s="12" t="b">
        <v>0</v>
      </c>
      <c r="Z637" s="12" t="b">
        <v>0</v>
      </c>
      <c r="AA637" s="12" t="b">
        <v>0</v>
      </c>
      <c r="AB637" s="12" t="b">
        <v>0</v>
      </c>
      <c r="AC637" s="12" t="b">
        <v>0</v>
      </c>
      <c r="AD637" s="12" t="b">
        <v>0</v>
      </c>
      <c r="AE637" s="12" t="b">
        <v>0</v>
      </c>
      <c r="AF637" s="12" t="b">
        <v>0</v>
      </c>
      <c r="AG637" s="12" t="b">
        <v>0</v>
      </c>
      <c r="AH637" s="12">
        <v>7</v>
      </c>
      <c r="AI637" s="12" t="b">
        <v>0</v>
      </c>
      <c r="AJ637" s="12" t="b">
        <v>0</v>
      </c>
      <c r="AK637" s="12" t="b">
        <v>1</v>
      </c>
      <c r="AL637" s="12">
        <v>1</v>
      </c>
      <c r="AM637" s="12" t="s">
        <v>1476</v>
      </c>
      <c r="AN637" s="12">
        <v>1</v>
      </c>
    </row>
    <row r="638" spans="1:40" x14ac:dyDescent="0.3">
      <c r="A638" s="62" t="s">
        <v>860</v>
      </c>
      <c r="B638" s="62"/>
      <c r="C638" s="63"/>
      <c r="D638" s="63"/>
      <c r="E638" s="12" t="s">
        <v>1318</v>
      </c>
      <c r="F638" s="12" t="s">
        <v>1319</v>
      </c>
      <c r="G638" s="12" t="b">
        <v>0</v>
      </c>
      <c r="H638" s="12" t="b">
        <v>1</v>
      </c>
      <c r="I638" s="12" t="b">
        <v>1</v>
      </c>
      <c r="J638" s="12" t="b">
        <v>1</v>
      </c>
      <c r="K638" s="12" t="b">
        <v>0</v>
      </c>
      <c r="L638" s="12" t="b">
        <v>0</v>
      </c>
      <c r="M638" s="12" t="b">
        <v>0</v>
      </c>
      <c r="N638" s="12">
        <v>0</v>
      </c>
      <c r="O638" s="12" t="b">
        <v>0</v>
      </c>
      <c r="P638" s="12" t="b">
        <v>0</v>
      </c>
      <c r="Q638" s="12" t="b">
        <v>0</v>
      </c>
      <c r="R638" s="12" t="b">
        <v>0</v>
      </c>
      <c r="S638" s="12" t="b">
        <v>0</v>
      </c>
      <c r="T638" s="12" t="b">
        <v>0</v>
      </c>
      <c r="U638" s="12" t="b">
        <v>0</v>
      </c>
      <c r="V638" s="12" t="b">
        <v>0</v>
      </c>
      <c r="W638" s="12" t="b">
        <v>0</v>
      </c>
      <c r="X638" s="12">
        <v>12</v>
      </c>
      <c r="Y638" s="12" t="b">
        <v>0</v>
      </c>
      <c r="Z638" s="12" t="b">
        <v>0</v>
      </c>
      <c r="AA638" s="12" t="b">
        <v>0</v>
      </c>
      <c r="AB638" s="12" t="b">
        <v>0</v>
      </c>
      <c r="AC638" s="12" t="b">
        <v>0</v>
      </c>
      <c r="AD638" s="12" t="b">
        <v>0</v>
      </c>
      <c r="AE638" s="12" t="b">
        <v>0</v>
      </c>
      <c r="AF638" s="12" t="b">
        <v>0</v>
      </c>
      <c r="AG638" s="12" t="b">
        <v>0</v>
      </c>
      <c r="AH638" s="12">
        <v>5</v>
      </c>
      <c r="AI638" s="12" t="b">
        <v>0</v>
      </c>
      <c r="AJ638" s="12" t="b">
        <v>0</v>
      </c>
      <c r="AK638" s="12" t="b">
        <v>1</v>
      </c>
      <c r="AL638" s="12">
        <v>1</v>
      </c>
      <c r="AM638" s="12" t="s">
        <v>1476</v>
      </c>
      <c r="AN638" s="12">
        <v>1</v>
      </c>
    </row>
    <row r="639" spans="1:40" x14ac:dyDescent="0.3">
      <c r="A639" s="62" t="s">
        <v>860</v>
      </c>
      <c r="B639" s="62"/>
      <c r="C639" s="63"/>
      <c r="D639" s="63"/>
      <c r="E639" s="12" t="s">
        <v>1320</v>
      </c>
      <c r="F639" s="12" t="s">
        <v>1321</v>
      </c>
      <c r="G639" s="12" t="b">
        <v>0</v>
      </c>
      <c r="H639" s="12" t="b">
        <v>1</v>
      </c>
      <c r="I639" s="12" t="b">
        <v>1</v>
      </c>
      <c r="J639" s="12" t="b">
        <v>1</v>
      </c>
      <c r="K639" s="12" t="b">
        <v>0</v>
      </c>
      <c r="L639" s="12" t="b">
        <v>1</v>
      </c>
      <c r="M639" s="12" t="b">
        <v>0</v>
      </c>
      <c r="N639" s="12">
        <v>0</v>
      </c>
      <c r="O639" s="12" t="b">
        <v>0</v>
      </c>
      <c r="P639" s="12" t="b">
        <v>0</v>
      </c>
      <c r="Q639" s="12" t="b">
        <v>0</v>
      </c>
      <c r="R639" s="12" t="b">
        <v>0</v>
      </c>
      <c r="S639" s="12" t="b">
        <v>0</v>
      </c>
      <c r="T639" s="12" t="b">
        <v>0</v>
      </c>
      <c r="U639" s="12" t="b">
        <v>0</v>
      </c>
      <c r="V639" s="12" t="b">
        <v>0</v>
      </c>
      <c r="W639" s="12" t="b">
        <v>0</v>
      </c>
      <c r="X639" s="12">
        <v>12</v>
      </c>
      <c r="Y639" s="12" t="b">
        <v>0</v>
      </c>
      <c r="Z639" s="12" t="b">
        <v>0</v>
      </c>
      <c r="AA639" s="12" t="b">
        <v>0</v>
      </c>
      <c r="AB639" s="12" t="b">
        <v>0</v>
      </c>
      <c r="AC639" s="12" t="b">
        <v>0</v>
      </c>
      <c r="AD639" s="12" t="b">
        <v>0</v>
      </c>
      <c r="AE639" s="12" t="b">
        <v>0</v>
      </c>
      <c r="AF639" s="12" t="b">
        <v>0</v>
      </c>
      <c r="AG639" s="12" t="b">
        <v>0</v>
      </c>
      <c r="AH639" s="12">
        <v>7</v>
      </c>
      <c r="AI639" s="12" t="b">
        <v>0</v>
      </c>
      <c r="AJ639" s="12" t="b">
        <v>0</v>
      </c>
      <c r="AK639" s="12" t="b">
        <v>1</v>
      </c>
      <c r="AL639" s="12">
        <v>1</v>
      </c>
      <c r="AM639" s="12" t="s">
        <v>1476</v>
      </c>
      <c r="AN639" s="12">
        <v>1</v>
      </c>
    </row>
    <row r="640" spans="1:40" x14ac:dyDescent="0.3">
      <c r="A640" s="62" t="s">
        <v>860</v>
      </c>
      <c r="B640" s="62"/>
      <c r="C640" s="63"/>
      <c r="D640" s="63"/>
      <c r="E640" s="12" t="s">
        <v>1528</v>
      </c>
      <c r="F640" s="12" t="s">
        <v>1566</v>
      </c>
      <c r="G640" s="12" t="b">
        <v>0</v>
      </c>
      <c r="H640" s="12" t="b">
        <v>1</v>
      </c>
      <c r="I640" s="12" t="b">
        <v>1</v>
      </c>
      <c r="J640" s="12" t="b">
        <v>1</v>
      </c>
      <c r="K640" s="12" t="b">
        <v>0</v>
      </c>
      <c r="L640" s="12" t="b">
        <v>0</v>
      </c>
      <c r="M640" s="12" t="b">
        <v>0</v>
      </c>
      <c r="N640" s="12">
        <v>0</v>
      </c>
      <c r="O640" s="12" t="b">
        <v>0</v>
      </c>
      <c r="P640" s="12" t="b">
        <v>0</v>
      </c>
      <c r="Q640" s="12" t="b">
        <v>0</v>
      </c>
      <c r="R640" s="12" t="b">
        <v>0</v>
      </c>
      <c r="S640" s="12" t="b">
        <v>0</v>
      </c>
      <c r="T640" s="12" t="b">
        <v>0</v>
      </c>
      <c r="U640" s="12" t="b">
        <v>0</v>
      </c>
      <c r="V640" s="12" t="b">
        <v>0</v>
      </c>
      <c r="W640" s="12" t="b">
        <v>0</v>
      </c>
      <c r="X640" s="12">
        <v>1</v>
      </c>
      <c r="Y640" s="12" t="b">
        <v>0</v>
      </c>
      <c r="Z640" s="12" t="b">
        <v>0</v>
      </c>
      <c r="AA640" s="12" t="b">
        <v>1</v>
      </c>
      <c r="AB640" s="12" t="b">
        <v>1</v>
      </c>
      <c r="AC640" s="12" t="b">
        <v>1</v>
      </c>
      <c r="AD640" s="12" t="b">
        <v>1</v>
      </c>
      <c r="AE640" s="12" t="b">
        <v>0</v>
      </c>
      <c r="AF640" s="12" t="b">
        <v>0</v>
      </c>
      <c r="AG640" s="12" t="b">
        <v>0</v>
      </c>
      <c r="AH640" s="12">
        <v>1</v>
      </c>
      <c r="AI640" s="12" t="b">
        <v>0</v>
      </c>
      <c r="AJ640" s="12" t="b">
        <v>0</v>
      </c>
      <c r="AK640" s="12" t="b">
        <v>1</v>
      </c>
      <c r="AL640" s="12">
        <v>0</v>
      </c>
      <c r="AM640" s="12" t="s">
        <v>922</v>
      </c>
      <c r="AN640" s="12">
        <v>0</v>
      </c>
    </row>
    <row r="641" spans="1:40" x14ac:dyDescent="0.3">
      <c r="A641" s="62" t="s">
        <v>860</v>
      </c>
      <c r="B641" s="62"/>
      <c r="C641" s="63"/>
      <c r="D641" s="63"/>
      <c r="E641" s="12" t="s">
        <v>1523</v>
      </c>
      <c r="F641" s="12" t="s">
        <v>1567</v>
      </c>
      <c r="G641" s="12" t="b">
        <v>0</v>
      </c>
      <c r="H641" s="12" t="b">
        <v>1</v>
      </c>
      <c r="I641" s="12" t="b">
        <v>1</v>
      </c>
      <c r="J641" s="12" t="b">
        <v>1</v>
      </c>
      <c r="K641" s="12" t="b">
        <v>0</v>
      </c>
      <c r="L641" s="12" t="b">
        <v>0</v>
      </c>
      <c r="M641" s="12" t="b">
        <v>0</v>
      </c>
      <c r="N641" s="12">
        <v>0</v>
      </c>
      <c r="O641" s="12" t="b">
        <v>0</v>
      </c>
      <c r="P641" s="12" t="b">
        <v>0</v>
      </c>
      <c r="Q641" s="12" t="b">
        <v>0</v>
      </c>
      <c r="R641" s="12" t="b">
        <v>0</v>
      </c>
      <c r="S641" s="12" t="b">
        <v>0</v>
      </c>
      <c r="T641" s="12" t="b">
        <v>0</v>
      </c>
      <c r="U641" s="12" t="b">
        <v>0</v>
      </c>
      <c r="V641" s="12" t="b">
        <v>0</v>
      </c>
      <c r="W641" s="12" t="b">
        <v>0</v>
      </c>
      <c r="X641" s="12">
        <v>1</v>
      </c>
      <c r="Y641" s="12" t="b">
        <v>0</v>
      </c>
      <c r="Z641" s="12" t="b">
        <v>0</v>
      </c>
      <c r="AA641" s="12" t="b">
        <v>1</v>
      </c>
      <c r="AB641" s="12" t="b">
        <v>1</v>
      </c>
      <c r="AC641" s="12" t="b">
        <v>1</v>
      </c>
      <c r="AD641" s="12" t="b">
        <v>1</v>
      </c>
      <c r="AE641" s="12" t="b">
        <v>0</v>
      </c>
      <c r="AF641" s="12" t="b">
        <v>0</v>
      </c>
      <c r="AG641" s="12" t="b">
        <v>0</v>
      </c>
      <c r="AH641" s="12">
        <v>1</v>
      </c>
      <c r="AI641" s="12" t="b">
        <v>0</v>
      </c>
      <c r="AJ641" s="12" t="b">
        <v>0</v>
      </c>
      <c r="AK641" s="12" t="b">
        <v>1</v>
      </c>
      <c r="AL641" s="12">
        <v>0</v>
      </c>
      <c r="AM641" s="12" t="s">
        <v>922</v>
      </c>
      <c r="AN641" s="12">
        <v>0</v>
      </c>
    </row>
    <row r="642" spans="1:40" x14ac:dyDescent="0.3">
      <c r="A642" s="62" t="s">
        <v>860</v>
      </c>
      <c r="B642" s="62"/>
      <c r="C642" s="63"/>
      <c r="D642" s="63"/>
      <c r="E642" s="12" t="s">
        <v>1524</v>
      </c>
      <c r="F642" s="12" t="s">
        <v>1568</v>
      </c>
      <c r="G642" s="12" t="b">
        <v>0</v>
      </c>
      <c r="H642" s="12" t="b">
        <v>1</v>
      </c>
      <c r="I642" s="12" t="b">
        <v>1</v>
      </c>
      <c r="J642" s="12" t="b">
        <v>1</v>
      </c>
      <c r="K642" s="12" t="b">
        <v>0</v>
      </c>
      <c r="L642" s="12" t="b">
        <v>0</v>
      </c>
      <c r="M642" s="12" t="b">
        <v>0</v>
      </c>
      <c r="N642" s="12">
        <v>0</v>
      </c>
      <c r="O642" s="12" t="b">
        <v>0</v>
      </c>
      <c r="P642" s="12" t="b">
        <v>0</v>
      </c>
      <c r="Q642" s="12" t="b">
        <v>0</v>
      </c>
      <c r="R642" s="12" t="b">
        <v>0</v>
      </c>
      <c r="S642" s="12" t="b">
        <v>0</v>
      </c>
      <c r="T642" s="12" t="b">
        <v>0</v>
      </c>
      <c r="U642" s="12" t="b">
        <v>0</v>
      </c>
      <c r="V642" s="12" t="b">
        <v>0</v>
      </c>
      <c r="W642" s="12" t="b">
        <v>0</v>
      </c>
      <c r="X642" s="12">
        <v>1</v>
      </c>
      <c r="Y642" s="12" t="b">
        <v>0</v>
      </c>
      <c r="Z642" s="12" t="b">
        <v>0</v>
      </c>
      <c r="AA642" s="12" t="b">
        <v>1</v>
      </c>
      <c r="AB642" s="12" t="b">
        <v>1</v>
      </c>
      <c r="AC642" s="12" t="b">
        <v>1</v>
      </c>
      <c r="AD642" s="12" t="b">
        <v>1</v>
      </c>
      <c r="AE642" s="12" t="b">
        <v>0</v>
      </c>
      <c r="AF642" s="12" t="b">
        <v>0</v>
      </c>
      <c r="AG642" s="12" t="b">
        <v>0</v>
      </c>
      <c r="AH642" s="12">
        <v>1</v>
      </c>
      <c r="AI642" s="12" t="b">
        <v>0</v>
      </c>
      <c r="AJ642" s="12" t="b">
        <v>0</v>
      </c>
      <c r="AK642" s="12" t="b">
        <v>1</v>
      </c>
      <c r="AL642" s="12">
        <v>0</v>
      </c>
      <c r="AM642" s="12" t="s">
        <v>922</v>
      </c>
      <c r="AN642" s="12">
        <v>0</v>
      </c>
    </row>
    <row r="643" spans="1:40" x14ac:dyDescent="0.3">
      <c r="A643" s="62" t="s">
        <v>860</v>
      </c>
      <c r="B643" s="62"/>
      <c r="C643" s="63"/>
      <c r="D643" s="63"/>
      <c r="E643" s="12" t="s">
        <v>1525</v>
      </c>
      <c r="F643" s="12" t="s">
        <v>1569</v>
      </c>
      <c r="G643" s="12" t="b">
        <v>0</v>
      </c>
      <c r="H643" s="12" t="b">
        <v>1</v>
      </c>
      <c r="I643" s="12" t="b">
        <v>1</v>
      </c>
      <c r="J643" s="12" t="b">
        <v>1</v>
      </c>
      <c r="K643" s="12" t="b">
        <v>0</v>
      </c>
      <c r="L643" s="12" t="b">
        <v>0</v>
      </c>
      <c r="M643" s="12" t="b">
        <v>0</v>
      </c>
      <c r="N643" s="12">
        <v>0</v>
      </c>
      <c r="O643" s="12" t="b">
        <v>0</v>
      </c>
      <c r="P643" s="12" t="b">
        <v>0</v>
      </c>
      <c r="Q643" s="12" t="b">
        <v>0</v>
      </c>
      <c r="R643" s="12" t="b">
        <v>0</v>
      </c>
      <c r="S643" s="12" t="b">
        <v>0</v>
      </c>
      <c r="T643" s="12" t="b">
        <v>0</v>
      </c>
      <c r="U643" s="12" t="b">
        <v>0</v>
      </c>
      <c r="V643" s="12" t="b">
        <v>0</v>
      </c>
      <c r="W643" s="12" t="b">
        <v>0</v>
      </c>
      <c r="X643" s="12">
        <v>1</v>
      </c>
      <c r="Y643" s="12" t="b">
        <v>0</v>
      </c>
      <c r="Z643" s="12" t="b">
        <v>0</v>
      </c>
      <c r="AA643" s="12" t="b">
        <v>1</v>
      </c>
      <c r="AB643" s="12" t="b">
        <v>1</v>
      </c>
      <c r="AC643" s="12" t="b">
        <v>1</v>
      </c>
      <c r="AD643" s="12" t="b">
        <v>1</v>
      </c>
      <c r="AE643" s="12" t="b">
        <v>0</v>
      </c>
      <c r="AF643" s="12" t="b">
        <v>0</v>
      </c>
      <c r="AG643" s="12" t="b">
        <v>0</v>
      </c>
      <c r="AH643" s="12">
        <v>1</v>
      </c>
      <c r="AI643" s="12" t="b">
        <v>0</v>
      </c>
      <c r="AJ643" s="12" t="b">
        <v>0</v>
      </c>
      <c r="AK643" s="12" t="b">
        <v>1</v>
      </c>
      <c r="AL643" s="12">
        <v>0</v>
      </c>
      <c r="AM643" s="12" t="s">
        <v>922</v>
      </c>
      <c r="AN643" s="12">
        <v>0</v>
      </c>
    </row>
    <row r="644" spans="1:40" x14ac:dyDescent="0.3">
      <c r="A644" s="62" t="s">
        <v>860</v>
      </c>
      <c r="B644" s="62"/>
      <c r="C644" s="63"/>
      <c r="D644" s="63"/>
      <c r="E644" s="12" t="s">
        <v>1526</v>
      </c>
      <c r="F644" s="12" t="s">
        <v>1570</v>
      </c>
      <c r="G644" s="12" t="b">
        <v>0</v>
      </c>
      <c r="H644" s="12" t="b">
        <v>1</v>
      </c>
      <c r="I644" s="12" t="b">
        <v>1</v>
      </c>
      <c r="J644" s="12" t="b">
        <v>1</v>
      </c>
      <c r="K644" s="12" t="b">
        <v>0</v>
      </c>
      <c r="L644" s="12" t="b">
        <v>0</v>
      </c>
      <c r="M644" s="12" t="b">
        <v>0</v>
      </c>
      <c r="N644" s="12">
        <v>0</v>
      </c>
      <c r="O644" s="12" t="b">
        <v>0</v>
      </c>
      <c r="P644" s="12" t="b">
        <v>0</v>
      </c>
      <c r="Q644" s="12" t="b">
        <v>0</v>
      </c>
      <c r="R644" s="12" t="b">
        <v>0</v>
      </c>
      <c r="S644" s="12" t="b">
        <v>0</v>
      </c>
      <c r="T644" s="12" t="b">
        <v>0</v>
      </c>
      <c r="U644" s="12" t="b">
        <v>0</v>
      </c>
      <c r="V644" s="12" t="b">
        <v>0</v>
      </c>
      <c r="W644" s="12" t="b">
        <v>0</v>
      </c>
      <c r="X644" s="12">
        <v>1</v>
      </c>
      <c r="Y644" s="12" t="b">
        <v>0</v>
      </c>
      <c r="Z644" s="12" t="b">
        <v>0</v>
      </c>
      <c r="AA644" s="12" t="b">
        <v>1</v>
      </c>
      <c r="AB644" s="12" t="b">
        <v>1</v>
      </c>
      <c r="AC644" s="12" t="b">
        <v>1</v>
      </c>
      <c r="AD644" s="12" t="b">
        <v>1</v>
      </c>
      <c r="AE644" s="12" t="b">
        <v>0</v>
      </c>
      <c r="AF644" s="12" t="b">
        <v>0</v>
      </c>
      <c r="AG644" s="12" t="b">
        <v>0</v>
      </c>
      <c r="AH644" s="12">
        <v>1</v>
      </c>
      <c r="AI644" s="12" t="b">
        <v>0</v>
      </c>
      <c r="AJ644" s="12" t="b">
        <v>0</v>
      </c>
      <c r="AK644" s="12" t="b">
        <v>1</v>
      </c>
      <c r="AL644" s="12">
        <v>0</v>
      </c>
      <c r="AM644" s="12" t="s">
        <v>922</v>
      </c>
      <c r="AN644" s="12">
        <v>0</v>
      </c>
    </row>
    <row r="645" spans="1:40" x14ac:dyDescent="0.3">
      <c r="A645" s="62" t="s">
        <v>860</v>
      </c>
      <c r="B645" s="62"/>
      <c r="C645" s="63"/>
      <c r="D645" s="63"/>
      <c r="E645" s="12" t="s">
        <v>1527</v>
      </c>
      <c r="F645" s="12" t="s">
        <v>1571</v>
      </c>
      <c r="G645" s="12" t="b">
        <v>0</v>
      </c>
      <c r="H645" s="12" t="b">
        <v>1</v>
      </c>
      <c r="I645" s="12" t="b">
        <v>1</v>
      </c>
      <c r="J645" s="12" t="b">
        <v>1</v>
      </c>
      <c r="K645" s="12" t="b">
        <v>0</v>
      </c>
      <c r="L645" s="12" t="b">
        <v>0</v>
      </c>
      <c r="M645" s="12" t="b">
        <v>0</v>
      </c>
      <c r="N645" s="12">
        <v>0</v>
      </c>
      <c r="O645" s="12" t="b">
        <v>0</v>
      </c>
      <c r="P645" s="12" t="b">
        <v>0</v>
      </c>
      <c r="Q645" s="12" t="b">
        <v>0</v>
      </c>
      <c r="R645" s="12" t="b">
        <v>0</v>
      </c>
      <c r="S645" s="12" t="b">
        <v>0</v>
      </c>
      <c r="T645" s="12" t="b">
        <v>0</v>
      </c>
      <c r="U645" s="12" t="b">
        <v>0</v>
      </c>
      <c r="V645" s="12" t="b">
        <v>0</v>
      </c>
      <c r="W645" s="12" t="b">
        <v>0</v>
      </c>
      <c r="X645" s="12">
        <v>1</v>
      </c>
      <c r="Y645" s="12" t="b">
        <v>0</v>
      </c>
      <c r="Z645" s="12" t="b">
        <v>0</v>
      </c>
      <c r="AA645" s="12" t="b">
        <v>1</v>
      </c>
      <c r="AB645" s="12" t="b">
        <v>1</v>
      </c>
      <c r="AC645" s="12" t="b">
        <v>1</v>
      </c>
      <c r="AD645" s="12" t="b">
        <v>1</v>
      </c>
      <c r="AE645" s="12" t="b">
        <v>0</v>
      </c>
      <c r="AF645" s="12" t="b">
        <v>0</v>
      </c>
      <c r="AG645" s="12" t="b">
        <v>0</v>
      </c>
      <c r="AH645" s="12">
        <v>1</v>
      </c>
      <c r="AI645" s="12" t="b">
        <v>0</v>
      </c>
      <c r="AJ645" s="12" t="b">
        <v>0</v>
      </c>
      <c r="AK645" s="12" t="b">
        <v>1</v>
      </c>
      <c r="AL645" s="12">
        <v>0</v>
      </c>
      <c r="AM645" s="12" t="s">
        <v>922</v>
      </c>
      <c r="AN645" s="12">
        <v>0</v>
      </c>
    </row>
    <row r="646" spans="1:40" x14ac:dyDescent="0.3">
      <c r="A646" s="62" t="s">
        <v>860</v>
      </c>
      <c r="B646" s="62"/>
      <c r="C646" s="63"/>
      <c r="D646" s="63"/>
      <c r="E646" s="12" t="s">
        <v>1522</v>
      </c>
      <c r="F646" s="12" t="s">
        <v>1572</v>
      </c>
      <c r="G646" s="12" t="b">
        <v>0</v>
      </c>
      <c r="H646" s="12" t="b">
        <v>1</v>
      </c>
      <c r="I646" s="12" t="b">
        <v>1</v>
      </c>
      <c r="J646" s="12" t="b">
        <v>1</v>
      </c>
      <c r="K646" s="12" t="b">
        <v>0</v>
      </c>
      <c r="L646" s="12" t="b">
        <v>0</v>
      </c>
      <c r="M646" s="12" t="b">
        <v>0</v>
      </c>
      <c r="N646" s="12">
        <v>0</v>
      </c>
      <c r="O646" s="12" t="b">
        <v>0</v>
      </c>
      <c r="P646" s="12" t="b">
        <v>0</v>
      </c>
      <c r="Q646" s="12" t="b">
        <v>0</v>
      </c>
      <c r="R646" s="12" t="b">
        <v>0</v>
      </c>
      <c r="S646" s="12" t="b">
        <v>0</v>
      </c>
      <c r="T646" s="12" t="b">
        <v>0</v>
      </c>
      <c r="U646" s="12" t="b">
        <v>0</v>
      </c>
      <c r="V646" s="12" t="b">
        <v>0</v>
      </c>
      <c r="W646" s="12" t="b">
        <v>0</v>
      </c>
      <c r="X646" s="12">
        <v>1</v>
      </c>
      <c r="Y646" s="12" t="b">
        <v>0</v>
      </c>
      <c r="Z646" s="12" t="b">
        <v>0</v>
      </c>
      <c r="AA646" s="12" t="b">
        <v>1</v>
      </c>
      <c r="AB646" s="12" t="b">
        <v>1</v>
      </c>
      <c r="AC646" s="12" t="b">
        <v>1</v>
      </c>
      <c r="AD646" s="12" t="b">
        <v>1</v>
      </c>
      <c r="AE646" s="12" t="b">
        <v>0</v>
      </c>
      <c r="AF646" s="12" t="b">
        <v>0</v>
      </c>
      <c r="AG646" s="12" t="b">
        <v>0</v>
      </c>
      <c r="AH646" s="12">
        <v>1</v>
      </c>
      <c r="AI646" s="12" t="b">
        <v>0</v>
      </c>
      <c r="AJ646" s="12" t="b">
        <v>0</v>
      </c>
      <c r="AK646" s="12" t="b">
        <v>1</v>
      </c>
      <c r="AL646" s="12">
        <v>0</v>
      </c>
      <c r="AM646" s="12" t="s">
        <v>922</v>
      </c>
      <c r="AN646" s="12">
        <v>0</v>
      </c>
    </row>
    <row r="647" spans="1:40" x14ac:dyDescent="0.3">
      <c r="A647" s="62" t="s">
        <v>860</v>
      </c>
      <c r="B647" s="62"/>
      <c r="C647" s="63"/>
      <c r="D647" s="63"/>
      <c r="E647" s="12" t="s">
        <v>1254</v>
      </c>
      <c r="F647" s="12" t="s">
        <v>1255</v>
      </c>
      <c r="G647" s="12" t="b">
        <v>0</v>
      </c>
      <c r="H647" s="12" t="b">
        <v>0</v>
      </c>
      <c r="I647" s="12" t="b">
        <v>0</v>
      </c>
      <c r="J647" s="12" t="b">
        <v>1</v>
      </c>
      <c r="K647" s="12" t="b">
        <v>0</v>
      </c>
      <c r="L647" s="12" t="b">
        <v>1</v>
      </c>
      <c r="M647" s="12" t="b">
        <v>0</v>
      </c>
      <c r="N647" s="12">
        <v>0</v>
      </c>
      <c r="O647" s="12" t="b">
        <v>0</v>
      </c>
      <c r="P647" s="12" t="b">
        <v>0</v>
      </c>
      <c r="Q647" s="12" t="b">
        <v>0</v>
      </c>
      <c r="R647" s="12" t="b">
        <v>0</v>
      </c>
      <c r="S647" s="12" t="b">
        <v>0</v>
      </c>
      <c r="T647" s="12" t="b">
        <v>1</v>
      </c>
      <c r="U647" s="12" t="b">
        <v>0</v>
      </c>
      <c r="V647" s="12" t="b">
        <v>1</v>
      </c>
      <c r="W647" s="12" t="b">
        <v>0</v>
      </c>
      <c r="X647" s="12">
        <v>1</v>
      </c>
      <c r="Y647" s="12" t="b">
        <v>0</v>
      </c>
      <c r="Z647" s="12" t="b">
        <v>0</v>
      </c>
      <c r="AA647" s="12" t="b">
        <v>0</v>
      </c>
      <c r="AB647" s="12" t="b">
        <v>0</v>
      </c>
      <c r="AC647" s="12" t="b">
        <v>0</v>
      </c>
      <c r="AD647" s="12" t="b">
        <v>1</v>
      </c>
      <c r="AE647" s="12" t="b">
        <v>0</v>
      </c>
      <c r="AF647" s="12" t="b">
        <v>1</v>
      </c>
      <c r="AG647" s="12" t="b">
        <v>0</v>
      </c>
      <c r="AH647" s="12">
        <v>1</v>
      </c>
      <c r="AI647" s="12" t="b">
        <v>0</v>
      </c>
      <c r="AJ647" s="12" t="b">
        <v>0</v>
      </c>
      <c r="AK647" s="12" t="b">
        <v>1</v>
      </c>
      <c r="AL647" s="12">
        <v>0</v>
      </c>
      <c r="AM647" s="12" t="s">
        <v>922</v>
      </c>
      <c r="AN647" s="12">
        <v>0</v>
      </c>
    </row>
    <row r="648" spans="1:40" x14ac:dyDescent="0.3">
      <c r="A648" s="62" t="s">
        <v>860</v>
      </c>
      <c r="B648" s="62"/>
      <c r="C648" s="63"/>
      <c r="D648" s="63"/>
      <c r="E648" s="12" t="s">
        <v>1256</v>
      </c>
      <c r="F648" s="12" t="s">
        <v>1257</v>
      </c>
      <c r="G648" s="12" t="b">
        <v>0</v>
      </c>
      <c r="H648" s="12" t="b">
        <v>0</v>
      </c>
      <c r="I648" s="12" t="b">
        <v>0</v>
      </c>
      <c r="J648" s="12" t="b">
        <v>1</v>
      </c>
      <c r="K648" s="12" t="b">
        <v>0</v>
      </c>
      <c r="L648" s="12" t="b">
        <v>1</v>
      </c>
      <c r="M648" s="12" t="b">
        <v>0</v>
      </c>
      <c r="N648" s="12">
        <v>0</v>
      </c>
      <c r="O648" s="12" t="b">
        <v>0</v>
      </c>
      <c r="P648" s="12" t="b">
        <v>0</v>
      </c>
      <c r="Q648" s="12" t="b">
        <v>0</v>
      </c>
      <c r="R648" s="12" t="b">
        <v>0</v>
      </c>
      <c r="S648" s="12" t="b">
        <v>0</v>
      </c>
      <c r="T648" s="12" t="b">
        <v>1</v>
      </c>
      <c r="U648" s="12" t="b">
        <v>0</v>
      </c>
      <c r="V648" s="12" t="b">
        <v>1</v>
      </c>
      <c r="W648" s="12" t="b">
        <v>0</v>
      </c>
      <c r="X648" s="12">
        <v>1</v>
      </c>
      <c r="Y648" s="12" t="b">
        <v>0</v>
      </c>
      <c r="Z648" s="12" t="b">
        <v>0</v>
      </c>
      <c r="AA648" s="12" t="b">
        <v>0</v>
      </c>
      <c r="AB648" s="12" t="b">
        <v>0</v>
      </c>
      <c r="AC648" s="12" t="b">
        <v>0</v>
      </c>
      <c r="AD648" s="12" t="b">
        <v>1</v>
      </c>
      <c r="AE648" s="12" t="b">
        <v>0</v>
      </c>
      <c r="AF648" s="12" t="b">
        <v>1</v>
      </c>
      <c r="AG648" s="12" t="b">
        <v>0</v>
      </c>
      <c r="AH648" s="12">
        <v>1</v>
      </c>
      <c r="AI648" s="12" t="b">
        <v>0</v>
      </c>
      <c r="AJ648" s="12" t="b">
        <v>0</v>
      </c>
      <c r="AK648" s="12" t="b">
        <v>1</v>
      </c>
      <c r="AL648" s="12">
        <v>0</v>
      </c>
      <c r="AM648" s="12" t="s">
        <v>922</v>
      </c>
      <c r="AN648" s="12">
        <v>0</v>
      </c>
    </row>
    <row r="649" spans="1:40" x14ac:dyDescent="0.3">
      <c r="A649" s="62" t="s">
        <v>860</v>
      </c>
      <c r="B649" s="62"/>
      <c r="C649" s="63"/>
      <c r="D649" s="63"/>
      <c r="E649" s="12" t="s">
        <v>1258</v>
      </c>
      <c r="F649" s="12" t="s">
        <v>1259</v>
      </c>
      <c r="G649" s="12" t="b">
        <v>0</v>
      </c>
      <c r="H649" s="12" t="b">
        <v>0</v>
      </c>
      <c r="I649" s="12" t="b">
        <v>0</v>
      </c>
      <c r="J649" s="12" t="b">
        <v>1</v>
      </c>
      <c r="K649" s="12" t="b">
        <v>0</v>
      </c>
      <c r="L649" s="12" t="b">
        <v>1</v>
      </c>
      <c r="M649" s="12" t="b">
        <v>0</v>
      </c>
      <c r="N649" s="12">
        <v>0</v>
      </c>
      <c r="O649" s="12" t="b">
        <v>0</v>
      </c>
      <c r="P649" s="12" t="b">
        <v>0</v>
      </c>
      <c r="Q649" s="12" t="b">
        <v>0</v>
      </c>
      <c r="R649" s="12" t="b">
        <v>0</v>
      </c>
      <c r="S649" s="12" t="b">
        <v>0</v>
      </c>
      <c r="T649" s="12" t="b">
        <v>1</v>
      </c>
      <c r="U649" s="12" t="b">
        <v>0</v>
      </c>
      <c r="V649" s="12" t="b">
        <v>1</v>
      </c>
      <c r="W649" s="12" t="b">
        <v>0</v>
      </c>
      <c r="X649" s="12">
        <v>1</v>
      </c>
      <c r="Y649" s="12" t="b">
        <v>0</v>
      </c>
      <c r="Z649" s="12" t="b">
        <v>0</v>
      </c>
      <c r="AA649" s="12" t="b">
        <v>0</v>
      </c>
      <c r="AB649" s="12" t="b">
        <v>0</v>
      </c>
      <c r="AC649" s="12" t="b">
        <v>0</v>
      </c>
      <c r="AD649" s="12" t="b">
        <v>1</v>
      </c>
      <c r="AE649" s="12" t="b">
        <v>0</v>
      </c>
      <c r="AF649" s="12" t="b">
        <v>1</v>
      </c>
      <c r="AG649" s="12" t="b">
        <v>0</v>
      </c>
      <c r="AH649" s="12">
        <v>1</v>
      </c>
      <c r="AI649" s="12" t="b">
        <v>0</v>
      </c>
      <c r="AJ649" s="12" t="b">
        <v>0</v>
      </c>
      <c r="AK649" s="12" t="b">
        <v>1</v>
      </c>
      <c r="AL649" s="12">
        <v>0</v>
      </c>
      <c r="AM649" s="12" t="s">
        <v>922</v>
      </c>
      <c r="AN649" s="12">
        <v>0</v>
      </c>
    </row>
    <row r="650" spans="1:40" x14ac:dyDescent="0.3">
      <c r="A650" s="62" t="s">
        <v>860</v>
      </c>
      <c r="B650" s="62"/>
      <c r="C650" s="63"/>
      <c r="D650" s="63"/>
      <c r="E650" s="12" t="s">
        <v>1260</v>
      </c>
      <c r="F650" s="12" t="s">
        <v>1261</v>
      </c>
      <c r="G650" s="12" t="b">
        <v>0</v>
      </c>
      <c r="H650" s="12" t="b">
        <v>0</v>
      </c>
      <c r="I650" s="12" t="b">
        <v>0</v>
      </c>
      <c r="J650" s="12" t="b">
        <v>1</v>
      </c>
      <c r="K650" s="12" t="b">
        <v>0</v>
      </c>
      <c r="L650" s="12" t="b">
        <v>1</v>
      </c>
      <c r="M650" s="12" t="b">
        <v>0</v>
      </c>
      <c r="N650" s="12">
        <v>0</v>
      </c>
      <c r="O650" s="12" t="b">
        <v>0</v>
      </c>
      <c r="P650" s="12" t="b">
        <v>0</v>
      </c>
      <c r="Q650" s="12" t="b">
        <v>0</v>
      </c>
      <c r="R650" s="12" t="b">
        <v>0</v>
      </c>
      <c r="S650" s="12" t="b">
        <v>0</v>
      </c>
      <c r="T650" s="12" t="b">
        <v>1</v>
      </c>
      <c r="U650" s="12" t="b">
        <v>0</v>
      </c>
      <c r="V650" s="12" t="b">
        <v>1</v>
      </c>
      <c r="W650" s="12" t="b">
        <v>0</v>
      </c>
      <c r="X650" s="12">
        <v>1</v>
      </c>
      <c r="Y650" s="12" t="b">
        <v>0</v>
      </c>
      <c r="Z650" s="12" t="b">
        <v>0</v>
      </c>
      <c r="AA650" s="12" t="b">
        <v>0</v>
      </c>
      <c r="AB650" s="12" t="b">
        <v>0</v>
      </c>
      <c r="AC650" s="12" t="b">
        <v>0</v>
      </c>
      <c r="AD650" s="12" t="b">
        <v>1</v>
      </c>
      <c r="AE650" s="12" t="b">
        <v>0</v>
      </c>
      <c r="AF650" s="12" t="b">
        <v>1</v>
      </c>
      <c r="AG650" s="12" t="b">
        <v>0</v>
      </c>
      <c r="AH650" s="12">
        <v>1</v>
      </c>
      <c r="AI650" s="12" t="b">
        <v>0</v>
      </c>
      <c r="AJ650" s="12" t="b">
        <v>0</v>
      </c>
      <c r="AK650" s="12" t="b">
        <v>1</v>
      </c>
      <c r="AL650" s="12">
        <v>0</v>
      </c>
      <c r="AM650" s="12" t="s">
        <v>922</v>
      </c>
      <c r="AN650" s="12">
        <v>0</v>
      </c>
    </row>
    <row r="651" spans="1:40" x14ac:dyDescent="0.3">
      <c r="A651" s="62" t="s">
        <v>860</v>
      </c>
      <c r="B651" s="62"/>
      <c r="C651" s="63"/>
      <c r="D651" s="63"/>
      <c r="E651" s="12" t="s">
        <v>1262</v>
      </c>
      <c r="F651" s="12" t="s">
        <v>1263</v>
      </c>
      <c r="G651" s="12" t="b">
        <v>0</v>
      </c>
      <c r="H651" s="12" t="b">
        <v>0</v>
      </c>
      <c r="I651" s="12" t="b">
        <v>0</v>
      </c>
      <c r="J651" s="12" t="b">
        <v>1</v>
      </c>
      <c r="K651" s="12" t="b">
        <v>0</v>
      </c>
      <c r="L651" s="12" t="b">
        <v>1</v>
      </c>
      <c r="M651" s="12" t="b">
        <v>0</v>
      </c>
      <c r="N651" s="12">
        <v>0</v>
      </c>
      <c r="O651" s="12" t="b">
        <v>0</v>
      </c>
      <c r="P651" s="12" t="b">
        <v>0</v>
      </c>
      <c r="Q651" s="12" t="b">
        <v>0</v>
      </c>
      <c r="R651" s="12" t="b">
        <v>0</v>
      </c>
      <c r="S651" s="12" t="b">
        <v>0</v>
      </c>
      <c r="T651" s="12" t="b">
        <v>1</v>
      </c>
      <c r="U651" s="12" t="b">
        <v>0</v>
      </c>
      <c r="V651" s="12" t="b">
        <v>1</v>
      </c>
      <c r="W651" s="12" t="b">
        <v>0</v>
      </c>
      <c r="X651" s="12">
        <v>1</v>
      </c>
      <c r="Y651" s="12" t="b">
        <v>0</v>
      </c>
      <c r="Z651" s="12" t="b">
        <v>0</v>
      </c>
      <c r="AA651" s="12" t="b">
        <v>0</v>
      </c>
      <c r="AB651" s="12" t="b">
        <v>0</v>
      </c>
      <c r="AC651" s="12" t="b">
        <v>0</v>
      </c>
      <c r="AD651" s="12" t="b">
        <v>1</v>
      </c>
      <c r="AE651" s="12" t="b">
        <v>0</v>
      </c>
      <c r="AF651" s="12" t="b">
        <v>1</v>
      </c>
      <c r="AG651" s="12" t="b">
        <v>0</v>
      </c>
      <c r="AH651" s="12">
        <v>1</v>
      </c>
      <c r="AI651" s="12" t="b">
        <v>0</v>
      </c>
      <c r="AJ651" s="12" t="b">
        <v>0</v>
      </c>
      <c r="AK651" s="12" t="b">
        <v>1</v>
      </c>
      <c r="AL651" s="12">
        <v>0</v>
      </c>
      <c r="AM651" s="12" t="s">
        <v>922</v>
      </c>
      <c r="AN651" s="12">
        <v>0</v>
      </c>
    </row>
    <row r="652" spans="1:40" x14ac:dyDescent="0.3">
      <c r="A652" s="62" t="s">
        <v>860</v>
      </c>
      <c r="B652" s="62"/>
      <c r="C652" s="63"/>
      <c r="D652" s="63"/>
      <c r="E652" s="12" t="s">
        <v>1264</v>
      </c>
      <c r="F652" s="12" t="s">
        <v>1265</v>
      </c>
      <c r="G652" s="12" t="b">
        <v>0</v>
      </c>
      <c r="H652" s="12" t="b">
        <v>0</v>
      </c>
      <c r="I652" s="12" t="b">
        <v>0</v>
      </c>
      <c r="J652" s="12" t="b">
        <v>1</v>
      </c>
      <c r="K652" s="12" t="b">
        <v>0</v>
      </c>
      <c r="L652" s="12" t="b">
        <v>1</v>
      </c>
      <c r="M652" s="12" t="b">
        <v>0</v>
      </c>
      <c r="N652" s="12">
        <v>0</v>
      </c>
      <c r="O652" s="12" t="b">
        <v>0</v>
      </c>
      <c r="P652" s="12" t="b">
        <v>0</v>
      </c>
      <c r="Q652" s="12" t="b">
        <v>0</v>
      </c>
      <c r="R652" s="12" t="b">
        <v>0</v>
      </c>
      <c r="S652" s="12" t="b">
        <v>0</v>
      </c>
      <c r="T652" s="12" t="b">
        <v>1</v>
      </c>
      <c r="U652" s="12" t="b">
        <v>0</v>
      </c>
      <c r="V652" s="12" t="b">
        <v>1</v>
      </c>
      <c r="W652" s="12" t="b">
        <v>0</v>
      </c>
      <c r="X652" s="12">
        <v>1</v>
      </c>
      <c r="Y652" s="12" t="b">
        <v>0</v>
      </c>
      <c r="Z652" s="12" t="b">
        <v>0</v>
      </c>
      <c r="AA652" s="12" t="b">
        <v>0</v>
      </c>
      <c r="AB652" s="12" t="b">
        <v>0</v>
      </c>
      <c r="AC652" s="12" t="b">
        <v>0</v>
      </c>
      <c r="AD652" s="12" t="b">
        <v>1</v>
      </c>
      <c r="AE652" s="12" t="b">
        <v>0</v>
      </c>
      <c r="AF652" s="12" t="b">
        <v>1</v>
      </c>
      <c r="AG652" s="12" t="b">
        <v>0</v>
      </c>
      <c r="AH652" s="12">
        <v>1</v>
      </c>
      <c r="AI652" s="12" t="b">
        <v>0</v>
      </c>
      <c r="AJ652" s="12" t="b">
        <v>0</v>
      </c>
      <c r="AK652" s="12" t="b">
        <v>1</v>
      </c>
      <c r="AL652" s="12">
        <v>0</v>
      </c>
      <c r="AM652" s="12" t="s">
        <v>922</v>
      </c>
      <c r="AN652" s="12">
        <v>0</v>
      </c>
    </row>
    <row r="653" spans="1:40" x14ac:dyDescent="0.3">
      <c r="A653" s="62" t="s">
        <v>860</v>
      </c>
      <c r="B653" s="62"/>
      <c r="C653" s="63"/>
      <c r="D653" s="63"/>
      <c r="E653" s="12" t="s">
        <v>1266</v>
      </c>
      <c r="F653" s="12" t="s">
        <v>1267</v>
      </c>
      <c r="G653" s="12" t="b">
        <v>0</v>
      </c>
      <c r="H653" s="12" t="b">
        <v>0</v>
      </c>
      <c r="I653" s="12" t="b">
        <v>0</v>
      </c>
      <c r="J653" s="12" t="b">
        <v>1</v>
      </c>
      <c r="K653" s="12" t="b">
        <v>0</v>
      </c>
      <c r="L653" s="12" t="b">
        <v>1</v>
      </c>
      <c r="M653" s="12" t="b">
        <v>0</v>
      </c>
      <c r="N653" s="12">
        <v>0</v>
      </c>
      <c r="O653" s="12" t="b">
        <v>0</v>
      </c>
      <c r="P653" s="12" t="b">
        <v>0</v>
      </c>
      <c r="Q653" s="12" t="b">
        <v>0</v>
      </c>
      <c r="R653" s="12" t="b">
        <v>0</v>
      </c>
      <c r="S653" s="12" t="b">
        <v>0</v>
      </c>
      <c r="T653" s="12" t="b">
        <v>1</v>
      </c>
      <c r="U653" s="12" t="b">
        <v>0</v>
      </c>
      <c r="V653" s="12" t="b">
        <v>1</v>
      </c>
      <c r="W653" s="12" t="b">
        <v>0</v>
      </c>
      <c r="X653" s="12">
        <v>1</v>
      </c>
      <c r="Y653" s="12" t="b">
        <v>0</v>
      </c>
      <c r="Z653" s="12" t="b">
        <v>0</v>
      </c>
      <c r="AA653" s="12" t="b">
        <v>0</v>
      </c>
      <c r="AB653" s="12" t="b">
        <v>0</v>
      </c>
      <c r="AC653" s="12" t="b">
        <v>0</v>
      </c>
      <c r="AD653" s="12" t="b">
        <v>1</v>
      </c>
      <c r="AE653" s="12" t="b">
        <v>0</v>
      </c>
      <c r="AF653" s="12" t="b">
        <v>1</v>
      </c>
      <c r="AG653" s="12" t="b">
        <v>0</v>
      </c>
      <c r="AH653" s="12">
        <v>1</v>
      </c>
      <c r="AI653" s="12" t="b">
        <v>0</v>
      </c>
      <c r="AJ653" s="12" t="b">
        <v>0</v>
      </c>
      <c r="AK653" s="12" t="b">
        <v>1</v>
      </c>
      <c r="AL653" s="12">
        <v>0</v>
      </c>
      <c r="AM653" s="12" t="s">
        <v>922</v>
      </c>
      <c r="AN653" s="12">
        <v>0</v>
      </c>
    </row>
    <row r="654" spans="1:40" x14ac:dyDescent="0.3">
      <c r="A654" s="62" t="s">
        <v>860</v>
      </c>
      <c r="B654" s="62"/>
      <c r="C654" s="63"/>
      <c r="D654" s="63"/>
      <c r="E654" s="12" t="s">
        <v>1268</v>
      </c>
      <c r="F654" s="12" t="s">
        <v>1269</v>
      </c>
      <c r="G654" s="12" t="b">
        <v>0</v>
      </c>
      <c r="H654" s="12" t="b">
        <v>0</v>
      </c>
      <c r="I654" s="12" t="b">
        <v>0</v>
      </c>
      <c r="J654" s="12" t="b">
        <v>1</v>
      </c>
      <c r="K654" s="12" t="b">
        <v>0</v>
      </c>
      <c r="L654" s="12" t="b">
        <v>1</v>
      </c>
      <c r="M654" s="12" t="b">
        <v>0</v>
      </c>
      <c r="N654" s="12">
        <v>0</v>
      </c>
      <c r="O654" s="12" t="b">
        <v>0</v>
      </c>
      <c r="P654" s="12" t="b">
        <v>0</v>
      </c>
      <c r="Q654" s="12" t="b">
        <v>0</v>
      </c>
      <c r="R654" s="12" t="b">
        <v>0</v>
      </c>
      <c r="S654" s="12" t="b">
        <v>0</v>
      </c>
      <c r="T654" s="12" t="b">
        <v>1</v>
      </c>
      <c r="U654" s="12" t="b">
        <v>0</v>
      </c>
      <c r="V654" s="12" t="b">
        <v>1</v>
      </c>
      <c r="W654" s="12" t="b">
        <v>0</v>
      </c>
      <c r="X654" s="12">
        <v>1</v>
      </c>
      <c r="Y654" s="12" t="b">
        <v>0</v>
      </c>
      <c r="Z654" s="12" t="b">
        <v>0</v>
      </c>
      <c r="AA654" s="12" t="b">
        <v>0</v>
      </c>
      <c r="AB654" s="12" t="b">
        <v>0</v>
      </c>
      <c r="AC654" s="12" t="b">
        <v>0</v>
      </c>
      <c r="AD654" s="12" t="b">
        <v>1</v>
      </c>
      <c r="AE654" s="12" t="b">
        <v>0</v>
      </c>
      <c r="AF654" s="12" t="b">
        <v>1</v>
      </c>
      <c r="AG654" s="12" t="b">
        <v>0</v>
      </c>
      <c r="AH654" s="12">
        <v>1</v>
      </c>
      <c r="AI654" s="12" t="b">
        <v>0</v>
      </c>
      <c r="AJ654" s="12" t="b">
        <v>0</v>
      </c>
      <c r="AK654" s="12" t="b">
        <v>1</v>
      </c>
      <c r="AL654" s="12">
        <v>0</v>
      </c>
      <c r="AM654" s="12" t="s">
        <v>922</v>
      </c>
      <c r="AN654" s="12">
        <v>0</v>
      </c>
    </row>
    <row r="655" spans="1:40" x14ac:dyDescent="0.3">
      <c r="A655" s="62" t="s">
        <v>860</v>
      </c>
      <c r="B655" s="62"/>
      <c r="C655" s="63"/>
      <c r="D655" s="63"/>
      <c r="E655" s="12" t="s">
        <v>1270</v>
      </c>
      <c r="F655" s="12" t="s">
        <v>1271</v>
      </c>
      <c r="G655" s="12" t="b">
        <v>0</v>
      </c>
      <c r="H655" s="12" t="b">
        <v>0</v>
      </c>
      <c r="I655" s="12" t="b">
        <v>0</v>
      </c>
      <c r="J655" s="12" t="b">
        <v>1</v>
      </c>
      <c r="K655" s="12" t="b">
        <v>0</v>
      </c>
      <c r="L655" s="12" t="b">
        <v>1</v>
      </c>
      <c r="M655" s="12" t="b">
        <v>0</v>
      </c>
      <c r="N655" s="12">
        <v>0</v>
      </c>
      <c r="O655" s="12" t="b">
        <v>0</v>
      </c>
      <c r="P655" s="12" t="b">
        <v>0</v>
      </c>
      <c r="Q655" s="12" t="b">
        <v>0</v>
      </c>
      <c r="R655" s="12" t="b">
        <v>0</v>
      </c>
      <c r="S655" s="12" t="b">
        <v>0</v>
      </c>
      <c r="T655" s="12" t="b">
        <v>1</v>
      </c>
      <c r="U655" s="12" t="b">
        <v>0</v>
      </c>
      <c r="V655" s="12" t="b">
        <v>1</v>
      </c>
      <c r="W655" s="12" t="b">
        <v>0</v>
      </c>
      <c r="X655" s="12">
        <v>1</v>
      </c>
      <c r="Y655" s="12" t="b">
        <v>0</v>
      </c>
      <c r="Z655" s="12" t="b">
        <v>0</v>
      </c>
      <c r="AA655" s="12" t="b">
        <v>0</v>
      </c>
      <c r="AB655" s="12" t="b">
        <v>0</v>
      </c>
      <c r="AC655" s="12" t="b">
        <v>0</v>
      </c>
      <c r="AD655" s="12" t="b">
        <v>1</v>
      </c>
      <c r="AE655" s="12" t="b">
        <v>0</v>
      </c>
      <c r="AF655" s="12" t="b">
        <v>1</v>
      </c>
      <c r="AG655" s="12" t="b">
        <v>0</v>
      </c>
      <c r="AH655" s="12">
        <v>1</v>
      </c>
      <c r="AI655" s="12" t="b">
        <v>0</v>
      </c>
      <c r="AJ655" s="12" t="b">
        <v>0</v>
      </c>
      <c r="AK655" s="12" t="b">
        <v>1</v>
      </c>
      <c r="AL655" s="12">
        <v>0</v>
      </c>
      <c r="AM655" s="12" t="s">
        <v>922</v>
      </c>
      <c r="AN655" s="12">
        <v>0</v>
      </c>
    </row>
    <row r="656" spans="1:40" x14ac:dyDescent="0.3">
      <c r="A656" s="62" t="s">
        <v>860</v>
      </c>
      <c r="B656" s="62"/>
      <c r="C656" s="63"/>
      <c r="D656" s="63"/>
      <c r="E656" s="12" t="s">
        <v>1272</v>
      </c>
      <c r="F656" s="12" t="s">
        <v>1273</v>
      </c>
      <c r="G656" s="12" t="b">
        <v>0</v>
      </c>
      <c r="H656" s="12" t="b">
        <v>0</v>
      </c>
      <c r="I656" s="12" t="b">
        <v>0</v>
      </c>
      <c r="J656" s="12" t="b">
        <v>1</v>
      </c>
      <c r="K656" s="12" t="b">
        <v>0</v>
      </c>
      <c r="L656" s="12" t="b">
        <v>1</v>
      </c>
      <c r="M656" s="12" t="b">
        <v>0</v>
      </c>
      <c r="N656" s="12">
        <v>0</v>
      </c>
      <c r="O656" s="12" t="b">
        <v>0</v>
      </c>
      <c r="P656" s="12" t="b">
        <v>0</v>
      </c>
      <c r="Q656" s="12" t="b">
        <v>0</v>
      </c>
      <c r="R656" s="12" t="b">
        <v>0</v>
      </c>
      <c r="S656" s="12" t="b">
        <v>0</v>
      </c>
      <c r="T656" s="12" t="b">
        <v>1</v>
      </c>
      <c r="U656" s="12" t="b">
        <v>0</v>
      </c>
      <c r="V656" s="12" t="b">
        <v>1</v>
      </c>
      <c r="W656" s="12" t="b">
        <v>0</v>
      </c>
      <c r="X656" s="12">
        <v>1</v>
      </c>
      <c r="Y656" s="12" t="b">
        <v>0</v>
      </c>
      <c r="Z656" s="12" t="b">
        <v>0</v>
      </c>
      <c r="AA656" s="12" t="b">
        <v>0</v>
      </c>
      <c r="AB656" s="12" t="b">
        <v>0</v>
      </c>
      <c r="AC656" s="12" t="b">
        <v>0</v>
      </c>
      <c r="AD656" s="12" t="b">
        <v>1</v>
      </c>
      <c r="AE656" s="12" t="b">
        <v>0</v>
      </c>
      <c r="AF656" s="12" t="b">
        <v>1</v>
      </c>
      <c r="AG656" s="12" t="b">
        <v>0</v>
      </c>
      <c r="AH656" s="12">
        <v>1</v>
      </c>
      <c r="AI656" s="12" t="b">
        <v>0</v>
      </c>
      <c r="AJ656" s="12" t="b">
        <v>0</v>
      </c>
      <c r="AK656" s="12" t="b">
        <v>1</v>
      </c>
      <c r="AL656" s="12">
        <v>0</v>
      </c>
      <c r="AM656" s="12" t="s">
        <v>922</v>
      </c>
      <c r="AN656" s="12">
        <v>0</v>
      </c>
    </row>
    <row r="657" spans="1:40" x14ac:dyDescent="0.3">
      <c r="A657" s="62" t="s">
        <v>860</v>
      </c>
      <c r="B657" s="62"/>
      <c r="C657" s="63"/>
      <c r="D657" s="63"/>
      <c r="E657" s="12" t="s">
        <v>1274</v>
      </c>
      <c r="F657" s="12" t="s">
        <v>1275</v>
      </c>
      <c r="G657" s="12" t="b">
        <v>0</v>
      </c>
      <c r="H657" s="12" t="b">
        <v>0</v>
      </c>
      <c r="I657" s="12" t="b">
        <v>0</v>
      </c>
      <c r="J657" s="12" t="b">
        <v>1</v>
      </c>
      <c r="K657" s="12" t="b">
        <v>0</v>
      </c>
      <c r="L657" s="12" t="b">
        <v>1</v>
      </c>
      <c r="M657" s="12" t="b">
        <v>0</v>
      </c>
      <c r="N657" s="12">
        <v>0</v>
      </c>
      <c r="O657" s="12" t="b">
        <v>0</v>
      </c>
      <c r="P657" s="12" t="b">
        <v>0</v>
      </c>
      <c r="Q657" s="12" t="b">
        <v>0</v>
      </c>
      <c r="R657" s="12" t="b">
        <v>0</v>
      </c>
      <c r="S657" s="12" t="b">
        <v>0</v>
      </c>
      <c r="T657" s="12" t="b">
        <v>1</v>
      </c>
      <c r="U657" s="12" t="b">
        <v>0</v>
      </c>
      <c r="V657" s="12" t="b">
        <v>1</v>
      </c>
      <c r="W657" s="12" t="b">
        <v>0</v>
      </c>
      <c r="X657" s="12">
        <v>1</v>
      </c>
      <c r="Y657" s="12" t="b">
        <v>0</v>
      </c>
      <c r="Z657" s="12" t="b">
        <v>0</v>
      </c>
      <c r="AA657" s="12" t="b">
        <v>0</v>
      </c>
      <c r="AB657" s="12" t="b">
        <v>0</v>
      </c>
      <c r="AC657" s="12" t="b">
        <v>0</v>
      </c>
      <c r="AD657" s="12" t="b">
        <v>1</v>
      </c>
      <c r="AE657" s="12" t="b">
        <v>0</v>
      </c>
      <c r="AF657" s="12" t="b">
        <v>1</v>
      </c>
      <c r="AG657" s="12" t="b">
        <v>0</v>
      </c>
      <c r="AH657" s="12">
        <v>1</v>
      </c>
      <c r="AI657" s="12" t="b">
        <v>0</v>
      </c>
      <c r="AJ657" s="12" t="b">
        <v>0</v>
      </c>
      <c r="AK657" s="12" t="b">
        <v>1</v>
      </c>
      <c r="AL657" s="12">
        <v>0</v>
      </c>
      <c r="AM657" s="12" t="s">
        <v>922</v>
      </c>
      <c r="AN657" s="12">
        <v>0</v>
      </c>
    </row>
    <row r="658" spans="1:40" x14ac:dyDescent="0.3">
      <c r="A658" s="62" t="s">
        <v>860</v>
      </c>
      <c r="B658" s="62"/>
      <c r="C658" s="63"/>
      <c r="D658" s="63"/>
      <c r="E658" s="12" t="s">
        <v>1276</v>
      </c>
      <c r="F658" s="12" t="s">
        <v>1277</v>
      </c>
      <c r="G658" s="12" t="b">
        <v>0</v>
      </c>
      <c r="H658" s="12" t="b">
        <v>0</v>
      </c>
      <c r="I658" s="12" t="b">
        <v>0</v>
      </c>
      <c r="J658" s="12" t="b">
        <v>1</v>
      </c>
      <c r="K658" s="12" t="b">
        <v>0</v>
      </c>
      <c r="L658" s="12" t="b">
        <v>1</v>
      </c>
      <c r="M658" s="12" t="b">
        <v>0</v>
      </c>
      <c r="N658" s="12">
        <v>0</v>
      </c>
      <c r="O658" s="12" t="b">
        <v>0</v>
      </c>
      <c r="P658" s="12" t="b">
        <v>0</v>
      </c>
      <c r="Q658" s="12" t="b">
        <v>0</v>
      </c>
      <c r="R658" s="12" t="b">
        <v>0</v>
      </c>
      <c r="S658" s="12" t="b">
        <v>0</v>
      </c>
      <c r="T658" s="12" t="b">
        <v>1</v>
      </c>
      <c r="U658" s="12" t="b">
        <v>0</v>
      </c>
      <c r="V658" s="12" t="b">
        <v>1</v>
      </c>
      <c r="W658" s="12" t="b">
        <v>0</v>
      </c>
      <c r="X658" s="12">
        <v>1</v>
      </c>
      <c r="Y658" s="12" t="b">
        <v>0</v>
      </c>
      <c r="Z658" s="12" t="b">
        <v>0</v>
      </c>
      <c r="AA658" s="12" t="b">
        <v>0</v>
      </c>
      <c r="AB658" s="12" t="b">
        <v>0</v>
      </c>
      <c r="AC658" s="12" t="b">
        <v>0</v>
      </c>
      <c r="AD658" s="12" t="b">
        <v>1</v>
      </c>
      <c r="AE658" s="12" t="b">
        <v>0</v>
      </c>
      <c r="AF658" s="12" t="b">
        <v>1</v>
      </c>
      <c r="AG658" s="12" t="b">
        <v>0</v>
      </c>
      <c r="AH658" s="12">
        <v>1</v>
      </c>
      <c r="AI658" s="12" t="b">
        <v>0</v>
      </c>
      <c r="AJ658" s="12" t="b">
        <v>0</v>
      </c>
      <c r="AK658" s="12" t="b">
        <v>1</v>
      </c>
      <c r="AL658" s="12">
        <v>0</v>
      </c>
      <c r="AM658" s="12" t="s">
        <v>922</v>
      </c>
      <c r="AN658" s="12">
        <v>0</v>
      </c>
    </row>
    <row r="659" spans="1:40" x14ac:dyDescent="0.3">
      <c r="A659" s="62" t="s">
        <v>860</v>
      </c>
      <c r="B659" s="62"/>
      <c r="C659" s="63"/>
      <c r="D659" s="63"/>
      <c r="E659" s="12" t="s">
        <v>1278</v>
      </c>
      <c r="F659" s="12" t="s">
        <v>1279</v>
      </c>
      <c r="G659" s="12" t="b">
        <v>0</v>
      </c>
      <c r="H659" s="12" t="b">
        <v>0</v>
      </c>
      <c r="I659" s="12" t="b">
        <v>0</v>
      </c>
      <c r="J659" s="12" t="b">
        <v>1</v>
      </c>
      <c r="K659" s="12" t="b">
        <v>0</v>
      </c>
      <c r="L659" s="12" t="b">
        <v>1</v>
      </c>
      <c r="M659" s="12" t="b">
        <v>0</v>
      </c>
      <c r="N659" s="12">
        <v>0</v>
      </c>
      <c r="O659" s="12" t="b">
        <v>0</v>
      </c>
      <c r="P659" s="12" t="b">
        <v>0</v>
      </c>
      <c r="Q659" s="12" t="b">
        <v>0</v>
      </c>
      <c r="R659" s="12" t="b">
        <v>0</v>
      </c>
      <c r="S659" s="12" t="b">
        <v>0</v>
      </c>
      <c r="T659" s="12" t="b">
        <v>1</v>
      </c>
      <c r="U659" s="12" t="b">
        <v>0</v>
      </c>
      <c r="V659" s="12" t="b">
        <v>1</v>
      </c>
      <c r="W659" s="12" t="b">
        <v>0</v>
      </c>
      <c r="X659" s="12">
        <v>1</v>
      </c>
      <c r="Y659" s="12" t="b">
        <v>0</v>
      </c>
      <c r="Z659" s="12" t="b">
        <v>0</v>
      </c>
      <c r="AA659" s="12" t="b">
        <v>0</v>
      </c>
      <c r="AB659" s="12" t="b">
        <v>0</v>
      </c>
      <c r="AC659" s="12" t="b">
        <v>0</v>
      </c>
      <c r="AD659" s="12" t="b">
        <v>1</v>
      </c>
      <c r="AE659" s="12" t="b">
        <v>0</v>
      </c>
      <c r="AF659" s="12" t="b">
        <v>1</v>
      </c>
      <c r="AG659" s="12" t="b">
        <v>0</v>
      </c>
      <c r="AH659" s="12">
        <v>1</v>
      </c>
      <c r="AI659" s="12" t="b">
        <v>0</v>
      </c>
      <c r="AJ659" s="12" t="b">
        <v>0</v>
      </c>
      <c r="AK659" s="12" t="b">
        <v>1</v>
      </c>
      <c r="AL659" s="12">
        <v>0</v>
      </c>
      <c r="AM659" s="12" t="s">
        <v>922</v>
      </c>
      <c r="AN659" s="12">
        <v>0</v>
      </c>
    </row>
    <row r="660" spans="1:40" x14ac:dyDescent="0.3">
      <c r="A660" s="62" t="s">
        <v>860</v>
      </c>
      <c r="B660" s="62"/>
      <c r="C660" s="63"/>
      <c r="D660" s="63"/>
      <c r="E660" s="12" t="s">
        <v>1280</v>
      </c>
      <c r="F660" s="12" t="s">
        <v>1281</v>
      </c>
      <c r="G660" s="12" t="b">
        <v>0</v>
      </c>
      <c r="H660" s="12" t="b">
        <v>0</v>
      </c>
      <c r="I660" s="12" t="b">
        <v>0</v>
      </c>
      <c r="J660" s="12" t="b">
        <v>1</v>
      </c>
      <c r="K660" s="12" t="b">
        <v>0</v>
      </c>
      <c r="L660" s="12" t="b">
        <v>1</v>
      </c>
      <c r="M660" s="12" t="b">
        <v>0</v>
      </c>
      <c r="N660" s="12">
        <v>0</v>
      </c>
      <c r="O660" s="12" t="b">
        <v>0</v>
      </c>
      <c r="P660" s="12" t="b">
        <v>0</v>
      </c>
      <c r="Q660" s="12" t="b">
        <v>0</v>
      </c>
      <c r="R660" s="12" t="b">
        <v>0</v>
      </c>
      <c r="S660" s="12" t="b">
        <v>0</v>
      </c>
      <c r="T660" s="12" t="b">
        <v>1</v>
      </c>
      <c r="U660" s="12" t="b">
        <v>0</v>
      </c>
      <c r="V660" s="12" t="b">
        <v>1</v>
      </c>
      <c r="W660" s="12" t="b">
        <v>0</v>
      </c>
      <c r="X660" s="12">
        <v>1</v>
      </c>
      <c r="Y660" s="12" t="b">
        <v>0</v>
      </c>
      <c r="Z660" s="12" t="b">
        <v>0</v>
      </c>
      <c r="AA660" s="12" t="b">
        <v>0</v>
      </c>
      <c r="AB660" s="12" t="b">
        <v>0</v>
      </c>
      <c r="AC660" s="12" t="b">
        <v>0</v>
      </c>
      <c r="AD660" s="12" t="b">
        <v>1</v>
      </c>
      <c r="AE660" s="12" t="b">
        <v>0</v>
      </c>
      <c r="AF660" s="12" t="b">
        <v>1</v>
      </c>
      <c r="AG660" s="12" t="b">
        <v>0</v>
      </c>
      <c r="AH660" s="12">
        <v>1</v>
      </c>
      <c r="AI660" s="12" t="b">
        <v>0</v>
      </c>
      <c r="AJ660" s="12" t="b">
        <v>0</v>
      </c>
      <c r="AK660" s="12" t="b">
        <v>1</v>
      </c>
      <c r="AL660" s="12">
        <v>0</v>
      </c>
      <c r="AM660" s="12" t="s">
        <v>922</v>
      </c>
      <c r="AN660" s="12">
        <v>0</v>
      </c>
    </row>
    <row r="661" spans="1:40" x14ac:dyDescent="0.3">
      <c r="A661" s="62" t="s">
        <v>860</v>
      </c>
      <c r="B661" s="62"/>
      <c r="C661" s="63"/>
      <c r="D661" s="63"/>
      <c r="E661" s="12" t="s">
        <v>1282</v>
      </c>
      <c r="F661" s="12" t="s">
        <v>1283</v>
      </c>
      <c r="G661" s="12" t="b">
        <v>0</v>
      </c>
      <c r="H661" s="12" t="b">
        <v>0</v>
      </c>
      <c r="I661" s="12" t="b">
        <v>0</v>
      </c>
      <c r="J661" s="12" t="b">
        <v>1</v>
      </c>
      <c r="K661" s="12" t="b">
        <v>0</v>
      </c>
      <c r="L661" s="12" t="b">
        <v>1</v>
      </c>
      <c r="M661" s="12" t="b">
        <v>0</v>
      </c>
      <c r="N661" s="12">
        <v>0</v>
      </c>
      <c r="O661" s="12" t="b">
        <v>0</v>
      </c>
      <c r="P661" s="12" t="b">
        <v>0</v>
      </c>
      <c r="Q661" s="12" t="b">
        <v>0</v>
      </c>
      <c r="R661" s="12" t="b">
        <v>0</v>
      </c>
      <c r="S661" s="12" t="b">
        <v>0</v>
      </c>
      <c r="T661" s="12" t="b">
        <v>1</v>
      </c>
      <c r="U661" s="12" t="b">
        <v>0</v>
      </c>
      <c r="V661" s="12" t="b">
        <v>1</v>
      </c>
      <c r="W661" s="12" t="b">
        <v>0</v>
      </c>
      <c r="X661" s="12">
        <v>1</v>
      </c>
      <c r="Y661" s="12" t="b">
        <v>0</v>
      </c>
      <c r="Z661" s="12" t="b">
        <v>0</v>
      </c>
      <c r="AA661" s="12" t="b">
        <v>0</v>
      </c>
      <c r="AB661" s="12" t="b">
        <v>0</v>
      </c>
      <c r="AC661" s="12" t="b">
        <v>0</v>
      </c>
      <c r="AD661" s="12" t="b">
        <v>1</v>
      </c>
      <c r="AE661" s="12" t="b">
        <v>0</v>
      </c>
      <c r="AF661" s="12" t="b">
        <v>1</v>
      </c>
      <c r="AG661" s="12" t="b">
        <v>0</v>
      </c>
      <c r="AH661" s="12">
        <v>1</v>
      </c>
      <c r="AI661" s="12" t="b">
        <v>0</v>
      </c>
      <c r="AJ661" s="12" t="b">
        <v>0</v>
      </c>
      <c r="AK661" s="12" t="b">
        <v>1</v>
      </c>
      <c r="AL661" s="12">
        <v>0</v>
      </c>
      <c r="AM661" s="12" t="s">
        <v>922</v>
      </c>
      <c r="AN661" s="12">
        <v>0</v>
      </c>
    </row>
    <row r="662" spans="1:40" x14ac:dyDescent="0.3">
      <c r="A662" s="62" t="s">
        <v>860</v>
      </c>
      <c r="B662" s="62"/>
      <c r="C662" s="63"/>
      <c r="D662" s="63"/>
      <c r="E662" s="12" t="s">
        <v>1284</v>
      </c>
      <c r="F662" s="12" t="s">
        <v>1285</v>
      </c>
      <c r="G662" s="12" t="b">
        <v>0</v>
      </c>
      <c r="H662" s="12" t="b">
        <v>1</v>
      </c>
      <c r="I662" s="12" t="b">
        <v>1</v>
      </c>
      <c r="J662" s="12" t="b">
        <v>1</v>
      </c>
      <c r="K662" s="12" t="b">
        <v>0</v>
      </c>
      <c r="L662" s="12" t="b">
        <v>0</v>
      </c>
      <c r="M662" s="12" t="b">
        <v>0</v>
      </c>
      <c r="N662" s="12">
        <v>0</v>
      </c>
      <c r="O662" s="12" t="b">
        <v>0</v>
      </c>
      <c r="P662" s="12" t="b">
        <v>0</v>
      </c>
      <c r="Q662" s="12" t="b">
        <v>0</v>
      </c>
      <c r="R662" s="12" t="b">
        <v>0</v>
      </c>
      <c r="S662" s="12" t="b">
        <v>0</v>
      </c>
      <c r="T662" s="12" t="b">
        <v>1</v>
      </c>
      <c r="U662" s="12" t="b">
        <v>0</v>
      </c>
      <c r="V662" s="12" t="b">
        <v>1</v>
      </c>
      <c r="W662" s="12" t="b">
        <v>0</v>
      </c>
      <c r="X662" s="12">
        <v>1</v>
      </c>
      <c r="Y662" s="12" t="b">
        <v>0</v>
      </c>
      <c r="Z662" s="12" t="b">
        <v>0</v>
      </c>
      <c r="AA662" s="12" t="b">
        <v>1</v>
      </c>
      <c r="AB662" s="12" t="b">
        <v>1</v>
      </c>
      <c r="AC662" s="12" t="b">
        <v>1</v>
      </c>
      <c r="AD662" s="12" t="b">
        <v>1</v>
      </c>
      <c r="AE662" s="12" t="b">
        <v>0</v>
      </c>
      <c r="AF662" s="12" t="b">
        <v>0</v>
      </c>
      <c r="AG662" s="12" t="b">
        <v>0</v>
      </c>
      <c r="AH662" s="12">
        <v>0</v>
      </c>
      <c r="AI662" s="12" t="b">
        <v>0</v>
      </c>
      <c r="AJ662" s="12" t="b">
        <v>0</v>
      </c>
      <c r="AK662" s="12" t="b">
        <v>1</v>
      </c>
      <c r="AL662" s="12">
        <v>0</v>
      </c>
      <c r="AM662" s="12" t="s">
        <v>900</v>
      </c>
      <c r="AN662" s="12">
        <v>0</v>
      </c>
    </row>
    <row r="663" spans="1:40" x14ac:dyDescent="0.3">
      <c r="A663" s="62" t="s">
        <v>860</v>
      </c>
      <c r="B663" s="62"/>
      <c r="C663" s="63"/>
      <c r="D663" s="63"/>
      <c r="E663" s="12" t="s">
        <v>1286</v>
      </c>
      <c r="F663" s="12" t="s">
        <v>1287</v>
      </c>
      <c r="G663" s="12" t="b">
        <v>0</v>
      </c>
      <c r="H663" s="12" t="b">
        <v>1</v>
      </c>
      <c r="I663" s="12" t="b">
        <v>1</v>
      </c>
      <c r="J663" s="12" t="b">
        <v>1</v>
      </c>
      <c r="K663" s="12" t="b">
        <v>0</v>
      </c>
      <c r="L663" s="12" t="b">
        <v>0</v>
      </c>
      <c r="M663" s="12" t="b">
        <v>0</v>
      </c>
      <c r="N663" s="12">
        <v>0</v>
      </c>
      <c r="O663" s="12" t="b">
        <v>0</v>
      </c>
      <c r="P663" s="12" t="b">
        <v>0</v>
      </c>
      <c r="Q663" s="12" t="b">
        <v>0</v>
      </c>
      <c r="R663" s="12" t="b">
        <v>0</v>
      </c>
      <c r="S663" s="12" t="b">
        <v>0</v>
      </c>
      <c r="T663" s="12" t="b">
        <v>1</v>
      </c>
      <c r="U663" s="12" t="b">
        <v>0</v>
      </c>
      <c r="V663" s="12" t="b">
        <v>1</v>
      </c>
      <c r="W663" s="12" t="b">
        <v>0</v>
      </c>
      <c r="X663" s="12">
        <v>1</v>
      </c>
      <c r="Y663" s="12" t="b">
        <v>0</v>
      </c>
      <c r="Z663" s="12" t="b">
        <v>0</v>
      </c>
      <c r="AA663" s="12" t="b">
        <v>1</v>
      </c>
      <c r="AB663" s="12" t="b">
        <v>1</v>
      </c>
      <c r="AC663" s="12" t="b">
        <v>1</v>
      </c>
      <c r="AD663" s="12" t="b">
        <v>1</v>
      </c>
      <c r="AE663" s="12" t="b">
        <v>0</v>
      </c>
      <c r="AF663" s="12" t="b">
        <v>0</v>
      </c>
      <c r="AG663" s="12" t="b">
        <v>0</v>
      </c>
      <c r="AH663" s="12">
        <v>0</v>
      </c>
      <c r="AI663" s="12" t="b">
        <v>0</v>
      </c>
      <c r="AJ663" s="12" t="b">
        <v>0</v>
      </c>
      <c r="AK663" s="12" t="b">
        <v>1</v>
      </c>
      <c r="AL663" s="12">
        <v>0</v>
      </c>
      <c r="AM663" s="12" t="s">
        <v>900</v>
      </c>
      <c r="AN663" s="12">
        <v>0</v>
      </c>
    </row>
    <row r="664" spans="1:40" x14ac:dyDescent="0.3">
      <c r="A664" s="62" t="s">
        <v>860</v>
      </c>
      <c r="B664" s="62"/>
      <c r="C664" s="63"/>
      <c r="D664" s="63"/>
      <c r="E664" s="12" t="s">
        <v>1587</v>
      </c>
      <c r="F664" s="12" t="s">
        <v>1588</v>
      </c>
      <c r="G664" s="12" t="b">
        <v>0</v>
      </c>
      <c r="H664" s="12" t="b">
        <v>1</v>
      </c>
      <c r="I664" s="12" t="b">
        <v>1</v>
      </c>
      <c r="J664" s="12" t="b">
        <v>1</v>
      </c>
      <c r="K664" s="12" t="b">
        <v>0</v>
      </c>
      <c r="L664" s="12" t="b">
        <v>0</v>
      </c>
      <c r="M664" s="12" t="b">
        <v>0</v>
      </c>
      <c r="N664" s="12">
        <v>0</v>
      </c>
      <c r="O664" s="12" t="b">
        <v>0</v>
      </c>
      <c r="P664" s="12" t="b">
        <v>0</v>
      </c>
      <c r="Q664" s="12" t="b">
        <v>0</v>
      </c>
      <c r="R664" s="12" t="b">
        <v>0</v>
      </c>
      <c r="S664" s="12" t="b">
        <v>0</v>
      </c>
      <c r="T664" s="12" t="b">
        <v>1</v>
      </c>
      <c r="U664" s="12" t="b">
        <v>0</v>
      </c>
      <c r="V664" s="12" t="b">
        <v>1</v>
      </c>
      <c r="W664" s="12" t="b">
        <v>0</v>
      </c>
      <c r="X664" s="12">
        <v>1</v>
      </c>
      <c r="Y664" s="12" t="b">
        <v>0</v>
      </c>
      <c r="Z664" s="12" t="b">
        <v>0</v>
      </c>
      <c r="AA664" s="12" t="b">
        <v>1</v>
      </c>
      <c r="AB664" s="12" t="b">
        <v>1</v>
      </c>
      <c r="AC664" s="12" t="b">
        <v>1</v>
      </c>
      <c r="AD664" s="12" t="b">
        <v>1</v>
      </c>
      <c r="AE664" s="12" t="b">
        <v>0</v>
      </c>
      <c r="AF664" s="12" t="b">
        <v>0</v>
      </c>
      <c r="AG664" s="12" t="b">
        <v>0</v>
      </c>
      <c r="AH664" s="12">
        <v>0</v>
      </c>
      <c r="AI664" s="12" t="b">
        <v>0</v>
      </c>
      <c r="AJ664" s="12" t="b">
        <v>0</v>
      </c>
      <c r="AK664" s="12" t="b">
        <v>1</v>
      </c>
      <c r="AL664" s="12">
        <v>0</v>
      </c>
      <c r="AM664" s="12" t="s">
        <v>1476</v>
      </c>
      <c r="AN664" s="12">
        <v>0</v>
      </c>
    </row>
    <row r="665" spans="1:40" x14ac:dyDescent="0.3">
      <c r="A665" s="62" t="s">
        <v>860</v>
      </c>
      <c r="B665" s="62"/>
      <c r="C665" s="63"/>
      <c r="D665" s="63"/>
      <c r="E665" s="12" t="s">
        <v>1294</v>
      </c>
      <c r="F665" s="12" t="s">
        <v>1295</v>
      </c>
      <c r="G665" s="12" t="b">
        <v>0</v>
      </c>
      <c r="H665" s="12" t="b">
        <v>1</v>
      </c>
      <c r="I665" s="12" t="b">
        <v>1</v>
      </c>
      <c r="J665" s="12" t="b">
        <v>1</v>
      </c>
      <c r="K665" s="12" t="b">
        <v>0</v>
      </c>
      <c r="L665" s="12" t="b">
        <v>0</v>
      </c>
      <c r="M665" s="12" t="b">
        <v>0</v>
      </c>
      <c r="N665" s="12">
        <v>0</v>
      </c>
      <c r="O665" s="12" t="b">
        <v>0</v>
      </c>
      <c r="P665" s="12" t="b">
        <v>0</v>
      </c>
      <c r="Q665" s="12" t="b">
        <v>0</v>
      </c>
      <c r="R665" s="12" t="b">
        <v>0</v>
      </c>
      <c r="S665" s="12" t="b">
        <v>0</v>
      </c>
      <c r="T665" s="12" t="b">
        <v>1</v>
      </c>
      <c r="U665" s="12" t="b">
        <v>0</v>
      </c>
      <c r="V665" s="12" t="b">
        <v>1</v>
      </c>
      <c r="W665" s="12" t="b">
        <v>0</v>
      </c>
      <c r="X665" s="12">
        <v>1</v>
      </c>
      <c r="Y665" s="12" t="b">
        <v>0</v>
      </c>
      <c r="Z665" s="12" t="b">
        <v>0</v>
      </c>
      <c r="AA665" s="12" t="b">
        <v>0</v>
      </c>
      <c r="AB665" s="12" t="b">
        <v>0</v>
      </c>
      <c r="AC665" s="12" t="b">
        <v>0</v>
      </c>
      <c r="AD665" s="12" t="b">
        <v>1</v>
      </c>
      <c r="AE665" s="12" t="b">
        <v>0</v>
      </c>
      <c r="AF665" s="12" t="b">
        <v>1</v>
      </c>
      <c r="AG665" s="12" t="b">
        <v>0</v>
      </c>
      <c r="AH665" s="12">
        <v>1</v>
      </c>
      <c r="AI665" s="12" t="b">
        <v>0</v>
      </c>
      <c r="AJ665" s="12" t="b">
        <v>0</v>
      </c>
      <c r="AK665" s="12" t="b">
        <v>1</v>
      </c>
      <c r="AL665" s="12">
        <v>1</v>
      </c>
      <c r="AM665" s="12" t="s">
        <v>1476</v>
      </c>
      <c r="AN665" s="12">
        <v>1</v>
      </c>
    </row>
    <row r="666" spans="1:40" x14ac:dyDescent="0.3">
      <c r="A666" s="62" t="s">
        <v>860</v>
      </c>
      <c r="B666" s="62"/>
      <c r="C666" s="63"/>
      <c r="D666" s="63"/>
      <c r="E666" s="12" t="s">
        <v>1833</v>
      </c>
      <c r="F666" s="12" t="s">
        <v>1834</v>
      </c>
      <c r="G666" s="12" t="b">
        <v>0</v>
      </c>
      <c r="H666" s="12" t="b">
        <v>1</v>
      </c>
      <c r="I666" s="12" t="b">
        <v>1</v>
      </c>
      <c r="J666" s="12" t="b">
        <v>1</v>
      </c>
      <c r="K666" s="12" t="b">
        <v>0</v>
      </c>
      <c r="L666" s="12" t="b">
        <v>0</v>
      </c>
      <c r="M666" s="12" t="b">
        <v>0</v>
      </c>
      <c r="N666" s="12">
        <v>0</v>
      </c>
      <c r="O666" s="12" t="b">
        <v>0</v>
      </c>
      <c r="P666" s="12" t="b">
        <v>0</v>
      </c>
      <c r="Q666" s="12" t="b">
        <v>0</v>
      </c>
      <c r="R666" s="12" t="b">
        <v>0</v>
      </c>
      <c r="S666" s="12" t="b">
        <v>0</v>
      </c>
      <c r="T666" s="12" t="b">
        <v>0</v>
      </c>
      <c r="U666" s="12" t="b">
        <v>0</v>
      </c>
      <c r="V666" s="12" t="b">
        <v>1</v>
      </c>
      <c r="W666" s="12" t="b">
        <v>0</v>
      </c>
      <c r="X666" s="12">
        <v>1</v>
      </c>
      <c r="Y666" s="12" t="b">
        <v>0</v>
      </c>
      <c r="Z666" s="12" t="b">
        <v>0</v>
      </c>
      <c r="AA666" s="12" t="b">
        <v>0</v>
      </c>
      <c r="AB666" s="12" t="b">
        <v>0</v>
      </c>
      <c r="AC666" s="12" t="b">
        <v>0</v>
      </c>
      <c r="AD666" s="12" t="b">
        <v>0</v>
      </c>
      <c r="AE666" s="12" t="b">
        <v>0</v>
      </c>
      <c r="AF666" s="12" t="b">
        <v>1</v>
      </c>
      <c r="AG666" s="12" t="b">
        <v>0</v>
      </c>
      <c r="AH666" s="12">
        <v>1</v>
      </c>
      <c r="AI666" s="12" t="b">
        <v>0</v>
      </c>
      <c r="AJ666" s="12" t="b">
        <v>0</v>
      </c>
      <c r="AK666" s="12" t="b">
        <v>1</v>
      </c>
      <c r="AL666" s="12">
        <v>1</v>
      </c>
      <c r="AM666" s="12" t="s">
        <v>922</v>
      </c>
      <c r="AN666" s="12">
        <v>1</v>
      </c>
    </row>
    <row r="667" spans="1:40" x14ac:dyDescent="0.3">
      <c r="A667" s="62" t="s">
        <v>860</v>
      </c>
      <c r="B667" s="62"/>
      <c r="C667" s="63"/>
      <c r="D667" s="63"/>
      <c r="E667" s="12" t="s">
        <v>1837</v>
      </c>
      <c r="F667" s="12" t="s">
        <v>1838</v>
      </c>
      <c r="G667" s="12" t="b">
        <v>0</v>
      </c>
      <c r="H667" s="12" t="b">
        <v>1</v>
      </c>
      <c r="I667" s="12" t="b">
        <v>1</v>
      </c>
      <c r="J667" s="12" t="b">
        <v>1</v>
      </c>
      <c r="K667" s="12" t="b">
        <v>0</v>
      </c>
      <c r="L667" s="12" t="b">
        <v>0</v>
      </c>
      <c r="M667" s="12" t="b">
        <v>0</v>
      </c>
      <c r="N667" s="12">
        <v>0</v>
      </c>
      <c r="O667" s="12" t="b">
        <v>0</v>
      </c>
      <c r="P667" s="12" t="b">
        <v>0</v>
      </c>
      <c r="Q667" s="12" t="b">
        <v>0</v>
      </c>
      <c r="R667" s="12" t="b">
        <v>0</v>
      </c>
      <c r="S667" s="12" t="b">
        <v>0</v>
      </c>
      <c r="T667" s="12" t="b">
        <v>0</v>
      </c>
      <c r="U667" s="12" t="b">
        <v>0</v>
      </c>
      <c r="V667" s="12" t="b">
        <v>1</v>
      </c>
      <c r="W667" s="12" t="b">
        <v>0</v>
      </c>
      <c r="X667" s="12">
        <v>1</v>
      </c>
      <c r="Y667" s="12" t="b">
        <v>0</v>
      </c>
      <c r="Z667" s="12" t="b">
        <v>0</v>
      </c>
      <c r="AA667" s="12" t="b">
        <v>0</v>
      </c>
      <c r="AB667" s="12" t="b">
        <v>0</v>
      </c>
      <c r="AC667" s="12" t="b">
        <v>0</v>
      </c>
      <c r="AD667" s="12" t="b">
        <v>0</v>
      </c>
      <c r="AE667" s="12" t="b">
        <v>0</v>
      </c>
      <c r="AF667" s="12" t="b">
        <v>1</v>
      </c>
      <c r="AG667" s="12" t="b">
        <v>0</v>
      </c>
      <c r="AH667" s="12">
        <v>1</v>
      </c>
      <c r="AI667" s="12" t="b">
        <v>0</v>
      </c>
      <c r="AJ667" s="12" t="b">
        <v>0</v>
      </c>
      <c r="AK667" s="12" t="b">
        <v>1</v>
      </c>
      <c r="AL667" s="12">
        <v>1</v>
      </c>
      <c r="AM667" s="12" t="s">
        <v>922</v>
      </c>
      <c r="AN667" s="12">
        <v>1</v>
      </c>
    </row>
    <row r="668" spans="1:40" x14ac:dyDescent="0.3">
      <c r="A668" s="62" t="s">
        <v>860</v>
      </c>
      <c r="B668" s="62"/>
      <c r="C668" s="63"/>
      <c r="D668" s="63"/>
      <c r="E668" s="12" t="s">
        <v>1296</v>
      </c>
      <c r="F668" s="12" t="s">
        <v>1624</v>
      </c>
      <c r="G668" s="12" t="b">
        <v>0</v>
      </c>
      <c r="H668" s="12" t="b">
        <v>1</v>
      </c>
      <c r="I668" s="12" t="b">
        <v>1</v>
      </c>
      <c r="J668" s="12" t="b">
        <v>1</v>
      </c>
      <c r="K668" s="12" t="b">
        <v>0</v>
      </c>
      <c r="L668" s="12" t="b">
        <v>0</v>
      </c>
      <c r="M668" s="12" t="b">
        <v>0</v>
      </c>
      <c r="N668" s="12">
        <v>0</v>
      </c>
      <c r="O668" s="12" t="b">
        <v>0</v>
      </c>
      <c r="P668" s="12" t="b">
        <v>0</v>
      </c>
      <c r="Q668" s="12" t="b">
        <v>0</v>
      </c>
      <c r="R668" s="12" t="b">
        <v>0</v>
      </c>
      <c r="S668" s="12" t="b">
        <v>0</v>
      </c>
      <c r="T668" s="12" t="b">
        <v>1</v>
      </c>
      <c r="U668" s="12" t="b">
        <v>0</v>
      </c>
      <c r="V668" s="12" t="b">
        <v>1</v>
      </c>
      <c r="W668" s="12" t="b">
        <v>0</v>
      </c>
      <c r="X668" s="12">
        <v>2</v>
      </c>
      <c r="Y668" s="12" t="b">
        <v>0</v>
      </c>
      <c r="Z668" s="12" t="b">
        <v>0</v>
      </c>
      <c r="AA668" s="12" t="b">
        <v>1</v>
      </c>
      <c r="AB668" s="12" t="b">
        <v>1</v>
      </c>
      <c r="AC668" s="12" t="b">
        <v>1</v>
      </c>
      <c r="AD668" s="12" t="b">
        <v>1</v>
      </c>
      <c r="AE668" s="12" t="b">
        <v>0</v>
      </c>
      <c r="AF668" s="12" t="b">
        <v>0</v>
      </c>
      <c r="AG668" s="12" t="b">
        <v>0</v>
      </c>
      <c r="AH668" s="12">
        <v>0</v>
      </c>
      <c r="AI668" s="12" t="b">
        <v>0</v>
      </c>
      <c r="AJ668" s="12" t="b">
        <v>0</v>
      </c>
      <c r="AK668" s="12" t="b">
        <v>1</v>
      </c>
      <c r="AL668" s="12">
        <v>1</v>
      </c>
      <c r="AM668" s="12" t="s">
        <v>900</v>
      </c>
      <c r="AN668" s="12">
        <v>1</v>
      </c>
    </row>
    <row r="669" spans="1:40" x14ac:dyDescent="0.3">
      <c r="A669" s="62" t="s">
        <v>860</v>
      </c>
      <c r="B669" s="62"/>
      <c r="C669" s="63"/>
      <c r="D669" s="63"/>
      <c r="E669" s="12" t="s">
        <v>1558</v>
      </c>
      <c r="F669" s="12" t="s">
        <v>1562</v>
      </c>
      <c r="G669" s="12" t="b">
        <v>0</v>
      </c>
      <c r="H669" s="12" t="b">
        <v>1</v>
      </c>
      <c r="I669" s="12" t="b">
        <v>1</v>
      </c>
      <c r="J669" s="12" t="b">
        <v>1</v>
      </c>
      <c r="K669" s="12" t="b">
        <v>0</v>
      </c>
      <c r="L669" s="12" t="b">
        <v>0</v>
      </c>
      <c r="M669" s="12" t="b">
        <v>0</v>
      </c>
      <c r="N669" s="12">
        <v>0</v>
      </c>
      <c r="O669" s="12" t="b">
        <v>0</v>
      </c>
      <c r="P669" s="12" t="b">
        <v>0</v>
      </c>
      <c r="Q669" s="12" t="b">
        <v>0</v>
      </c>
      <c r="R669" s="12" t="b">
        <v>0</v>
      </c>
      <c r="S669" s="12" t="b">
        <v>0</v>
      </c>
      <c r="T669" s="12" t="b">
        <v>1</v>
      </c>
      <c r="U669" s="12" t="b">
        <v>0</v>
      </c>
      <c r="V669" s="12" t="b">
        <v>1</v>
      </c>
      <c r="W669" s="12" t="b">
        <v>0</v>
      </c>
      <c r="X669" s="12">
        <v>1</v>
      </c>
      <c r="Y669" s="12" t="b">
        <v>0</v>
      </c>
      <c r="Z669" s="12" t="b">
        <v>0</v>
      </c>
      <c r="AA669" s="12" t="b">
        <v>1</v>
      </c>
      <c r="AB669" s="12" t="b">
        <v>1</v>
      </c>
      <c r="AC669" s="12" t="b">
        <v>1</v>
      </c>
      <c r="AD669" s="12" t="b">
        <v>1</v>
      </c>
      <c r="AE669" s="12" t="b">
        <v>0</v>
      </c>
      <c r="AF669" s="12" t="b">
        <v>0</v>
      </c>
      <c r="AG669" s="12" t="b">
        <v>0</v>
      </c>
      <c r="AH669" s="12">
        <v>1</v>
      </c>
      <c r="AI669" s="12" t="b">
        <v>0</v>
      </c>
      <c r="AJ669" s="12" t="b">
        <v>0</v>
      </c>
      <c r="AK669" s="12" t="b">
        <v>1</v>
      </c>
      <c r="AL669" s="12">
        <v>1</v>
      </c>
      <c r="AM669" s="12" t="s">
        <v>900</v>
      </c>
      <c r="AN669" s="12">
        <v>1</v>
      </c>
    </row>
    <row r="670" spans="1:40" x14ac:dyDescent="0.3">
      <c r="A670" s="62" t="s">
        <v>860</v>
      </c>
      <c r="B670" s="62"/>
      <c r="C670" s="63"/>
      <c r="D670" s="63"/>
      <c r="E670" s="12" t="s">
        <v>2050</v>
      </c>
      <c r="F670" s="12" t="s">
        <v>2051</v>
      </c>
      <c r="G670" s="12" t="b">
        <v>0</v>
      </c>
      <c r="H670" s="12" t="b">
        <v>1</v>
      </c>
      <c r="I670" s="12" t="b">
        <v>1</v>
      </c>
      <c r="J670" s="12" t="b">
        <v>1</v>
      </c>
      <c r="K670" s="12" t="b">
        <v>0</v>
      </c>
      <c r="L670" s="12" t="b">
        <v>0</v>
      </c>
      <c r="M670" s="12" t="b">
        <v>0</v>
      </c>
      <c r="N670" s="12">
        <v>0</v>
      </c>
      <c r="O670" s="12" t="b">
        <v>0</v>
      </c>
      <c r="P670" s="12" t="b">
        <v>0</v>
      </c>
      <c r="Q670" s="12" t="b">
        <v>0</v>
      </c>
      <c r="R670" s="12" t="b">
        <v>0</v>
      </c>
      <c r="S670" s="12" t="b">
        <v>0</v>
      </c>
      <c r="T670" s="12" t="b">
        <v>0</v>
      </c>
      <c r="U670" s="12" t="b">
        <v>0</v>
      </c>
      <c r="V670" s="12" t="b">
        <v>1</v>
      </c>
      <c r="W670" s="12" t="b">
        <v>0</v>
      </c>
      <c r="X670" s="12">
        <v>1</v>
      </c>
      <c r="Y670" s="12" t="b">
        <v>0</v>
      </c>
      <c r="Z670" s="12" t="b">
        <v>0</v>
      </c>
      <c r="AA670" s="12" t="b">
        <v>0</v>
      </c>
      <c r="AB670" s="12" t="b">
        <v>0</v>
      </c>
      <c r="AC670" s="12" t="b">
        <v>0</v>
      </c>
      <c r="AD670" s="12" t="b">
        <v>0</v>
      </c>
      <c r="AE670" s="12" t="b">
        <v>0</v>
      </c>
      <c r="AF670" s="12" t="b">
        <v>1</v>
      </c>
      <c r="AG670" s="12" t="b">
        <v>0</v>
      </c>
      <c r="AH670" s="12">
        <v>1</v>
      </c>
      <c r="AI670" s="12" t="b">
        <v>0</v>
      </c>
      <c r="AJ670" s="12" t="b">
        <v>0</v>
      </c>
      <c r="AK670" s="12" t="b">
        <v>1</v>
      </c>
      <c r="AL670" s="12">
        <v>1</v>
      </c>
      <c r="AM670" s="12" t="s">
        <v>1476</v>
      </c>
      <c r="AN670" s="12">
        <v>1</v>
      </c>
    </row>
    <row r="671" spans="1:40" x14ac:dyDescent="0.3">
      <c r="A671" s="62" t="s">
        <v>860</v>
      </c>
      <c r="B671" s="62"/>
      <c r="C671" s="63"/>
      <c r="D671" s="63"/>
      <c r="E671" s="12" t="s">
        <v>1560</v>
      </c>
      <c r="F671" s="12" t="s">
        <v>1561</v>
      </c>
      <c r="G671" s="12" t="b">
        <v>0</v>
      </c>
      <c r="H671" s="12" t="b">
        <v>1</v>
      </c>
      <c r="I671" s="12" t="b">
        <v>1</v>
      </c>
      <c r="J671" s="12" t="b">
        <v>1</v>
      </c>
      <c r="K671" s="12" t="b">
        <v>0</v>
      </c>
      <c r="L671" s="12" t="b">
        <v>1</v>
      </c>
      <c r="M671" s="12" t="b">
        <v>0</v>
      </c>
      <c r="N671" s="12">
        <v>0</v>
      </c>
      <c r="O671" s="12" t="b">
        <v>0</v>
      </c>
      <c r="P671" s="12" t="b">
        <v>0</v>
      </c>
      <c r="Q671" s="12" t="b">
        <v>0</v>
      </c>
      <c r="R671" s="12" t="b">
        <v>0</v>
      </c>
      <c r="S671" s="12" t="b">
        <v>0</v>
      </c>
      <c r="T671" s="12" t="b">
        <v>1</v>
      </c>
      <c r="U671" s="12" t="b">
        <v>0</v>
      </c>
      <c r="V671" s="12" t="b">
        <v>1</v>
      </c>
      <c r="W671" s="12" t="b">
        <v>0</v>
      </c>
      <c r="X671" s="12">
        <v>-2</v>
      </c>
      <c r="Y671" s="12" t="b">
        <v>0</v>
      </c>
      <c r="Z671" s="12" t="b">
        <v>0</v>
      </c>
      <c r="AA671" s="12" t="b">
        <v>1</v>
      </c>
      <c r="AB671" s="12" t="b">
        <v>1</v>
      </c>
      <c r="AC671" s="12" t="b">
        <v>1</v>
      </c>
      <c r="AD671" s="12" t="b">
        <v>1</v>
      </c>
      <c r="AE671" s="12" t="b">
        <v>0</v>
      </c>
      <c r="AF671" s="12" t="b">
        <v>0</v>
      </c>
      <c r="AG671" s="12" t="b">
        <v>0</v>
      </c>
      <c r="AH671" s="12">
        <v>0</v>
      </c>
      <c r="AI671" s="12" t="b">
        <v>0</v>
      </c>
      <c r="AJ671" s="12" t="b">
        <v>0</v>
      </c>
      <c r="AK671" s="12" t="b">
        <v>1</v>
      </c>
      <c r="AL671" s="12">
        <v>1</v>
      </c>
      <c r="AM671" s="12" t="s">
        <v>900</v>
      </c>
      <c r="AN671" s="12">
        <v>1</v>
      </c>
    </row>
    <row r="672" spans="1:40" x14ac:dyDescent="0.3">
      <c r="A672" s="62" t="s">
        <v>860</v>
      </c>
      <c r="B672" s="62"/>
      <c r="C672" s="63"/>
      <c r="D672" s="63"/>
      <c r="E672" s="12" t="s">
        <v>2052</v>
      </c>
      <c r="F672" s="12" t="s">
        <v>2053</v>
      </c>
      <c r="G672" s="12" t="b">
        <v>0</v>
      </c>
      <c r="H672" s="12" t="b">
        <v>1</v>
      </c>
      <c r="I672" s="12" t="b">
        <v>1</v>
      </c>
      <c r="J672" s="12" t="b">
        <v>1</v>
      </c>
      <c r="K672" s="12" t="b">
        <v>0</v>
      </c>
      <c r="L672" s="12" t="b">
        <v>0</v>
      </c>
      <c r="M672" s="12" t="b">
        <v>0</v>
      </c>
      <c r="N672" s="12">
        <v>0</v>
      </c>
      <c r="O672" s="12" t="b">
        <v>0</v>
      </c>
      <c r="P672" s="12" t="b">
        <v>0</v>
      </c>
      <c r="Q672" s="12" t="b">
        <v>0</v>
      </c>
      <c r="R672" s="12" t="b">
        <v>0</v>
      </c>
      <c r="S672" s="12" t="b">
        <v>0</v>
      </c>
      <c r="T672" s="12" t="b">
        <v>1</v>
      </c>
      <c r="U672" s="12" t="b">
        <v>0</v>
      </c>
      <c r="V672" s="12" t="b">
        <v>1</v>
      </c>
      <c r="W672" s="12" t="b">
        <v>0</v>
      </c>
      <c r="X672" s="12">
        <v>1</v>
      </c>
      <c r="Y672" s="12" t="b">
        <v>0</v>
      </c>
      <c r="Z672" s="12" t="b">
        <v>0</v>
      </c>
      <c r="AA672" s="12" t="b">
        <v>1</v>
      </c>
      <c r="AB672" s="12" t="b">
        <v>1</v>
      </c>
      <c r="AC672" s="12" t="b">
        <v>1</v>
      </c>
      <c r="AD672" s="12" t="b">
        <v>1</v>
      </c>
      <c r="AE672" s="12" t="b">
        <v>0</v>
      </c>
      <c r="AF672" s="12" t="b">
        <v>0</v>
      </c>
      <c r="AG672" s="12" t="b">
        <v>0</v>
      </c>
      <c r="AH672" s="12">
        <v>-1</v>
      </c>
      <c r="AI672" s="12" t="b">
        <v>0</v>
      </c>
      <c r="AJ672" s="12" t="b">
        <v>0</v>
      </c>
      <c r="AK672" s="12" t="b">
        <v>1</v>
      </c>
      <c r="AL672" s="12">
        <v>1</v>
      </c>
      <c r="AM672" s="12" t="s">
        <v>1476</v>
      </c>
      <c r="AN672" s="12">
        <v>1</v>
      </c>
    </row>
    <row r="673" spans="1:40" x14ac:dyDescent="0.3">
      <c r="A673" s="62" t="s">
        <v>860</v>
      </c>
      <c r="B673" s="62"/>
      <c r="C673" s="63"/>
      <c r="D673" s="63"/>
      <c r="E673" s="12" t="s">
        <v>2036</v>
      </c>
      <c r="F673" s="12" t="s">
        <v>2037</v>
      </c>
      <c r="G673" s="12" t="b">
        <v>1</v>
      </c>
      <c r="H673" s="12" t="b">
        <v>1</v>
      </c>
      <c r="I673" s="12" t="b">
        <v>1</v>
      </c>
      <c r="J673" s="12" t="b">
        <v>1</v>
      </c>
      <c r="K673" s="12" t="b">
        <v>0</v>
      </c>
      <c r="L673" s="12" t="b">
        <v>0</v>
      </c>
      <c r="M673" s="12" t="b">
        <v>0</v>
      </c>
      <c r="N673" s="12">
        <v>0</v>
      </c>
      <c r="O673" s="12" t="b">
        <v>0</v>
      </c>
      <c r="P673" s="12" t="b">
        <v>0</v>
      </c>
      <c r="Q673" s="12" t="b">
        <v>0</v>
      </c>
      <c r="R673" s="12" t="b">
        <v>0</v>
      </c>
      <c r="S673" s="12" t="b">
        <v>0</v>
      </c>
      <c r="T673" s="12" t="b">
        <v>1</v>
      </c>
      <c r="U673" s="12" t="b">
        <v>0</v>
      </c>
      <c r="V673" s="12" t="b">
        <v>1</v>
      </c>
      <c r="W673" s="12" t="b">
        <v>0</v>
      </c>
      <c r="X673" s="12">
        <v>12</v>
      </c>
      <c r="Y673" s="12" t="b">
        <v>0</v>
      </c>
      <c r="Z673" s="12" t="b">
        <v>0</v>
      </c>
      <c r="AA673" s="12" t="b">
        <v>1</v>
      </c>
      <c r="AB673" s="12" t="b">
        <v>1</v>
      </c>
      <c r="AC673" s="12" t="b">
        <v>1</v>
      </c>
      <c r="AD673" s="12" t="b">
        <v>1</v>
      </c>
      <c r="AE673" s="12" t="b">
        <v>0</v>
      </c>
      <c r="AF673" s="12" t="b">
        <v>0</v>
      </c>
      <c r="AG673" s="12" t="b">
        <v>0</v>
      </c>
      <c r="AH673" s="12">
        <v>7</v>
      </c>
      <c r="AI673" s="12" t="b">
        <v>0</v>
      </c>
      <c r="AJ673" s="12" t="b">
        <v>0</v>
      </c>
      <c r="AK673" s="12" t="b">
        <v>1</v>
      </c>
      <c r="AL673" s="12">
        <v>1</v>
      </c>
      <c r="AM673" s="12" t="s">
        <v>978</v>
      </c>
      <c r="AN673" s="12">
        <v>1</v>
      </c>
    </row>
    <row r="674" spans="1:40" x14ac:dyDescent="0.3">
      <c r="A674" s="62" t="s">
        <v>860</v>
      </c>
      <c r="B674" s="62"/>
      <c r="C674" s="63"/>
      <c r="D674" s="63"/>
      <c r="E674" s="12" t="s">
        <v>1580</v>
      </c>
      <c r="F674" s="12" t="s">
        <v>1581</v>
      </c>
      <c r="G674" s="12" t="b">
        <v>0</v>
      </c>
      <c r="H674" s="12" t="b">
        <v>1</v>
      </c>
      <c r="I674" s="12" t="b">
        <v>1</v>
      </c>
      <c r="J674" s="12" t="b">
        <v>1</v>
      </c>
      <c r="K674" s="12" t="b">
        <v>0</v>
      </c>
      <c r="L674" s="12" t="b">
        <v>1</v>
      </c>
      <c r="M674" s="12" t="b">
        <v>0</v>
      </c>
      <c r="N674" s="12">
        <v>0</v>
      </c>
      <c r="O674" s="12" t="b">
        <v>0</v>
      </c>
      <c r="P674" s="12" t="b">
        <v>0</v>
      </c>
      <c r="Q674" s="12" t="b">
        <v>0</v>
      </c>
      <c r="R674" s="12" t="b">
        <v>0</v>
      </c>
      <c r="S674" s="12" t="b">
        <v>0</v>
      </c>
      <c r="T674" s="12" t="b">
        <v>1</v>
      </c>
      <c r="U674" s="12" t="b">
        <v>0</v>
      </c>
      <c r="V674" s="12" t="b">
        <v>1</v>
      </c>
      <c r="W674" s="12" t="b">
        <v>0</v>
      </c>
      <c r="X674" s="12">
        <v>1</v>
      </c>
      <c r="Y674" s="12" t="b">
        <v>0</v>
      </c>
      <c r="Z674" s="12" t="b">
        <v>0</v>
      </c>
      <c r="AA674" s="12" t="b">
        <v>1</v>
      </c>
      <c r="AB674" s="12" t="b">
        <v>1</v>
      </c>
      <c r="AC674" s="12" t="b">
        <v>1</v>
      </c>
      <c r="AD674" s="12" t="b">
        <v>1</v>
      </c>
      <c r="AE674" s="12" t="b">
        <v>0</v>
      </c>
      <c r="AF674" s="12" t="b">
        <v>0</v>
      </c>
      <c r="AG674" s="12" t="b">
        <v>0</v>
      </c>
      <c r="AH674" s="12">
        <v>0</v>
      </c>
      <c r="AI674" s="12" t="b">
        <v>0</v>
      </c>
      <c r="AJ674" s="12" t="b">
        <v>0</v>
      </c>
      <c r="AK674" s="12" t="b">
        <v>1</v>
      </c>
      <c r="AL674" s="12">
        <v>1</v>
      </c>
      <c r="AM674" s="12" t="s">
        <v>1476</v>
      </c>
      <c r="AN674" s="12">
        <v>1</v>
      </c>
    </row>
    <row r="675" spans="1:40" x14ac:dyDescent="0.3">
      <c r="A675" s="62" t="s">
        <v>860</v>
      </c>
      <c r="B675" s="62"/>
      <c r="C675" s="63"/>
      <c r="D675" s="63"/>
      <c r="E675" s="12" t="s">
        <v>1513</v>
      </c>
      <c r="F675" s="12" t="s">
        <v>1514</v>
      </c>
      <c r="G675" s="12" t="b">
        <v>0</v>
      </c>
      <c r="H675" s="12" t="b">
        <v>1</v>
      </c>
      <c r="I675" s="12" t="b">
        <v>1</v>
      </c>
      <c r="J675" s="12" t="b">
        <v>1</v>
      </c>
      <c r="K675" s="12" t="b">
        <v>1</v>
      </c>
      <c r="L675" s="12" t="b">
        <v>1</v>
      </c>
      <c r="M675" s="12" t="b">
        <v>0</v>
      </c>
      <c r="N675" s="12">
        <v>0</v>
      </c>
      <c r="O675" s="12" t="b">
        <v>0</v>
      </c>
      <c r="P675" s="12" t="b">
        <v>0</v>
      </c>
      <c r="Q675" s="12" t="b">
        <v>0</v>
      </c>
      <c r="R675" s="12" t="b">
        <v>1</v>
      </c>
      <c r="S675" s="12" t="b">
        <v>1</v>
      </c>
      <c r="T675" s="12" t="b">
        <v>1</v>
      </c>
      <c r="U675" s="12" t="b">
        <v>0</v>
      </c>
      <c r="V675" s="12" t="b">
        <v>1</v>
      </c>
      <c r="W675" s="12" t="b">
        <v>0</v>
      </c>
      <c r="X675" s="12">
        <v>0</v>
      </c>
      <c r="Y675" s="12" t="b">
        <v>0</v>
      </c>
      <c r="Z675" s="12" t="b">
        <v>0</v>
      </c>
      <c r="AA675" s="12" t="b">
        <v>0</v>
      </c>
      <c r="AB675" s="12" t="b">
        <v>1</v>
      </c>
      <c r="AC675" s="12" t="b">
        <v>1</v>
      </c>
      <c r="AD675" s="12" t="b">
        <v>1</v>
      </c>
      <c r="AE675" s="12" t="b">
        <v>0</v>
      </c>
      <c r="AF675" s="12" t="b">
        <v>0</v>
      </c>
      <c r="AG675" s="12" t="b">
        <v>0</v>
      </c>
      <c r="AH675" s="12">
        <v>0</v>
      </c>
      <c r="AI675" s="12" t="b">
        <v>0</v>
      </c>
      <c r="AJ675" s="12" t="b">
        <v>0</v>
      </c>
      <c r="AK675" s="12" t="b">
        <v>1</v>
      </c>
      <c r="AL675" s="12">
        <v>0</v>
      </c>
      <c r="AM675" s="12" t="s">
        <v>51</v>
      </c>
      <c r="AN675" s="12">
        <v>0</v>
      </c>
    </row>
    <row r="676" spans="1:40" x14ac:dyDescent="0.3">
      <c r="A676" s="62" t="s">
        <v>860</v>
      </c>
      <c r="B676" s="62"/>
      <c r="C676" s="63"/>
      <c r="D676" s="63"/>
      <c r="E676" s="12" t="s">
        <v>1511</v>
      </c>
      <c r="F676" s="12" t="s">
        <v>1512</v>
      </c>
      <c r="G676" s="12" t="b">
        <v>0</v>
      </c>
      <c r="H676" s="12" t="b">
        <v>1</v>
      </c>
      <c r="I676" s="12" t="b">
        <v>1</v>
      </c>
      <c r="J676" s="12" t="b">
        <v>1</v>
      </c>
      <c r="K676" s="12" t="b">
        <v>1</v>
      </c>
      <c r="L676" s="12" t="b">
        <v>1</v>
      </c>
      <c r="M676" s="12" t="b">
        <v>0</v>
      </c>
      <c r="N676" s="12">
        <v>0</v>
      </c>
      <c r="O676" s="12" t="b">
        <v>0</v>
      </c>
      <c r="P676" s="12" t="b">
        <v>0</v>
      </c>
      <c r="Q676" s="12" t="b">
        <v>0</v>
      </c>
      <c r="R676" s="12" t="b">
        <v>1</v>
      </c>
      <c r="S676" s="12" t="b">
        <v>1</v>
      </c>
      <c r="T676" s="12" t="b">
        <v>1</v>
      </c>
      <c r="U676" s="12" t="b">
        <v>0</v>
      </c>
      <c r="V676" s="12" t="b">
        <v>1</v>
      </c>
      <c r="W676" s="12" t="b">
        <v>0</v>
      </c>
      <c r="X676" s="12">
        <v>0</v>
      </c>
      <c r="Y676" s="12" t="b">
        <v>0</v>
      </c>
      <c r="Z676" s="12" t="b">
        <v>0</v>
      </c>
      <c r="AA676" s="12" t="b">
        <v>0</v>
      </c>
      <c r="AB676" s="12" t="b">
        <v>1</v>
      </c>
      <c r="AC676" s="12" t="b">
        <v>1</v>
      </c>
      <c r="AD676" s="12" t="b">
        <v>1</v>
      </c>
      <c r="AE676" s="12" t="b">
        <v>0</v>
      </c>
      <c r="AF676" s="12" t="b">
        <v>0</v>
      </c>
      <c r="AG676" s="12" t="b">
        <v>0</v>
      </c>
      <c r="AH676" s="12">
        <v>0</v>
      </c>
      <c r="AI676" s="12" t="b">
        <v>0</v>
      </c>
      <c r="AJ676" s="12" t="b">
        <v>0</v>
      </c>
      <c r="AK676" s="12" t="b">
        <v>1</v>
      </c>
      <c r="AL676" s="12">
        <v>0</v>
      </c>
      <c r="AM676" s="12" t="s">
        <v>51</v>
      </c>
      <c r="AN676" s="12">
        <v>0</v>
      </c>
    </row>
    <row r="677" spans="1:40" x14ac:dyDescent="0.3">
      <c r="A677" s="62" t="s">
        <v>860</v>
      </c>
      <c r="B677" s="62"/>
      <c r="C677" s="63"/>
      <c r="D677" s="63"/>
      <c r="E677" s="12" t="s">
        <v>1221</v>
      </c>
      <c r="F677" s="12" t="s">
        <v>1222</v>
      </c>
      <c r="G677" s="12" t="b">
        <v>0</v>
      </c>
      <c r="H677" s="12" t="b">
        <v>1</v>
      </c>
      <c r="I677" s="12" t="b">
        <v>1</v>
      </c>
      <c r="J677" s="12" t="b">
        <v>1</v>
      </c>
      <c r="K677" s="12" t="b">
        <v>1</v>
      </c>
      <c r="L677" s="12" t="b">
        <v>1</v>
      </c>
      <c r="M677" s="12" t="b">
        <v>0</v>
      </c>
      <c r="N677" s="12">
        <v>0</v>
      </c>
      <c r="O677" s="12" t="b">
        <v>0</v>
      </c>
      <c r="P677" s="12" t="b">
        <v>0</v>
      </c>
      <c r="Q677" s="12" t="b">
        <v>0</v>
      </c>
      <c r="R677" s="12" t="b">
        <v>1</v>
      </c>
      <c r="S677" s="12" t="b">
        <v>1</v>
      </c>
      <c r="T677" s="12" t="b">
        <v>1</v>
      </c>
      <c r="U677" s="12" t="b">
        <v>0</v>
      </c>
      <c r="V677" s="12" t="b">
        <v>1</v>
      </c>
      <c r="W677" s="12" t="b">
        <v>0</v>
      </c>
      <c r="X677" s="12">
        <v>0</v>
      </c>
      <c r="Y677" s="12" t="b">
        <v>0</v>
      </c>
      <c r="Z677" s="12" t="b">
        <v>0</v>
      </c>
      <c r="AA677" s="12" t="b">
        <v>0</v>
      </c>
      <c r="AB677" s="12" t="b">
        <v>1</v>
      </c>
      <c r="AC677" s="12" t="b">
        <v>1</v>
      </c>
      <c r="AD677" s="12" t="b">
        <v>1</v>
      </c>
      <c r="AE677" s="12" t="b">
        <v>0</v>
      </c>
      <c r="AF677" s="12" t="b">
        <v>0</v>
      </c>
      <c r="AG677" s="12" t="b">
        <v>0</v>
      </c>
      <c r="AH677" s="12">
        <v>0</v>
      </c>
      <c r="AI677" s="12" t="b">
        <v>0</v>
      </c>
      <c r="AJ677" s="12" t="b">
        <v>0</v>
      </c>
      <c r="AK677" s="12" t="b">
        <v>1</v>
      </c>
      <c r="AL677" s="12">
        <v>0</v>
      </c>
      <c r="AM677" s="12" t="s">
        <v>51</v>
      </c>
      <c r="AN677" s="12">
        <v>0</v>
      </c>
    </row>
    <row r="678" spans="1:40" x14ac:dyDescent="0.3">
      <c r="A678" s="62" t="s">
        <v>860</v>
      </c>
      <c r="B678" s="62"/>
      <c r="C678" s="63"/>
      <c r="D678" s="63"/>
      <c r="E678" s="12" t="s">
        <v>1211</v>
      </c>
      <c r="F678" s="12" t="s">
        <v>1212</v>
      </c>
      <c r="G678" s="12" t="b">
        <v>0</v>
      </c>
      <c r="H678" s="12" t="b">
        <v>1</v>
      </c>
      <c r="I678" s="12" t="b">
        <v>1</v>
      </c>
      <c r="J678" s="12" t="b">
        <v>1</v>
      </c>
      <c r="K678" s="12" t="b">
        <v>1</v>
      </c>
      <c r="L678" s="12" t="b">
        <v>1</v>
      </c>
      <c r="M678" s="12" t="b">
        <v>0</v>
      </c>
      <c r="N678" s="12">
        <v>0</v>
      </c>
      <c r="O678" s="12" t="b">
        <v>0</v>
      </c>
      <c r="P678" s="12" t="b">
        <v>0</v>
      </c>
      <c r="Q678" s="12" t="b">
        <v>0</v>
      </c>
      <c r="R678" s="12" t="b">
        <v>1</v>
      </c>
      <c r="S678" s="12" t="b">
        <v>1</v>
      </c>
      <c r="T678" s="12" t="b">
        <v>1</v>
      </c>
      <c r="U678" s="12" t="b">
        <v>0</v>
      </c>
      <c r="V678" s="12" t="b">
        <v>1</v>
      </c>
      <c r="W678" s="12" t="b">
        <v>0</v>
      </c>
      <c r="X678" s="12">
        <v>0</v>
      </c>
      <c r="Y678" s="12" t="b">
        <v>0</v>
      </c>
      <c r="Z678" s="12" t="b">
        <v>0</v>
      </c>
      <c r="AA678" s="12" t="b">
        <v>0</v>
      </c>
      <c r="AB678" s="12" t="b">
        <v>1</v>
      </c>
      <c r="AC678" s="12" t="b">
        <v>1</v>
      </c>
      <c r="AD678" s="12" t="b">
        <v>1</v>
      </c>
      <c r="AE678" s="12" t="b">
        <v>0</v>
      </c>
      <c r="AF678" s="12" t="b">
        <v>0</v>
      </c>
      <c r="AG678" s="12" t="b">
        <v>0</v>
      </c>
      <c r="AH678" s="12">
        <v>0</v>
      </c>
      <c r="AI678" s="12" t="b">
        <v>0</v>
      </c>
      <c r="AJ678" s="12" t="b">
        <v>0</v>
      </c>
      <c r="AK678" s="12" t="b">
        <v>1</v>
      </c>
      <c r="AL678" s="12">
        <v>0</v>
      </c>
      <c r="AM678" s="12" t="s">
        <v>51</v>
      </c>
      <c r="AN678" s="12">
        <v>0</v>
      </c>
    </row>
    <row r="679" spans="1:40" x14ac:dyDescent="0.3">
      <c r="A679" s="62" t="s">
        <v>860</v>
      </c>
      <c r="B679" s="62"/>
      <c r="C679" s="63"/>
      <c r="D679" s="63"/>
      <c r="E679" s="12" t="s">
        <v>1223</v>
      </c>
      <c r="F679" s="12" t="s">
        <v>1224</v>
      </c>
      <c r="G679" s="12" t="b">
        <v>0</v>
      </c>
      <c r="H679" s="12" t="b">
        <v>1</v>
      </c>
      <c r="I679" s="12" t="b">
        <v>1</v>
      </c>
      <c r="J679" s="12" t="b">
        <v>1</v>
      </c>
      <c r="K679" s="12" t="b">
        <v>1</v>
      </c>
      <c r="L679" s="12" t="b">
        <v>1</v>
      </c>
      <c r="M679" s="12" t="b">
        <v>0</v>
      </c>
      <c r="N679" s="12">
        <v>0</v>
      </c>
      <c r="O679" s="12" t="b">
        <v>0</v>
      </c>
      <c r="P679" s="12" t="b">
        <v>0</v>
      </c>
      <c r="Q679" s="12" t="b">
        <v>0</v>
      </c>
      <c r="R679" s="12" t="b">
        <v>1</v>
      </c>
      <c r="S679" s="12" t="b">
        <v>1</v>
      </c>
      <c r="T679" s="12" t="b">
        <v>1</v>
      </c>
      <c r="U679" s="12" t="b">
        <v>0</v>
      </c>
      <c r="V679" s="12" t="b">
        <v>1</v>
      </c>
      <c r="W679" s="12" t="b">
        <v>0</v>
      </c>
      <c r="X679" s="12">
        <v>0</v>
      </c>
      <c r="Y679" s="12" t="b">
        <v>0</v>
      </c>
      <c r="Z679" s="12" t="b">
        <v>0</v>
      </c>
      <c r="AA679" s="12" t="b">
        <v>0</v>
      </c>
      <c r="AB679" s="12" t="b">
        <v>1</v>
      </c>
      <c r="AC679" s="12" t="b">
        <v>1</v>
      </c>
      <c r="AD679" s="12" t="b">
        <v>1</v>
      </c>
      <c r="AE679" s="12" t="b">
        <v>0</v>
      </c>
      <c r="AF679" s="12" t="b">
        <v>0</v>
      </c>
      <c r="AG679" s="12" t="b">
        <v>0</v>
      </c>
      <c r="AH679" s="12">
        <v>0</v>
      </c>
      <c r="AI679" s="12" t="b">
        <v>0</v>
      </c>
      <c r="AJ679" s="12" t="b">
        <v>0</v>
      </c>
      <c r="AK679" s="12" t="b">
        <v>1</v>
      </c>
      <c r="AL679" s="12">
        <v>0</v>
      </c>
      <c r="AM679" s="12" t="s">
        <v>51</v>
      </c>
      <c r="AN679" s="12">
        <v>0</v>
      </c>
    </row>
    <row r="680" spans="1:40" x14ac:dyDescent="0.3">
      <c r="A680" s="62" t="s">
        <v>860</v>
      </c>
      <c r="B680" s="62"/>
      <c r="C680" s="63"/>
      <c r="D680" s="63"/>
      <c r="E680" s="12" t="s">
        <v>1213</v>
      </c>
      <c r="F680" s="12" t="s">
        <v>1214</v>
      </c>
      <c r="G680" s="12" t="b">
        <v>0</v>
      </c>
      <c r="H680" s="12" t="b">
        <v>1</v>
      </c>
      <c r="I680" s="12" t="b">
        <v>1</v>
      </c>
      <c r="J680" s="12" t="b">
        <v>1</v>
      </c>
      <c r="K680" s="12" t="b">
        <v>1</v>
      </c>
      <c r="L680" s="12" t="b">
        <v>1</v>
      </c>
      <c r="M680" s="12" t="b">
        <v>0</v>
      </c>
      <c r="N680" s="12">
        <v>0</v>
      </c>
      <c r="O680" s="12" t="b">
        <v>0</v>
      </c>
      <c r="P680" s="12" t="b">
        <v>0</v>
      </c>
      <c r="Q680" s="12" t="b">
        <v>0</v>
      </c>
      <c r="R680" s="12" t="b">
        <v>1</v>
      </c>
      <c r="S680" s="12" t="b">
        <v>1</v>
      </c>
      <c r="T680" s="12" t="b">
        <v>1</v>
      </c>
      <c r="U680" s="12" t="b">
        <v>0</v>
      </c>
      <c r="V680" s="12" t="b">
        <v>1</v>
      </c>
      <c r="W680" s="12" t="b">
        <v>0</v>
      </c>
      <c r="X680" s="12">
        <v>0</v>
      </c>
      <c r="Y680" s="12" t="b">
        <v>0</v>
      </c>
      <c r="Z680" s="12" t="b">
        <v>0</v>
      </c>
      <c r="AA680" s="12" t="b">
        <v>0</v>
      </c>
      <c r="AB680" s="12" t="b">
        <v>1</v>
      </c>
      <c r="AC680" s="12" t="b">
        <v>1</v>
      </c>
      <c r="AD680" s="12" t="b">
        <v>1</v>
      </c>
      <c r="AE680" s="12" t="b">
        <v>0</v>
      </c>
      <c r="AF680" s="12" t="b">
        <v>0</v>
      </c>
      <c r="AG680" s="12" t="b">
        <v>0</v>
      </c>
      <c r="AH680" s="12">
        <v>0</v>
      </c>
      <c r="AI680" s="12" t="b">
        <v>0</v>
      </c>
      <c r="AJ680" s="12" t="b">
        <v>0</v>
      </c>
      <c r="AK680" s="12" t="b">
        <v>1</v>
      </c>
      <c r="AL680" s="12">
        <v>0</v>
      </c>
      <c r="AM680" s="12" t="s">
        <v>51</v>
      </c>
      <c r="AN680" s="12">
        <v>0</v>
      </c>
    </row>
    <row r="681" spans="1:40" x14ac:dyDescent="0.3">
      <c r="A681" s="62" t="s">
        <v>860</v>
      </c>
      <c r="B681" s="62"/>
      <c r="C681" s="63"/>
      <c r="D681" s="63"/>
      <c r="E681" s="12" t="s">
        <v>1225</v>
      </c>
      <c r="F681" s="12" t="s">
        <v>1226</v>
      </c>
      <c r="G681" s="12" t="b">
        <v>0</v>
      </c>
      <c r="H681" s="12" t="b">
        <v>1</v>
      </c>
      <c r="I681" s="12" t="b">
        <v>1</v>
      </c>
      <c r="J681" s="12" t="b">
        <v>1</v>
      </c>
      <c r="K681" s="12" t="b">
        <v>1</v>
      </c>
      <c r="L681" s="12" t="b">
        <v>1</v>
      </c>
      <c r="M681" s="12" t="b">
        <v>0</v>
      </c>
      <c r="N681" s="12">
        <v>0</v>
      </c>
      <c r="O681" s="12" t="b">
        <v>0</v>
      </c>
      <c r="P681" s="12" t="b">
        <v>0</v>
      </c>
      <c r="Q681" s="12" t="b">
        <v>0</v>
      </c>
      <c r="R681" s="12" t="b">
        <v>1</v>
      </c>
      <c r="S681" s="12" t="b">
        <v>1</v>
      </c>
      <c r="T681" s="12" t="b">
        <v>1</v>
      </c>
      <c r="U681" s="12" t="b">
        <v>0</v>
      </c>
      <c r="V681" s="12" t="b">
        <v>1</v>
      </c>
      <c r="W681" s="12" t="b">
        <v>0</v>
      </c>
      <c r="X681" s="12">
        <v>0</v>
      </c>
      <c r="Y681" s="12" t="b">
        <v>0</v>
      </c>
      <c r="Z681" s="12" t="b">
        <v>0</v>
      </c>
      <c r="AA681" s="12" t="b">
        <v>0</v>
      </c>
      <c r="AB681" s="12" t="b">
        <v>1</v>
      </c>
      <c r="AC681" s="12" t="b">
        <v>1</v>
      </c>
      <c r="AD681" s="12" t="b">
        <v>1</v>
      </c>
      <c r="AE681" s="12" t="b">
        <v>0</v>
      </c>
      <c r="AF681" s="12" t="b">
        <v>0</v>
      </c>
      <c r="AG681" s="12" t="b">
        <v>0</v>
      </c>
      <c r="AH681" s="12">
        <v>0</v>
      </c>
      <c r="AI681" s="12" t="b">
        <v>0</v>
      </c>
      <c r="AJ681" s="12" t="b">
        <v>0</v>
      </c>
      <c r="AK681" s="12" t="b">
        <v>1</v>
      </c>
      <c r="AL681" s="12">
        <v>0</v>
      </c>
      <c r="AM681" s="12" t="s">
        <v>51</v>
      </c>
      <c r="AN681" s="12">
        <v>0</v>
      </c>
    </row>
    <row r="682" spans="1:40" x14ac:dyDescent="0.3">
      <c r="A682" s="62" t="s">
        <v>860</v>
      </c>
      <c r="B682" s="62"/>
      <c r="C682" s="63"/>
      <c r="D682" s="63"/>
      <c r="E682" s="12" t="s">
        <v>1215</v>
      </c>
      <c r="F682" s="12" t="s">
        <v>1216</v>
      </c>
      <c r="G682" s="12" t="b">
        <v>0</v>
      </c>
      <c r="H682" s="12" t="b">
        <v>1</v>
      </c>
      <c r="I682" s="12" t="b">
        <v>1</v>
      </c>
      <c r="J682" s="12" t="b">
        <v>1</v>
      </c>
      <c r="K682" s="12" t="b">
        <v>1</v>
      </c>
      <c r="L682" s="12" t="b">
        <v>1</v>
      </c>
      <c r="M682" s="12" t="b">
        <v>0</v>
      </c>
      <c r="N682" s="12">
        <v>0</v>
      </c>
      <c r="O682" s="12" t="b">
        <v>0</v>
      </c>
      <c r="P682" s="12" t="b">
        <v>0</v>
      </c>
      <c r="Q682" s="12" t="b">
        <v>0</v>
      </c>
      <c r="R682" s="12" t="b">
        <v>1</v>
      </c>
      <c r="S682" s="12" t="b">
        <v>1</v>
      </c>
      <c r="T682" s="12" t="b">
        <v>1</v>
      </c>
      <c r="U682" s="12" t="b">
        <v>0</v>
      </c>
      <c r="V682" s="12" t="b">
        <v>1</v>
      </c>
      <c r="W682" s="12" t="b">
        <v>0</v>
      </c>
      <c r="X682" s="12">
        <v>0</v>
      </c>
      <c r="Y682" s="12" t="b">
        <v>0</v>
      </c>
      <c r="Z682" s="12" t="b">
        <v>0</v>
      </c>
      <c r="AA682" s="12" t="b">
        <v>0</v>
      </c>
      <c r="AB682" s="12" t="b">
        <v>1</v>
      </c>
      <c r="AC682" s="12" t="b">
        <v>1</v>
      </c>
      <c r="AD682" s="12" t="b">
        <v>1</v>
      </c>
      <c r="AE682" s="12" t="b">
        <v>0</v>
      </c>
      <c r="AF682" s="12" t="b">
        <v>0</v>
      </c>
      <c r="AG682" s="12" t="b">
        <v>0</v>
      </c>
      <c r="AH682" s="12">
        <v>0</v>
      </c>
      <c r="AI682" s="12" t="b">
        <v>0</v>
      </c>
      <c r="AJ682" s="12" t="b">
        <v>0</v>
      </c>
      <c r="AK682" s="12" t="b">
        <v>1</v>
      </c>
      <c r="AL682" s="12">
        <v>0</v>
      </c>
      <c r="AM682" s="12" t="s">
        <v>51</v>
      </c>
      <c r="AN682" s="12">
        <v>0</v>
      </c>
    </row>
    <row r="683" spans="1:40" x14ac:dyDescent="0.3">
      <c r="A683" s="62" t="s">
        <v>860</v>
      </c>
      <c r="B683" s="62"/>
      <c r="C683" s="63"/>
      <c r="D683" s="63"/>
      <c r="E683" s="12" t="s">
        <v>1227</v>
      </c>
      <c r="F683" s="12" t="s">
        <v>1228</v>
      </c>
      <c r="G683" s="12" t="b">
        <v>0</v>
      </c>
      <c r="H683" s="12" t="b">
        <v>1</v>
      </c>
      <c r="I683" s="12" t="b">
        <v>1</v>
      </c>
      <c r="J683" s="12" t="b">
        <v>1</v>
      </c>
      <c r="K683" s="12" t="b">
        <v>1</v>
      </c>
      <c r="L683" s="12" t="b">
        <v>1</v>
      </c>
      <c r="M683" s="12" t="b">
        <v>0</v>
      </c>
      <c r="N683" s="12">
        <v>0</v>
      </c>
      <c r="O683" s="12" t="b">
        <v>0</v>
      </c>
      <c r="P683" s="12" t="b">
        <v>0</v>
      </c>
      <c r="Q683" s="12" t="b">
        <v>0</v>
      </c>
      <c r="R683" s="12" t="b">
        <v>1</v>
      </c>
      <c r="S683" s="12" t="b">
        <v>1</v>
      </c>
      <c r="T683" s="12" t="b">
        <v>1</v>
      </c>
      <c r="U683" s="12" t="b">
        <v>0</v>
      </c>
      <c r="V683" s="12" t="b">
        <v>1</v>
      </c>
      <c r="W683" s="12" t="b">
        <v>0</v>
      </c>
      <c r="X683" s="12">
        <v>0</v>
      </c>
      <c r="Y683" s="12" t="b">
        <v>0</v>
      </c>
      <c r="Z683" s="12" t="b">
        <v>0</v>
      </c>
      <c r="AA683" s="12" t="b">
        <v>0</v>
      </c>
      <c r="AB683" s="12" t="b">
        <v>1</v>
      </c>
      <c r="AC683" s="12" t="b">
        <v>1</v>
      </c>
      <c r="AD683" s="12" t="b">
        <v>1</v>
      </c>
      <c r="AE683" s="12" t="b">
        <v>0</v>
      </c>
      <c r="AF683" s="12" t="b">
        <v>0</v>
      </c>
      <c r="AG683" s="12" t="b">
        <v>0</v>
      </c>
      <c r="AH683" s="12">
        <v>0</v>
      </c>
      <c r="AI683" s="12" t="b">
        <v>0</v>
      </c>
      <c r="AJ683" s="12" t="b">
        <v>0</v>
      </c>
      <c r="AK683" s="12" t="b">
        <v>1</v>
      </c>
      <c r="AL683" s="12">
        <v>0</v>
      </c>
      <c r="AM683" s="12" t="s">
        <v>51</v>
      </c>
      <c r="AN683" s="12">
        <v>0</v>
      </c>
    </row>
    <row r="684" spans="1:40" x14ac:dyDescent="0.3">
      <c r="A684" s="62" t="s">
        <v>860</v>
      </c>
      <c r="B684" s="62"/>
      <c r="C684" s="63"/>
      <c r="D684" s="63"/>
      <c r="E684" s="12" t="s">
        <v>1217</v>
      </c>
      <c r="F684" s="12" t="s">
        <v>1218</v>
      </c>
      <c r="G684" s="12" t="b">
        <v>0</v>
      </c>
      <c r="H684" s="12" t="b">
        <v>1</v>
      </c>
      <c r="I684" s="12" t="b">
        <v>1</v>
      </c>
      <c r="J684" s="12" t="b">
        <v>1</v>
      </c>
      <c r="K684" s="12" t="b">
        <v>1</v>
      </c>
      <c r="L684" s="12" t="b">
        <v>1</v>
      </c>
      <c r="M684" s="12" t="b">
        <v>0</v>
      </c>
      <c r="N684" s="12">
        <v>0</v>
      </c>
      <c r="O684" s="12" t="b">
        <v>0</v>
      </c>
      <c r="P684" s="12" t="b">
        <v>0</v>
      </c>
      <c r="Q684" s="12" t="b">
        <v>0</v>
      </c>
      <c r="R684" s="12" t="b">
        <v>1</v>
      </c>
      <c r="S684" s="12" t="b">
        <v>1</v>
      </c>
      <c r="T684" s="12" t="b">
        <v>1</v>
      </c>
      <c r="U684" s="12" t="b">
        <v>0</v>
      </c>
      <c r="V684" s="12" t="b">
        <v>1</v>
      </c>
      <c r="W684" s="12" t="b">
        <v>0</v>
      </c>
      <c r="X684" s="12">
        <v>0</v>
      </c>
      <c r="Y684" s="12" t="b">
        <v>0</v>
      </c>
      <c r="Z684" s="12" t="b">
        <v>0</v>
      </c>
      <c r="AA684" s="12" t="b">
        <v>0</v>
      </c>
      <c r="AB684" s="12" t="b">
        <v>1</v>
      </c>
      <c r="AC684" s="12" t="b">
        <v>1</v>
      </c>
      <c r="AD684" s="12" t="b">
        <v>1</v>
      </c>
      <c r="AE684" s="12" t="b">
        <v>0</v>
      </c>
      <c r="AF684" s="12" t="b">
        <v>0</v>
      </c>
      <c r="AG684" s="12" t="b">
        <v>0</v>
      </c>
      <c r="AH684" s="12">
        <v>0</v>
      </c>
      <c r="AI684" s="12" t="b">
        <v>0</v>
      </c>
      <c r="AJ684" s="12" t="b">
        <v>0</v>
      </c>
      <c r="AK684" s="12" t="b">
        <v>1</v>
      </c>
      <c r="AL684" s="12">
        <v>0</v>
      </c>
      <c r="AM684" s="12" t="s">
        <v>51</v>
      </c>
      <c r="AN684" s="12">
        <v>0</v>
      </c>
    </row>
    <row r="685" spans="1:40" x14ac:dyDescent="0.3">
      <c r="A685" s="62" t="s">
        <v>860</v>
      </c>
      <c r="B685" s="62"/>
      <c r="C685" s="63"/>
      <c r="D685" s="63"/>
      <c r="E685" s="12" t="s">
        <v>1229</v>
      </c>
      <c r="F685" s="12" t="s">
        <v>1230</v>
      </c>
      <c r="G685" s="12" t="b">
        <v>0</v>
      </c>
      <c r="H685" s="12" t="b">
        <v>1</v>
      </c>
      <c r="I685" s="12" t="b">
        <v>1</v>
      </c>
      <c r="J685" s="12" t="b">
        <v>1</v>
      </c>
      <c r="K685" s="12" t="b">
        <v>1</v>
      </c>
      <c r="L685" s="12" t="b">
        <v>1</v>
      </c>
      <c r="M685" s="12" t="b">
        <v>0</v>
      </c>
      <c r="N685" s="12">
        <v>0</v>
      </c>
      <c r="O685" s="12" t="b">
        <v>0</v>
      </c>
      <c r="P685" s="12" t="b">
        <v>0</v>
      </c>
      <c r="Q685" s="12" t="b">
        <v>0</v>
      </c>
      <c r="R685" s="12" t="b">
        <v>1</v>
      </c>
      <c r="S685" s="12" t="b">
        <v>1</v>
      </c>
      <c r="T685" s="12" t="b">
        <v>1</v>
      </c>
      <c r="U685" s="12" t="b">
        <v>0</v>
      </c>
      <c r="V685" s="12" t="b">
        <v>1</v>
      </c>
      <c r="W685" s="12" t="b">
        <v>0</v>
      </c>
      <c r="X685" s="12">
        <v>0</v>
      </c>
      <c r="Y685" s="12" t="b">
        <v>0</v>
      </c>
      <c r="Z685" s="12" t="b">
        <v>0</v>
      </c>
      <c r="AA685" s="12" t="b">
        <v>0</v>
      </c>
      <c r="AB685" s="12" t="b">
        <v>1</v>
      </c>
      <c r="AC685" s="12" t="b">
        <v>1</v>
      </c>
      <c r="AD685" s="12" t="b">
        <v>1</v>
      </c>
      <c r="AE685" s="12" t="b">
        <v>0</v>
      </c>
      <c r="AF685" s="12" t="b">
        <v>0</v>
      </c>
      <c r="AG685" s="12" t="b">
        <v>0</v>
      </c>
      <c r="AH685" s="12">
        <v>0</v>
      </c>
      <c r="AI685" s="12" t="b">
        <v>0</v>
      </c>
      <c r="AJ685" s="12" t="b">
        <v>0</v>
      </c>
      <c r="AK685" s="12" t="b">
        <v>1</v>
      </c>
      <c r="AL685" s="12">
        <v>0</v>
      </c>
      <c r="AM685" s="12" t="s">
        <v>51</v>
      </c>
      <c r="AN685" s="12">
        <v>0</v>
      </c>
    </row>
    <row r="686" spans="1:40" x14ac:dyDescent="0.3">
      <c r="A686" s="62" t="s">
        <v>860</v>
      </c>
      <c r="B686" s="62"/>
      <c r="C686" s="63"/>
      <c r="D686" s="63"/>
      <c r="E686" s="12" t="s">
        <v>1219</v>
      </c>
      <c r="F686" s="12" t="s">
        <v>1220</v>
      </c>
      <c r="G686" s="12" t="b">
        <v>0</v>
      </c>
      <c r="H686" s="12" t="b">
        <v>1</v>
      </c>
      <c r="I686" s="12" t="b">
        <v>1</v>
      </c>
      <c r="J686" s="12" t="b">
        <v>1</v>
      </c>
      <c r="K686" s="12" t="b">
        <v>1</v>
      </c>
      <c r="L686" s="12" t="b">
        <v>1</v>
      </c>
      <c r="M686" s="12" t="b">
        <v>0</v>
      </c>
      <c r="N686" s="12">
        <v>0</v>
      </c>
      <c r="O686" s="12" t="b">
        <v>0</v>
      </c>
      <c r="P686" s="12" t="b">
        <v>0</v>
      </c>
      <c r="Q686" s="12" t="b">
        <v>0</v>
      </c>
      <c r="R686" s="12" t="b">
        <v>1</v>
      </c>
      <c r="S686" s="12" t="b">
        <v>1</v>
      </c>
      <c r="T686" s="12" t="b">
        <v>1</v>
      </c>
      <c r="U686" s="12" t="b">
        <v>0</v>
      </c>
      <c r="V686" s="12" t="b">
        <v>1</v>
      </c>
      <c r="W686" s="12" t="b">
        <v>0</v>
      </c>
      <c r="X686" s="12">
        <v>0</v>
      </c>
      <c r="Y686" s="12" t="b">
        <v>0</v>
      </c>
      <c r="Z686" s="12" t="b">
        <v>0</v>
      </c>
      <c r="AA686" s="12" t="b">
        <v>0</v>
      </c>
      <c r="AB686" s="12" t="b">
        <v>1</v>
      </c>
      <c r="AC686" s="12" t="b">
        <v>1</v>
      </c>
      <c r="AD686" s="12" t="b">
        <v>1</v>
      </c>
      <c r="AE686" s="12" t="b">
        <v>0</v>
      </c>
      <c r="AF686" s="12" t="b">
        <v>0</v>
      </c>
      <c r="AG686" s="12" t="b">
        <v>0</v>
      </c>
      <c r="AH686" s="12">
        <v>0</v>
      </c>
      <c r="AI686" s="12" t="b">
        <v>0</v>
      </c>
      <c r="AJ686" s="12" t="b">
        <v>0</v>
      </c>
      <c r="AK686" s="12" t="b">
        <v>1</v>
      </c>
      <c r="AL686" s="12">
        <v>0</v>
      </c>
      <c r="AM686" s="12" t="s">
        <v>51</v>
      </c>
      <c r="AN686" s="12">
        <v>0</v>
      </c>
    </row>
    <row r="687" spans="1:40" x14ac:dyDescent="0.3">
      <c r="A687" s="62" t="s">
        <v>860</v>
      </c>
      <c r="B687" s="62"/>
      <c r="C687" s="63"/>
      <c r="D687" s="63"/>
      <c r="E687" s="12" t="s">
        <v>2093</v>
      </c>
      <c r="F687" s="12" t="s">
        <v>2097</v>
      </c>
      <c r="G687" s="12" t="b">
        <v>0</v>
      </c>
      <c r="H687" s="12" t="b">
        <v>1</v>
      </c>
      <c r="I687" s="12" t="b">
        <v>1</v>
      </c>
      <c r="J687" s="12" t="b">
        <v>1</v>
      </c>
      <c r="K687" s="12" t="b">
        <v>0</v>
      </c>
      <c r="L687" s="12" t="b">
        <v>0</v>
      </c>
      <c r="M687" s="12" t="b">
        <v>0</v>
      </c>
      <c r="N687" s="12">
        <v>0</v>
      </c>
      <c r="O687" s="12" t="b">
        <v>0</v>
      </c>
      <c r="P687" s="12" t="b">
        <v>0</v>
      </c>
      <c r="Q687" s="12" t="b">
        <v>0</v>
      </c>
      <c r="R687" s="12" t="b">
        <v>1</v>
      </c>
      <c r="S687" s="12" t="b">
        <v>1</v>
      </c>
      <c r="T687" s="12" t="b">
        <v>1</v>
      </c>
      <c r="U687" s="12" t="b">
        <v>0</v>
      </c>
      <c r="V687" s="12" t="b">
        <v>0</v>
      </c>
      <c r="W687" s="12" t="b">
        <v>0</v>
      </c>
      <c r="X687" s="12">
        <v>-1</v>
      </c>
      <c r="Y687" s="12" t="b">
        <v>0</v>
      </c>
      <c r="Z687" s="12" t="b">
        <v>0</v>
      </c>
      <c r="AA687" s="12" t="b">
        <v>0</v>
      </c>
      <c r="AB687" s="12" t="b">
        <v>0</v>
      </c>
      <c r="AC687" s="12" t="b">
        <v>0</v>
      </c>
      <c r="AD687" s="12" t="b">
        <v>1</v>
      </c>
      <c r="AE687" s="12" t="b">
        <v>0</v>
      </c>
      <c r="AF687" s="12" t="b">
        <v>1</v>
      </c>
      <c r="AG687" s="12" t="b">
        <v>0</v>
      </c>
      <c r="AH687" s="12">
        <v>1</v>
      </c>
      <c r="AI687" s="12" t="b">
        <v>0</v>
      </c>
      <c r="AJ687" s="12" t="b">
        <v>0</v>
      </c>
      <c r="AK687" s="12" t="b">
        <v>1</v>
      </c>
      <c r="AL687" s="12">
        <v>1</v>
      </c>
      <c r="AM687" s="12" t="s">
        <v>900</v>
      </c>
      <c r="AN687" s="12">
        <v>1</v>
      </c>
    </row>
    <row r="688" spans="1:40" x14ac:dyDescent="0.3">
      <c r="A688" s="62" t="s">
        <v>860</v>
      </c>
      <c r="B688" s="62"/>
      <c r="C688" s="63"/>
      <c r="D688" s="63"/>
      <c r="E688" s="12" t="s">
        <v>1246</v>
      </c>
      <c r="F688" s="12" t="s">
        <v>1247</v>
      </c>
      <c r="G688" s="12" t="b">
        <v>0</v>
      </c>
      <c r="H688" s="12" t="b">
        <v>1</v>
      </c>
      <c r="I688" s="12" t="b">
        <v>1</v>
      </c>
      <c r="J688" s="12" t="b">
        <v>1</v>
      </c>
      <c r="K688" s="12" t="b">
        <v>0</v>
      </c>
      <c r="L688" s="12" t="b">
        <v>0</v>
      </c>
      <c r="M688" s="12" t="b">
        <v>0</v>
      </c>
      <c r="N688" s="12">
        <v>0</v>
      </c>
      <c r="O688" s="12" t="b">
        <v>0</v>
      </c>
      <c r="P688" s="12" t="b">
        <v>0</v>
      </c>
      <c r="Q688" s="12" t="b">
        <v>0</v>
      </c>
      <c r="R688" s="12" t="b">
        <v>1</v>
      </c>
      <c r="S688" s="12" t="b">
        <v>1</v>
      </c>
      <c r="T688" s="12" t="b">
        <v>1</v>
      </c>
      <c r="U688" s="12" t="b">
        <v>0</v>
      </c>
      <c r="V688" s="12" t="b">
        <v>1</v>
      </c>
      <c r="W688" s="12" t="b">
        <v>0</v>
      </c>
      <c r="X688" s="12">
        <v>0</v>
      </c>
      <c r="Y688" s="12" t="b">
        <v>0</v>
      </c>
      <c r="Z688" s="12" t="b">
        <v>0</v>
      </c>
      <c r="AA688" s="12" t="b">
        <v>1</v>
      </c>
      <c r="AB688" s="12" t="b">
        <v>1</v>
      </c>
      <c r="AC688" s="12" t="b">
        <v>1</v>
      </c>
      <c r="AD688" s="12" t="b">
        <v>1</v>
      </c>
      <c r="AE688" s="12" t="b">
        <v>0</v>
      </c>
      <c r="AF688" s="12" t="b">
        <v>0</v>
      </c>
      <c r="AG688" s="12" t="b">
        <v>0</v>
      </c>
      <c r="AH688" s="12">
        <v>100</v>
      </c>
      <c r="AI688" s="12" t="b">
        <v>0</v>
      </c>
      <c r="AJ688" s="12" t="b">
        <v>0</v>
      </c>
      <c r="AK688" s="12" t="b">
        <v>1</v>
      </c>
      <c r="AL688" s="12">
        <v>1</v>
      </c>
      <c r="AM688" s="12" t="s">
        <v>978</v>
      </c>
      <c r="AN688" s="12">
        <v>1</v>
      </c>
    </row>
    <row r="689" spans="1:40" x14ac:dyDescent="0.3">
      <c r="A689" s="62" t="s">
        <v>860</v>
      </c>
      <c r="B689" s="62"/>
      <c r="C689" s="63"/>
      <c r="D689" s="63"/>
      <c r="E689" s="12" t="s">
        <v>1034</v>
      </c>
      <c r="F689" s="12" t="s">
        <v>1311</v>
      </c>
      <c r="G689" s="12" t="b">
        <v>0</v>
      </c>
      <c r="H689" s="12" t="b">
        <v>0</v>
      </c>
      <c r="I689" s="12" t="b">
        <v>0</v>
      </c>
      <c r="J689" s="12" t="b">
        <v>0</v>
      </c>
      <c r="K689" s="12" t="b">
        <v>1</v>
      </c>
      <c r="L689" s="12" t="b">
        <v>1</v>
      </c>
      <c r="M689" s="12" t="b">
        <v>0</v>
      </c>
      <c r="N689" s="12">
        <v>0</v>
      </c>
      <c r="O689" s="12" t="b">
        <v>0</v>
      </c>
      <c r="P689" s="12" t="b">
        <v>0</v>
      </c>
      <c r="Q689" s="12" t="b">
        <v>0</v>
      </c>
      <c r="R689" s="12" t="b">
        <v>0</v>
      </c>
      <c r="S689" s="12" t="b">
        <v>0</v>
      </c>
      <c r="T689" s="12" t="b">
        <v>0</v>
      </c>
      <c r="U689" s="12" t="b">
        <v>0</v>
      </c>
      <c r="V689" s="12" t="b">
        <v>0</v>
      </c>
      <c r="W689" s="12" t="b">
        <v>0</v>
      </c>
      <c r="X689" s="12">
        <v>100</v>
      </c>
      <c r="Y689" s="12" t="b">
        <v>0</v>
      </c>
      <c r="Z689" s="12" t="b">
        <v>0</v>
      </c>
      <c r="AA689" s="12" t="b">
        <v>1</v>
      </c>
      <c r="AB689" s="12" t="b">
        <v>1</v>
      </c>
      <c r="AC689" s="12" t="b">
        <v>1</v>
      </c>
      <c r="AD689" s="12" t="b">
        <v>1</v>
      </c>
      <c r="AE689" s="12" t="b">
        <v>0</v>
      </c>
      <c r="AF689" s="12" t="b">
        <v>0</v>
      </c>
      <c r="AG689" s="12" t="b">
        <v>0</v>
      </c>
      <c r="AH689" s="12">
        <v>100</v>
      </c>
      <c r="AI689" s="12" t="b">
        <v>0</v>
      </c>
      <c r="AJ689" s="12" t="b">
        <v>0</v>
      </c>
      <c r="AK689" s="12" t="b">
        <v>1</v>
      </c>
      <c r="AL689" s="12">
        <v>0</v>
      </c>
      <c r="AM689" s="12" t="s">
        <v>51</v>
      </c>
      <c r="AN689" s="12">
        <v>0</v>
      </c>
    </row>
    <row r="690" spans="1:40" x14ac:dyDescent="0.3">
      <c r="A690" s="62" t="s">
        <v>860</v>
      </c>
      <c r="B690" s="62"/>
      <c r="C690" s="63"/>
      <c r="D690" s="63"/>
      <c r="E690" s="12" t="s">
        <v>1312</v>
      </c>
      <c r="F690" s="12" t="s">
        <v>1313</v>
      </c>
      <c r="G690" s="12" t="b">
        <v>0</v>
      </c>
      <c r="H690" s="12" t="b">
        <v>0</v>
      </c>
      <c r="I690" s="12" t="b">
        <v>0</v>
      </c>
      <c r="J690" s="12" t="b">
        <v>0</v>
      </c>
      <c r="K690" s="12" t="b">
        <v>1</v>
      </c>
      <c r="L690" s="12" t="b">
        <v>1</v>
      </c>
      <c r="M690" s="12" t="b">
        <v>0</v>
      </c>
      <c r="N690" s="12">
        <v>0</v>
      </c>
      <c r="O690" s="12" t="b">
        <v>0</v>
      </c>
      <c r="P690" s="12" t="b">
        <v>0</v>
      </c>
      <c r="Q690" s="12" t="b">
        <v>0</v>
      </c>
      <c r="R690" s="12" t="b">
        <v>0</v>
      </c>
      <c r="S690" s="12" t="b">
        <v>0</v>
      </c>
      <c r="T690" s="12" t="b">
        <v>0</v>
      </c>
      <c r="U690" s="12" t="b">
        <v>0</v>
      </c>
      <c r="V690" s="12" t="b">
        <v>0</v>
      </c>
      <c r="W690" s="12" t="b">
        <v>0</v>
      </c>
      <c r="X690" s="12">
        <v>100</v>
      </c>
      <c r="Y690" s="12" t="b">
        <v>0</v>
      </c>
      <c r="Z690" s="12" t="b">
        <v>0</v>
      </c>
      <c r="AA690" s="12" t="b">
        <v>0</v>
      </c>
      <c r="AB690" s="12" t="b">
        <v>1</v>
      </c>
      <c r="AC690" s="12" t="b">
        <v>1</v>
      </c>
      <c r="AD690" s="12" t="b">
        <v>1</v>
      </c>
      <c r="AE690" s="12" t="b">
        <v>0</v>
      </c>
      <c r="AF690" s="12" t="b">
        <v>0</v>
      </c>
      <c r="AG690" s="12" t="b">
        <v>0</v>
      </c>
      <c r="AH690" s="12">
        <v>0</v>
      </c>
      <c r="AI690" s="12" t="b">
        <v>0</v>
      </c>
      <c r="AJ690" s="12" t="b">
        <v>0</v>
      </c>
      <c r="AK690" s="12" t="b">
        <v>1</v>
      </c>
      <c r="AL690" s="12">
        <v>0</v>
      </c>
      <c r="AM690" s="12" t="s">
        <v>51</v>
      </c>
      <c r="AN690" s="12">
        <v>0</v>
      </c>
    </row>
    <row r="691" spans="1:40" x14ac:dyDescent="0.3">
      <c r="A691" s="62"/>
      <c r="B691" s="62"/>
      <c r="C691" s="63"/>
      <c r="D691" s="63"/>
      <c r="E691" s="12" t="s">
        <v>1818</v>
      </c>
      <c r="F691" s="12" t="s">
        <v>1819</v>
      </c>
      <c r="G691" s="12" t="b">
        <v>0</v>
      </c>
      <c r="H691" s="12" t="b">
        <v>1</v>
      </c>
      <c r="I691" s="12" t="b">
        <v>1</v>
      </c>
      <c r="J691" s="12" t="b">
        <v>1</v>
      </c>
      <c r="K691" s="12" t="b">
        <v>0</v>
      </c>
      <c r="L691" s="12" t="b">
        <v>0</v>
      </c>
      <c r="M691" s="12" t="b">
        <v>0</v>
      </c>
      <c r="N691" s="12">
        <v>0</v>
      </c>
      <c r="O691" s="12" t="b">
        <v>0</v>
      </c>
      <c r="P691" s="12" t="b">
        <v>0</v>
      </c>
      <c r="Q691" s="12" t="b">
        <v>0</v>
      </c>
      <c r="R691" s="12" t="b">
        <v>0</v>
      </c>
      <c r="S691" s="12" t="b">
        <v>0</v>
      </c>
      <c r="T691" s="12" t="b">
        <v>0</v>
      </c>
      <c r="U691" s="12" t="b">
        <v>0</v>
      </c>
      <c r="V691" s="12" t="b">
        <v>1</v>
      </c>
      <c r="W691" s="12" t="b">
        <v>0</v>
      </c>
      <c r="X691" s="12">
        <v>1</v>
      </c>
      <c r="Y691" s="12" t="b">
        <v>0</v>
      </c>
      <c r="Z691" s="12" t="b">
        <v>0</v>
      </c>
      <c r="AA691" s="12" t="b">
        <v>0</v>
      </c>
      <c r="AB691" s="12" t="b">
        <v>0</v>
      </c>
      <c r="AC691" s="12" t="b">
        <v>0</v>
      </c>
      <c r="AD691" s="12" t="b">
        <v>0</v>
      </c>
      <c r="AE691" s="12" t="b">
        <v>0</v>
      </c>
      <c r="AF691" s="12" t="b">
        <v>1</v>
      </c>
      <c r="AG691" s="12" t="b">
        <v>0</v>
      </c>
      <c r="AH691" s="12">
        <v>-1</v>
      </c>
      <c r="AI691" s="12" t="b">
        <v>0</v>
      </c>
      <c r="AJ691" s="12" t="b">
        <v>0</v>
      </c>
      <c r="AK691" s="12" t="b">
        <v>1</v>
      </c>
      <c r="AL691" s="12">
        <v>1</v>
      </c>
      <c r="AM691" s="12" t="s">
        <v>900</v>
      </c>
      <c r="AN691" s="12">
        <v>1</v>
      </c>
    </row>
    <row r="692" spans="1:40" x14ac:dyDescent="0.3">
      <c r="A692" s="62"/>
      <c r="B692" s="62"/>
      <c r="C692" s="63"/>
      <c r="D692" s="63"/>
      <c r="E692" s="12" t="s">
        <v>1826</v>
      </c>
      <c r="F692" s="12" t="s">
        <v>1829</v>
      </c>
      <c r="G692" s="12" t="b">
        <v>0</v>
      </c>
      <c r="H692" s="12" t="b">
        <v>1</v>
      </c>
      <c r="I692" s="12" t="b">
        <v>1</v>
      </c>
      <c r="J692" s="12" t="b">
        <v>1</v>
      </c>
      <c r="K692" s="12" t="b">
        <v>0</v>
      </c>
      <c r="L692" s="12" t="b">
        <v>0</v>
      </c>
      <c r="M692" s="12" t="b">
        <v>0</v>
      </c>
      <c r="N692" s="12">
        <v>0</v>
      </c>
      <c r="O692" s="12" t="b">
        <v>0</v>
      </c>
      <c r="P692" s="12" t="b">
        <v>0</v>
      </c>
      <c r="Q692" s="12" t="b">
        <v>0</v>
      </c>
      <c r="R692" s="12" t="b">
        <v>0</v>
      </c>
      <c r="S692" s="12" t="b">
        <v>0</v>
      </c>
      <c r="T692" s="12" t="b">
        <v>0</v>
      </c>
      <c r="U692" s="12" t="b">
        <v>0</v>
      </c>
      <c r="V692" s="12" t="b">
        <v>1</v>
      </c>
      <c r="W692" s="12" t="b">
        <v>0</v>
      </c>
      <c r="X692" s="12">
        <v>-1</v>
      </c>
      <c r="Y692" s="12" t="b">
        <v>0</v>
      </c>
      <c r="Z692" s="12" t="b">
        <v>0</v>
      </c>
      <c r="AA692" s="12" t="b">
        <v>1</v>
      </c>
      <c r="AB692" s="12" t="b">
        <v>1</v>
      </c>
      <c r="AC692" s="12" t="b">
        <v>1</v>
      </c>
      <c r="AD692" s="12" t="b">
        <v>1</v>
      </c>
      <c r="AE692" s="12" t="b">
        <v>0</v>
      </c>
      <c r="AF692" s="12" t="b">
        <v>0</v>
      </c>
      <c r="AG692" s="12" t="b">
        <v>0</v>
      </c>
      <c r="AH692" s="12">
        <v>0</v>
      </c>
      <c r="AI692" s="12" t="b">
        <v>0</v>
      </c>
      <c r="AJ692" s="12" t="b">
        <v>0</v>
      </c>
      <c r="AK692" s="12" t="b">
        <v>1</v>
      </c>
      <c r="AL692" s="12">
        <v>1</v>
      </c>
      <c r="AM692" s="12" t="s">
        <v>900</v>
      </c>
      <c r="AN692" s="12">
        <v>1</v>
      </c>
    </row>
    <row r="693" spans="1:40" x14ac:dyDescent="0.3">
      <c r="A693" s="62"/>
      <c r="B693" s="62"/>
      <c r="C693" s="63"/>
      <c r="D693" s="63"/>
      <c r="E693" s="12" t="s">
        <v>1827</v>
      </c>
      <c r="F693" s="12" t="s">
        <v>1830</v>
      </c>
      <c r="G693" s="12" t="b">
        <v>0</v>
      </c>
      <c r="H693" s="12" t="b">
        <v>1</v>
      </c>
      <c r="I693" s="12" t="b">
        <v>1</v>
      </c>
      <c r="J693" s="12" t="b">
        <v>1</v>
      </c>
      <c r="K693" s="12" t="b">
        <v>0</v>
      </c>
      <c r="L693" s="12" t="b">
        <v>0</v>
      </c>
      <c r="M693" s="12" t="b">
        <v>0</v>
      </c>
      <c r="N693" s="12">
        <v>0</v>
      </c>
      <c r="O693" s="12" t="b">
        <v>0</v>
      </c>
      <c r="P693" s="12" t="b">
        <v>0</v>
      </c>
      <c r="Q693" s="12" t="b">
        <v>0</v>
      </c>
      <c r="R693" s="12" t="b">
        <v>0</v>
      </c>
      <c r="S693" s="12" t="b">
        <v>0</v>
      </c>
      <c r="T693" s="12" t="b">
        <v>0</v>
      </c>
      <c r="U693" s="12" t="b">
        <v>0</v>
      </c>
      <c r="V693" s="12" t="b">
        <v>1</v>
      </c>
      <c r="W693" s="12" t="b">
        <v>0</v>
      </c>
      <c r="X693" s="12">
        <v>-1</v>
      </c>
      <c r="Y693" s="12" t="b">
        <v>0</v>
      </c>
      <c r="Z693" s="12" t="b">
        <v>0</v>
      </c>
      <c r="AA693" s="12" t="b">
        <v>1</v>
      </c>
      <c r="AB693" s="12" t="b">
        <v>1</v>
      </c>
      <c r="AC693" s="12" t="b">
        <v>1</v>
      </c>
      <c r="AD693" s="12" t="b">
        <v>1</v>
      </c>
      <c r="AE693" s="12" t="b">
        <v>0</v>
      </c>
      <c r="AF693" s="12" t="b">
        <v>0</v>
      </c>
      <c r="AG693" s="12" t="b">
        <v>0</v>
      </c>
      <c r="AH693" s="12">
        <v>0</v>
      </c>
      <c r="AI693" s="12" t="b">
        <v>0</v>
      </c>
      <c r="AJ693" s="12" t="b">
        <v>0</v>
      </c>
      <c r="AK693" s="12" t="b">
        <v>1</v>
      </c>
      <c r="AL693" s="12">
        <v>1</v>
      </c>
      <c r="AM693" s="12" t="s">
        <v>900</v>
      </c>
      <c r="AN693" s="12">
        <v>1</v>
      </c>
    </row>
    <row r="694" spans="1:40" x14ac:dyDescent="0.3">
      <c r="A694" s="62"/>
      <c r="B694" s="62"/>
      <c r="C694" s="63"/>
      <c r="D694" s="63"/>
      <c r="E694" s="12" t="s">
        <v>1825</v>
      </c>
      <c r="F694" s="12" t="s">
        <v>1828</v>
      </c>
      <c r="G694" s="12" t="b">
        <v>0</v>
      </c>
      <c r="H694" s="12" t="b">
        <v>1</v>
      </c>
      <c r="I694" s="12" t="b">
        <v>1</v>
      </c>
      <c r="J694" s="12" t="b">
        <v>1</v>
      </c>
      <c r="K694" s="12" t="b">
        <v>0</v>
      </c>
      <c r="L694" s="12" t="b">
        <v>0</v>
      </c>
      <c r="M694" s="12" t="b">
        <v>0</v>
      </c>
      <c r="N694" s="12">
        <v>0</v>
      </c>
      <c r="O694" s="12" t="b">
        <v>0</v>
      </c>
      <c r="P694" s="12" t="b">
        <v>0</v>
      </c>
      <c r="Q694" s="12" t="b">
        <v>0</v>
      </c>
      <c r="R694" s="12" t="b">
        <v>0</v>
      </c>
      <c r="S694" s="12" t="b">
        <v>0</v>
      </c>
      <c r="T694" s="12" t="b">
        <v>0</v>
      </c>
      <c r="U694" s="12" t="b">
        <v>0</v>
      </c>
      <c r="V694" s="12" t="b">
        <v>1</v>
      </c>
      <c r="W694" s="12" t="b">
        <v>0</v>
      </c>
      <c r="X694" s="12">
        <v>-1</v>
      </c>
      <c r="Y694" s="12" t="b">
        <v>0</v>
      </c>
      <c r="Z694" s="12" t="b">
        <v>0</v>
      </c>
      <c r="AA694" s="12" t="b">
        <v>1</v>
      </c>
      <c r="AB694" s="12" t="b">
        <v>1</v>
      </c>
      <c r="AC694" s="12" t="b">
        <v>1</v>
      </c>
      <c r="AD694" s="12" t="b">
        <v>1</v>
      </c>
      <c r="AE694" s="12" t="b">
        <v>0</v>
      </c>
      <c r="AF694" s="12" t="b">
        <v>0</v>
      </c>
      <c r="AG694" s="12" t="b">
        <v>0</v>
      </c>
      <c r="AH694" s="12">
        <v>0</v>
      </c>
      <c r="AI694" s="12" t="b">
        <v>0</v>
      </c>
      <c r="AJ694" s="12" t="b">
        <v>0</v>
      </c>
      <c r="AK694" s="12" t="b">
        <v>1</v>
      </c>
      <c r="AL694" s="12">
        <v>1</v>
      </c>
      <c r="AM694" s="12" t="s">
        <v>900</v>
      </c>
      <c r="AN694" s="12">
        <v>1</v>
      </c>
    </row>
    <row r="695" spans="1:40" x14ac:dyDescent="0.3">
      <c r="A695" s="62" t="s">
        <v>2431</v>
      </c>
      <c r="B695" s="62"/>
      <c r="C695" s="63" t="s">
        <v>1464</v>
      </c>
      <c r="D695" s="63" t="s">
        <v>1481</v>
      </c>
      <c r="E695" s="21" t="s">
        <v>1759</v>
      </c>
      <c r="F695" s="12" t="s">
        <v>1582</v>
      </c>
      <c r="G695" s="12" t="b">
        <v>0</v>
      </c>
      <c r="H695" s="12" t="b">
        <v>1</v>
      </c>
      <c r="I695" s="12" t="b">
        <v>1</v>
      </c>
      <c r="J695" s="12" t="b">
        <v>1</v>
      </c>
      <c r="K695" s="12" t="b">
        <v>0</v>
      </c>
      <c r="L695" s="12" t="b">
        <v>0</v>
      </c>
      <c r="M695" s="12" t="b">
        <v>0</v>
      </c>
      <c r="N695" s="12">
        <v>0</v>
      </c>
      <c r="O695" s="12" t="b">
        <v>0</v>
      </c>
      <c r="P695" s="12" t="b">
        <v>0</v>
      </c>
      <c r="Q695" s="12" t="b">
        <v>0</v>
      </c>
      <c r="R695" s="12" t="b">
        <v>0</v>
      </c>
      <c r="S695" s="12" t="b">
        <v>0</v>
      </c>
      <c r="T695" s="12" t="b">
        <v>1</v>
      </c>
      <c r="U695" s="12" t="b">
        <v>0</v>
      </c>
      <c r="V695" s="12" t="b">
        <v>1</v>
      </c>
      <c r="W695" s="12" t="b">
        <v>0</v>
      </c>
      <c r="X695" s="12">
        <v>1</v>
      </c>
      <c r="Y695" s="12" t="b">
        <v>0</v>
      </c>
      <c r="Z695" s="12" t="b">
        <v>0</v>
      </c>
      <c r="AA695" s="12" t="b">
        <v>1</v>
      </c>
      <c r="AB695" s="12" t="b">
        <v>1</v>
      </c>
      <c r="AC695" s="12" t="b">
        <v>1</v>
      </c>
      <c r="AD695" s="12" t="b">
        <v>1</v>
      </c>
      <c r="AE695" s="12" t="b">
        <v>0</v>
      </c>
      <c r="AF695" s="12" t="b">
        <v>0</v>
      </c>
      <c r="AG695" s="12" t="b">
        <v>0</v>
      </c>
      <c r="AH695" s="12">
        <v>0</v>
      </c>
      <c r="AI695" s="12" t="b">
        <v>0</v>
      </c>
      <c r="AJ695" s="12" t="b">
        <v>0</v>
      </c>
      <c r="AK695" s="12" t="b">
        <v>1</v>
      </c>
      <c r="AL695" s="12">
        <v>1</v>
      </c>
      <c r="AM695" s="12" t="s">
        <v>900</v>
      </c>
      <c r="AN695" s="12">
        <v>1</v>
      </c>
    </row>
    <row r="696" spans="1:40" x14ac:dyDescent="0.3">
      <c r="A696" s="62" t="s">
        <v>2431</v>
      </c>
      <c r="B696" s="62"/>
      <c r="C696" s="63" t="s">
        <v>1466</v>
      </c>
      <c r="D696" s="63" t="s">
        <v>1481</v>
      </c>
      <c r="E696" s="21" t="s">
        <v>1759</v>
      </c>
      <c r="F696" s="12" t="s">
        <v>1582</v>
      </c>
      <c r="G696" s="12" t="b">
        <v>0</v>
      </c>
      <c r="H696" s="12" t="b">
        <v>1</v>
      </c>
      <c r="I696" s="12" t="b">
        <v>1</v>
      </c>
      <c r="J696" s="12" t="b">
        <v>1</v>
      </c>
      <c r="K696" s="12" t="b">
        <v>0</v>
      </c>
      <c r="L696" s="12" t="b">
        <v>0</v>
      </c>
      <c r="M696" s="12" t="b">
        <v>0</v>
      </c>
      <c r="N696" s="12">
        <v>0</v>
      </c>
      <c r="O696" s="12" t="b">
        <v>0</v>
      </c>
      <c r="P696" s="12" t="b">
        <v>0</v>
      </c>
      <c r="Q696" s="12" t="b">
        <v>0</v>
      </c>
      <c r="R696" s="12" t="b">
        <v>0</v>
      </c>
      <c r="S696" s="12" t="b">
        <v>0</v>
      </c>
      <c r="T696" s="12" t="b">
        <v>1</v>
      </c>
      <c r="U696" s="12" t="b">
        <v>0</v>
      </c>
      <c r="V696" s="12" t="b">
        <v>1</v>
      </c>
      <c r="W696" s="12" t="b">
        <v>0</v>
      </c>
      <c r="X696" s="12">
        <v>1</v>
      </c>
      <c r="Y696" s="12" t="b">
        <v>0</v>
      </c>
      <c r="Z696" s="12" t="b">
        <v>0</v>
      </c>
      <c r="AA696" s="12" t="b">
        <v>1</v>
      </c>
      <c r="AB696" s="12" t="b">
        <v>1</v>
      </c>
      <c r="AC696" s="12" t="b">
        <v>1</v>
      </c>
      <c r="AD696" s="12" t="b">
        <v>1</v>
      </c>
      <c r="AE696" s="12" t="b">
        <v>0</v>
      </c>
      <c r="AF696" s="12" t="b">
        <v>0</v>
      </c>
      <c r="AG696" s="12" t="b">
        <v>0</v>
      </c>
      <c r="AH696" s="12">
        <v>0</v>
      </c>
      <c r="AI696" s="12" t="b">
        <v>0</v>
      </c>
      <c r="AJ696" s="12" t="b">
        <v>0</v>
      </c>
      <c r="AK696" s="12" t="b">
        <v>1</v>
      </c>
      <c r="AL696" s="12">
        <v>1</v>
      </c>
      <c r="AM696" s="12" t="s">
        <v>900</v>
      </c>
      <c r="AN696" s="12">
        <v>1</v>
      </c>
    </row>
    <row r="697" spans="1:40" x14ac:dyDescent="0.3">
      <c r="A697" s="62" t="s">
        <v>2431</v>
      </c>
      <c r="B697" s="62"/>
      <c r="C697" s="63" t="s">
        <v>1467</v>
      </c>
      <c r="D697" s="63" t="s">
        <v>1481</v>
      </c>
      <c r="E697" s="21" t="s">
        <v>1759</v>
      </c>
      <c r="F697" s="12" t="s">
        <v>1582</v>
      </c>
      <c r="G697" s="12" t="b">
        <v>0</v>
      </c>
      <c r="H697" s="12" t="b">
        <v>1</v>
      </c>
      <c r="I697" s="12" t="b">
        <v>1</v>
      </c>
      <c r="J697" s="12" t="b">
        <v>1</v>
      </c>
      <c r="K697" s="12" t="b">
        <v>0</v>
      </c>
      <c r="L697" s="12" t="b">
        <v>0</v>
      </c>
      <c r="M697" s="12" t="b">
        <v>0</v>
      </c>
      <c r="N697" s="12">
        <v>0</v>
      </c>
      <c r="O697" s="12" t="b">
        <v>0</v>
      </c>
      <c r="P697" s="12" t="b">
        <v>0</v>
      </c>
      <c r="Q697" s="12" t="b">
        <v>0</v>
      </c>
      <c r="R697" s="12" t="b">
        <v>0</v>
      </c>
      <c r="S697" s="12" t="b">
        <v>0</v>
      </c>
      <c r="T697" s="12" t="b">
        <v>1</v>
      </c>
      <c r="U697" s="12" t="b">
        <v>0</v>
      </c>
      <c r="V697" s="12" t="b">
        <v>1</v>
      </c>
      <c r="W697" s="12" t="b">
        <v>0</v>
      </c>
      <c r="X697" s="12">
        <v>1</v>
      </c>
      <c r="Y697" s="12" t="b">
        <v>0</v>
      </c>
      <c r="Z697" s="12" t="b">
        <v>0</v>
      </c>
      <c r="AA697" s="12" t="b">
        <v>1</v>
      </c>
      <c r="AB697" s="12" t="b">
        <v>1</v>
      </c>
      <c r="AC697" s="12" t="b">
        <v>1</v>
      </c>
      <c r="AD697" s="12" t="b">
        <v>1</v>
      </c>
      <c r="AE697" s="12" t="b">
        <v>0</v>
      </c>
      <c r="AF697" s="12" t="b">
        <v>0</v>
      </c>
      <c r="AG697" s="12" t="b">
        <v>0</v>
      </c>
      <c r="AH697" s="12">
        <v>0</v>
      </c>
      <c r="AI697" s="12" t="b">
        <v>0</v>
      </c>
      <c r="AJ697" s="12" t="b">
        <v>0</v>
      </c>
      <c r="AK697" s="12" t="b">
        <v>1</v>
      </c>
      <c r="AL697" s="12">
        <v>1</v>
      </c>
      <c r="AM697" s="12" t="s">
        <v>900</v>
      </c>
      <c r="AN697" s="12">
        <v>1</v>
      </c>
    </row>
    <row r="698" spans="1:40" x14ac:dyDescent="0.3">
      <c r="A698" s="62" t="s">
        <v>2431</v>
      </c>
      <c r="B698" s="62"/>
      <c r="C698" s="63" t="s">
        <v>1468</v>
      </c>
      <c r="D698" s="63" t="s">
        <v>1481</v>
      </c>
      <c r="E698" s="21" t="s">
        <v>1759</v>
      </c>
      <c r="F698" s="12" t="s">
        <v>1582</v>
      </c>
      <c r="G698" s="12" t="b">
        <v>0</v>
      </c>
      <c r="H698" s="12" t="b">
        <v>1</v>
      </c>
      <c r="I698" s="12" t="b">
        <v>1</v>
      </c>
      <c r="J698" s="12" t="b">
        <v>1</v>
      </c>
      <c r="K698" s="12" t="b">
        <v>0</v>
      </c>
      <c r="L698" s="12" t="b">
        <v>0</v>
      </c>
      <c r="M698" s="12" t="b">
        <v>0</v>
      </c>
      <c r="N698" s="12">
        <v>0</v>
      </c>
      <c r="O698" s="12" t="b">
        <v>0</v>
      </c>
      <c r="P698" s="12" t="b">
        <v>0</v>
      </c>
      <c r="Q698" s="12" t="b">
        <v>0</v>
      </c>
      <c r="R698" s="12" t="b">
        <v>0</v>
      </c>
      <c r="S698" s="12" t="b">
        <v>0</v>
      </c>
      <c r="T698" s="12" t="b">
        <v>1</v>
      </c>
      <c r="U698" s="12" t="b">
        <v>0</v>
      </c>
      <c r="V698" s="12" t="b">
        <v>1</v>
      </c>
      <c r="W698" s="12" t="b">
        <v>0</v>
      </c>
      <c r="X698" s="12">
        <v>1</v>
      </c>
      <c r="Y698" s="12" t="b">
        <v>0</v>
      </c>
      <c r="Z698" s="12" t="b">
        <v>0</v>
      </c>
      <c r="AA698" s="12" t="b">
        <v>1</v>
      </c>
      <c r="AB698" s="12" t="b">
        <v>1</v>
      </c>
      <c r="AC698" s="12" t="b">
        <v>1</v>
      </c>
      <c r="AD698" s="12" t="b">
        <v>1</v>
      </c>
      <c r="AE698" s="12" t="b">
        <v>0</v>
      </c>
      <c r="AF698" s="12" t="b">
        <v>0</v>
      </c>
      <c r="AG698" s="12" t="b">
        <v>0</v>
      </c>
      <c r="AH698" s="12">
        <v>0</v>
      </c>
      <c r="AI698" s="12" t="b">
        <v>0</v>
      </c>
      <c r="AJ698" s="12" t="b">
        <v>0</v>
      </c>
      <c r="AK698" s="12" t="b">
        <v>1</v>
      </c>
      <c r="AL698" s="12">
        <v>1</v>
      </c>
      <c r="AM698" s="12" t="s">
        <v>900</v>
      </c>
      <c r="AN698" s="12">
        <v>1</v>
      </c>
    </row>
    <row r="699" spans="1:40" x14ac:dyDescent="0.3">
      <c r="A699" s="62" t="s">
        <v>2431</v>
      </c>
      <c r="B699" s="62"/>
      <c r="C699" s="63" t="s">
        <v>1469</v>
      </c>
      <c r="D699" s="63" t="s">
        <v>1481</v>
      </c>
      <c r="E699" s="21" t="s">
        <v>1759</v>
      </c>
      <c r="F699" s="12" t="s">
        <v>1582</v>
      </c>
      <c r="G699" s="12" t="b">
        <v>0</v>
      </c>
      <c r="H699" s="12" t="b">
        <v>1</v>
      </c>
      <c r="I699" s="12" t="b">
        <v>1</v>
      </c>
      <c r="J699" s="12" t="b">
        <v>1</v>
      </c>
      <c r="K699" s="12" t="b">
        <v>0</v>
      </c>
      <c r="L699" s="12" t="b">
        <v>0</v>
      </c>
      <c r="M699" s="12" t="b">
        <v>0</v>
      </c>
      <c r="N699" s="12">
        <v>0</v>
      </c>
      <c r="O699" s="12" t="b">
        <v>0</v>
      </c>
      <c r="P699" s="12" t="b">
        <v>0</v>
      </c>
      <c r="Q699" s="12" t="b">
        <v>0</v>
      </c>
      <c r="R699" s="12" t="b">
        <v>0</v>
      </c>
      <c r="S699" s="12" t="b">
        <v>0</v>
      </c>
      <c r="T699" s="12" t="b">
        <v>1</v>
      </c>
      <c r="U699" s="12" t="b">
        <v>0</v>
      </c>
      <c r="V699" s="12" t="b">
        <v>1</v>
      </c>
      <c r="W699" s="12" t="b">
        <v>0</v>
      </c>
      <c r="X699" s="12">
        <v>1</v>
      </c>
      <c r="Y699" s="12" t="b">
        <v>0</v>
      </c>
      <c r="Z699" s="12" t="b">
        <v>0</v>
      </c>
      <c r="AA699" s="12" t="b">
        <v>1</v>
      </c>
      <c r="AB699" s="12" t="b">
        <v>1</v>
      </c>
      <c r="AC699" s="12" t="b">
        <v>1</v>
      </c>
      <c r="AD699" s="12" t="b">
        <v>1</v>
      </c>
      <c r="AE699" s="12" t="b">
        <v>0</v>
      </c>
      <c r="AF699" s="12" t="b">
        <v>0</v>
      </c>
      <c r="AG699" s="12" t="b">
        <v>0</v>
      </c>
      <c r="AH699" s="12">
        <v>0</v>
      </c>
      <c r="AI699" s="12" t="b">
        <v>0</v>
      </c>
      <c r="AJ699" s="12" t="b">
        <v>0</v>
      </c>
      <c r="AK699" s="12" t="b">
        <v>1</v>
      </c>
      <c r="AL699" s="12">
        <v>1</v>
      </c>
      <c r="AM699" s="12" t="s">
        <v>900</v>
      </c>
      <c r="AN699" s="12">
        <v>1</v>
      </c>
    </row>
    <row r="700" spans="1:40" x14ac:dyDescent="0.3">
      <c r="A700" s="62" t="s">
        <v>2431</v>
      </c>
      <c r="B700" s="62"/>
      <c r="C700" s="63" t="s">
        <v>1470</v>
      </c>
      <c r="D700" s="63" t="s">
        <v>1481</v>
      </c>
      <c r="E700" s="21" t="s">
        <v>1759</v>
      </c>
      <c r="F700" s="12" t="s">
        <v>1582</v>
      </c>
      <c r="G700" s="12" t="b">
        <v>0</v>
      </c>
      <c r="H700" s="12" t="b">
        <v>1</v>
      </c>
      <c r="I700" s="12" t="b">
        <v>1</v>
      </c>
      <c r="J700" s="12" t="b">
        <v>1</v>
      </c>
      <c r="K700" s="12" t="b">
        <v>0</v>
      </c>
      <c r="L700" s="12" t="b">
        <v>0</v>
      </c>
      <c r="M700" s="12" t="b">
        <v>0</v>
      </c>
      <c r="N700" s="12">
        <v>0</v>
      </c>
      <c r="O700" s="12" t="b">
        <v>0</v>
      </c>
      <c r="P700" s="12" t="b">
        <v>0</v>
      </c>
      <c r="Q700" s="12" t="b">
        <v>0</v>
      </c>
      <c r="R700" s="12" t="b">
        <v>0</v>
      </c>
      <c r="S700" s="12" t="b">
        <v>0</v>
      </c>
      <c r="T700" s="12" t="b">
        <v>1</v>
      </c>
      <c r="U700" s="12" t="b">
        <v>0</v>
      </c>
      <c r="V700" s="12" t="b">
        <v>1</v>
      </c>
      <c r="W700" s="12" t="b">
        <v>0</v>
      </c>
      <c r="X700" s="12">
        <v>1</v>
      </c>
      <c r="Y700" s="12" t="b">
        <v>0</v>
      </c>
      <c r="Z700" s="12" t="b">
        <v>0</v>
      </c>
      <c r="AA700" s="12" t="b">
        <v>1</v>
      </c>
      <c r="AB700" s="12" t="b">
        <v>1</v>
      </c>
      <c r="AC700" s="12" t="b">
        <v>1</v>
      </c>
      <c r="AD700" s="12" t="b">
        <v>1</v>
      </c>
      <c r="AE700" s="12" t="b">
        <v>0</v>
      </c>
      <c r="AF700" s="12" t="b">
        <v>0</v>
      </c>
      <c r="AG700" s="12" t="b">
        <v>0</v>
      </c>
      <c r="AH700" s="12">
        <v>0</v>
      </c>
      <c r="AI700" s="12" t="b">
        <v>0</v>
      </c>
      <c r="AJ700" s="12" t="b">
        <v>0</v>
      </c>
      <c r="AK700" s="12" t="b">
        <v>1</v>
      </c>
      <c r="AL700" s="12">
        <v>1</v>
      </c>
      <c r="AM700" s="12" t="s">
        <v>900</v>
      </c>
      <c r="AN700" s="12">
        <v>1</v>
      </c>
    </row>
    <row r="701" spans="1:40" x14ac:dyDescent="0.3">
      <c r="A701" s="62" t="s">
        <v>2431</v>
      </c>
      <c r="B701" s="62"/>
      <c r="C701" s="63" t="s">
        <v>1934</v>
      </c>
      <c r="D701" s="63" t="s">
        <v>1481</v>
      </c>
      <c r="E701" s="21" t="s">
        <v>1759</v>
      </c>
      <c r="F701" s="12" t="s">
        <v>1582</v>
      </c>
      <c r="G701" s="12" t="b">
        <v>0</v>
      </c>
      <c r="H701" s="12" t="b">
        <v>1</v>
      </c>
      <c r="I701" s="12" t="b">
        <v>1</v>
      </c>
      <c r="J701" s="12" t="b">
        <v>1</v>
      </c>
      <c r="K701" s="12" t="b">
        <v>0</v>
      </c>
      <c r="L701" s="12" t="b">
        <v>0</v>
      </c>
      <c r="M701" s="12" t="b">
        <v>0</v>
      </c>
      <c r="N701" s="12">
        <v>0</v>
      </c>
      <c r="O701" s="12" t="b">
        <v>0</v>
      </c>
      <c r="P701" s="12" t="b">
        <v>0</v>
      </c>
      <c r="Q701" s="12" t="b">
        <v>0</v>
      </c>
      <c r="R701" s="12" t="b">
        <v>0</v>
      </c>
      <c r="S701" s="12" t="b">
        <v>0</v>
      </c>
      <c r="T701" s="12" t="b">
        <v>1</v>
      </c>
      <c r="U701" s="12" t="b">
        <v>0</v>
      </c>
      <c r="V701" s="12" t="b">
        <v>1</v>
      </c>
      <c r="W701" s="12" t="b">
        <v>0</v>
      </c>
      <c r="X701" s="12">
        <v>1</v>
      </c>
      <c r="Y701" s="12" t="b">
        <v>0</v>
      </c>
      <c r="Z701" s="12" t="b">
        <v>0</v>
      </c>
      <c r="AA701" s="12" t="b">
        <v>1</v>
      </c>
      <c r="AB701" s="12" t="b">
        <v>1</v>
      </c>
      <c r="AC701" s="12" t="b">
        <v>1</v>
      </c>
      <c r="AD701" s="12" t="b">
        <v>1</v>
      </c>
      <c r="AE701" s="12" t="b">
        <v>0</v>
      </c>
      <c r="AF701" s="12" t="b">
        <v>0</v>
      </c>
      <c r="AG701" s="12" t="b">
        <v>0</v>
      </c>
      <c r="AH701" s="12">
        <v>0</v>
      </c>
      <c r="AI701" s="12" t="b">
        <v>0</v>
      </c>
      <c r="AJ701" s="12" t="b">
        <v>0</v>
      </c>
      <c r="AK701" s="12" t="b">
        <v>1</v>
      </c>
      <c r="AL701" s="12">
        <v>1</v>
      </c>
      <c r="AM701" s="12" t="s">
        <v>900</v>
      </c>
      <c r="AN701" s="12">
        <v>1</v>
      </c>
    </row>
    <row r="702" spans="1:40" x14ac:dyDescent="0.3">
      <c r="A702" s="62" t="s">
        <v>2431</v>
      </c>
      <c r="B702" s="62"/>
      <c r="C702" s="63" t="s">
        <v>1935</v>
      </c>
      <c r="D702" s="63" t="s">
        <v>1481</v>
      </c>
      <c r="E702" s="21" t="s">
        <v>1759</v>
      </c>
      <c r="F702" s="12" t="s">
        <v>1582</v>
      </c>
      <c r="G702" s="12" t="b">
        <v>0</v>
      </c>
      <c r="H702" s="12" t="b">
        <v>1</v>
      </c>
      <c r="I702" s="12" t="b">
        <v>1</v>
      </c>
      <c r="J702" s="12" t="b">
        <v>1</v>
      </c>
      <c r="K702" s="12" t="b">
        <v>0</v>
      </c>
      <c r="L702" s="12" t="b">
        <v>0</v>
      </c>
      <c r="M702" s="12" t="b">
        <v>0</v>
      </c>
      <c r="N702" s="12">
        <v>0</v>
      </c>
      <c r="O702" s="12" t="b">
        <v>0</v>
      </c>
      <c r="P702" s="12" t="b">
        <v>0</v>
      </c>
      <c r="Q702" s="12" t="b">
        <v>0</v>
      </c>
      <c r="R702" s="12" t="b">
        <v>0</v>
      </c>
      <c r="S702" s="12" t="b">
        <v>0</v>
      </c>
      <c r="T702" s="12" t="b">
        <v>1</v>
      </c>
      <c r="U702" s="12" t="b">
        <v>0</v>
      </c>
      <c r="V702" s="12" t="b">
        <v>1</v>
      </c>
      <c r="W702" s="12" t="b">
        <v>0</v>
      </c>
      <c r="X702" s="12">
        <v>1</v>
      </c>
      <c r="Y702" s="12" t="b">
        <v>0</v>
      </c>
      <c r="Z702" s="12" t="b">
        <v>0</v>
      </c>
      <c r="AA702" s="12" t="b">
        <v>1</v>
      </c>
      <c r="AB702" s="12" t="b">
        <v>1</v>
      </c>
      <c r="AC702" s="12" t="b">
        <v>1</v>
      </c>
      <c r="AD702" s="12" t="b">
        <v>1</v>
      </c>
      <c r="AE702" s="12" t="b">
        <v>0</v>
      </c>
      <c r="AF702" s="12" t="b">
        <v>0</v>
      </c>
      <c r="AG702" s="12" t="b">
        <v>0</v>
      </c>
      <c r="AH702" s="12">
        <v>0</v>
      </c>
      <c r="AI702" s="12" t="b">
        <v>0</v>
      </c>
      <c r="AJ702" s="12" t="b">
        <v>0</v>
      </c>
      <c r="AK702" s="12" t="b">
        <v>1</v>
      </c>
      <c r="AL702" s="12">
        <v>1</v>
      </c>
      <c r="AM702" s="12" t="s">
        <v>900</v>
      </c>
      <c r="AN702" s="12">
        <v>1</v>
      </c>
    </row>
    <row r="703" spans="1:40" x14ac:dyDescent="0.3">
      <c r="A703" s="62" t="s">
        <v>2431</v>
      </c>
      <c r="B703" s="62"/>
      <c r="C703" s="63" t="s">
        <v>1936</v>
      </c>
      <c r="D703" s="63" t="s">
        <v>1481</v>
      </c>
      <c r="E703" s="21" t="s">
        <v>1759</v>
      </c>
      <c r="F703" s="12" t="s">
        <v>1582</v>
      </c>
      <c r="G703" s="12" t="b">
        <v>0</v>
      </c>
      <c r="H703" s="12" t="b">
        <v>1</v>
      </c>
      <c r="I703" s="12" t="b">
        <v>1</v>
      </c>
      <c r="J703" s="12" t="b">
        <v>1</v>
      </c>
      <c r="K703" s="12" t="b">
        <v>0</v>
      </c>
      <c r="L703" s="12" t="b">
        <v>0</v>
      </c>
      <c r="M703" s="12" t="b">
        <v>0</v>
      </c>
      <c r="N703" s="12">
        <v>0</v>
      </c>
      <c r="O703" s="12" t="b">
        <v>0</v>
      </c>
      <c r="P703" s="12" t="b">
        <v>0</v>
      </c>
      <c r="Q703" s="12" t="b">
        <v>0</v>
      </c>
      <c r="R703" s="12" t="b">
        <v>0</v>
      </c>
      <c r="S703" s="12" t="b">
        <v>0</v>
      </c>
      <c r="T703" s="12" t="b">
        <v>1</v>
      </c>
      <c r="U703" s="12" t="b">
        <v>0</v>
      </c>
      <c r="V703" s="12" t="b">
        <v>1</v>
      </c>
      <c r="W703" s="12" t="b">
        <v>0</v>
      </c>
      <c r="X703" s="12">
        <v>1</v>
      </c>
      <c r="Y703" s="12" t="b">
        <v>0</v>
      </c>
      <c r="Z703" s="12" t="b">
        <v>0</v>
      </c>
      <c r="AA703" s="12" t="b">
        <v>1</v>
      </c>
      <c r="AB703" s="12" t="b">
        <v>1</v>
      </c>
      <c r="AC703" s="12" t="b">
        <v>1</v>
      </c>
      <c r="AD703" s="12" t="b">
        <v>1</v>
      </c>
      <c r="AE703" s="12" t="b">
        <v>0</v>
      </c>
      <c r="AF703" s="12" t="b">
        <v>0</v>
      </c>
      <c r="AG703" s="12" t="b">
        <v>0</v>
      </c>
      <c r="AH703" s="12">
        <v>0</v>
      </c>
      <c r="AI703" s="12" t="b">
        <v>0</v>
      </c>
      <c r="AJ703" s="12" t="b">
        <v>0</v>
      </c>
      <c r="AK703" s="12" t="b">
        <v>1</v>
      </c>
      <c r="AL703" s="12">
        <v>1</v>
      </c>
      <c r="AM703" s="12" t="s">
        <v>900</v>
      </c>
      <c r="AN703" s="12">
        <v>1</v>
      </c>
    </row>
    <row r="704" spans="1:40" x14ac:dyDescent="0.3">
      <c r="A704" s="62" t="s">
        <v>2431</v>
      </c>
      <c r="B704" s="62"/>
      <c r="C704" s="63" t="s">
        <v>1937</v>
      </c>
      <c r="D704" s="63" t="s">
        <v>1481</v>
      </c>
      <c r="E704" s="21" t="s">
        <v>1759</v>
      </c>
      <c r="F704" s="12" t="s">
        <v>1582</v>
      </c>
      <c r="G704" s="12" t="b">
        <v>0</v>
      </c>
      <c r="H704" s="12" t="b">
        <v>1</v>
      </c>
      <c r="I704" s="12" t="b">
        <v>1</v>
      </c>
      <c r="J704" s="12" t="b">
        <v>1</v>
      </c>
      <c r="K704" s="12" t="b">
        <v>0</v>
      </c>
      <c r="L704" s="12" t="b">
        <v>0</v>
      </c>
      <c r="M704" s="12" t="b">
        <v>0</v>
      </c>
      <c r="N704" s="12">
        <v>0</v>
      </c>
      <c r="O704" s="12" t="b">
        <v>0</v>
      </c>
      <c r="P704" s="12" t="b">
        <v>0</v>
      </c>
      <c r="Q704" s="12" t="b">
        <v>0</v>
      </c>
      <c r="R704" s="12" t="b">
        <v>0</v>
      </c>
      <c r="S704" s="12" t="b">
        <v>0</v>
      </c>
      <c r="T704" s="12" t="b">
        <v>1</v>
      </c>
      <c r="U704" s="12" t="b">
        <v>0</v>
      </c>
      <c r="V704" s="12" t="b">
        <v>1</v>
      </c>
      <c r="W704" s="12" t="b">
        <v>0</v>
      </c>
      <c r="X704" s="12">
        <v>1</v>
      </c>
      <c r="Y704" s="12" t="b">
        <v>0</v>
      </c>
      <c r="Z704" s="12" t="b">
        <v>0</v>
      </c>
      <c r="AA704" s="12" t="b">
        <v>1</v>
      </c>
      <c r="AB704" s="12" t="b">
        <v>1</v>
      </c>
      <c r="AC704" s="12" t="b">
        <v>1</v>
      </c>
      <c r="AD704" s="12" t="b">
        <v>1</v>
      </c>
      <c r="AE704" s="12" t="b">
        <v>0</v>
      </c>
      <c r="AF704" s="12" t="b">
        <v>0</v>
      </c>
      <c r="AG704" s="12" t="b">
        <v>0</v>
      </c>
      <c r="AH704" s="12">
        <v>0</v>
      </c>
      <c r="AI704" s="12" t="b">
        <v>0</v>
      </c>
      <c r="AJ704" s="12" t="b">
        <v>0</v>
      </c>
      <c r="AK704" s="12" t="b">
        <v>1</v>
      </c>
      <c r="AL704" s="12">
        <v>1</v>
      </c>
      <c r="AM704" s="12" t="s">
        <v>900</v>
      </c>
      <c r="AN704" s="12">
        <v>1</v>
      </c>
    </row>
    <row r="705" spans="1:40" x14ac:dyDescent="0.3">
      <c r="A705" s="62" t="s">
        <v>2431</v>
      </c>
      <c r="B705" s="62"/>
      <c r="C705" s="63" t="s">
        <v>1938</v>
      </c>
      <c r="D705" s="63" t="s">
        <v>1481</v>
      </c>
      <c r="E705" s="21" t="s">
        <v>1759</v>
      </c>
      <c r="F705" s="12" t="s">
        <v>1582</v>
      </c>
      <c r="G705" s="12" t="b">
        <v>0</v>
      </c>
      <c r="H705" s="12" t="b">
        <v>1</v>
      </c>
      <c r="I705" s="12" t="b">
        <v>1</v>
      </c>
      <c r="J705" s="12" t="b">
        <v>1</v>
      </c>
      <c r="K705" s="12" t="b">
        <v>0</v>
      </c>
      <c r="L705" s="12" t="b">
        <v>0</v>
      </c>
      <c r="M705" s="12" t="b">
        <v>0</v>
      </c>
      <c r="N705" s="12">
        <v>0</v>
      </c>
      <c r="O705" s="12" t="b">
        <v>0</v>
      </c>
      <c r="P705" s="12" t="b">
        <v>0</v>
      </c>
      <c r="Q705" s="12" t="b">
        <v>0</v>
      </c>
      <c r="R705" s="12" t="b">
        <v>0</v>
      </c>
      <c r="S705" s="12" t="b">
        <v>0</v>
      </c>
      <c r="T705" s="12" t="b">
        <v>1</v>
      </c>
      <c r="U705" s="12" t="b">
        <v>0</v>
      </c>
      <c r="V705" s="12" t="b">
        <v>1</v>
      </c>
      <c r="W705" s="12" t="b">
        <v>0</v>
      </c>
      <c r="X705" s="12">
        <v>1</v>
      </c>
      <c r="Y705" s="12" t="b">
        <v>0</v>
      </c>
      <c r="Z705" s="12" t="b">
        <v>0</v>
      </c>
      <c r="AA705" s="12" t="b">
        <v>1</v>
      </c>
      <c r="AB705" s="12" t="b">
        <v>1</v>
      </c>
      <c r="AC705" s="12" t="b">
        <v>1</v>
      </c>
      <c r="AD705" s="12" t="b">
        <v>1</v>
      </c>
      <c r="AE705" s="12" t="b">
        <v>0</v>
      </c>
      <c r="AF705" s="12" t="b">
        <v>0</v>
      </c>
      <c r="AG705" s="12" t="b">
        <v>0</v>
      </c>
      <c r="AH705" s="12">
        <v>0</v>
      </c>
      <c r="AI705" s="12" t="b">
        <v>0</v>
      </c>
      <c r="AJ705" s="12" t="b">
        <v>0</v>
      </c>
      <c r="AK705" s="12" t="b">
        <v>1</v>
      </c>
      <c r="AL705" s="12">
        <v>1</v>
      </c>
      <c r="AM705" s="12" t="s">
        <v>900</v>
      </c>
      <c r="AN705" s="12">
        <v>1</v>
      </c>
    </row>
    <row r="706" spans="1:40" x14ac:dyDescent="0.3">
      <c r="A706" s="62" t="s">
        <v>2431</v>
      </c>
      <c r="B706" s="62"/>
      <c r="C706" s="63" t="s">
        <v>1939</v>
      </c>
      <c r="D706" s="63" t="s">
        <v>1481</v>
      </c>
      <c r="E706" s="21" t="s">
        <v>1759</v>
      </c>
      <c r="F706" s="12" t="s">
        <v>1582</v>
      </c>
      <c r="G706" s="12" t="b">
        <v>0</v>
      </c>
      <c r="H706" s="12" t="b">
        <v>1</v>
      </c>
      <c r="I706" s="12" t="b">
        <v>1</v>
      </c>
      <c r="J706" s="12" t="b">
        <v>1</v>
      </c>
      <c r="K706" s="12" t="b">
        <v>0</v>
      </c>
      <c r="L706" s="12" t="b">
        <v>0</v>
      </c>
      <c r="M706" s="12" t="b">
        <v>0</v>
      </c>
      <c r="N706" s="12">
        <v>0</v>
      </c>
      <c r="O706" s="12" t="b">
        <v>0</v>
      </c>
      <c r="P706" s="12" t="b">
        <v>0</v>
      </c>
      <c r="Q706" s="12" t="b">
        <v>0</v>
      </c>
      <c r="R706" s="12" t="b">
        <v>0</v>
      </c>
      <c r="S706" s="12" t="b">
        <v>0</v>
      </c>
      <c r="T706" s="12" t="b">
        <v>1</v>
      </c>
      <c r="U706" s="12" t="b">
        <v>0</v>
      </c>
      <c r="V706" s="12" t="b">
        <v>1</v>
      </c>
      <c r="W706" s="12" t="b">
        <v>0</v>
      </c>
      <c r="X706" s="12">
        <v>1</v>
      </c>
      <c r="Y706" s="12" t="b">
        <v>0</v>
      </c>
      <c r="Z706" s="12" t="b">
        <v>0</v>
      </c>
      <c r="AA706" s="12" t="b">
        <v>1</v>
      </c>
      <c r="AB706" s="12" t="b">
        <v>1</v>
      </c>
      <c r="AC706" s="12" t="b">
        <v>1</v>
      </c>
      <c r="AD706" s="12" t="b">
        <v>1</v>
      </c>
      <c r="AE706" s="12" t="b">
        <v>0</v>
      </c>
      <c r="AF706" s="12" t="b">
        <v>0</v>
      </c>
      <c r="AG706" s="12" t="b">
        <v>0</v>
      </c>
      <c r="AH706" s="12">
        <v>0</v>
      </c>
      <c r="AI706" s="12" t="b">
        <v>0</v>
      </c>
      <c r="AJ706" s="12" t="b">
        <v>0</v>
      </c>
      <c r="AK706" s="12" t="b">
        <v>1</v>
      </c>
      <c r="AL706" s="12">
        <v>1</v>
      </c>
      <c r="AM706" s="12" t="s">
        <v>900</v>
      </c>
      <c r="AN706" s="12">
        <v>1</v>
      </c>
    </row>
    <row r="707" spans="1:40" x14ac:dyDescent="0.3">
      <c r="A707" s="62" t="s">
        <v>2431</v>
      </c>
      <c r="B707" s="62"/>
      <c r="C707" s="63" t="s">
        <v>1464</v>
      </c>
      <c r="D707" s="63" t="s">
        <v>1594</v>
      </c>
      <c r="E707" s="21" t="s">
        <v>1760</v>
      </c>
      <c r="F707" s="12" t="s">
        <v>1583</v>
      </c>
      <c r="G707" s="12" t="b">
        <v>0</v>
      </c>
      <c r="H707" s="12" t="b">
        <v>1</v>
      </c>
      <c r="I707" s="12" t="b">
        <v>1</v>
      </c>
      <c r="J707" s="12" t="b">
        <v>1</v>
      </c>
      <c r="K707" s="12" t="b">
        <v>0</v>
      </c>
      <c r="L707" s="12" t="b">
        <v>0</v>
      </c>
      <c r="M707" s="12" t="b">
        <v>0</v>
      </c>
      <c r="N707" s="12">
        <v>0</v>
      </c>
      <c r="O707" s="12" t="b">
        <v>0</v>
      </c>
      <c r="P707" s="12" t="b">
        <v>0</v>
      </c>
      <c r="Q707" s="12" t="b">
        <v>0</v>
      </c>
      <c r="R707" s="12" t="b">
        <v>0</v>
      </c>
      <c r="S707" s="12" t="b">
        <v>0</v>
      </c>
      <c r="T707" s="12" t="b">
        <v>1</v>
      </c>
      <c r="U707" s="12" t="b">
        <v>0</v>
      </c>
      <c r="V707" s="12" t="b">
        <v>1</v>
      </c>
      <c r="W707" s="12" t="b">
        <v>0</v>
      </c>
      <c r="X707" s="12">
        <v>1</v>
      </c>
      <c r="Y707" s="12" t="b">
        <v>0</v>
      </c>
      <c r="Z707" s="12" t="b">
        <v>0</v>
      </c>
      <c r="AA707" s="12" t="b">
        <v>1</v>
      </c>
      <c r="AB707" s="12" t="b">
        <v>1</v>
      </c>
      <c r="AC707" s="12" t="b">
        <v>1</v>
      </c>
      <c r="AD707" s="12" t="b">
        <v>1</v>
      </c>
      <c r="AE707" s="12" t="b">
        <v>0</v>
      </c>
      <c r="AF707" s="12" t="b">
        <v>0</v>
      </c>
      <c r="AG707" s="12" t="b">
        <v>0</v>
      </c>
      <c r="AH707" s="12">
        <v>0</v>
      </c>
      <c r="AI707" s="12" t="b">
        <v>0</v>
      </c>
      <c r="AJ707" s="12" t="b">
        <v>0</v>
      </c>
      <c r="AK707" s="12" t="b">
        <v>1</v>
      </c>
      <c r="AL707" s="12">
        <v>1</v>
      </c>
      <c r="AM707" s="12" t="s">
        <v>900</v>
      </c>
      <c r="AN707" s="12">
        <v>1</v>
      </c>
    </row>
    <row r="708" spans="1:40" x14ac:dyDescent="0.3">
      <c r="A708" s="62" t="s">
        <v>2431</v>
      </c>
      <c r="B708" s="62"/>
      <c r="C708" s="63" t="s">
        <v>1466</v>
      </c>
      <c r="D708" s="63" t="s">
        <v>1594</v>
      </c>
      <c r="E708" s="21" t="s">
        <v>1760</v>
      </c>
      <c r="F708" s="12" t="s">
        <v>1583</v>
      </c>
      <c r="G708" s="12" t="b">
        <v>0</v>
      </c>
      <c r="H708" s="12" t="b">
        <v>1</v>
      </c>
      <c r="I708" s="12" t="b">
        <v>1</v>
      </c>
      <c r="J708" s="12" t="b">
        <v>1</v>
      </c>
      <c r="K708" s="12" t="b">
        <v>0</v>
      </c>
      <c r="L708" s="12" t="b">
        <v>0</v>
      </c>
      <c r="M708" s="12" t="b">
        <v>0</v>
      </c>
      <c r="N708" s="12">
        <v>0</v>
      </c>
      <c r="O708" s="12" t="b">
        <v>0</v>
      </c>
      <c r="P708" s="12" t="b">
        <v>0</v>
      </c>
      <c r="Q708" s="12" t="b">
        <v>0</v>
      </c>
      <c r="R708" s="12" t="b">
        <v>0</v>
      </c>
      <c r="S708" s="12" t="b">
        <v>0</v>
      </c>
      <c r="T708" s="12" t="b">
        <v>1</v>
      </c>
      <c r="U708" s="12" t="b">
        <v>0</v>
      </c>
      <c r="V708" s="12" t="b">
        <v>1</v>
      </c>
      <c r="W708" s="12" t="b">
        <v>0</v>
      </c>
      <c r="X708" s="12">
        <v>1</v>
      </c>
      <c r="Y708" s="12" t="b">
        <v>0</v>
      </c>
      <c r="Z708" s="12" t="b">
        <v>0</v>
      </c>
      <c r="AA708" s="12" t="b">
        <v>1</v>
      </c>
      <c r="AB708" s="12" t="b">
        <v>1</v>
      </c>
      <c r="AC708" s="12" t="b">
        <v>1</v>
      </c>
      <c r="AD708" s="12" t="b">
        <v>1</v>
      </c>
      <c r="AE708" s="12" t="b">
        <v>0</v>
      </c>
      <c r="AF708" s="12" t="b">
        <v>0</v>
      </c>
      <c r="AG708" s="12" t="b">
        <v>0</v>
      </c>
      <c r="AH708" s="12">
        <v>0</v>
      </c>
      <c r="AI708" s="12" t="b">
        <v>0</v>
      </c>
      <c r="AJ708" s="12" t="b">
        <v>0</v>
      </c>
      <c r="AK708" s="12" t="b">
        <v>1</v>
      </c>
      <c r="AL708" s="12">
        <v>1</v>
      </c>
      <c r="AM708" s="12" t="s">
        <v>900</v>
      </c>
      <c r="AN708" s="12">
        <v>1</v>
      </c>
    </row>
    <row r="709" spans="1:40" x14ac:dyDescent="0.3">
      <c r="A709" s="62" t="s">
        <v>2431</v>
      </c>
      <c r="B709" s="62"/>
      <c r="C709" s="63" t="s">
        <v>1467</v>
      </c>
      <c r="D709" s="63" t="s">
        <v>1594</v>
      </c>
      <c r="E709" s="21" t="s">
        <v>1760</v>
      </c>
      <c r="F709" s="12" t="s">
        <v>1583</v>
      </c>
      <c r="G709" s="12" t="b">
        <v>0</v>
      </c>
      <c r="H709" s="12" t="b">
        <v>1</v>
      </c>
      <c r="I709" s="12" t="b">
        <v>1</v>
      </c>
      <c r="J709" s="12" t="b">
        <v>1</v>
      </c>
      <c r="K709" s="12" t="b">
        <v>0</v>
      </c>
      <c r="L709" s="12" t="b">
        <v>0</v>
      </c>
      <c r="M709" s="12" t="b">
        <v>0</v>
      </c>
      <c r="N709" s="12">
        <v>0</v>
      </c>
      <c r="O709" s="12" t="b">
        <v>0</v>
      </c>
      <c r="P709" s="12" t="b">
        <v>0</v>
      </c>
      <c r="Q709" s="12" t="b">
        <v>0</v>
      </c>
      <c r="R709" s="12" t="b">
        <v>0</v>
      </c>
      <c r="S709" s="12" t="b">
        <v>0</v>
      </c>
      <c r="T709" s="12" t="b">
        <v>1</v>
      </c>
      <c r="U709" s="12" t="b">
        <v>0</v>
      </c>
      <c r="V709" s="12" t="b">
        <v>1</v>
      </c>
      <c r="W709" s="12" t="b">
        <v>0</v>
      </c>
      <c r="X709" s="12">
        <v>1</v>
      </c>
      <c r="Y709" s="12" t="b">
        <v>0</v>
      </c>
      <c r="Z709" s="12" t="b">
        <v>0</v>
      </c>
      <c r="AA709" s="12" t="b">
        <v>1</v>
      </c>
      <c r="AB709" s="12" t="b">
        <v>1</v>
      </c>
      <c r="AC709" s="12" t="b">
        <v>1</v>
      </c>
      <c r="AD709" s="12" t="b">
        <v>1</v>
      </c>
      <c r="AE709" s="12" t="b">
        <v>0</v>
      </c>
      <c r="AF709" s="12" t="b">
        <v>0</v>
      </c>
      <c r="AG709" s="12" t="b">
        <v>0</v>
      </c>
      <c r="AH709" s="12">
        <v>0</v>
      </c>
      <c r="AI709" s="12" t="b">
        <v>0</v>
      </c>
      <c r="AJ709" s="12" t="b">
        <v>0</v>
      </c>
      <c r="AK709" s="12" t="b">
        <v>1</v>
      </c>
      <c r="AL709" s="12">
        <v>1</v>
      </c>
      <c r="AM709" s="12" t="s">
        <v>900</v>
      </c>
      <c r="AN709" s="12">
        <v>1</v>
      </c>
    </row>
    <row r="710" spans="1:40" x14ac:dyDescent="0.3">
      <c r="A710" s="62" t="s">
        <v>2431</v>
      </c>
      <c r="B710" s="62"/>
      <c r="C710" s="63" t="s">
        <v>1468</v>
      </c>
      <c r="D710" s="63" t="s">
        <v>1594</v>
      </c>
      <c r="E710" s="21" t="s">
        <v>1760</v>
      </c>
      <c r="F710" s="12" t="s">
        <v>1583</v>
      </c>
      <c r="G710" s="12" t="b">
        <v>0</v>
      </c>
      <c r="H710" s="12" t="b">
        <v>1</v>
      </c>
      <c r="I710" s="12" t="b">
        <v>1</v>
      </c>
      <c r="J710" s="12" t="b">
        <v>1</v>
      </c>
      <c r="K710" s="12" t="b">
        <v>0</v>
      </c>
      <c r="L710" s="12" t="b">
        <v>0</v>
      </c>
      <c r="M710" s="12" t="b">
        <v>0</v>
      </c>
      <c r="N710" s="12">
        <v>0</v>
      </c>
      <c r="O710" s="12" t="b">
        <v>0</v>
      </c>
      <c r="P710" s="12" t="b">
        <v>0</v>
      </c>
      <c r="Q710" s="12" t="b">
        <v>0</v>
      </c>
      <c r="R710" s="12" t="b">
        <v>0</v>
      </c>
      <c r="S710" s="12" t="b">
        <v>0</v>
      </c>
      <c r="T710" s="12" t="b">
        <v>1</v>
      </c>
      <c r="U710" s="12" t="b">
        <v>0</v>
      </c>
      <c r="V710" s="12" t="b">
        <v>1</v>
      </c>
      <c r="W710" s="12" t="b">
        <v>0</v>
      </c>
      <c r="X710" s="12">
        <v>1</v>
      </c>
      <c r="Y710" s="12" t="b">
        <v>0</v>
      </c>
      <c r="Z710" s="12" t="b">
        <v>0</v>
      </c>
      <c r="AA710" s="12" t="b">
        <v>1</v>
      </c>
      <c r="AB710" s="12" t="b">
        <v>1</v>
      </c>
      <c r="AC710" s="12" t="b">
        <v>1</v>
      </c>
      <c r="AD710" s="12" t="b">
        <v>1</v>
      </c>
      <c r="AE710" s="12" t="b">
        <v>0</v>
      </c>
      <c r="AF710" s="12" t="b">
        <v>0</v>
      </c>
      <c r="AG710" s="12" t="b">
        <v>0</v>
      </c>
      <c r="AH710" s="12">
        <v>0</v>
      </c>
      <c r="AI710" s="12" t="b">
        <v>0</v>
      </c>
      <c r="AJ710" s="12" t="b">
        <v>0</v>
      </c>
      <c r="AK710" s="12" t="b">
        <v>1</v>
      </c>
      <c r="AL710" s="12">
        <v>1</v>
      </c>
      <c r="AM710" s="12" t="s">
        <v>900</v>
      </c>
      <c r="AN710" s="12">
        <v>1</v>
      </c>
    </row>
    <row r="711" spans="1:40" x14ac:dyDescent="0.3">
      <c r="A711" s="62" t="s">
        <v>2431</v>
      </c>
      <c r="B711" s="62"/>
      <c r="C711" s="63" t="s">
        <v>1469</v>
      </c>
      <c r="D711" s="63" t="s">
        <v>1594</v>
      </c>
      <c r="E711" s="21" t="s">
        <v>1760</v>
      </c>
      <c r="F711" s="12" t="s">
        <v>1583</v>
      </c>
      <c r="G711" s="12" t="b">
        <v>0</v>
      </c>
      <c r="H711" s="12" t="b">
        <v>1</v>
      </c>
      <c r="I711" s="12" t="b">
        <v>1</v>
      </c>
      <c r="J711" s="12" t="b">
        <v>1</v>
      </c>
      <c r="K711" s="12" t="b">
        <v>0</v>
      </c>
      <c r="L711" s="12" t="b">
        <v>0</v>
      </c>
      <c r="M711" s="12" t="b">
        <v>0</v>
      </c>
      <c r="N711" s="12">
        <v>0</v>
      </c>
      <c r="O711" s="12" t="b">
        <v>0</v>
      </c>
      <c r="P711" s="12" t="b">
        <v>0</v>
      </c>
      <c r="Q711" s="12" t="b">
        <v>0</v>
      </c>
      <c r="R711" s="12" t="b">
        <v>0</v>
      </c>
      <c r="S711" s="12" t="b">
        <v>0</v>
      </c>
      <c r="T711" s="12" t="b">
        <v>1</v>
      </c>
      <c r="U711" s="12" t="b">
        <v>0</v>
      </c>
      <c r="V711" s="12" t="b">
        <v>1</v>
      </c>
      <c r="W711" s="12" t="b">
        <v>0</v>
      </c>
      <c r="X711" s="12">
        <v>1</v>
      </c>
      <c r="Y711" s="12" t="b">
        <v>0</v>
      </c>
      <c r="Z711" s="12" t="b">
        <v>0</v>
      </c>
      <c r="AA711" s="12" t="b">
        <v>1</v>
      </c>
      <c r="AB711" s="12" t="b">
        <v>1</v>
      </c>
      <c r="AC711" s="12" t="b">
        <v>1</v>
      </c>
      <c r="AD711" s="12" t="b">
        <v>1</v>
      </c>
      <c r="AE711" s="12" t="b">
        <v>0</v>
      </c>
      <c r="AF711" s="12" t="b">
        <v>0</v>
      </c>
      <c r="AG711" s="12" t="b">
        <v>0</v>
      </c>
      <c r="AH711" s="12">
        <v>0</v>
      </c>
      <c r="AI711" s="12" t="b">
        <v>0</v>
      </c>
      <c r="AJ711" s="12" t="b">
        <v>0</v>
      </c>
      <c r="AK711" s="12" t="b">
        <v>1</v>
      </c>
      <c r="AL711" s="12">
        <v>1</v>
      </c>
      <c r="AM711" s="12" t="s">
        <v>900</v>
      </c>
      <c r="AN711" s="12">
        <v>1</v>
      </c>
    </row>
    <row r="712" spans="1:40" x14ac:dyDescent="0.3">
      <c r="A712" s="62" t="s">
        <v>2431</v>
      </c>
      <c r="B712" s="62"/>
      <c r="C712" s="63" t="s">
        <v>1470</v>
      </c>
      <c r="D712" s="63" t="s">
        <v>1594</v>
      </c>
      <c r="E712" s="21" t="s">
        <v>1760</v>
      </c>
      <c r="F712" s="12" t="s">
        <v>1583</v>
      </c>
      <c r="G712" s="12" t="b">
        <v>0</v>
      </c>
      <c r="H712" s="12" t="b">
        <v>1</v>
      </c>
      <c r="I712" s="12" t="b">
        <v>1</v>
      </c>
      <c r="J712" s="12" t="b">
        <v>1</v>
      </c>
      <c r="K712" s="12" t="b">
        <v>0</v>
      </c>
      <c r="L712" s="12" t="b">
        <v>0</v>
      </c>
      <c r="M712" s="12" t="b">
        <v>0</v>
      </c>
      <c r="N712" s="12">
        <v>0</v>
      </c>
      <c r="O712" s="12" t="b">
        <v>0</v>
      </c>
      <c r="P712" s="12" t="b">
        <v>0</v>
      </c>
      <c r="Q712" s="12" t="b">
        <v>0</v>
      </c>
      <c r="R712" s="12" t="b">
        <v>0</v>
      </c>
      <c r="S712" s="12" t="b">
        <v>0</v>
      </c>
      <c r="T712" s="12" t="b">
        <v>1</v>
      </c>
      <c r="U712" s="12" t="b">
        <v>0</v>
      </c>
      <c r="V712" s="12" t="b">
        <v>1</v>
      </c>
      <c r="W712" s="12" t="b">
        <v>0</v>
      </c>
      <c r="X712" s="12">
        <v>1</v>
      </c>
      <c r="Y712" s="12" t="b">
        <v>0</v>
      </c>
      <c r="Z712" s="12" t="b">
        <v>0</v>
      </c>
      <c r="AA712" s="12" t="b">
        <v>1</v>
      </c>
      <c r="AB712" s="12" t="b">
        <v>1</v>
      </c>
      <c r="AC712" s="12" t="b">
        <v>1</v>
      </c>
      <c r="AD712" s="12" t="b">
        <v>1</v>
      </c>
      <c r="AE712" s="12" t="b">
        <v>0</v>
      </c>
      <c r="AF712" s="12" t="b">
        <v>0</v>
      </c>
      <c r="AG712" s="12" t="b">
        <v>0</v>
      </c>
      <c r="AH712" s="12">
        <v>0</v>
      </c>
      <c r="AI712" s="12" t="b">
        <v>0</v>
      </c>
      <c r="AJ712" s="12" t="b">
        <v>0</v>
      </c>
      <c r="AK712" s="12" t="b">
        <v>1</v>
      </c>
      <c r="AL712" s="12">
        <v>1</v>
      </c>
      <c r="AM712" s="12" t="s">
        <v>900</v>
      </c>
      <c r="AN712" s="12">
        <v>1</v>
      </c>
    </row>
    <row r="713" spans="1:40" x14ac:dyDescent="0.3">
      <c r="A713" s="62" t="s">
        <v>2431</v>
      </c>
      <c r="B713" s="62"/>
      <c r="C713" s="63" t="s">
        <v>1934</v>
      </c>
      <c r="D713" s="63" t="s">
        <v>1594</v>
      </c>
      <c r="E713" s="21" t="s">
        <v>1760</v>
      </c>
      <c r="F713" s="12" t="s">
        <v>1583</v>
      </c>
      <c r="G713" s="12" t="b">
        <v>0</v>
      </c>
      <c r="H713" s="12" t="b">
        <v>1</v>
      </c>
      <c r="I713" s="12" t="b">
        <v>1</v>
      </c>
      <c r="J713" s="12" t="b">
        <v>1</v>
      </c>
      <c r="K713" s="12" t="b">
        <v>0</v>
      </c>
      <c r="L713" s="12" t="b">
        <v>0</v>
      </c>
      <c r="M713" s="12" t="b">
        <v>0</v>
      </c>
      <c r="N713" s="12">
        <v>0</v>
      </c>
      <c r="O713" s="12" t="b">
        <v>0</v>
      </c>
      <c r="P713" s="12" t="b">
        <v>0</v>
      </c>
      <c r="Q713" s="12" t="b">
        <v>0</v>
      </c>
      <c r="R713" s="12" t="b">
        <v>0</v>
      </c>
      <c r="S713" s="12" t="b">
        <v>0</v>
      </c>
      <c r="T713" s="12" t="b">
        <v>1</v>
      </c>
      <c r="U713" s="12" t="b">
        <v>0</v>
      </c>
      <c r="V713" s="12" t="b">
        <v>1</v>
      </c>
      <c r="W713" s="12" t="b">
        <v>0</v>
      </c>
      <c r="X713" s="12">
        <v>1</v>
      </c>
      <c r="Y713" s="12" t="b">
        <v>0</v>
      </c>
      <c r="Z713" s="12" t="b">
        <v>0</v>
      </c>
      <c r="AA713" s="12" t="b">
        <v>1</v>
      </c>
      <c r="AB713" s="12" t="b">
        <v>1</v>
      </c>
      <c r="AC713" s="12" t="b">
        <v>1</v>
      </c>
      <c r="AD713" s="12" t="b">
        <v>1</v>
      </c>
      <c r="AE713" s="12" t="b">
        <v>0</v>
      </c>
      <c r="AF713" s="12" t="b">
        <v>0</v>
      </c>
      <c r="AG713" s="12" t="b">
        <v>0</v>
      </c>
      <c r="AH713" s="12">
        <v>0</v>
      </c>
      <c r="AI713" s="12" t="b">
        <v>0</v>
      </c>
      <c r="AJ713" s="12" t="b">
        <v>0</v>
      </c>
      <c r="AK713" s="12" t="b">
        <v>1</v>
      </c>
      <c r="AL713" s="12">
        <v>1</v>
      </c>
      <c r="AM713" s="12" t="s">
        <v>900</v>
      </c>
      <c r="AN713" s="12">
        <v>1</v>
      </c>
    </row>
    <row r="714" spans="1:40" x14ac:dyDescent="0.3">
      <c r="A714" s="62" t="s">
        <v>2431</v>
      </c>
      <c r="B714" s="62"/>
      <c r="C714" s="63" t="s">
        <v>1935</v>
      </c>
      <c r="D714" s="63" t="s">
        <v>1594</v>
      </c>
      <c r="E714" s="21" t="s">
        <v>1760</v>
      </c>
      <c r="F714" s="12" t="s">
        <v>1583</v>
      </c>
      <c r="G714" s="12" t="b">
        <v>0</v>
      </c>
      <c r="H714" s="12" t="b">
        <v>1</v>
      </c>
      <c r="I714" s="12" t="b">
        <v>1</v>
      </c>
      <c r="J714" s="12" t="b">
        <v>1</v>
      </c>
      <c r="K714" s="12" t="b">
        <v>0</v>
      </c>
      <c r="L714" s="12" t="b">
        <v>0</v>
      </c>
      <c r="M714" s="12" t="b">
        <v>0</v>
      </c>
      <c r="N714" s="12">
        <v>0</v>
      </c>
      <c r="O714" s="12" t="b">
        <v>0</v>
      </c>
      <c r="P714" s="12" t="b">
        <v>0</v>
      </c>
      <c r="Q714" s="12" t="b">
        <v>0</v>
      </c>
      <c r="R714" s="12" t="b">
        <v>0</v>
      </c>
      <c r="S714" s="12" t="b">
        <v>0</v>
      </c>
      <c r="T714" s="12" t="b">
        <v>1</v>
      </c>
      <c r="U714" s="12" t="b">
        <v>0</v>
      </c>
      <c r="V714" s="12" t="b">
        <v>1</v>
      </c>
      <c r="W714" s="12" t="b">
        <v>0</v>
      </c>
      <c r="X714" s="12">
        <v>1</v>
      </c>
      <c r="Y714" s="12" t="b">
        <v>0</v>
      </c>
      <c r="Z714" s="12" t="b">
        <v>0</v>
      </c>
      <c r="AA714" s="12" t="b">
        <v>1</v>
      </c>
      <c r="AB714" s="12" t="b">
        <v>1</v>
      </c>
      <c r="AC714" s="12" t="b">
        <v>1</v>
      </c>
      <c r="AD714" s="12" t="b">
        <v>1</v>
      </c>
      <c r="AE714" s="12" t="b">
        <v>0</v>
      </c>
      <c r="AF714" s="12" t="b">
        <v>0</v>
      </c>
      <c r="AG714" s="12" t="b">
        <v>0</v>
      </c>
      <c r="AH714" s="12">
        <v>0</v>
      </c>
      <c r="AI714" s="12" t="b">
        <v>0</v>
      </c>
      <c r="AJ714" s="12" t="b">
        <v>0</v>
      </c>
      <c r="AK714" s="12" t="b">
        <v>1</v>
      </c>
      <c r="AL714" s="12">
        <v>1</v>
      </c>
      <c r="AM714" s="12" t="s">
        <v>900</v>
      </c>
      <c r="AN714" s="12">
        <v>1</v>
      </c>
    </row>
    <row r="715" spans="1:40" x14ac:dyDescent="0.3">
      <c r="A715" s="62" t="s">
        <v>2431</v>
      </c>
      <c r="B715" s="62"/>
      <c r="C715" s="63" t="s">
        <v>1936</v>
      </c>
      <c r="D715" s="63" t="s">
        <v>1594</v>
      </c>
      <c r="E715" s="21" t="s">
        <v>1760</v>
      </c>
      <c r="F715" s="12" t="s">
        <v>1583</v>
      </c>
      <c r="G715" s="12" t="b">
        <v>0</v>
      </c>
      <c r="H715" s="12" t="b">
        <v>1</v>
      </c>
      <c r="I715" s="12" t="b">
        <v>1</v>
      </c>
      <c r="J715" s="12" t="b">
        <v>1</v>
      </c>
      <c r="K715" s="12" t="b">
        <v>0</v>
      </c>
      <c r="L715" s="12" t="b">
        <v>0</v>
      </c>
      <c r="M715" s="12" t="b">
        <v>0</v>
      </c>
      <c r="N715" s="12">
        <v>0</v>
      </c>
      <c r="O715" s="12" t="b">
        <v>0</v>
      </c>
      <c r="P715" s="12" t="b">
        <v>0</v>
      </c>
      <c r="Q715" s="12" t="b">
        <v>0</v>
      </c>
      <c r="R715" s="12" t="b">
        <v>0</v>
      </c>
      <c r="S715" s="12" t="b">
        <v>0</v>
      </c>
      <c r="T715" s="12" t="b">
        <v>1</v>
      </c>
      <c r="U715" s="12" t="b">
        <v>0</v>
      </c>
      <c r="V715" s="12" t="b">
        <v>1</v>
      </c>
      <c r="W715" s="12" t="b">
        <v>0</v>
      </c>
      <c r="X715" s="12">
        <v>1</v>
      </c>
      <c r="Y715" s="12" t="b">
        <v>0</v>
      </c>
      <c r="Z715" s="12" t="b">
        <v>0</v>
      </c>
      <c r="AA715" s="12" t="b">
        <v>1</v>
      </c>
      <c r="AB715" s="12" t="b">
        <v>1</v>
      </c>
      <c r="AC715" s="12" t="b">
        <v>1</v>
      </c>
      <c r="AD715" s="12" t="b">
        <v>1</v>
      </c>
      <c r="AE715" s="12" t="b">
        <v>0</v>
      </c>
      <c r="AF715" s="12" t="b">
        <v>0</v>
      </c>
      <c r="AG715" s="12" t="b">
        <v>0</v>
      </c>
      <c r="AH715" s="12">
        <v>0</v>
      </c>
      <c r="AI715" s="12" t="b">
        <v>0</v>
      </c>
      <c r="AJ715" s="12" t="b">
        <v>0</v>
      </c>
      <c r="AK715" s="12" t="b">
        <v>1</v>
      </c>
      <c r="AL715" s="12">
        <v>1</v>
      </c>
      <c r="AM715" s="12" t="s">
        <v>900</v>
      </c>
      <c r="AN715" s="12">
        <v>1</v>
      </c>
    </row>
    <row r="716" spans="1:40" x14ac:dyDescent="0.3">
      <c r="A716" s="62" t="s">
        <v>2431</v>
      </c>
      <c r="B716" s="62"/>
      <c r="C716" s="63" t="s">
        <v>1937</v>
      </c>
      <c r="D716" s="63" t="s">
        <v>1594</v>
      </c>
      <c r="E716" s="21" t="s">
        <v>1760</v>
      </c>
      <c r="F716" s="12" t="s">
        <v>1583</v>
      </c>
      <c r="G716" s="12" t="b">
        <v>0</v>
      </c>
      <c r="H716" s="12" t="b">
        <v>1</v>
      </c>
      <c r="I716" s="12" t="b">
        <v>1</v>
      </c>
      <c r="J716" s="12" t="b">
        <v>1</v>
      </c>
      <c r="K716" s="12" t="b">
        <v>0</v>
      </c>
      <c r="L716" s="12" t="b">
        <v>0</v>
      </c>
      <c r="M716" s="12" t="b">
        <v>0</v>
      </c>
      <c r="N716" s="12">
        <v>0</v>
      </c>
      <c r="O716" s="12" t="b">
        <v>0</v>
      </c>
      <c r="P716" s="12" t="b">
        <v>0</v>
      </c>
      <c r="Q716" s="12" t="b">
        <v>0</v>
      </c>
      <c r="R716" s="12" t="b">
        <v>0</v>
      </c>
      <c r="S716" s="12" t="b">
        <v>0</v>
      </c>
      <c r="T716" s="12" t="b">
        <v>1</v>
      </c>
      <c r="U716" s="12" t="b">
        <v>0</v>
      </c>
      <c r="V716" s="12" t="b">
        <v>1</v>
      </c>
      <c r="W716" s="12" t="b">
        <v>0</v>
      </c>
      <c r="X716" s="12">
        <v>1</v>
      </c>
      <c r="Y716" s="12" t="b">
        <v>0</v>
      </c>
      <c r="Z716" s="12" t="b">
        <v>0</v>
      </c>
      <c r="AA716" s="12" t="b">
        <v>1</v>
      </c>
      <c r="AB716" s="12" t="b">
        <v>1</v>
      </c>
      <c r="AC716" s="12" t="b">
        <v>1</v>
      </c>
      <c r="AD716" s="12" t="b">
        <v>1</v>
      </c>
      <c r="AE716" s="12" t="b">
        <v>0</v>
      </c>
      <c r="AF716" s="12" t="b">
        <v>0</v>
      </c>
      <c r="AG716" s="12" t="b">
        <v>0</v>
      </c>
      <c r="AH716" s="12">
        <v>0</v>
      </c>
      <c r="AI716" s="12" t="b">
        <v>0</v>
      </c>
      <c r="AJ716" s="12" t="b">
        <v>0</v>
      </c>
      <c r="AK716" s="12" t="b">
        <v>1</v>
      </c>
      <c r="AL716" s="12">
        <v>1</v>
      </c>
      <c r="AM716" s="12" t="s">
        <v>900</v>
      </c>
      <c r="AN716" s="12">
        <v>1</v>
      </c>
    </row>
    <row r="717" spans="1:40" x14ac:dyDescent="0.3">
      <c r="A717" s="62" t="s">
        <v>2431</v>
      </c>
      <c r="B717" s="62"/>
      <c r="C717" s="63" t="s">
        <v>1938</v>
      </c>
      <c r="D717" s="63" t="s">
        <v>1594</v>
      </c>
      <c r="E717" s="21" t="s">
        <v>1760</v>
      </c>
      <c r="F717" s="12" t="s">
        <v>1583</v>
      </c>
      <c r="G717" s="12" t="b">
        <v>0</v>
      </c>
      <c r="H717" s="12" t="b">
        <v>1</v>
      </c>
      <c r="I717" s="12" t="b">
        <v>1</v>
      </c>
      <c r="J717" s="12" t="b">
        <v>1</v>
      </c>
      <c r="K717" s="12" t="b">
        <v>0</v>
      </c>
      <c r="L717" s="12" t="b">
        <v>0</v>
      </c>
      <c r="M717" s="12" t="b">
        <v>0</v>
      </c>
      <c r="N717" s="12">
        <v>0</v>
      </c>
      <c r="O717" s="12" t="b">
        <v>0</v>
      </c>
      <c r="P717" s="12" t="b">
        <v>0</v>
      </c>
      <c r="Q717" s="12" t="b">
        <v>0</v>
      </c>
      <c r="R717" s="12" t="b">
        <v>0</v>
      </c>
      <c r="S717" s="12" t="b">
        <v>0</v>
      </c>
      <c r="T717" s="12" t="b">
        <v>1</v>
      </c>
      <c r="U717" s="12" t="b">
        <v>0</v>
      </c>
      <c r="V717" s="12" t="b">
        <v>1</v>
      </c>
      <c r="W717" s="12" t="b">
        <v>0</v>
      </c>
      <c r="X717" s="12">
        <v>1</v>
      </c>
      <c r="Y717" s="12" t="b">
        <v>0</v>
      </c>
      <c r="Z717" s="12" t="b">
        <v>0</v>
      </c>
      <c r="AA717" s="12" t="b">
        <v>1</v>
      </c>
      <c r="AB717" s="12" t="b">
        <v>1</v>
      </c>
      <c r="AC717" s="12" t="b">
        <v>1</v>
      </c>
      <c r="AD717" s="12" t="b">
        <v>1</v>
      </c>
      <c r="AE717" s="12" t="b">
        <v>0</v>
      </c>
      <c r="AF717" s="12" t="b">
        <v>0</v>
      </c>
      <c r="AG717" s="12" t="b">
        <v>0</v>
      </c>
      <c r="AH717" s="12">
        <v>0</v>
      </c>
      <c r="AI717" s="12" t="b">
        <v>0</v>
      </c>
      <c r="AJ717" s="12" t="b">
        <v>0</v>
      </c>
      <c r="AK717" s="12" t="b">
        <v>1</v>
      </c>
      <c r="AL717" s="12">
        <v>1</v>
      </c>
      <c r="AM717" s="12" t="s">
        <v>900</v>
      </c>
      <c r="AN717" s="12">
        <v>1</v>
      </c>
    </row>
    <row r="718" spans="1:40" x14ac:dyDescent="0.3">
      <c r="A718" s="62" t="s">
        <v>2431</v>
      </c>
      <c r="B718" s="62"/>
      <c r="C718" s="63" t="s">
        <v>1939</v>
      </c>
      <c r="D718" s="63" t="s">
        <v>1594</v>
      </c>
      <c r="E718" s="21" t="s">
        <v>1760</v>
      </c>
      <c r="F718" s="12" t="s">
        <v>1583</v>
      </c>
      <c r="G718" s="12" t="b">
        <v>0</v>
      </c>
      <c r="H718" s="12" t="b">
        <v>1</v>
      </c>
      <c r="I718" s="12" t="b">
        <v>1</v>
      </c>
      <c r="J718" s="12" t="b">
        <v>1</v>
      </c>
      <c r="K718" s="12" t="b">
        <v>0</v>
      </c>
      <c r="L718" s="12" t="b">
        <v>0</v>
      </c>
      <c r="M718" s="12" t="b">
        <v>0</v>
      </c>
      <c r="N718" s="12">
        <v>0</v>
      </c>
      <c r="O718" s="12" t="b">
        <v>0</v>
      </c>
      <c r="P718" s="12" t="b">
        <v>0</v>
      </c>
      <c r="Q718" s="12" t="b">
        <v>0</v>
      </c>
      <c r="R718" s="12" t="b">
        <v>0</v>
      </c>
      <c r="S718" s="12" t="b">
        <v>0</v>
      </c>
      <c r="T718" s="12" t="b">
        <v>1</v>
      </c>
      <c r="U718" s="12" t="b">
        <v>0</v>
      </c>
      <c r="V718" s="12" t="b">
        <v>1</v>
      </c>
      <c r="W718" s="12" t="b">
        <v>0</v>
      </c>
      <c r="X718" s="12">
        <v>1</v>
      </c>
      <c r="Y718" s="12" t="b">
        <v>0</v>
      </c>
      <c r="Z718" s="12" t="b">
        <v>0</v>
      </c>
      <c r="AA718" s="12" t="b">
        <v>1</v>
      </c>
      <c r="AB718" s="12" t="b">
        <v>1</v>
      </c>
      <c r="AC718" s="12" t="b">
        <v>1</v>
      </c>
      <c r="AD718" s="12" t="b">
        <v>1</v>
      </c>
      <c r="AE718" s="12" t="b">
        <v>0</v>
      </c>
      <c r="AF718" s="12" t="b">
        <v>0</v>
      </c>
      <c r="AG718" s="12" t="b">
        <v>0</v>
      </c>
      <c r="AH718" s="12">
        <v>0</v>
      </c>
      <c r="AI718" s="12" t="b">
        <v>0</v>
      </c>
      <c r="AJ718" s="12" t="b">
        <v>0</v>
      </c>
      <c r="AK718" s="12" t="b">
        <v>1</v>
      </c>
      <c r="AL718" s="12">
        <v>1</v>
      </c>
      <c r="AM718" s="12" t="s">
        <v>900</v>
      </c>
      <c r="AN718" s="12">
        <v>1</v>
      </c>
    </row>
    <row r="719" spans="1:40" x14ac:dyDescent="0.3">
      <c r="A719" s="62" t="s">
        <v>2431</v>
      </c>
      <c r="B719" s="62"/>
      <c r="C719" s="63"/>
      <c r="D719" s="63"/>
      <c r="E719" s="12" t="s">
        <v>1005</v>
      </c>
      <c r="F719" s="12" t="s">
        <v>1191</v>
      </c>
      <c r="G719" s="12" t="b">
        <v>0</v>
      </c>
      <c r="H719" s="12" t="b">
        <v>1</v>
      </c>
      <c r="I719" s="12" t="b">
        <v>1</v>
      </c>
      <c r="J719" s="12" t="b">
        <v>1</v>
      </c>
      <c r="K719" s="12" t="b">
        <v>0</v>
      </c>
      <c r="L719" s="12" t="b">
        <v>1</v>
      </c>
      <c r="M719" s="12" t="b">
        <v>0</v>
      </c>
      <c r="N719" s="12">
        <v>0</v>
      </c>
      <c r="O719" s="12" t="b">
        <v>0</v>
      </c>
      <c r="P719" s="12" t="b">
        <v>0</v>
      </c>
      <c r="Q719" s="12" t="b">
        <v>0</v>
      </c>
      <c r="R719" s="12" t="b">
        <v>0</v>
      </c>
      <c r="S719" s="12" t="b">
        <v>0</v>
      </c>
      <c r="T719" s="12" t="b">
        <v>1</v>
      </c>
      <c r="U719" s="12" t="b">
        <v>0</v>
      </c>
      <c r="V719" s="12" t="b">
        <v>1</v>
      </c>
      <c r="W719" s="12" t="b">
        <v>0</v>
      </c>
      <c r="X719" s="12">
        <v>1</v>
      </c>
      <c r="Y719" s="12" t="b">
        <v>0</v>
      </c>
      <c r="Z719" s="12" t="b">
        <v>0</v>
      </c>
      <c r="AA719" s="12" t="b">
        <v>1</v>
      </c>
      <c r="AB719" s="12" t="b">
        <v>1</v>
      </c>
      <c r="AC719" s="12" t="b">
        <v>1</v>
      </c>
      <c r="AD719" s="12" t="b">
        <v>1</v>
      </c>
      <c r="AE719" s="12" t="b">
        <v>0</v>
      </c>
      <c r="AF719" s="12" t="b">
        <v>0</v>
      </c>
      <c r="AG719" s="12" t="b">
        <v>0</v>
      </c>
      <c r="AH719" s="12">
        <v>0</v>
      </c>
      <c r="AI719" s="12" t="b">
        <v>0</v>
      </c>
      <c r="AJ719" s="12" t="b">
        <v>0</v>
      </c>
      <c r="AK719" s="12" t="b">
        <v>1</v>
      </c>
      <c r="AL719" s="12">
        <v>0</v>
      </c>
      <c r="AM719" s="12" t="s">
        <v>900</v>
      </c>
      <c r="AN719" s="12">
        <v>0</v>
      </c>
    </row>
    <row r="720" spans="1:40" x14ac:dyDescent="0.3">
      <c r="A720" s="62" t="s">
        <v>2431</v>
      </c>
      <c r="B720" s="62"/>
      <c r="C720" s="63"/>
      <c r="D720" s="63"/>
      <c r="E720" s="12" t="s">
        <v>927</v>
      </c>
      <c r="F720" s="12" t="s">
        <v>1196</v>
      </c>
      <c r="G720" s="12" t="b">
        <v>0</v>
      </c>
      <c r="H720" s="12" t="b">
        <v>0</v>
      </c>
      <c r="I720" s="12" t="b">
        <v>0</v>
      </c>
      <c r="J720" s="12" t="b">
        <v>1</v>
      </c>
      <c r="K720" s="12" t="b">
        <v>0</v>
      </c>
      <c r="L720" s="12" t="b">
        <v>1</v>
      </c>
      <c r="M720" s="12" t="b">
        <v>0</v>
      </c>
      <c r="N720" s="12">
        <v>0</v>
      </c>
      <c r="O720" s="12" t="b">
        <v>0</v>
      </c>
      <c r="P720" s="12" t="b">
        <v>0</v>
      </c>
      <c r="Q720" s="12" t="b">
        <v>0</v>
      </c>
      <c r="R720" s="12" t="b">
        <v>0</v>
      </c>
      <c r="S720" s="12" t="b">
        <v>0</v>
      </c>
      <c r="T720" s="12" t="b">
        <v>1</v>
      </c>
      <c r="U720" s="12" t="b">
        <v>0</v>
      </c>
      <c r="V720" s="12" t="b">
        <v>1</v>
      </c>
      <c r="W720" s="12" t="b">
        <v>0</v>
      </c>
      <c r="X720" s="12">
        <v>1</v>
      </c>
      <c r="Y720" s="12" t="b">
        <v>0</v>
      </c>
      <c r="Z720" s="12" t="b">
        <v>0</v>
      </c>
      <c r="AA720" s="12" t="b">
        <v>0</v>
      </c>
      <c r="AB720" s="12" t="b">
        <v>0</v>
      </c>
      <c r="AC720" s="12" t="b">
        <v>0</v>
      </c>
      <c r="AD720" s="12" t="b">
        <v>1</v>
      </c>
      <c r="AE720" s="12" t="b">
        <v>0</v>
      </c>
      <c r="AF720" s="12" t="b">
        <v>1</v>
      </c>
      <c r="AG720" s="12" t="b">
        <v>0</v>
      </c>
      <c r="AH720" s="12">
        <v>1</v>
      </c>
      <c r="AI720" s="12" t="b">
        <v>0</v>
      </c>
      <c r="AJ720" s="12" t="b">
        <v>0</v>
      </c>
      <c r="AK720" s="12" t="b">
        <v>1</v>
      </c>
      <c r="AL720" s="12">
        <v>1</v>
      </c>
      <c r="AM720" s="12" t="s">
        <v>922</v>
      </c>
      <c r="AN720" s="12">
        <v>1</v>
      </c>
    </row>
    <row r="721" spans="1:40" x14ac:dyDescent="0.3">
      <c r="A721" s="62" t="s">
        <v>2431</v>
      </c>
      <c r="B721" s="62"/>
      <c r="C721" s="63"/>
      <c r="D721" s="63"/>
      <c r="E721" s="12" t="s">
        <v>929</v>
      </c>
      <c r="F721" s="12" t="s">
        <v>1197</v>
      </c>
      <c r="G721" s="12" t="b">
        <v>0</v>
      </c>
      <c r="H721" s="12" t="b">
        <v>0</v>
      </c>
      <c r="I721" s="12" t="b">
        <v>0</v>
      </c>
      <c r="J721" s="12" t="b">
        <v>1</v>
      </c>
      <c r="K721" s="12" t="b">
        <v>0</v>
      </c>
      <c r="L721" s="12" t="b">
        <v>1</v>
      </c>
      <c r="M721" s="12" t="b">
        <v>0</v>
      </c>
      <c r="N721" s="12">
        <v>0</v>
      </c>
      <c r="O721" s="12" t="b">
        <v>0</v>
      </c>
      <c r="P721" s="12" t="b">
        <v>0</v>
      </c>
      <c r="Q721" s="12" t="b">
        <v>0</v>
      </c>
      <c r="R721" s="12" t="b">
        <v>0</v>
      </c>
      <c r="S721" s="12" t="b">
        <v>0</v>
      </c>
      <c r="T721" s="12" t="b">
        <v>1</v>
      </c>
      <c r="U721" s="12" t="b">
        <v>0</v>
      </c>
      <c r="V721" s="12" t="b">
        <v>1</v>
      </c>
      <c r="W721" s="12" t="b">
        <v>0</v>
      </c>
      <c r="X721" s="12">
        <v>1</v>
      </c>
      <c r="Y721" s="12" t="b">
        <v>0</v>
      </c>
      <c r="Z721" s="12" t="b">
        <v>0</v>
      </c>
      <c r="AA721" s="12" t="b">
        <v>0</v>
      </c>
      <c r="AB721" s="12" t="b">
        <v>0</v>
      </c>
      <c r="AC721" s="12" t="b">
        <v>0</v>
      </c>
      <c r="AD721" s="12" t="b">
        <v>1</v>
      </c>
      <c r="AE721" s="12" t="b">
        <v>0</v>
      </c>
      <c r="AF721" s="12" t="b">
        <v>1</v>
      </c>
      <c r="AG721" s="12" t="b">
        <v>0</v>
      </c>
      <c r="AH721" s="12">
        <v>1</v>
      </c>
      <c r="AI721" s="12" t="b">
        <v>0</v>
      </c>
      <c r="AJ721" s="12" t="b">
        <v>0</v>
      </c>
      <c r="AK721" s="12" t="b">
        <v>1</v>
      </c>
      <c r="AL721" s="12">
        <v>1</v>
      </c>
      <c r="AM721" s="12" t="s">
        <v>922</v>
      </c>
      <c r="AN721" s="12">
        <v>1</v>
      </c>
    </row>
    <row r="722" spans="1:40" x14ac:dyDescent="0.3">
      <c r="A722" s="62" t="s">
        <v>2431</v>
      </c>
      <c r="B722" s="62"/>
      <c r="C722" s="63"/>
      <c r="D722" s="63"/>
      <c r="E722" s="12" t="s">
        <v>906</v>
      </c>
      <c r="F722" s="12" t="s">
        <v>1202</v>
      </c>
      <c r="G722" s="12" t="b">
        <v>0</v>
      </c>
      <c r="H722" s="12" t="b">
        <v>1</v>
      </c>
      <c r="I722" s="12" t="b">
        <v>1</v>
      </c>
      <c r="J722" s="12" t="b">
        <v>1</v>
      </c>
      <c r="K722" s="12" t="b">
        <v>0</v>
      </c>
      <c r="L722" s="12" t="b">
        <v>0</v>
      </c>
      <c r="M722" s="12" t="b">
        <v>0</v>
      </c>
      <c r="N722" s="12">
        <v>0</v>
      </c>
      <c r="O722" s="12" t="b">
        <v>0</v>
      </c>
      <c r="P722" s="12" t="b">
        <v>0</v>
      </c>
      <c r="Q722" s="12" t="b">
        <v>0</v>
      </c>
      <c r="R722" s="12" t="b">
        <v>1</v>
      </c>
      <c r="S722" s="12" t="b">
        <v>1</v>
      </c>
      <c r="T722" s="12" t="b">
        <v>1</v>
      </c>
      <c r="U722" s="12" t="b">
        <v>0</v>
      </c>
      <c r="V722" s="12" t="b">
        <v>0</v>
      </c>
      <c r="W722" s="12" t="b">
        <v>0</v>
      </c>
      <c r="X722" s="12">
        <v>1</v>
      </c>
      <c r="Y722" s="12" t="b">
        <v>0</v>
      </c>
      <c r="Z722" s="12" t="b">
        <v>0</v>
      </c>
      <c r="AA722" s="12" t="b">
        <v>0</v>
      </c>
      <c r="AB722" s="12" t="b">
        <v>0</v>
      </c>
      <c r="AC722" s="12" t="b">
        <v>0</v>
      </c>
      <c r="AD722" s="12" t="b">
        <v>1</v>
      </c>
      <c r="AE722" s="12" t="b">
        <v>0</v>
      </c>
      <c r="AF722" s="12" t="b">
        <v>1</v>
      </c>
      <c r="AG722" s="12" t="b">
        <v>0</v>
      </c>
      <c r="AH722" s="12">
        <v>1</v>
      </c>
      <c r="AI722" s="12" t="b">
        <v>0</v>
      </c>
      <c r="AJ722" s="12" t="b">
        <v>0</v>
      </c>
      <c r="AK722" s="12" t="b">
        <v>1</v>
      </c>
      <c r="AL722" s="12">
        <v>1</v>
      </c>
      <c r="AM722" s="12" t="s">
        <v>1476</v>
      </c>
      <c r="AN722" s="12">
        <v>1</v>
      </c>
    </row>
    <row r="723" spans="1:40" x14ac:dyDescent="0.3">
      <c r="A723" s="62" t="s">
        <v>2431</v>
      </c>
      <c r="B723" s="62"/>
      <c r="C723" s="63"/>
      <c r="D723" s="63"/>
      <c r="E723" s="12" t="s">
        <v>910</v>
      </c>
      <c r="F723" s="12" t="s">
        <v>1200</v>
      </c>
      <c r="G723" s="12" t="b">
        <v>0</v>
      </c>
      <c r="H723" s="12" t="b">
        <v>1</v>
      </c>
      <c r="I723" s="12" t="b">
        <v>1</v>
      </c>
      <c r="J723" s="12" t="b">
        <v>1</v>
      </c>
      <c r="K723" s="12" t="b">
        <v>0</v>
      </c>
      <c r="L723" s="12" t="b">
        <v>0</v>
      </c>
      <c r="M723" s="12" t="b">
        <v>0</v>
      </c>
      <c r="N723" s="12">
        <v>0</v>
      </c>
      <c r="O723" s="12" t="b">
        <v>0</v>
      </c>
      <c r="P723" s="12" t="b">
        <v>0</v>
      </c>
      <c r="Q723" s="12" t="b">
        <v>0</v>
      </c>
      <c r="R723" s="12" t="b">
        <v>1</v>
      </c>
      <c r="S723" s="12" t="b">
        <v>1</v>
      </c>
      <c r="T723" s="12" t="b">
        <v>1</v>
      </c>
      <c r="U723" s="12" t="b">
        <v>0</v>
      </c>
      <c r="V723" s="12" t="b">
        <v>0</v>
      </c>
      <c r="W723" s="12" t="b">
        <v>0</v>
      </c>
      <c r="X723" s="12">
        <v>1</v>
      </c>
      <c r="Y723" s="12" t="b">
        <v>0</v>
      </c>
      <c r="Z723" s="12" t="b">
        <v>0</v>
      </c>
      <c r="AA723" s="12" t="b">
        <v>0</v>
      </c>
      <c r="AB723" s="12" t="b">
        <v>0</v>
      </c>
      <c r="AC723" s="12" t="b">
        <v>0</v>
      </c>
      <c r="AD723" s="12" t="b">
        <v>1</v>
      </c>
      <c r="AE723" s="12" t="b">
        <v>0</v>
      </c>
      <c r="AF723" s="12" t="b">
        <v>1</v>
      </c>
      <c r="AG723" s="12" t="b">
        <v>0</v>
      </c>
      <c r="AH723" s="12">
        <v>1</v>
      </c>
      <c r="AI723" s="12" t="b">
        <v>0</v>
      </c>
      <c r="AJ723" s="12" t="b">
        <v>0</v>
      </c>
      <c r="AK723" s="12" t="b">
        <v>1</v>
      </c>
      <c r="AL723" s="12">
        <v>1</v>
      </c>
      <c r="AM723" s="12" t="s">
        <v>1476</v>
      </c>
      <c r="AN723" s="12">
        <v>1</v>
      </c>
    </row>
    <row r="724" spans="1:40" x14ac:dyDescent="0.3">
      <c r="A724" s="62" t="s">
        <v>2431</v>
      </c>
      <c r="B724" s="62"/>
      <c r="C724" s="63"/>
      <c r="D724" s="63"/>
      <c r="E724" s="12" t="s">
        <v>1209</v>
      </c>
      <c r="F724" s="12" t="s">
        <v>1210</v>
      </c>
      <c r="G724" s="12" t="b">
        <v>0</v>
      </c>
      <c r="H724" s="12" t="b">
        <v>1</v>
      </c>
      <c r="I724" s="12" t="b">
        <v>1</v>
      </c>
      <c r="J724" s="12" t="b">
        <v>1</v>
      </c>
      <c r="K724" s="12" t="b">
        <v>0</v>
      </c>
      <c r="L724" s="12" t="b">
        <v>0</v>
      </c>
      <c r="M724" s="12" t="b">
        <v>0</v>
      </c>
      <c r="N724" s="12">
        <v>0</v>
      </c>
      <c r="O724" s="12" t="b">
        <v>0</v>
      </c>
      <c r="P724" s="12" t="b">
        <v>0</v>
      </c>
      <c r="Q724" s="12" t="b">
        <v>0</v>
      </c>
      <c r="R724" s="12" t="b">
        <v>0</v>
      </c>
      <c r="S724" s="12" t="b">
        <v>0</v>
      </c>
      <c r="T724" s="12" t="b">
        <v>1</v>
      </c>
      <c r="U724" s="12" t="b">
        <v>0</v>
      </c>
      <c r="V724" s="12" t="b">
        <v>1</v>
      </c>
      <c r="W724" s="12" t="b">
        <v>0</v>
      </c>
      <c r="X724" s="12">
        <v>1</v>
      </c>
      <c r="Y724" s="12" t="b">
        <v>0</v>
      </c>
      <c r="Z724" s="12" t="b">
        <v>0</v>
      </c>
      <c r="AA724" s="12" t="b">
        <v>1</v>
      </c>
      <c r="AB724" s="12" t="b">
        <v>1</v>
      </c>
      <c r="AC724" s="12" t="b">
        <v>1</v>
      </c>
      <c r="AD724" s="12" t="b">
        <v>1</v>
      </c>
      <c r="AE724" s="12" t="b">
        <v>0</v>
      </c>
      <c r="AF724" s="12" t="b">
        <v>0</v>
      </c>
      <c r="AG724" s="12" t="b">
        <v>0</v>
      </c>
      <c r="AH724" s="12">
        <v>0</v>
      </c>
      <c r="AI724" s="12" t="b">
        <v>0</v>
      </c>
      <c r="AJ724" s="12" t="b">
        <v>0</v>
      </c>
      <c r="AK724" s="12" t="b">
        <v>1</v>
      </c>
      <c r="AL724" s="12">
        <v>1</v>
      </c>
      <c r="AM724" s="12" t="s">
        <v>900</v>
      </c>
      <c r="AN724" s="12">
        <v>1</v>
      </c>
    </row>
    <row r="725" spans="1:40" x14ac:dyDescent="0.3">
      <c r="A725" s="62" t="s">
        <v>2431</v>
      </c>
      <c r="B725" s="62"/>
      <c r="C725" s="63"/>
      <c r="D725" s="63"/>
      <c r="E725" s="12" t="s">
        <v>1205</v>
      </c>
      <c r="F725" s="12" t="s">
        <v>1206</v>
      </c>
      <c r="G725" s="12" t="b">
        <v>0</v>
      </c>
      <c r="H725" s="12" t="b">
        <v>1</v>
      </c>
      <c r="I725" s="12" t="b">
        <v>1</v>
      </c>
      <c r="J725" s="12" t="b">
        <v>1</v>
      </c>
      <c r="K725" s="12" t="b">
        <v>0</v>
      </c>
      <c r="L725" s="12" t="b">
        <v>0</v>
      </c>
      <c r="M725" s="12" t="b">
        <v>0</v>
      </c>
      <c r="N725" s="12">
        <v>0</v>
      </c>
      <c r="O725" s="12" t="b">
        <v>0</v>
      </c>
      <c r="P725" s="12" t="b">
        <v>0</v>
      </c>
      <c r="Q725" s="12" t="b">
        <v>0</v>
      </c>
      <c r="R725" s="12" t="b">
        <v>0</v>
      </c>
      <c r="S725" s="12" t="b">
        <v>0</v>
      </c>
      <c r="T725" s="12" t="b">
        <v>1</v>
      </c>
      <c r="U725" s="12" t="b">
        <v>0</v>
      </c>
      <c r="V725" s="12" t="b">
        <v>1</v>
      </c>
      <c r="W725" s="12" t="b">
        <v>0</v>
      </c>
      <c r="X725" s="12">
        <v>1</v>
      </c>
      <c r="Y725" s="12" t="b">
        <v>0</v>
      </c>
      <c r="Z725" s="12" t="b">
        <v>0</v>
      </c>
      <c r="AA725" s="12" t="b">
        <v>1</v>
      </c>
      <c r="AB725" s="12" t="b">
        <v>1</v>
      </c>
      <c r="AC725" s="12" t="b">
        <v>1</v>
      </c>
      <c r="AD725" s="12" t="b">
        <v>1</v>
      </c>
      <c r="AE725" s="12" t="b">
        <v>0</v>
      </c>
      <c r="AF725" s="12" t="b">
        <v>0</v>
      </c>
      <c r="AG725" s="12" t="b">
        <v>0</v>
      </c>
      <c r="AH725" s="12">
        <v>0</v>
      </c>
      <c r="AI725" s="12" t="b">
        <v>0</v>
      </c>
      <c r="AJ725" s="12" t="b">
        <v>0</v>
      </c>
      <c r="AK725" s="12" t="b">
        <v>1</v>
      </c>
      <c r="AL725" s="12">
        <v>1</v>
      </c>
      <c r="AM725" s="12" t="s">
        <v>900</v>
      </c>
      <c r="AN725" s="12">
        <v>1</v>
      </c>
    </row>
    <row r="726" spans="1:40" x14ac:dyDescent="0.3">
      <c r="A726" s="62" t="s">
        <v>2431</v>
      </c>
      <c r="B726" s="62"/>
      <c r="C726" s="63" t="s">
        <v>1464</v>
      </c>
      <c r="D726" s="63" t="s">
        <v>1631</v>
      </c>
      <c r="E726" s="12" t="s">
        <v>1761</v>
      </c>
      <c r="F726" s="12" t="s">
        <v>1550</v>
      </c>
      <c r="G726" s="12" t="b">
        <v>1</v>
      </c>
      <c r="H726" s="12" t="b">
        <v>1</v>
      </c>
      <c r="I726" s="12" t="b">
        <v>1</v>
      </c>
      <c r="J726" s="12" t="b">
        <v>1</v>
      </c>
      <c r="K726" s="12" t="b">
        <v>0</v>
      </c>
      <c r="L726" s="12" t="b">
        <v>0</v>
      </c>
      <c r="M726" s="12" t="b">
        <v>0</v>
      </c>
      <c r="N726" s="12">
        <v>0</v>
      </c>
      <c r="O726" s="12" t="b">
        <v>0</v>
      </c>
      <c r="P726" s="12" t="b">
        <v>0</v>
      </c>
      <c r="Q726" s="12" t="b">
        <v>0</v>
      </c>
      <c r="R726" s="12" t="b">
        <v>0</v>
      </c>
      <c r="S726" s="12" t="b">
        <v>0</v>
      </c>
      <c r="T726" s="12" t="b">
        <v>1</v>
      </c>
      <c r="U726" s="12" t="b">
        <v>0</v>
      </c>
      <c r="V726" s="12" t="b">
        <v>1</v>
      </c>
      <c r="W726" s="12" t="b">
        <v>0</v>
      </c>
      <c r="X726" s="12">
        <v>1</v>
      </c>
      <c r="Y726" s="12" t="b">
        <v>0</v>
      </c>
      <c r="Z726" s="12" t="b">
        <v>0</v>
      </c>
      <c r="AA726" s="12" t="b">
        <v>0</v>
      </c>
      <c r="AB726" s="12" t="b">
        <v>0</v>
      </c>
      <c r="AC726" s="12" t="b">
        <v>0</v>
      </c>
      <c r="AD726" s="12" t="b">
        <v>1</v>
      </c>
      <c r="AE726" s="12" t="b">
        <v>0</v>
      </c>
      <c r="AF726" s="12" t="b">
        <v>1</v>
      </c>
      <c r="AG726" s="12" t="b">
        <v>1</v>
      </c>
      <c r="AH726" s="12">
        <v>1</v>
      </c>
      <c r="AI726" s="12" t="b">
        <v>0</v>
      </c>
      <c r="AJ726" s="12" t="b">
        <v>0</v>
      </c>
      <c r="AK726" s="12" t="b">
        <v>1</v>
      </c>
      <c r="AL726" s="12">
        <v>1</v>
      </c>
      <c r="AM726" s="12" t="s">
        <v>900</v>
      </c>
      <c r="AN726" s="12">
        <v>1</v>
      </c>
    </row>
    <row r="727" spans="1:40" x14ac:dyDescent="0.3">
      <c r="A727" s="62" t="s">
        <v>2431</v>
      </c>
      <c r="B727" s="62"/>
      <c r="C727" s="63" t="s">
        <v>1466</v>
      </c>
      <c r="D727" s="63" t="s">
        <v>1631</v>
      </c>
      <c r="E727" s="12" t="s">
        <v>1761</v>
      </c>
      <c r="F727" s="12" t="s">
        <v>1550</v>
      </c>
      <c r="G727" s="12" t="b">
        <v>1</v>
      </c>
      <c r="H727" s="12" t="b">
        <v>1</v>
      </c>
      <c r="I727" s="12" t="b">
        <v>1</v>
      </c>
      <c r="J727" s="12" t="b">
        <v>1</v>
      </c>
      <c r="K727" s="12" t="b">
        <v>0</v>
      </c>
      <c r="L727" s="12" t="b">
        <v>0</v>
      </c>
      <c r="M727" s="12" t="b">
        <v>0</v>
      </c>
      <c r="N727" s="12">
        <v>0</v>
      </c>
      <c r="O727" s="12" t="b">
        <v>0</v>
      </c>
      <c r="P727" s="12" t="b">
        <v>0</v>
      </c>
      <c r="Q727" s="12" t="b">
        <v>0</v>
      </c>
      <c r="R727" s="12" t="b">
        <v>0</v>
      </c>
      <c r="S727" s="12" t="b">
        <v>0</v>
      </c>
      <c r="T727" s="12" t="b">
        <v>1</v>
      </c>
      <c r="U727" s="12" t="b">
        <v>0</v>
      </c>
      <c r="V727" s="12" t="b">
        <v>1</v>
      </c>
      <c r="W727" s="12" t="b">
        <v>0</v>
      </c>
      <c r="X727" s="12">
        <v>1</v>
      </c>
      <c r="Y727" s="12" t="b">
        <v>0</v>
      </c>
      <c r="Z727" s="12" t="b">
        <v>0</v>
      </c>
      <c r="AA727" s="12" t="b">
        <v>0</v>
      </c>
      <c r="AB727" s="12" t="b">
        <v>0</v>
      </c>
      <c r="AC727" s="12" t="b">
        <v>0</v>
      </c>
      <c r="AD727" s="12" t="b">
        <v>1</v>
      </c>
      <c r="AE727" s="12" t="b">
        <v>0</v>
      </c>
      <c r="AF727" s="12" t="b">
        <v>1</v>
      </c>
      <c r="AG727" s="12" t="b">
        <v>1</v>
      </c>
      <c r="AH727" s="12">
        <v>1</v>
      </c>
      <c r="AI727" s="12" t="b">
        <v>0</v>
      </c>
      <c r="AJ727" s="12" t="b">
        <v>0</v>
      </c>
      <c r="AK727" s="12" t="b">
        <v>1</v>
      </c>
      <c r="AL727" s="12">
        <v>1</v>
      </c>
      <c r="AM727" s="12" t="s">
        <v>900</v>
      </c>
      <c r="AN727" s="12">
        <v>1</v>
      </c>
    </row>
    <row r="728" spans="1:40" x14ac:dyDescent="0.3">
      <c r="A728" s="62" t="s">
        <v>2431</v>
      </c>
      <c r="B728" s="62"/>
      <c r="C728" s="63" t="s">
        <v>1467</v>
      </c>
      <c r="D728" s="63" t="s">
        <v>1631</v>
      </c>
      <c r="E728" s="12" t="s">
        <v>1761</v>
      </c>
      <c r="F728" s="12" t="s">
        <v>1550</v>
      </c>
      <c r="G728" s="12" t="b">
        <v>1</v>
      </c>
      <c r="H728" s="12" t="b">
        <v>1</v>
      </c>
      <c r="I728" s="12" t="b">
        <v>1</v>
      </c>
      <c r="J728" s="12" t="b">
        <v>1</v>
      </c>
      <c r="K728" s="12" t="b">
        <v>0</v>
      </c>
      <c r="L728" s="12" t="b">
        <v>0</v>
      </c>
      <c r="M728" s="12" t="b">
        <v>0</v>
      </c>
      <c r="N728" s="12">
        <v>0</v>
      </c>
      <c r="O728" s="12" t="b">
        <v>0</v>
      </c>
      <c r="P728" s="12" t="b">
        <v>0</v>
      </c>
      <c r="Q728" s="12" t="b">
        <v>0</v>
      </c>
      <c r="R728" s="12" t="b">
        <v>0</v>
      </c>
      <c r="S728" s="12" t="b">
        <v>0</v>
      </c>
      <c r="T728" s="12" t="b">
        <v>1</v>
      </c>
      <c r="U728" s="12" t="b">
        <v>0</v>
      </c>
      <c r="V728" s="12" t="b">
        <v>1</v>
      </c>
      <c r="W728" s="12" t="b">
        <v>0</v>
      </c>
      <c r="X728" s="12">
        <v>1</v>
      </c>
      <c r="Y728" s="12" t="b">
        <v>0</v>
      </c>
      <c r="Z728" s="12" t="b">
        <v>0</v>
      </c>
      <c r="AA728" s="12" t="b">
        <v>0</v>
      </c>
      <c r="AB728" s="12" t="b">
        <v>0</v>
      </c>
      <c r="AC728" s="12" t="b">
        <v>0</v>
      </c>
      <c r="AD728" s="12" t="b">
        <v>1</v>
      </c>
      <c r="AE728" s="12" t="b">
        <v>0</v>
      </c>
      <c r="AF728" s="12" t="b">
        <v>1</v>
      </c>
      <c r="AG728" s="12" t="b">
        <v>1</v>
      </c>
      <c r="AH728" s="12">
        <v>1</v>
      </c>
      <c r="AI728" s="12" t="b">
        <v>0</v>
      </c>
      <c r="AJ728" s="12" t="b">
        <v>0</v>
      </c>
      <c r="AK728" s="12" t="b">
        <v>1</v>
      </c>
      <c r="AL728" s="12">
        <v>1</v>
      </c>
      <c r="AM728" s="12" t="s">
        <v>900</v>
      </c>
      <c r="AN728" s="12">
        <v>1</v>
      </c>
    </row>
    <row r="729" spans="1:40" x14ac:dyDescent="0.3">
      <c r="A729" s="62" t="s">
        <v>2431</v>
      </c>
      <c r="B729" s="62"/>
      <c r="C729" s="63" t="s">
        <v>1468</v>
      </c>
      <c r="D729" s="63" t="s">
        <v>1631</v>
      </c>
      <c r="E729" s="12" t="s">
        <v>1761</v>
      </c>
      <c r="F729" s="12" t="s">
        <v>1550</v>
      </c>
      <c r="G729" s="12" t="b">
        <v>1</v>
      </c>
      <c r="H729" s="12" t="b">
        <v>1</v>
      </c>
      <c r="I729" s="12" t="b">
        <v>1</v>
      </c>
      <c r="J729" s="12" t="b">
        <v>1</v>
      </c>
      <c r="K729" s="12" t="b">
        <v>0</v>
      </c>
      <c r="L729" s="12" t="b">
        <v>0</v>
      </c>
      <c r="M729" s="12" t="b">
        <v>0</v>
      </c>
      <c r="N729" s="12">
        <v>0</v>
      </c>
      <c r="O729" s="12" t="b">
        <v>0</v>
      </c>
      <c r="P729" s="12" t="b">
        <v>0</v>
      </c>
      <c r="Q729" s="12" t="b">
        <v>0</v>
      </c>
      <c r="R729" s="12" t="b">
        <v>0</v>
      </c>
      <c r="S729" s="12" t="b">
        <v>0</v>
      </c>
      <c r="T729" s="12" t="b">
        <v>1</v>
      </c>
      <c r="U729" s="12" t="b">
        <v>0</v>
      </c>
      <c r="V729" s="12" t="b">
        <v>1</v>
      </c>
      <c r="W729" s="12" t="b">
        <v>0</v>
      </c>
      <c r="X729" s="12">
        <v>1</v>
      </c>
      <c r="Y729" s="12" t="b">
        <v>0</v>
      </c>
      <c r="Z729" s="12" t="b">
        <v>0</v>
      </c>
      <c r="AA729" s="12" t="b">
        <v>0</v>
      </c>
      <c r="AB729" s="12" t="b">
        <v>0</v>
      </c>
      <c r="AC729" s="12" t="b">
        <v>0</v>
      </c>
      <c r="AD729" s="12" t="b">
        <v>1</v>
      </c>
      <c r="AE729" s="12" t="b">
        <v>0</v>
      </c>
      <c r="AF729" s="12" t="b">
        <v>1</v>
      </c>
      <c r="AG729" s="12" t="b">
        <v>1</v>
      </c>
      <c r="AH729" s="12">
        <v>1</v>
      </c>
      <c r="AI729" s="12" t="b">
        <v>0</v>
      </c>
      <c r="AJ729" s="12" t="b">
        <v>0</v>
      </c>
      <c r="AK729" s="12" t="b">
        <v>1</v>
      </c>
      <c r="AL729" s="12">
        <v>1</v>
      </c>
      <c r="AM729" s="12" t="s">
        <v>900</v>
      </c>
      <c r="AN729" s="12">
        <v>1</v>
      </c>
    </row>
    <row r="730" spans="1:40" x14ac:dyDescent="0.3">
      <c r="A730" s="62" t="s">
        <v>2431</v>
      </c>
      <c r="B730" s="62"/>
      <c r="C730" s="63" t="s">
        <v>1469</v>
      </c>
      <c r="D730" s="63" t="s">
        <v>1631</v>
      </c>
      <c r="E730" s="12" t="s">
        <v>1761</v>
      </c>
      <c r="F730" s="12" t="s">
        <v>1550</v>
      </c>
      <c r="G730" s="12" t="b">
        <v>1</v>
      </c>
      <c r="H730" s="12" t="b">
        <v>1</v>
      </c>
      <c r="I730" s="12" t="b">
        <v>1</v>
      </c>
      <c r="J730" s="12" t="b">
        <v>1</v>
      </c>
      <c r="K730" s="12" t="b">
        <v>0</v>
      </c>
      <c r="L730" s="12" t="b">
        <v>0</v>
      </c>
      <c r="M730" s="12" t="b">
        <v>0</v>
      </c>
      <c r="N730" s="12">
        <v>0</v>
      </c>
      <c r="O730" s="12" t="b">
        <v>0</v>
      </c>
      <c r="P730" s="12" t="b">
        <v>0</v>
      </c>
      <c r="Q730" s="12" t="b">
        <v>0</v>
      </c>
      <c r="R730" s="12" t="b">
        <v>0</v>
      </c>
      <c r="S730" s="12" t="b">
        <v>0</v>
      </c>
      <c r="T730" s="12" t="b">
        <v>1</v>
      </c>
      <c r="U730" s="12" t="b">
        <v>0</v>
      </c>
      <c r="V730" s="12" t="b">
        <v>1</v>
      </c>
      <c r="W730" s="12" t="b">
        <v>0</v>
      </c>
      <c r="X730" s="12">
        <v>1</v>
      </c>
      <c r="Y730" s="12" t="b">
        <v>0</v>
      </c>
      <c r="Z730" s="12" t="b">
        <v>0</v>
      </c>
      <c r="AA730" s="12" t="b">
        <v>0</v>
      </c>
      <c r="AB730" s="12" t="b">
        <v>0</v>
      </c>
      <c r="AC730" s="12" t="b">
        <v>0</v>
      </c>
      <c r="AD730" s="12" t="b">
        <v>1</v>
      </c>
      <c r="AE730" s="12" t="b">
        <v>0</v>
      </c>
      <c r="AF730" s="12" t="b">
        <v>1</v>
      </c>
      <c r="AG730" s="12" t="b">
        <v>1</v>
      </c>
      <c r="AH730" s="12">
        <v>1</v>
      </c>
      <c r="AI730" s="12" t="b">
        <v>0</v>
      </c>
      <c r="AJ730" s="12" t="b">
        <v>0</v>
      </c>
      <c r="AK730" s="12" t="b">
        <v>1</v>
      </c>
      <c r="AL730" s="12">
        <v>1</v>
      </c>
      <c r="AM730" s="12" t="s">
        <v>900</v>
      </c>
      <c r="AN730" s="12">
        <v>1</v>
      </c>
    </row>
    <row r="731" spans="1:40" x14ac:dyDescent="0.3">
      <c r="A731" s="62" t="s">
        <v>2431</v>
      </c>
      <c r="B731" s="62"/>
      <c r="C731" s="63" t="s">
        <v>1470</v>
      </c>
      <c r="D731" s="63" t="s">
        <v>1631</v>
      </c>
      <c r="E731" s="12" t="s">
        <v>1761</v>
      </c>
      <c r="F731" s="12" t="s">
        <v>1550</v>
      </c>
      <c r="G731" s="12" t="b">
        <v>1</v>
      </c>
      <c r="H731" s="12" t="b">
        <v>1</v>
      </c>
      <c r="I731" s="12" t="b">
        <v>1</v>
      </c>
      <c r="J731" s="12" t="b">
        <v>1</v>
      </c>
      <c r="K731" s="12" t="b">
        <v>0</v>
      </c>
      <c r="L731" s="12" t="b">
        <v>0</v>
      </c>
      <c r="M731" s="12" t="b">
        <v>0</v>
      </c>
      <c r="N731" s="12">
        <v>0</v>
      </c>
      <c r="O731" s="12" t="b">
        <v>0</v>
      </c>
      <c r="P731" s="12" t="b">
        <v>0</v>
      </c>
      <c r="Q731" s="12" t="b">
        <v>0</v>
      </c>
      <c r="R731" s="12" t="b">
        <v>0</v>
      </c>
      <c r="S731" s="12" t="b">
        <v>0</v>
      </c>
      <c r="T731" s="12" t="b">
        <v>1</v>
      </c>
      <c r="U731" s="12" t="b">
        <v>0</v>
      </c>
      <c r="V731" s="12" t="b">
        <v>1</v>
      </c>
      <c r="W731" s="12" t="b">
        <v>0</v>
      </c>
      <c r="X731" s="12">
        <v>1</v>
      </c>
      <c r="Y731" s="12" t="b">
        <v>0</v>
      </c>
      <c r="Z731" s="12" t="b">
        <v>0</v>
      </c>
      <c r="AA731" s="12" t="b">
        <v>0</v>
      </c>
      <c r="AB731" s="12" t="b">
        <v>0</v>
      </c>
      <c r="AC731" s="12" t="b">
        <v>0</v>
      </c>
      <c r="AD731" s="12" t="b">
        <v>1</v>
      </c>
      <c r="AE731" s="12" t="b">
        <v>0</v>
      </c>
      <c r="AF731" s="12" t="b">
        <v>1</v>
      </c>
      <c r="AG731" s="12" t="b">
        <v>1</v>
      </c>
      <c r="AH731" s="12">
        <v>1</v>
      </c>
      <c r="AI731" s="12" t="b">
        <v>0</v>
      </c>
      <c r="AJ731" s="12" t="b">
        <v>0</v>
      </c>
      <c r="AK731" s="12" t="b">
        <v>1</v>
      </c>
      <c r="AL731" s="12">
        <v>1</v>
      </c>
      <c r="AM731" s="12" t="s">
        <v>900</v>
      </c>
      <c r="AN731" s="12">
        <v>1</v>
      </c>
    </row>
    <row r="732" spans="1:40" x14ac:dyDescent="0.3">
      <c r="A732" s="62" t="s">
        <v>2431</v>
      </c>
      <c r="B732" s="62"/>
      <c r="C732" s="63" t="s">
        <v>1934</v>
      </c>
      <c r="D732" s="63" t="s">
        <v>1631</v>
      </c>
      <c r="E732" s="12" t="s">
        <v>1761</v>
      </c>
      <c r="F732" s="12" t="s">
        <v>1550</v>
      </c>
      <c r="G732" s="12" t="b">
        <v>1</v>
      </c>
      <c r="H732" s="12" t="b">
        <v>1</v>
      </c>
      <c r="I732" s="12" t="b">
        <v>1</v>
      </c>
      <c r="J732" s="12" t="b">
        <v>1</v>
      </c>
      <c r="K732" s="12" t="b">
        <v>0</v>
      </c>
      <c r="L732" s="12" t="b">
        <v>0</v>
      </c>
      <c r="M732" s="12" t="b">
        <v>0</v>
      </c>
      <c r="N732" s="12">
        <v>0</v>
      </c>
      <c r="O732" s="12" t="b">
        <v>0</v>
      </c>
      <c r="P732" s="12" t="b">
        <v>0</v>
      </c>
      <c r="Q732" s="12" t="b">
        <v>0</v>
      </c>
      <c r="R732" s="12" t="b">
        <v>0</v>
      </c>
      <c r="S732" s="12" t="b">
        <v>0</v>
      </c>
      <c r="T732" s="12" t="b">
        <v>1</v>
      </c>
      <c r="U732" s="12" t="b">
        <v>0</v>
      </c>
      <c r="V732" s="12" t="b">
        <v>1</v>
      </c>
      <c r="W732" s="12" t="b">
        <v>0</v>
      </c>
      <c r="X732" s="12">
        <v>1</v>
      </c>
      <c r="Y732" s="12" t="b">
        <v>0</v>
      </c>
      <c r="Z732" s="12" t="b">
        <v>0</v>
      </c>
      <c r="AA732" s="12" t="b">
        <v>0</v>
      </c>
      <c r="AB732" s="12" t="b">
        <v>0</v>
      </c>
      <c r="AC732" s="12" t="b">
        <v>0</v>
      </c>
      <c r="AD732" s="12" t="b">
        <v>1</v>
      </c>
      <c r="AE732" s="12" t="b">
        <v>0</v>
      </c>
      <c r="AF732" s="12" t="b">
        <v>1</v>
      </c>
      <c r="AG732" s="12" t="b">
        <v>1</v>
      </c>
      <c r="AH732" s="12">
        <v>1</v>
      </c>
      <c r="AI732" s="12" t="b">
        <v>0</v>
      </c>
      <c r="AJ732" s="12" t="b">
        <v>0</v>
      </c>
      <c r="AK732" s="12" t="b">
        <v>1</v>
      </c>
      <c r="AL732" s="12">
        <v>1</v>
      </c>
      <c r="AM732" s="12" t="s">
        <v>900</v>
      </c>
      <c r="AN732" s="12">
        <v>1</v>
      </c>
    </row>
    <row r="733" spans="1:40" x14ac:dyDescent="0.3">
      <c r="A733" s="62" t="s">
        <v>2431</v>
      </c>
      <c r="B733" s="62"/>
      <c r="C733" s="63" t="s">
        <v>1935</v>
      </c>
      <c r="D733" s="63" t="s">
        <v>1631</v>
      </c>
      <c r="E733" s="12" t="s">
        <v>1761</v>
      </c>
      <c r="F733" s="12" t="s">
        <v>1550</v>
      </c>
      <c r="G733" s="12" t="b">
        <v>1</v>
      </c>
      <c r="H733" s="12" t="b">
        <v>1</v>
      </c>
      <c r="I733" s="12" t="b">
        <v>1</v>
      </c>
      <c r="J733" s="12" t="b">
        <v>1</v>
      </c>
      <c r="K733" s="12" t="b">
        <v>0</v>
      </c>
      <c r="L733" s="12" t="b">
        <v>0</v>
      </c>
      <c r="M733" s="12" t="b">
        <v>0</v>
      </c>
      <c r="N733" s="12">
        <v>0</v>
      </c>
      <c r="O733" s="12" t="b">
        <v>0</v>
      </c>
      <c r="P733" s="12" t="b">
        <v>0</v>
      </c>
      <c r="Q733" s="12" t="b">
        <v>0</v>
      </c>
      <c r="R733" s="12" t="b">
        <v>0</v>
      </c>
      <c r="S733" s="12" t="b">
        <v>0</v>
      </c>
      <c r="T733" s="12" t="b">
        <v>1</v>
      </c>
      <c r="U733" s="12" t="b">
        <v>0</v>
      </c>
      <c r="V733" s="12" t="b">
        <v>1</v>
      </c>
      <c r="W733" s="12" t="b">
        <v>0</v>
      </c>
      <c r="X733" s="12">
        <v>1</v>
      </c>
      <c r="Y733" s="12" t="b">
        <v>0</v>
      </c>
      <c r="Z733" s="12" t="b">
        <v>0</v>
      </c>
      <c r="AA733" s="12" t="b">
        <v>0</v>
      </c>
      <c r="AB733" s="12" t="b">
        <v>0</v>
      </c>
      <c r="AC733" s="12" t="b">
        <v>0</v>
      </c>
      <c r="AD733" s="12" t="b">
        <v>1</v>
      </c>
      <c r="AE733" s="12" t="b">
        <v>0</v>
      </c>
      <c r="AF733" s="12" t="b">
        <v>1</v>
      </c>
      <c r="AG733" s="12" t="b">
        <v>1</v>
      </c>
      <c r="AH733" s="12">
        <v>1</v>
      </c>
      <c r="AI733" s="12" t="b">
        <v>0</v>
      </c>
      <c r="AJ733" s="12" t="b">
        <v>0</v>
      </c>
      <c r="AK733" s="12" t="b">
        <v>1</v>
      </c>
      <c r="AL733" s="12">
        <v>1</v>
      </c>
      <c r="AM733" s="12" t="s">
        <v>900</v>
      </c>
      <c r="AN733" s="12">
        <v>1</v>
      </c>
    </row>
    <row r="734" spans="1:40" x14ac:dyDescent="0.3">
      <c r="A734" s="62" t="s">
        <v>2431</v>
      </c>
      <c r="B734" s="62"/>
      <c r="C734" s="63" t="s">
        <v>1936</v>
      </c>
      <c r="D734" s="63" t="s">
        <v>1631</v>
      </c>
      <c r="E734" s="12" t="s">
        <v>1761</v>
      </c>
      <c r="F734" s="12" t="s">
        <v>1550</v>
      </c>
      <c r="G734" s="12" t="b">
        <v>1</v>
      </c>
      <c r="H734" s="12" t="b">
        <v>1</v>
      </c>
      <c r="I734" s="12" t="b">
        <v>1</v>
      </c>
      <c r="J734" s="12" t="b">
        <v>1</v>
      </c>
      <c r="K734" s="12" t="b">
        <v>0</v>
      </c>
      <c r="L734" s="12" t="b">
        <v>0</v>
      </c>
      <c r="M734" s="12" t="b">
        <v>0</v>
      </c>
      <c r="N734" s="12">
        <v>0</v>
      </c>
      <c r="O734" s="12" t="b">
        <v>0</v>
      </c>
      <c r="P734" s="12" t="b">
        <v>0</v>
      </c>
      <c r="Q734" s="12" t="b">
        <v>0</v>
      </c>
      <c r="R734" s="12" t="b">
        <v>0</v>
      </c>
      <c r="S734" s="12" t="b">
        <v>0</v>
      </c>
      <c r="T734" s="12" t="b">
        <v>1</v>
      </c>
      <c r="U734" s="12" t="b">
        <v>0</v>
      </c>
      <c r="V734" s="12" t="b">
        <v>1</v>
      </c>
      <c r="W734" s="12" t="b">
        <v>0</v>
      </c>
      <c r="X734" s="12">
        <v>1</v>
      </c>
      <c r="Y734" s="12" t="b">
        <v>0</v>
      </c>
      <c r="Z734" s="12" t="b">
        <v>0</v>
      </c>
      <c r="AA734" s="12" t="b">
        <v>0</v>
      </c>
      <c r="AB734" s="12" t="b">
        <v>0</v>
      </c>
      <c r="AC734" s="12" t="b">
        <v>0</v>
      </c>
      <c r="AD734" s="12" t="b">
        <v>1</v>
      </c>
      <c r="AE734" s="12" t="b">
        <v>0</v>
      </c>
      <c r="AF734" s="12" t="b">
        <v>1</v>
      </c>
      <c r="AG734" s="12" t="b">
        <v>1</v>
      </c>
      <c r="AH734" s="12">
        <v>1</v>
      </c>
      <c r="AI734" s="12" t="b">
        <v>0</v>
      </c>
      <c r="AJ734" s="12" t="b">
        <v>0</v>
      </c>
      <c r="AK734" s="12" t="b">
        <v>1</v>
      </c>
      <c r="AL734" s="12">
        <v>1</v>
      </c>
      <c r="AM734" s="12" t="s">
        <v>900</v>
      </c>
      <c r="AN734" s="12">
        <v>1</v>
      </c>
    </row>
    <row r="735" spans="1:40" x14ac:dyDescent="0.3">
      <c r="A735" s="62" t="s">
        <v>2431</v>
      </c>
      <c r="B735" s="62"/>
      <c r="C735" s="63" t="s">
        <v>1937</v>
      </c>
      <c r="D735" s="63" t="s">
        <v>1631</v>
      </c>
      <c r="E735" s="12" t="s">
        <v>1761</v>
      </c>
      <c r="F735" s="12" t="s">
        <v>1550</v>
      </c>
      <c r="G735" s="12" t="b">
        <v>1</v>
      </c>
      <c r="H735" s="12" t="b">
        <v>1</v>
      </c>
      <c r="I735" s="12" t="b">
        <v>1</v>
      </c>
      <c r="J735" s="12" t="b">
        <v>1</v>
      </c>
      <c r="K735" s="12" t="b">
        <v>0</v>
      </c>
      <c r="L735" s="12" t="b">
        <v>0</v>
      </c>
      <c r="M735" s="12" t="b">
        <v>0</v>
      </c>
      <c r="N735" s="12">
        <v>0</v>
      </c>
      <c r="O735" s="12" t="b">
        <v>0</v>
      </c>
      <c r="P735" s="12" t="b">
        <v>0</v>
      </c>
      <c r="Q735" s="12" t="b">
        <v>0</v>
      </c>
      <c r="R735" s="12" t="b">
        <v>0</v>
      </c>
      <c r="S735" s="12" t="b">
        <v>0</v>
      </c>
      <c r="T735" s="12" t="b">
        <v>1</v>
      </c>
      <c r="U735" s="12" t="b">
        <v>0</v>
      </c>
      <c r="V735" s="12" t="b">
        <v>1</v>
      </c>
      <c r="W735" s="12" t="b">
        <v>0</v>
      </c>
      <c r="X735" s="12">
        <v>1</v>
      </c>
      <c r="Y735" s="12" t="b">
        <v>0</v>
      </c>
      <c r="Z735" s="12" t="b">
        <v>0</v>
      </c>
      <c r="AA735" s="12" t="b">
        <v>0</v>
      </c>
      <c r="AB735" s="12" t="b">
        <v>0</v>
      </c>
      <c r="AC735" s="12" t="b">
        <v>0</v>
      </c>
      <c r="AD735" s="12" t="b">
        <v>1</v>
      </c>
      <c r="AE735" s="12" t="b">
        <v>0</v>
      </c>
      <c r="AF735" s="12" t="b">
        <v>1</v>
      </c>
      <c r="AG735" s="12" t="b">
        <v>1</v>
      </c>
      <c r="AH735" s="12">
        <v>1</v>
      </c>
      <c r="AI735" s="12" t="b">
        <v>0</v>
      </c>
      <c r="AJ735" s="12" t="b">
        <v>0</v>
      </c>
      <c r="AK735" s="12" t="b">
        <v>1</v>
      </c>
      <c r="AL735" s="12">
        <v>1</v>
      </c>
      <c r="AM735" s="12" t="s">
        <v>900</v>
      </c>
      <c r="AN735" s="12">
        <v>1</v>
      </c>
    </row>
    <row r="736" spans="1:40" x14ac:dyDescent="0.3">
      <c r="A736" s="62" t="s">
        <v>2431</v>
      </c>
      <c r="B736" s="62"/>
      <c r="C736" s="63" t="s">
        <v>1938</v>
      </c>
      <c r="D736" s="63" t="s">
        <v>1631</v>
      </c>
      <c r="E736" s="12" t="s">
        <v>1761</v>
      </c>
      <c r="F736" s="12" t="s">
        <v>1550</v>
      </c>
      <c r="G736" s="12" t="b">
        <v>1</v>
      </c>
      <c r="H736" s="12" t="b">
        <v>1</v>
      </c>
      <c r="I736" s="12" t="b">
        <v>1</v>
      </c>
      <c r="J736" s="12" t="b">
        <v>1</v>
      </c>
      <c r="K736" s="12" t="b">
        <v>0</v>
      </c>
      <c r="L736" s="12" t="b">
        <v>0</v>
      </c>
      <c r="M736" s="12" t="b">
        <v>0</v>
      </c>
      <c r="N736" s="12">
        <v>0</v>
      </c>
      <c r="O736" s="12" t="b">
        <v>0</v>
      </c>
      <c r="P736" s="12" t="b">
        <v>0</v>
      </c>
      <c r="Q736" s="12" t="b">
        <v>0</v>
      </c>
      <c r="R736" s="12" t="b">
        <v>0</v>
      </c>
      <c r="S736" s="12" t="b">
        <v>0</v>
      </c>
      <c r="T736" s="12" t="b">
        <v>1</v>
      </c>
      <c r="U736" s="12" t="b">
        <v>0</v>
      </c>
      <c r="V736" s="12" t="b">
        <v>1</v>
      </c>
      <c r="W736" s="12" t="b">
        <v>0</v>
      </c>
      <c r="X736" s="12">
        <v>1</v>
      </c>
      <c r="Y736" s="12" t="b">
        <v>0</v>
      </c>
      <c r="Z736" s="12" t="b">
        <v>0</v>
      </c>
      <c r="AA736" s="12" t="b">
        <v>0</v>
      </c>
      <c r="AB736" s="12" t="b">
        <v>0</v>
      </c>
      <c r="AC736" s="12" t="b">
        <v>0</v>
      </c>
      <c r="AD736" s="12" t="b">
        <v>1</v>
      </c>
      <c r="AE736" s="12" t="b">
        <v>0</v>
      </c>
      <c r="AF736" s="12" t="b">
        <v>1</v>
      </c>
      <c r="AG736" s="12" t="b">
        <v>1</v>
      </c>
      <c r="AH736" s="12">
        <v>1</v>
      </c>
      <c r="AI736" s="12" t="b">
        <v>0</v>
      </c>
      <c r="AJ736" s="12" t="b">
        <v>0</v>
      </c>
      <c r="AK736" s="12" t="b">
        <v>1</v>
      </c>
      <c r="AL736" s="12">
        <v>1</v>
      </c>
      <c r="AM736" s="12" t="s">
        <v>900</v>
      </c>
      <c r="AN736" s="12">
        <v>1</v>
      </c>
    </row>
    <row r="737" spans="1:40" x14ac:dyDescent="0.3">
      <c r="A737" s="62" t="s">
        <v>2431</v>
      </c>
      <c r="B737" s="62"/>
      <c r="C737" s="63" t="s">
        <v>1939</v>
      </c>
      <c r="D737" s="63" t="s">
        <v>1631</v>
      </c>
      <c r="E737" s="12" t="s">
        <v>1761</v>
      </c>
      <c r="F737" s="12" t="s">
        <v>1550</v>
      </c>
      <c r="G737" s="12" t="b">
        <v>1</v>
      </c>
      <c r="H737" s="12" t="b">
        <v>1</v>
      </c>
      <c r="I737" s="12" t="b">
        <v>1</v>
      </c>
      <c r="J737" s="12" t="b">
        <v>1</v>
      </c>
      <c r="K737" s="12" t="b">
        <v>0</v>
      </c>
      <c r="L737" s="12" t="b">
        <v>0</v>
      </c>
      <c r="M737" s="12" t="b">
        <v>0</v>
      </c>
      <c r="N737" s="12">
        <v>0</v>
      </c>
      <c r="O737" s="12" t="b">
        <v>0</v>
      </c>
      <c r="P737" s="12" t="b">
        <v>0</v>
      </c>
      <c r="Q737" s="12" t="b">
        <v>0</v>
      </c>
      <c r="R737" s="12" t="b">
        <v>0</v>
      </c>
      <c r="S737" s="12" t="b">
        <v>0</v>
      </c>
      <c r="T737" s="12" t="b">
        <v>1</v>
      </c>
      <c r="U737" s="12" t="b">
        <v>0</v>
      </c>
      <c r="V737" s="12" t="b">
        <v>1</v>
      </c>
      <c r="W737" s="12" t="b">
        <v>0</v>
      </c>
      <c r="X737" s="12">
        <v>1</v>
      </c>
      <c r="Y737" s="12" t="b">
        <v>0</v>
      </c>
      <c r="Z737" s="12" t="b">
        <v>0</v>
      </c>
      <c r="AA737" s="12" t="b">
        <v>0</v>
      </c>
      <c r="AB737" s="12" t="b">
        <v>0</v>
      </c>
      <c r="AC737" s="12" t="b">
        <v>0</v>
      </c>
      <c r="AD737" s="12" t="b">
        <v>1</v>
      </c>
      <c r="AE737" s="12" t="b">
        <v>0</v>
      </c>
      <c r="AF737" s="12" t="b">
        <v>1</v>
      </c>
      <c r="AG737" s="12" t="b">
        <v>1</v>
      </c>
      <c r="AH737" s="12">
        <v>1</v>
      </c>
      <c r="AI737" s="12" t="b">
        <v>0</v>
      </c>
      <c r="AJ737" s="12" t="b">
        <v>0</v>
      </c>
      <c r="AK737" s="12" t="b">
        <v>1</v>
      </c>
      <c r="AL737" s="12">
        <v>1</v>
      </c>
      <c r="AM737" s="12" t="s">
        <v>900</v>
      </c>
      <c r="AN737" s="12">
        <v>1</v>
      </c>
    </row>
    <row r="738" spans="1:40" x14ac:dyDescent="0.3">
      <c r="A738" s="62" t="s">
        <v>2431</v>
      </c>
      <c r="B738" s="62"/>
      <c r="C738" s="63"/>
      <c r="D738" s="63"/>
      <c r="E738" s="12" t="s">
        <v>1318</v>
      </c>
      <c r="F738" s="12" t="s">
        <v>1319</v>
      </c>
      <c r="G738" s="12" t="b">
        <v>0</v>
      </c>
      <c r="H738" s="12" t="b">
        <v>1</v>
      </c>
      <c r="I738" s="12" t="b">
        <v>1</v>
      </c>
      <c r="J738" s="12" t="b">
        <v>1</v>
      </c>
      <c r="K738" s="12" t="b">
        <v>0</v>
      </c>
      <c r="L738" s="12" t="b">
        <v>0</v>
      </c>
      <c r="M738" s="12" t="b">
        <v>0</v>
      </c>
      <c r="N738" s="12">
        <v>0</v>
      </c>
      <c r="O738" s="12" t="b">
        <v>0</v>
      </c>
      <c r="P738" s="12" t="b">
        <v>0</v>
      </c>
      <c r="Q738" s="12" t="b">
        <v>0</v>
      </c>
      <c r="R738" s="12" t="b">
        <v>0</v>
      </c>
      <c r="S738" s="12" t="b">
        <v>0</v>
      </c>
      <c r="T738" s="12" t="b">
        <v>0</v>
      </c>
      <c r="U738" s="12" t="b">
        <v>0</v>
      </c>
      <c r="V738" s="12" t="b">
        <v>0</v>
      </c>
      <c r="W738" s="12" t="b">
        <v>0</v>
      </c>
      <c r="X738" s="12">
        <v>12</v>
      </c>
      <c r="Y738" s="12" t="b">
        <v>0</v>
      </c>
      <c r="Z738" s="12" t="b">
        <v>0</v>
      </c>
      <c r="AA738" s="12" t="b">
        <v>0</v>
      </c>
      <c r="AB738" s="12" t="b">
        <v>0</v>
      </c>
      <c r="AC738" s="12" t="b">
        <v>0</v>
      </c>
      <c r="AD738" s="12" t="b">
        <v>0</v>
      </c>
      <c r="AE738" s="12" t="b">
        <v>0</v>
      </c>
      <c r="AF738" s="12" t="b">
        <v>0</v>
      </c>
      <c r="AG738" s="12" t="b">
        <v>0</v>
      </c>
      <c r="AH738" s="12">
        <v>5</v>
      </c>
      <c r="AI738" s="12" t="b">
        <v>0</v>
      </c>
      <c r="AJ738" s="12" t="b">
        <v>0</v>
      </c>
      <c r="AK738" s="12" t="b">
        <v>1</v>
      </c>
      <c r="AL738" s="12">
        <v>1</v>
      </c>
      <c r="AM738" s="12" t="s">
        <v>1476</v>
      </c>
      <c r="AN738" s="12">
        <v>1</v>
      </c>
    </row>
    <row r="739" spans="1:40" x14ac:dyDescent="0.3">
      <c r="A739" s="62" t="s">
        <v>2431</v>
      </c>
      <c r="B739" s="62"/>
      <c r="C739" s="63"/>
      <c r="D739" s="63"/>
      <c r="E739" s="12" t="s">
        <v>1320</v>
      </c>
      <c r="F739" s="12" t="s">
        <v>1321</v>
      </c>
      <c r="G739" s="12" t="b">
        <v>0</v>
      </c>
      <c r="H739" s="12" t="b">
        <v>1</v>
      </c>
      <c r="I739" s="12" t="b">
        <v>1</v>
      </c>
      <c r="J739" s="12" t="b">
        <v>1</v>
      </c>
      <c r="K739" s="12" t="b">
        <v>0</v>
      </c>
      <c r="L739" s="12" t="b">
        <v>1</v>
      </c>
      <c r="M739" s="12" t="b">
        <v>0</v>
      </c>
      <c r="N739" s="12">
        <v>0</v>
      </c>
      <c r="O739" s="12" t="b">
        <v>0</v>
      </c>
      <c r="P739" s="12" t="b">
        <v>0</v>
      </c>
      <c r="Q739" s="12" t="b">
        <v>0</v>
      </c>
      <c r="R739" s="12" t="b">
        <v>0</v>
      </c>
      <c r="S739" s="12" t="b">
        <v>0</v>
      </c>
      <c r="T739" s="12" t="b">
        <v>0</v>
      </c>
      <c r="U739" s="12" t="b">
        <v>0</v>
      </c>
      <c r="V739" s="12" t="b">
        <v>0</v>
      </c>
      <c r="W739" s="12" t="b">
        <v>0</v>
      </c>
      <c r="X739" s="12">
        <v>12</v>
      </c>
      <c r="Y739" s="12" t="b">
        <v>0</v>
      </c>
      <c r="Z739" s="12" t="b">
        <v>0</v>
      </c>
      <c r="AA739" s="12" t="b">
        <v>0</v>
      </c>
      <c r="AB739" s="12" t="b">
        <v>0</v>
      </c>
      <c r="AC739" s="12" t="b">
        <v>0</v>
      </c>
      <c r="AD739" s="12" t="b">
        <v>0</v>
      </c>
      <c r="AE739" s="12" t="b">
        <v>0</v>
      </c>
      <c r="AF739" s="12" t="b">
        <v>0</v>
      </c>
      <c r="AG739" s="12" t="b">
        <v>0</v>
      </c>
      <c r="AH739" s="12">
        <v>7</v>
      </c>
      <c r="AI739" s="12" t="b">
        <v>0</v>
      </c>
      <c r="AJ739" s="12" t="b">
        <v>0</v>
      </c>
      <c r="AK739" s="12" t="b">
        <v>1</v>
      </c>
      <c r="AL739" s="12">
        <v>1</v>
      </c>
      <c r="AM739" s="12" t="s">
        <v>1476</v>
      </c>
      <c r="AN739" s="12">
        <v>1</v>
      </c>
    </row>
    <row r="740" spans="1:40" x14ac:dyDescent="0.3">
      <c r="A740" s="62" t="s">
        <v>2431</v>
      </c>
      <c r="B740" s="62"/>
      <c r="C740" s="63"/>
      <c r="D740" s="63"/>
      <c r="E740" s="12" t="s">
        <v>1525</v>
      </c>
      <c r="F740" s="12" t="s">
        <v>1569</v>
      </c>
      <c r="G740" s="12" t="b">
        <v>0</v>
      </c>
      <c r="H740" s="12" t="b">
        <v>1</v>
      </c>
      <c r="I740" s="12" t="b">
        <v>1</v>
      </c>
      <c r="J740" s="12" t="b">
        <v>1</v>
      </c>
      <c r="K740" s="12" t="b">
        <v>0</v>
      </c>
      <c r="L740" s="12" t="b">
        <v>0</v>
      </c>
      <c r="M740" s="12" t="b">
        <v>0</v>
      </c>
      <c r="N740" s="12">
        <v>0</v>
      </c>
      <c r="O740" s="12" t="b">
        <v>0</v>
      </c>
      <c r="P740" s="12" t="b">
        <v>0</v>
      </c>
      <c r="Q740" s="12" t="b">
        <v>0</v>
      </c>
      <c r="R740" s="12" t="b">
        <v>0</v>
      </c>
      <c r="S740" s="12" t="b">
        <v>0</v>
      </c>
      <c r="T740" s="12" t="b">
        <v>0</v>
      </c>
      <c r="U740" s="12" t="b">
        <v>0</v>
      </c>
      <c r="V740" s="12" t="b">
        <v>0</v>
      </c>
      <c r="W740" s="12" t="b">
        <v>0</v>
      </c>
      <c r="X740" s="12">
        <v>1</v>
      </c>
      <c r="Y740" s="12" t="b">
        <v>0</v>
      </c>
      <c r="Z740" s="12" t="b">
        <v>0</v>
      </c>
      <c r="AA740" s="12" t="b">
        <v>1</v>
      </c>
      <c r="AB740" s="12" t="b">
        <v>1</v>
      </c>
      <c r="AC740" s="12" t="b">
        <v>1</v>
      </c>
      <c r="AD740" s="12" t="b">
        <v>1</v>
      </c>
      <c r="AE740" s="12" t="b">
        <v>0</v>
      </c>
      <c r="AF740" s="12" t="b">
        <v>0</v>
      </c>
      <c r="AG740" s="12" t="b">
        <v>0</v>
      </c>
      <c r="AH740" s="12">
        <v>1</v>
      </c>
      <c r="AI740" s="12" t="b">
        <v>0</v>
      </c>
      <c r="AJ740" s="12" t="b">
        <v>0</v>
      </c>
      <c r="AK740" s="12" t="b">
        <v>1</v>
      </c>
      <c r="AL740" s="12">
        <v>0</v>
      </c>
      <c r="AM740" s="12" t="s">
        <v>922</v>
      </c>
      <c r="AN740" s="12">
        <v>0</v>
      </c>
    </row>
    <row r="741" spans="1:40" x14ac:dyDescent="0.3">
      <c r="A741" s="62" t="s">
        <v>2431</v>
      </c>
      <c r="B741" s="62"/>
      <c r="C741" s="63"/>
      <c r="D741" s="63"/>
      <c r="E741" s="12" t="s">
        <v>1526</v>
      </c>
      <c r="F741" s="12" t="s">
        <v>1570</v>
      </c>
      <c r="G741" s="12" t="b">
        <v>0</v>
      </c>
      <c r="H741" s="12" t="b">
        <v>1</v>
      </c>
      <c r="I741" s="12" t="b">
        <v>1</v>
      </c>
      <c r="J741" s="12" t="b">
        <v>1</v>
      </c>
      <c r="K741" s="12" t="b">
        <v>0</v>
      </c>
      <c r="L741" s="12" t="b">
        <v>0</v>
      </c>
      <c r="M741" s="12" t="b">
        <v>0</v>
      </c>
      <c r="N741" s="12">
        <v>0</v>
      </c>
      <c r="O741" s="12" t="b">
        <v>0</v>
      </c>
      <c r="P741" s="12" t="b">
        <v>0</v>
      </c>
      <c r="Q741" s="12" t="b">
        <v>0</v>
      </c>
      <c r="R741" s="12" t="b">
        <v>0</v>
      </c>
      <c r="S741" s="12" t="b">
        <v>0</v>
      </c>
      <c r="T741" s="12" t="b">
        <v>0</v>
      </c>
      <c r="U741" s="12" t="b">
        <v>0</v>
      </c>
      <c r="V741" s="12" t="b">
        <v>0</v>
      </c>
      <c r="W741" s="12" t="b">
        <v>0</v>
      </c>
      <c r="X741" s="12">
        <v>1</v>
      </c>
      <c r="Y741" s="12" t="b">
        <v>0</v>
      </c>
      <c r="Z741" s="12" t="b">
        <v>0</v>
      </c>
      <c r="AA741" s="12" t="b">
        <v>1</v>
      </c>
      <c r="AB741" s="12" t="b">
        <v>1</v>
      </c>
      <c r="AC741" s="12" t="b">
        <v>1</v>
      </c>
      <c r="AD741" s="12" t="b">
        <v>1</v>
      </c>
      <c r="AE741" s="12" t="b">
        <v>0</v>
      </c>
      <c r="AF741" s="12" t="b">
        <v>0</v>
      </c>
      <c r="AG741" s="12" t="b">
        <v>0</v>
      </c>
      <c r="AH741" s="12">
        <v>1</v>
      </c>
      <c r="AI741" s="12" t="b">
        <v>0</v>
      </c>
      <c r="AJ741" s="12" t="b">
        <v>0</v>
      </c>
      <c r="AK741" s="12" t="b">
        <v>1</v>
      </c>
      <c r="AL741" s="12">
        <v>0</v>
      </c>
      <c r="AM741" s="12" t="s">
        <v>922</v>
      </c>
      <c r="AN741" s="12">
        <v>0</v>
      </c>
    </row>
    <row r="742" spans="1:40" x14ac:dyDescent="0.3">
      <c r="A742" s="62" t="s">
        <v>2431</v>
      </c>
      <c r="B742" s="62"/>
      <c r="C742" s="63"/>
      <c r="D742" s="63"/>
      <c r="E742" s="12" t="s">
        <v>1268</v>
      </c>
      <c r="F742" s="12" t="s">
        <v>1269</v>
      </c>
      <c r="G742" s="12" t="b">
        <v>0</v>
      </c>
      <c r="H742" s="12" t="b">
        <v>0</v>
      </c>
      <c r="I742" s="12" t="b">
        <v>0</v>
      </c>
      <c r="J742" s="12" t="b">
        <v>1</v>
      </c>
      <c r="K742" s="12" t="b">
        <v>0</v>
      </c>
      <c r="L742" s="12" t="b">
        <v>1</v>
      </c>
      <c r="M742" s="12" t="b">
        <v>0</v>
      </c>
      <c r="N742" s="12">
        <v>0</v>
      </c>
      <c r="O742" s="12" t="b">
        <v>0</v>
      </c>
      <c r="P742" s="12" t="b">
        <v>0</v>
      </c>
      <c r="Q742" s="12" t="b">
        <v>0</v>
      </c>
      <c r="R742" s="12" t="b">
        <v>0</v>
      </c>
      <c r="S742" s="12" t="b">
        <v>0</v>
      </c>
      <c r="T742" s="12" t="b">
        <v>1</v>
      </c>
      <c r="U742" s="12" t="b">
        <v>0</v>
      </c>
      <c r="V742" s="12" t="b">
        <v>1</v>
      </c>
      <c r="W742" s="12" t="b">
        <v>0</v>
      </c>
      <c r="X742" s="12">
        <v>1</v>
      </c>
      <c r="Y742" s="12" t="b">
        <v>0</v>
      </c>
      <c r="Z742" s="12" t="b">
        <v>0</v>
      </c>
      <c r="AA742" s="12" t="b">
        <v>0</v>
      </c>
      <c r="AB742" s="12" t="b">
        <v>0</v>
      </c>
      <c r="AC742" s="12" t="b">
        <v>0</v>
      </c>
      <c r="AD742" s="12" t="b">
        <v>1</v>
      </c>
      <c r="AE742" s="12" t="b">
        <v>0</v>
      </c>
      <c r="AF742" s="12" t="b">
        <v>1</v>
      </c>
      <c r="AG742" s="12" t="b">
        <v>0</v>
      </c>
      <c r="AH742" s="12">
        <v>1</v>
      </c>
      <c r="AI742" s="12" t="b">
        <v>0</v>
      </c>
      <c r="AJ742" s="12" t="b">
        <v>0</v>
      </c>
      <c r="AK742" s="12" t="b">
        <v>1</v>
      </c>
      <c r="AL742" s="12">
        <v>0</v>
      </c>
      <c r="AM742" s="12" t="s">
        <v>922</v>
      </c>
      <c r="AN742" s="12">
        <v>0</v>
      </c>
    </row>
    <row r="743" spans="1:40" x14ac:dyDescent="0.3">
      <c r="A743" s="62" t="s">
        <v>2431</v>
      </c>
      <c r="B743" s="62"/>
      <c r="C743" s="63"/>
      <c r="D743" s="63"/>
      <c r="E743" s="12" t="s">
        <v>1270</v>
      </c>
      <c r="F743" s="12" t="s">
        <v>1271</v>
      </c>
      <c r="G743" s="12" t="b">
        <v>0</v>
      </c>
      <c r="H743" s="12" t="b">
        <v>0</v>
      </c>
      <c r="I743" s="12" t="b">
        <v>0</v>
      </c>
      <c r="J743" s="12" t="b">
        <v>1</v>
      </c>
      <c r="K743" s="12" t="b">
        <v>0</v>
      </c>
      <c r="L743" s="12" t="b">
        <v>1</v>
      </c>
      <c r="M743" s="12" t="b">
        <v>0</v>
      </c>
      <c r="N743" s="12">
        <v>0</v>
      </c>
      <c r="O743" s="12" t="b">
        <v>0</v>
      </c>
      <c r="P743" s="12" t="b">
        <v>0</v>
      </c>
      <c r="Q743" s="12" t="b">
        <v>0</v>
      </c>
      <c r="R743" s="12" t="b">
        <v>0</v>
      </c>
      <c r="S743" s="12" t="b">
        <v>0</v>
      </c>
      <c r="T743" s="12" t="b">
        <v>1</v>
      </c>
      <c r="U743" s="12" t="b">
        <v>0</v>
      </c>
      <c r="V743" s="12" t="b">
        <v>1</v>
      </c>
      <c r="W743" s="12" t="b">
        <v>0</v>
      </c>
      <c r="X743" s="12">
        <v>1</v>
      </c>
      <c r="Y743" s="12" t="b">
        <v>0</v>
      </c>
      <c r="Z743" s="12" t="b">
        <v>0</v>
      </c>
      <c r="AA743" s="12" t="b">
        <v>0</v>
      </c>
      <c r="AB743" s="12" t="b">
        <v>0</v>
      </c>
      <c r="AC743" s="12" t="b">
        <v>0</v>
      </c>
      <c r="AD743" s="12" t="b">
        <v>1</v>
      </c>
      <c r="AE743" s="12" t="b">
        <v>0</v>
      </c>
      <c r="AF743" s="12" t="b">
        <v>1</v>
      </c>
      <c r="AG743" s="12" t="b">
        <v>0</v>
      </c>
      <c r="AH743" s="12">
        <v>1</v>
      </c>
      <c r="AI743" s="12" t="b">
        <v>0</v>
      </c>
      <c r="AJ743" s="12" t="b">
        <v>0</v>
      </c>
      <c r="AK743" s="12" t="b">
        <v>1</v>
      </c>
      <c r="AL743" s="12">
        <v>0</v>
      </c>
      <c r="AM743" s="12" t="s">
        <v>922</v>
      </c>
      <c r="AN743" s="12">
        <v>0</v>
      </c>
    </row>
    <row r="744" spans="1:40" x14ac:dyDescent="0.3">
      <c r="A744" s="62" t="s">
        <v>2431</v>
      </c>
      <c r="B744" s="62"/>
      <c r="C744" s="63"/>
      <c r="D744" s="63"/>
      <c r="E744" s="12" t="s">
        <v>1272</v>
      </c>
      <c r="F744" s="12" t="s">
        <v>1273</v>
      </c>
      <c r="G744" s="12" t="b">
        <v>0</v>
      </c>
      <c r="H744" s="12" t="b">
        <v>0</v>
      </c>
      <c r="I744" s="12" t="b">
        <v>0</v>
      </c>
      <c r="J744" s="12" t="b">
        <v>1</v>
      </c>
      <c r="K744" s="12" t="b">
        <v>0</v>
      </c>
      <c r="L744" s="12" t="b">
        <v>1</v>
      </c>
      <c r="M744" s="12" t="b">
        <v>0</v>
      </c>
      <c r="N744" s="12">
        <v>0</v>
      </c>
      <c r="O744" s="12" t="b">
        <v>0</v>
      </c>
      <c r="P744" s="12" t="b">
        <v>0</v>
      </c>
      <c r="Q744" s="12" t="b">
        <v>0</v>
      </c>
      <c r="R744" s="12" t="b">
        <v>0</v>
      </c>
      <c r="S744" s="12" t="b">
        <v>0</v>
      </c>
      <c r="T744" s="12" t="b">
        <v>1</v>
      </c>
      <c r="U744" s="12" t="b">
        <v>0</v>
      </c>
      <c r="V744" s="12" t="b">
        <v>1</v>
      </c>
      <c r="W744" s="12" t="b">
        <v>0</v>
      </c>
      <c r="X744" s="12">
        <v>1</v>
      </c>
      <c r="Y744" s="12" t="b">
        <v>0</v>
      </c>
      <c r="Z744" s="12" t="b">
        <v>0</v>
      </c>
      <c r="AA744" s="12" t="b">
        <v>0</v>
      </c>
      <c r="AB744" s="12" t="b">
        <v>0</v>
      </c>
      <c r="AC744" s="12" t="b">
        <v>0</v>
      </c>
      <c r="AD744" s="12" t="b">
        <v>1</v>
      </c>
      <c r="AE744" s="12" t="b">
        <v>0</v>
      </c>
      <c r="AF744" s="12" t="b">
        <v>1</v>
      </c>
      <c r="AG744" s="12" t="b">
        <v>0</v>
      </c>
      <c r="AH744" s="12">
        <v>1</v>
      </c>
      <c r="AI744" s="12" t="b">
        <v>0</v>
      </c>
      <c r="AJ744" s="12" t="b">
        <v>0</v>
      </c>
      <c r="AK744" s="12" t="b">
        <v>1</v>
      </c>
      <c r="AL744" s="12">
        <v>0</v>
      </c>
      <c r="AM744" s="12" t="s">
        <v>922</v>
      </c>
      <c r="AN744" s="12">
        <v>0</v>
      </c>
    </row>
    <row r="745" spans="1:40" x14ac:dyDescent="0.3">
      <c r="A745" s="62" t="s">
        <v>2431</v>
      </c>
      <c r="B745" s="62"/>
      <c r="C745" s="63"/>
      <c r="D745" s="63"/>
      <c r="E745" s="12" t="s">
        <v>1274</v>
      </c>
      <c r="F745" s="12" t="s">
        <v>1275</v>
      </c>
      <c r="G745" s="12" t="b">
        <v>0</v>
      </c>
      <c r="H745" s="12" t="b">
        <v>0</v>
      </c>
      <c r="I745" s="12" t="b">
        <v>0</v>
      </c>
      <c r="J745" s="12" t="b">
        <v>1</v>
      </c>
      <c r="K745" s="12" t="b">
        <v>0</v>
      </c>
      <c r="L745" s="12" t="b">
        <v>1</v>
      </c>
      <c r="M745" s="12" t="b">
        <v>0</v>
      </c>
      <c r="N745" s="12">
        <v>0</v>
      </c>
      <c r="O745" s="12" t="b">
        <v>0</v>
      </c>
      <c r="P745" s="12" t="b">
        <v>0</v>
      </c>
      <c r="Q745" s="12" t="b">
        <v>0</v>
      </c>
      <c r="R745" s="12" t="b">
        <v>0</v>
      </c>
      <c r="S745" s="12" t="b">
        <v>0</v>
      </c>
      <c r="T745" s="12" t="b">
        <v>1</v>
      </c>
      <c r="U745" s="12" t="b">
        <v>0</v>
      </c>
      <c r="V745" s="12" t="b">
        <v>1</v>
      </c>
      <c r="W745" s="12" t="b">
        <v>0</v>
      </c>
      <c r="X745" s="12">
        <v>1</v>
      </c>
      <c r="Y745" s="12" t="b">
        <v>0</v>
      </c>
      <c r="Z745" s="12" t="b">
        <v>0</v>
      </c>
      <c r="AA745" s="12" t="b">
        <v>0</v>
      </c>
      <c r="AB745" s="12" t="b">
        <v>0</v>
      </c>
      <c r="AC745" s="12" t="b">
        <v>0</v>
      </c>
      <c r="AD745" s="12" t="b">
        <v>1</v>
      </c>
      <c r="AE745" s="12" t="b">
        <v>0</v>
      </c>
      <c r="AF745" s="12" t="b">
        <v>1</v>
      </c>
      <c r="AG745" s="12" t="b">
        <v>0</v>
      </c>
      <c r="AH745" s="12">
        <v>1</v>
      </c>
      <c r="AI745" s="12" t="b">
        <v>0</v>
      </c>
      <c r="AJ745" s="12" t="b">
        <v>0</v>
      </c>
      <c r="AK745" s="12" t="b">
        <v>1</v>
      </c>
      <c r="AL745" s="12">
        <v>0</v>
      </c>
      <c r="AM745" s="12" t="s">
        <v>922</v>
      </c>
      <c r="AN745" s="12">
        <v>0</v>
      </c>
    </row>
    <row r="746" spans="1:40" x14ac:dyDescent="0.3">
      <c r="A746" s="62" t="s">
        <v>2431</v>
      </c>
      <c r="B746" s="62"/>
      <c r="C746" s="63"/>
      <c r="D746" s="63"/>
      <c r="E746" s="12" t="s">
        <v>1286</v>
      </c>
      <c r="F746" s="12" t="s">
        <v>1287</v>
      </c>
      <c r="G746" s="12" t="b">
        <v>0</v>
      </c>
      <c r="H746" s="12" t="b">
        <v>1</v>
      </c>
      <c r="I746" s="12" t="b">
        <v>1</v>
      </c>
      <c r="J746" s="12" t="b">
        <v>1</v>
      </c>
      <c r="K746" s="12" t="b">
        <v>0</v>
      </c>
      <c r="L746" s="12" t="b">
        <v>0</v>
      </c>
      <c r="M746" s="12" t="b">
        <v>0</v>
      </c>
      <c r="N746" s="12">
        <v>0</v>
      </c>
      <c r="O746" s="12" t="b">
        <v>0</v>
      </c>
      <c r="P746" s="12" t="b">
        <v>0</v>
      </c>
      <c r="Q746" s="12" t="b">
        <v>0</v>
      </c>
      <c r="R746" s="12" t="b">
        <v>0</v>
      </c>
      <c r="S746" s="12" t="b">
        <v>0</v>
      </c>
      <c r="T746" s="12" t="b">
        <v>1</v>
      </c>
      <c r="U746" s="12" t="b">
        <v>0</v>
      </c>
      <c r="V746" s="12" t="b">
        <v>1</v>
      </c>
      <c r="W746" s="12" t="b">
        <v>0</v>
      </c>
      <c r="X746" s="12">
        <v>1</v>
      </c>
      <c r="Y746" s="12" t="b">
        <v>0</v>
      </c>
      <c r="Z746" s="12" t="b">
        <v>0</v>
      </c>
      <c r="AA746" s="12" t="b">
        <v>1</v>
      </c>
      <c r="AB746" s="12" t="b">
        <v>1</v>
      </c>
      <c r="AC746" s="12" t="b">
        <v>1</v>
      </c>
      <c r="AD746" s="12" t="b">
        <v>1</v>
      </c>
      <c r="AE746" s="12" t="b">
        <v>0</v>
      </c>
      <c r="AF746" s="12" t="b">
        <v>0</v>
      </c>
      <c r="AG746" s="12" t="b">
        <v>0</v>
      </c>
      <c r="AH746" s="12">
        <v>0</v>
      </c>
      <c r="AI746" s="12" t="b">
        <v>0</v>
      </c>
      <c r="AJ746" s="12" t="b">
        <v>0</v>
      </c>
      <c r="AK746" s="12" t="b">
        <v>1</v>
      </c>
      <c r="AL746" s="12">
        <v>0</v>
      </c>
      <c r="AM746" s="12" t="s">
        <v>900</v>
      </c>
      <c r="AN746" s="12">
        <v>0</v>
      </c>
    </row>
    <row r="747" spans="1:40" x14ac:dyDescent="0.3">
      <c r="A747" s="62" t="s">
        <v>2431</v>
      </c>
      <c r="B747" s="62"/>
      <c r="C747" s="63"/>
      <c r="D747" s="63"/>
      <c r="E747" s="12" t="s">
        <v>1837</v>
      </c>
      <c r="F747" s="12" t="s">
        <v>1838</v>
      </c>
      <c r="G747" s="12" t="b">
        <v>0</v>
      </c>
      <c r="H747" s="12" t="b">
        <v>1</v>
      </c>
      <c r="I747" s="12" t="b">
        <v>1</v>
      </c>
      <c r="J747" s="12" t="b">
        <v>1</v>
      </c>
      <c r="K747" s="12" t="b">
        <v>0</v>
      </c>
      <c r="L747" s="12" t="b">
        <v>0</v>
      </c>
      <c r="M747" s="12" t="b">
        <v>0</v>
      </c>
      <c r="N747" s="12">
        <v>0</v>
      </c>
      <c r="O747" s="12" t="b">
        <v>0</v>
      </c>
      <c r="P747" s="12" t="b">
        <v>0</v>
      </c>
      <c r="Q747" s="12" t="b">
        <v>0</v>
      </c>
      <c r="R747" s="12" t="b">
        <v>0</v>
      </c>
      <c r="S747" s="12" t="b">
        <v>0</v>
      </c>
      <c r="T747" s="12" t="b">
        <v>0</v>
      </c>
      <c r="U747" s="12" t="b">
        <v>0</v>
      </c>
      <c r="V747" s="12" t="b">
        <v>1</v>
      </c>
      <c r="W747" s="12" t="b">
        <v>0</v>
      </c>
      <c r="X747" s="12">
        <v>1</v>
      </c>
      <c r="Y747" s="12" t="b">
        <v>0</v>
      </c>
      <c r="Z747" s="12" t="b">
        <v>0</v>
      </c>
      <c r="AA747" s="12" t="b">
        <v>0</v>
      </c>
      <c r="AB747" s="12" t="b">
        <v>0</v>
      </c>
      <c r="AC747" s="12" t="b">
        <v>0</v>
      </c>
      <c r="AD747" s="12" t="b">
        <v>0</v>
      </c>
      <c r="AE747" s="12" t="b">
        <v>0</v>
      </c>
      <c r="AF747" s="12" t="b">
        <v>1</v>
      </c>
      <c r="AG747" s="12" t="b">
        <v>0</v>
      </c>
      <c r="AH747" s="12">
        <v>1</v>
      </c>
      <c r="AI747" s="12" t="b">
        <v>0</v>
      </c>
      <c r="AJ747" s="12" t="b">
        <v>0</v>
      </c>
      <c r="AK747" s="12" t="b">
        <v>1</v>
      </c>
      <c r="AL747" s="12">
        <v>1</v>
      </c>
      <c r="AM747" s="12" t="s">
        <v>922</v>
      </c>
      <c r="AN747" s="12">
        <v>1</v>
      </c>
    </row>
    <row r="748" spans="1:40" x14ac:dyDescent="0.3">
      <c r="A748" s="62" t="s">
        <v>2431</v>
      </c>
      <c r="B748" s="62"/>
      <c r="C748" s="63"/>
      <c r="D748" s="63"/>
      <c r="E748" s="12" t="s">
        <v>1225</v>
      </c>
      <c r="F748" s="12" t="s">
        <v>1226</v>
      </c>
      <c r="G748" s="12" t="b">
        <v>0</v>
      </c>
      <c r="H748" s="12" t="b">
        <v>1</v>
      </c>
      <c r="I748" s="12" t="b">
        <v>1</v>
      </c>
      <c r="J748" s="12" t="b">
        <v>1</v>
      </c>
      <c r="K748" s="12" t="b">
        <v>1</v>
      </c>
      <c r="L748" s="12" t="b">
        <v>1</v>
      </c>
      <c r="M748" s="12" t="b">
        <v>0</v>
      </c>
      <c r="N748" s="12">
        <v>0</v>
      </c>
      <c r="O748" s="12" t="b">
        <v>0</v>
      </c>
      <c r="P748" s="12" t="b">
        <v>0</v>
      </c>
      <c r="Q748" s="12" t="b">
        <v>0</v>
      </c>
      <c r="R748" s="12" t="b">
        <v>1</v>
      </c>
      <c r="S748" s="12" t="b">
        <v>1</v>
      </c>
      <c r="T748" s="12" t="b">
        <v>1</v>
      </c>
      <c r="U748" s="12" t="b">
        <v>0</v>
      </c>
      <c r="V748" s="12" t="b">
        <v>1</v>
      </c>
      <c r="W748" s="12" t="b">
        <v>0</v>
      </c>
      <c r="X748" s="12">
        <v>0</v>
      </c>
      <c r="Y748" s="12" t="b">
        <v>0</v>
      </c>
      <c r="Z748" s="12" t="b">
        <v>0</v>
      </c>
      <c r="AA748" s="12" t="b">
        <v>0</v>
      </c>
      <c r="AB748" s="12" t="b">
        <v>1</v>
      </c>
      <c r="AC748" s="12" t="b">
        <v>1</v>
      </c>
      <c r="AD748" s="12" t="b">
        <v>1</v>
      </c>
      <c r="AE748" s="12" t="b">
        <v>0</v>
      </c>
      <c r="AF748" s="12" t="b">
        <v>0</v>
      </c>
      <c r="AG748" s="12" t="b">
        <v>0</v>
      </c>
      <c r="AH748" s="12">
        <v>0</v>
      </c>
      <c r="AI748" s="12" t="b">
        <v>0</v>
      </c>
      <c r="AJ748" s="12" t="b">
        <v>0</v>
      </c>
      <c r="AK748" s="12" t="b">
        <v>1</v>
      </c>
      <c r="AL748" s="12">
        <v>0</v>
      </c>
      <c r="AM748" s="12" t="s">
        <v>51</v>
      </c>
      <c r="AN748" s="12">
        <v>0</v>
      </c>
    </row>
    <row r="749" spans="1:40" x14ac:dyDescent="0.3">
      <c r="A749" s="62" t="s">
        <v>2431</v>
      </c>
      <c r="B749" s="62"/>
      <c r="C749" s="63"/>
      <c r="D749" s="63"/>
      <c r="E749" s="12" t="s">
        <v>1215</v>
      </c>
      <c r="F749" s="12" t="s">
        <v>1216</v>
      </c>
      <c r="G749" s="12" t="b">
        <v>0</v>
      </c>
      <c r="H749" s="12" t="b">
        <v>1</v>
      </c>
      <c r="I749" s="12" t="b">
        <v>1</v>
      </c>
      <c r="J749" s="12" t="b">
        <v>1</v>
      </c>
      <c r="K749" s="12" t="b">
        <v>1</v>
      </c>
      <c r="L749" s="12" t="b">
        <v>1</v>
      </c>
      <c r="M749" s="12" t="b">
        <v>0</v>
      </c>
      <c r="N749" s="12">
        <v>0</v>
      </c>
      <c r="O749" s="12" t="b">
        <v>0</v>
      </c>
      <c r="P749" s="12" t="b">
        <v>0</v>
      </c>
      <c r="Q749" s="12" t="b">
        <v>0</v>
      </c>
      <c r="R749" s="12" t="b">
        <v>1</v>
      </c>
      <c r="S749" s="12" t="b">
        <v>1</v>
      </c>
      <c r="T749" s="12" t="b">
        <v>1</v>
      </c>
      <c r="U749" s="12" t="b">
        <v>0</v>
      </c>
      <c r="V749" s="12" t="b">
        <v>1</v>
      </c>
      <c r="W749" s="12" t="b">
        <v>0</v>
      </c>
      <c r="X749" s="12">
        <v>0</v>
      </c>
      <c r="Y749" s="12" t="b">
        <v>0</v>
      </c>
      <c r="Z749" s="12" t="b">
        <v>0</v>
      </c>
      <c r="AA749" s="12" t="b">
        <v>0</v>
      </c>
      <c r="AB749" s="12" t="b">
        <v>1</v>
      </c>
      <c r="AC749" s="12" t="b">
        <v>1</v>
      </c>
      <c r="AD749" s="12" t="b">
        <v>1</v>
      </c>
      <c r="AE749" s="12" t="b">
        <v>0</v>
      </c>
      <c r="AF749" s="12" t="b">
        <v>0</v>
      </c>
      <c r="AG749" s="12" t="b">
        <v>0</v>
      </c>
      <c r="AH749" s="12">
        <v>0</v>
      </c>
      <c r="AI749" s="12" t="b">
        <v>0</v>
      </c>
      <c r="AJ749" s="12" t="b">
        <v>0</v>
      </c>
      <c r="AK749" s="12" t="b">
        <v>1</v>
      </c>
      <c r="AL749" s="12">
        <v>0</v>
      </c>
      <c r="AM749" s="12" t="s">
        <v>51</v>
      </c>
      <c r="AN749" s="12">
        <v>0</v>
      </c>
    </row>
    <row r="750" spans="1:40" x14ac:dyDescent="0.3">
      <c r="A750" s="62" t="s">
        <v>2431</v>
      </c>
      <c r="B750" s="62"/>
      <c r="C750" s="63"/>
      <c r="D750" s="63"/>
      <c r="E750" s="12" t="s">
        <v>1227</v>
      </c>
      <c r="F750" s="12" t="s">
        <v>1228</v>
      </c>
      <c r="G750" s="12" t="b">
        <v>0</v>
      </c>
      <c r="H750" s="12" t="b">
        <v>1</v>
      </c>
      <c r="I750" s="12" t="b">
        <v>1</v>
      </c>
      <c r="J750" s="12" t="b">
        <v>1</v>
      </c>
      <c r="K750" s="12" t="b">
        <v>1</v>
      </c>
      <c r="L750" s="12" t="b">
        <v>1</v>
      </c>
      <c r="M750" s="12" t="b">
        <v>0</v>
      </c>
      <c r="N750" s="12">
        <v>0</v>
      </c>
      <c r="O750" s="12" t="b">
        <v>0</v>
      </c>
      <c r="P750" s="12" t="b">
        <v>0</v>
      </c>
      <c r="Q750" s="12" t="b">
        <v>0</v>
      </c>
      <c r="R750" s="12" t="b">
        <v>1</v>
      </c>
      <c r="S750" s="12" t="b">
        <v>1</v>
      </c>
      <c r="T750" s="12" t="b">
        <v>1</v>
      </c>
      <c r="U750" s="12" t="b">
        <v>0</v>
      </c>
      <c r="V750" s="12" t="b">
        <v>1</v>
      </c>
      <c r="W750" s="12" t="b">
        <v>0</v>
      </c>
      <c r="X750" s="12">
        <v>0</v>
      </c>
      <c r="Y750" s="12" t="b">
        <v>0</v>
      </c>
      <c r="Z750" s="12" t="b">
        <v>0</v>
      </c>
      <c r="AA750" s="12" t="b">
        <v>0</v>
      </c>
      <c r="AB750" s="12" t="b">
        <v>1</v>
      </c>
      <c r="AC750" s="12" t="b">
        <v>1</v>
      </c>
      <c r="AD750" s="12" t="b">
        <v>1</v>
      </c>
      <c r="AE750" s="12" t="b">
        <v>0</v>
      </c>
      <c r="AF750" s="12" t="b">
        <v>0</v>
      </c>
      <c r="AG750" s="12" t="b">
        <v>0</v>
      </c>
      <c r="AH750" s="12">
        <v>0</v>
      </c>
      <c r="AI750" s="12" t="b">
        <v>0</v>
      </c>
      <c r="AJ750" s="12" t="b">
        <v>0</v>
      </c>
      <c r="AK750" s="12" t="b">
        <v>1</v>
      </c>
      <c r="AL750" s="12">
        <v>0</v>
      </c>
      <c r="AM750" s="12" t="s">
        <v>51</v>
      </c>
      <c r="AN750" s="12">
        <v>0</v>
      </c>
    </row>
    <row r="751" spans="1:40" x14ac:dyDescent="0.3">
      <c r="A751" s="62" t="s">
        <v>2431</v>
      </c>
      <c r="B751" s="62"/>
      <c r="C751" s="63"/>
      <c r="D751" s="63"/>
      <c r="E751" s="12" t="s">
        <v>1217</v>
      </c>
      <c r="F751" s="12" t="s">
        <v>1218</v>
      </c>
      <c r="G751" s="12" t="b">
        <v>0</v>
      </c>
      <c r="H751" s="12" t="b">
        <v>1</v>
      </c>
      <c r="I751" s="12" t="b">
        <v>1</v>
      </c>
      <c r="J751" s="12" t="b">
        <v>1</v>
      </c>
      <c r="K751" s="12" t="b">
        <v>1</v>
      </c>
      <c r="L751" s="12" t="b">
        <v>1</v>
      </c>
      <c r="M751" s="12" t="b">
        <v>0</v>
      </c>
      <c r="N751" s="12">
        <v>0</v>
      </c>
      <c r="O751" s="12" t="b">
        <v>0</v>
      </c>
      <c r="P751" s="12" t="b">
        <v>0</v>
      </c>
      <c r="Q751" s="12" t="b">
        <v>0</v>
      </c>
      <c r="R751" s="12" t="b">
        <v>1</v>
      </c>
      <c r="S751" s="12" t="b">
        <v>1</v>
      </c>
      <c r="T751" s="12" t="b">
        <v>1</v>
      </c>
      <c r="U751" s="12" t="b">
        <v>0</v>
      </c>
      <c r="V751" s="12" t="b">
        <v>1</v>
      </c>
      <c r="W751" s="12" t="b">
        <v>0</v>
      </c>
      <c r="X751" s="12">
        <v>0</v>
      </c>
      <c r="Y751" s="12" t="b">
        <v>0</v>
      </c>
      <c r="Z751" s="12" t="b">
        <v>0</v>
      </c>
      <c r="AA751" s="12" t="b">
        <v>0</v>
      </c>
      <c r="AB751" s="12" t="b">
        <v>1</v>
      </c>
      <c r="AC751" s="12" t="b">
        <v>1</v>
      </c>
      <c r="AD751" s="12" t="b">
        <v>1</v>
      </c>
      <c r="AE751" s="12" t="b">
        <v>0</v>
      </c>
      <c r="AF751" s="12" t="b">
        <v>0</v>
      </c>
      <c r="AG751" s="12" t="b">
        <v>0</v>
      </c>
      <c r="AH751" s="12">
        <v>0</v>
      </c>
      <c r="AI751" s="12" t="b">
        <v>0</v>
      </c>
      <c r="AJ751" s="12" t="b">
        <v>0</v>
      </c>
      <c r="AK751" s="12" t="b">
        <v>1</v>
      </c>
      <c r="AL751" s="12">
        <v>0</v>
      </c>
      <c r="AM751" s="12" t="s">
        <v>51</v>
      </c>
      <c r="AN751" s="12">
        <v>0</v>
      </c>
    </row>
  </sheetData>
  <sortState xmlns:xlrd2="http://schemas.microsoft.com/office/spreadsheetml/2017/richdata2" ref="E2:AF56">
    <sortCondition ref="F2:F56"/>
  </sortState>
  <phoneticPr fontId="2" type="noConversion"/>
  <conditionalFormatting sqref="A2:AM751">
    <cfRule type="cellIs" dxfId="2" priority="2" operator="equal">
      <formula>TRUE</formula>
    </cfRule>
  </conditionalFormatting>
  <pageMargins left="0.7" right="0.7" top="0.75" bottom="0.75" header="0.3" footer="0.3"/>
  <pageSetup paperSize="9" orientation="portrait" horizontalDpi="300" verticalDpi="300"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9A64C46B-E8F6-4875-AFBA-104987236820}">
          <x14:formula1>
            <xm:f>Validation!$G$2:$G$3</xm:f>
          </x14:formula1>
          <xm:sqref>AA64:AF64 AA12:AF16 AA25:AF26 AA70:AF75 AA184:AF184 AA349:AF352 AA338:AF340 AA279:AF279 AA399:AF400 AA374:AF386 AA367:AF369 AA147:AF177 AA101:AF115 AA31:AF56 AA411:AF412 AA417:AF417 AA425:AF434 AA449:AF450 AA419:AF422 AA456:AF457 AA462:AF462 AA473:AF482 AA502:AF502 AA505:AF506 AA466:AF470 AA515:AF519 AA523:AF534 AA547:AF567 AA577:AF577 AA585:AF588 AA537:AF541 AA591:AF591 AA594:AF595 AA121:AF131 AA625:AF626 AA631:AF631 AA633:AF638 AA641:AF650 AA672:AF672 AA675:AF676 AA681:AF682 AA685:AF686 AA689:AF690 AA693:AF694 AA699:AF718 AA722:AF722 AA727:AF730 AA733:AF733 AA736:AF737 G2:M751 O2:W751 Y2:Z751 AG2:AG751 AK2:AK751</xm:sqref>
        </x14:dataValidation>
        <x14:dataValidation type="list" allowBlank="1" showInputMessage="1" showErrorMessage="1" xr:uid="{592A528B-D44E-4F39-92D4-F3124D0A85F5}">
          <x14:formula1>
            <xm:f>Validation!$A$15:$A$22</xm:f>
          </x14:formula1>
          <xm:sqref>B399:B401 B612:B615 B406:B609 B2:B389 B744:B745 B749:B751 B620:B741</xm:sqref>
        </x14:dataValidation>
        <x14:dataValidation type="list" allowBlank="1" showInputMessage="1" showErrorMessage="1" xr:uid="{06041DFB-7811-48E9-BFF1-3035C3D73BC0}">
          <x14:formula1>
            <xm:f>Validation!$A$10:$A$13</xm:f>
          </x14:formula1>
          <xm:sqref>B390:B398 B610:B611 B742:B743</xm:sqref>
        </x14:dataValidation>
        <x14:dataValidation type="list" allowBlank="1" showInputMessage="1" showErrorMessage="1" xr:uid="{DF8E61E6-C181-4779-8C7E-EF5B9B5057B7}">
          <x14:formula1>
            <xm:f>Validation!$A$15:$A$26</xm:f>
          </x14:formula1>
          <xm:sqref>A2:A751</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50FA5-EFF6-4ADD-AAFE-B0841D287404}">
  <sheetPr codeName="Sheet19">
    <tabColor theme="2" tint="-0.249977111117893"/>
  </sheetPr>
  <dimension ref="A1:G1723"/>
  <sheetViews>
    <sheetView topLeftCell="B1" zoomScale="70" zoomScaleNormal="70" workbookViewId="0">
      <pane ySplit="1" topLeftCell="A1311" activePane="bottomLeft" state="frozen"/>
      <selection activeCell="E151" sqref="E151"/>
      <selection pane="bottomLeft" activeCell="F1716" sqref="F1716"/>
    </sheetView>
  </sheetViews>
  <sheetFormatPr defaultColWidth="8.5546875" defaultRowHeight="14.4" x14ac:dyDescent="0.3"/>
  <cols>
    <col min="1" max="2" width="18.109375" style="20" customWidth="1"/>
    <col min="3" max="3" width="21" style="20" bestFit="1" customWidth="1"/>
    <col min="4" max="4" width="21" style="20" customWidth="1"/>
    <col min="5" max="5" width="38.33203125" style="20" bestFit="1" customWidth="1"/>
    <col min="6" max="6" width="255.6640625" style="20" bestFit="1" customWidth="1"/>
    <col min="7" max="7" width="25.109375" style="20" bestFit="1" customWidth="1"/>
    <col min="8" max="16384" width="8.5546875" style="20"/>
  </cols>
  <sheetData>
    <row r="1" spans="1:7" x14ac:dyDescent="0.3">
      <c r="A1" s="30" t="s">
        <v>861</v>
      </c>
      <c r="B1" s="30" t="s">
        <v>892</v>
      </c>
      <c r="C1" s="29" t="s">
        <v>869</v>
      </c>
      <c r="D1" s="29" t="s">
        <v>1762</v>
      </c>
      <c r="E1" s="19" t="s">
        <v>1330</v>
      </c>
      <c r="F1" s="19" t="s">
        <v>893</v>
      </c>
      <c r="G1" s="19" t="s">
        <v>42</v>
      </c>
    </row>
    <row r="2" spans="1:7" x14ac:dyDescent="0.3">
      <c r="A2" s="28"/>
      <c r="B2" s="28"/>
      <c r="C2" s="28" t="s">
        <v>879</v>
      </c>
      <c r="D2" s="28"/>
      <c r="E2" s="12" t="s">
        <v>1184</v>
      </c>
      <c r="F2" s="12"/>
      <c r="G2" s="12" t="s">
        <v>1147</v>
      </c>
    </row>
    <row r="3" spans="1:7" x14ac:dyDescent="0.3">
      <c r="A3" s="28"/>
      <c r="B3" s="28"/>
      <c r="C3" s="28" t="s">
        <v>879</v>
      </c>
      <c r="D3" s="28"/>
      <c r="E3" s="12" t="s">
        <v>1186</v>
      </c>
      <c r="F3" s="1" t="s">
        <v>1585</v>
      </c>
      <c r="G3" s="12" t="s">
        <v>1147</v>
      </c>
    </row>
    <row r="4" spans="1:7" x14ac:dyDescent="0.3">
      <c r="A4" s="28"/>
      <c r="B4" s="28"/>
      <c r="C4" s="28" t="s">
        <v>879</v>
      </c>
      <c r="D4" s="28"/>
      <c r="E4" s="12" t="s">
        <v>1186</v>
      </c>
      <c r="F4" s="12" t="s">
        <v>997</v>
      </c>
      <c r="G4" s="12" t="s">
        <v>1169</v>
      </c>
    </row>
    <row r="5" spans="1:7" x14ac:dyDescent="0.3">
      <c r="A5" s="28"/>
      <c r="B5" s="28"/>
      <c r="C5" s="28" t="s">
        <v>879</v>
      </c>
      <c r="D5" s="28"/>
      <c r="E5" s="12" t="s">
        <v>1186</v>
      </c>
      <c r="F5" s="1" t="s">
        <v>1586</v>
      </c>
      <c r="G5" s="12" t="s">
        <v>1147</v>
      </c>
    </row>
    <row r="6" spans="1:7" x14ac:dyDescent="0.3">
      <c r="A6" s="28"/>
      <c r="B6" s="28"/>
      <c r="C6" s="28" t="s">
        <v>879</v>
      </c>
      <c r="D6" s="28"/>
      <c r="E6" s="12" t="s">
        <v>1186</v>
      </c>
      <c r="F6" s="12" t="s">
        <v>904</v>
      </c>
      <c r="G6" s="12" t="s">
        <v>1147</v>
      </c>
    </row>
    <row r="7" spans="1:7" x14ac:dyDescent="0.3">
      <c r="A7" s="28"/>
      <c r="B7" s="28"/>
      <c r="C7" s="28" t="s">
        <v>879</v>
      </c>
      <c r="D7" s="28"/>
      <c r="E7" s="12" t="s">
        <v>1186</v>
      </c>
      <c r="F7" s="12" t="s">
        <v>906</v>
      </c>
      <c r="G7" s="12" t="s">
        <v>1147</v>
      </c>
    </row>
    <row r="8" spans="1:7" x14ac:dyDescent="0.3">
      <c r="A8" s="28"/>
      <c r="B8" s="28"/>
      <c r="C8" s="28" t="s">
        <v>879</v>
      </c>
      <c r="D8" s="28"/>
      <c r="E8" s="12" t="s">
        <v>1186</v>
      </c>
      <c r="F8" s="1" t="s">
        <v>2047</v>
      </c>
      <c r="G8" s="12" t="s">
        <v>1147</v>
      </c>
    </row>
    <row r="9" spans="1:7" x14ac:dyDescent="0.3">
      <c r="A9" s="28"/>
      <c r="B9" s="28"/>
      <c r="C9" s="28" t="s">
        <v>879</v>
      </c>
      <c r="D9" s="28"/>
      <c r="E9" s="12" t="s">
        <v>999</v>
      </c>
      <c r="F9" s="12" t="s">
        <v>999</v>
      </c>
      <c r="G9" s="12" t="s">
        <v>1147</v>
      </c>
    </row>
    <row r="10" spans="1:7" x14ac:dyDescent="0.3">
      <c r="A10" s="28"/>
      <c r="B10" s="28"/>
      <c r="C10" s="28" t="s">
        <v>879</v>
      </c>
      <c r="D10" s="28"/>
      <c r="E10" s="12" t="s">
        <v>1994</v>
      </c>
      <c r="F10" s="12">
        <v>550250</v>
      </c>
      <c r="G10" s="12" t="s">
        <v>1147</v>
      </c>
    </row>
    <row r="11" spans="1:7" x14ac:dyDescent="0.3">
      <c r="A11" s="28"/>
      <c r="B11" s="28"/>
      <c r="C11" s="28" t="s">
        <v>879</v>
      </c>
      <c r="D11" s="28"/>
      <c r="E11" s="12" t="s">
        <v>2094</v>
      </c>
      <c r="F11" s="1" t="s">
        <v>1585</v>
      </c>
      <c r="G11" s="12" t="s">
        <v>1147</v>
      </c>
    </row>
    <row r="12" spans="1:7" x14ac:dyDescent="0.3">
      <c r="A12" s="28"/>
      <c r="B12" s="28"/>
      <c r="C12" s="28" t="s">
        <v>879</v>
      </c>
      <c r="D12" s="28"/>
      <c r="E12" s="12" t="s">
        <v>2094</v>
      </c>
      <c r="F12" s="12" t="s">
        <v>906</v>
      </c>
      <c r="G12" s="12" t="s">
        <v>1147</v>
      </c>
    </row>
    <row r="13" spans="1:7" x14ac:dyDescent="0.3">
      <c r="A13" s="28"/>
      <c r="B13" s="28"/>
      <c r="C13" s="28" t="s">
        <v>879</v>
      </c>
      <c r="D13" s="28"/>
      <c r="E13" s="21" t="s">
        <v>1585</v>
      </c>
      <c r="F13" s="21" t="s">
        <v>1585</v>
      </c>
      <c r="G13" s="12" t="s">
        <v>1147</v>
      </c>
    </row>
    <row r="14" spans="1:7" x14ac:dyDescent="0.3">
      <c r="A14" s="28"/>
      <c r="B14" s="28"/>
      <c r="C14" s="28" t="s">
        <v>879</v>
      </c>
      <c r="D14" s="28"/>
      <c r="E14" s="12" t="s">
        <v>2347</v>
      </c>
      <c r="F14" s="24" t="str">
        <f>_xlfn.TEXTJOIN(",",TRUE,SRG[AnnualFteFinanceCode])</f>
        <v>A_FTE_LST,A_FTE_LSN,A_FTE_TEA,A_FTE_TA,A_FTE_LIB,A_FTE_TEC,A_FTE_COV,A_FTE_ADM,A_FTE_PRE,A_FTE_CLE,A_FTE_CAT,A_FTE_MDS,A_FTE_NUR,A_FTE_FSW,A_FTE_INV,A_FTE_EXT,A_FTE_OTH</v>
      </c>
      <c r="G14" s="12" t="s">
        <v>1158</v>
      </c>
    </row>
    <row r="15" spans="1:7" x14ac:dyDescent="0.3">
      <c r="A15" s="28"/>
      <c r="B15" s="28"/>
      <c r="C15" s="28" t="s">
        <v>879</v>
      </c>
      <c r="D15" s="28"/>
      <c r="E15" s="12" t="s">
        <v>2347</v>
      </c>
      <c r="F15" s="24"/>
      <c r="G15" s="12" t="s">
        <v>1169</v>
      </c>
    </row>
    <row r="16" spans="1:7" x14ac:dyDescent="0.3">
      <c r="A16" s="28"/>
      <c r="B16" s="28"/>
      <c r="C16" s="28" t="s">
        <v>879</v>
      </c>
      <c r="D16" s="28"/>
      <c r="E16" s="12" t="s">
        <v>2347</v>
      </c>
      <c r="F16" s="12" t="s">
        <v>1502</v>
      </c>
      <c r="G16" s="12" t="s">
        <v>1147</v>
      </c>
    </row>
    <row r="17" spans="1:7" x14ac:dyDescent="0.3">
      <c r="A17" s="28"/>
      <c r="B17" s="28"/>
      <c r="C17" s="28" t="s">
        <v>879</v>
      </c>
      <c r="D17" s="28"/>
      <c r="E17" s="12" t="s">
        <v>2342</v>
      </c>
      <c r="F17" s="12" t="s">
        <v>2342</v>
      </c>
      <c r="G17" s="12" t="s">
        <v>1169</v>
      </c>
    </row>
    <row r="18" spans="1:7" x14ac:dyDescent="0.3">
      <c r="A18" s="28"/>
      <c r="B18" s="28"/>
      <c r="C18" s="28" t="s">
        <v>879</v>
      </c>
      <c r="D18" s="28"/>
      <c r="E18" s="12" t="s">
        <v>1945</v>
      </c>
      <c r="F18" s="12" t="s">
        <v>1940</v>
      </c>
      <c r="G18" s="12" t="s">
        <v>1147</v>
      </c>
    </row>
    <row r="19" spans="1:7" x14ac:dyDescent="0.3">
      <c r="A19" s="28"/>
      <c r="B19" s="28"/>
      <c r="C19" s="28" t="s">
        <v>879</v>
      </c>
      <c r="D19" s="28"/>
      <c r="E19" s="12" t="s">
        <v>1947</v>
      </c>
      <c r="F19" s="12" t="s">
        <v>1940</v>
      </c>
      <c r="G19" s="12" t="s">
        <v>1147</v>
      </c>
    </row>
    <row r="20" spans="1:7" x14ac:dyDescent="0.3">
      <c r="A20" s="28"/>
      <c r="B20" s="28"/>
      <c r="C20" s="28" t="s">
        <v>879</v>
      </c>
      <c r="D20" s="28"/>
      <c r="E20" s="12" t="s">
        <v>1324</v>
      </c>
      <c r="F20" s="12" t="s">
        <v>918</v>
      </c>
      <c r="G20" s="12" t="s">
        <v>1147</v>
      </c>
    </row>
    <row r="21" spans="1:7" x14ac:dyDescent="0.3">
      <c r="A21" s="28"/>
      <c r="B21" s="28"/>
      <c r="C21" s="28" t="s">
        <v>879</v>
      </c>
      <c r="D21" s="28"/>
      <c r="E21" s="12" t="s">
        <v>1326</v>
      </c>
      <c r="F21" s="12" t="s">
        <v>918</v>
      </c>
      <c r="G21" s="12" t="s">
        <v>1147</v>
      </c>
    </row>
    <row r="22" spans="1:7" x14ac:dyDescent="0.3">
      <c r="A22" s="28"/>
      <c r="B22" s="28"/>
      <c r="C22" s="28" t="s">
        <v>879</v>
      </c>
      <c r="D22" s="28"/>
      <c r="E22" s="12" t="s">
        <v>1242</v>
      </c>
      <c r="F22" s="12" t="s">
        <v>851</v>
      </c>
      <c r="G22" s="12" t="s">
        <v>1986</v>
      </c>
    </row>
    <row r="23" spans="1:7" x14ac:dyDescent="0.3">
      <c r="A23" s="28"/>
      <c r="B23" s="28"/>
      <c r="C23" s="28" t="s">
        <v>879</v>
      </c>
      <c r="D23" s="28"/>
      <c r="E23" s="12" t="s">
        <v>1242</v>
      </c>
      <c r="F23" s="12" t="s">
        <v>851</v>
      </c>
      <c r="G23" s="12" t="s">
        <v>1987</v>
      </c>
    </row>
    <row r="24" spans="1:7" x14ac:dyDescent="0.3">
      <c r="A24" s="28"/>
      <c r="B24" s="28"/>
      <c r="C24" s="28" t="s">
        <v>879</v>
      </c>
      <c r="D24" s="28"/>
      <c r="E24" s="12" t="s">
        <v>1242</v>
      </c>
      <c r="F24" s="12" t="s">
        <v>1030</v>
      </c>
      <c r="G24" s="12" t="s">
        <v>1169</v>
      </c>
    </row>
    <row r="25" spans="1:7" x14ac:dyDescent="0.3">
      <c r="A25" s="28"/>
      <c r="B25" s="28"/>
      <c r="C25" s="28" t="s">
        <v>879</v>
      </c>
      <c r="D25" s="28"/>
      <c r="E25" s="12" t="s">
        <v>1244</v>
      </c>
      <c r="F25" s="12" t="s">
        <v>851</v>
      </c>
      <c r="G25" s="12" t="s">
        <v>1986</v>
      </c>
    </row>
    <row r="26" spans="1:7" x14ac:dyDescent="0.3">
      <c r="A26" s="28"/>
      <c r="B26" s="28"/>
      <c r="C26" s="28" t="s">
        <v>879</v>
      </c>
      <c r="D26" s="28"/>
      <c r="E26" s="12" t="s">
        <v>1244</v>
      </c>
      <c r="F26" s="12" t="s">
        <v>851</v>
      </c>
      <c r="G26" s="12" t="s">
        <v>1987</v>
      </c>
    </row>
    <row r="27" spans="1:7" x14ac:dyDescent="0.3">
      <c r="A27" s="28"/>
      <c r="B27" s="28"/>
      <c r="C27" s="28" t="s">
        <v>879</v>
      </c>
      <c r="D27" s="28"/>
      <c r="E27" s="12" t="s">
        <v>1244</v>
      </c>
      <c r="F27" s="12" t="s">
        <v>1032</v>
      </c>
      <c r="G27" s="12" t="s">
        <v>1169</v>
      </c>
    </row>
    <row r="28" spans="1:7" x14ac:dyDescent="0.3">
      <c r="A28" s="28"/>
      <c r="B28" s="28"/>
      <c r="C28" s="28" t="s">
        <v>879</v>
      </c>
      <c r="D28" s="28"/>
      <c r="E28" s="12" t="s">
        <v>1248</v>
      </c>
      <c r="F28" s="12" t="s">
        <v>920</v>
      </c>
      <c r="G28" s="12" t="s">
        <v>1147</v>
      </c>
    </row>
    <row r="29" spans="1:7" x14ac:dyDescent="0.3">
      <c r="A29" s="28"/>
      <c r="B29" s="28"/>
      <c r="C29" s="28" t="s">
        <v>879</v>
      </c>
      <c r="D29" s="28"/>
      <c r="E29" s="12" t="s">
        <v>1248</v>
      </c>
      <c r="F29" s="12" t="s">
        <v>920</v>
      </c>
      <c r="G29" s="12" t="s">
        <v>1158</v>
      </c>
    </row>
    <row r="30" spans="1:7" x14ac:dyDescent="0.3">
      <c r="A30" s="28"/>
      <c r="B30" s="28"/>
      <c r="C30" s="28" t="s">
        <v>879</v>
      </c>
      <c r="D30" s="28"/>
      <c r="E30" s="12" t="s">
        <v>1248</v>
      </c>
      <c r="F30" s="12" t="s">
        <v>923</v>
      </c>
      <c r="G30" s="12" t="s">
        <v>1147</v>
      </c>
    </row>
    <row r="31" spans="1:7" x14ac:dyDescent="0.3">
      <c r="A31" s="28"/>
      <c r="B31" s="28"/>
      <c r="C31" s="28" t="s">
        <v>879</v>
      </c>
      <c r="D31" s="28"/>
      <c r="E31" s="12" t="s">
        <v>1248</v>
      </c>
      <c r="F31" s="12" t="s">
        <v>923</v>
      </c>
      <c r="G31" s="12" t="s">
        <v>1158</v>
      </c>
    </row>
    <row r="32" spans="1:7" x14ac:dyDescent="0.3">
      <c r="A32" s="28"/>
      <c r="B32" s="28"/>
      <c r="C32" s="28" t="s">
        <v>879</v>
      </c>
      <c r="D32" s="28"/>
      <c r="E32" s="12" t="s">
        <v>1248</v>
      </c>
      <c r="F32" s="12" t="s">
        <v>925</v>
      </c>
      <c r="G32" s="12" t="s">
        <v>1147</v>
      </c>
    </row>
    <row r="33" spans="1:7" x14ac:dyDescent="0.3">
      <c r="A33" s="28"/>
      <c r="B33" s="28"/>
      <c r="C33" s="28" t="s">
        <v>879</v>
      </c>
      <c r="D33" s="28"/>
      <c r="E33" s="12" t="s">
        <v>1248</v>
      </c>
      <c r="F33" s="12" t="s">
        <v>925</v>
      </c>
      <c r="G33" s="12" t="s">
        <v>1158</v>
      </c>
    </row>
    <row r="34" spans="1:7" x14ac:dyDescent="0.3">
      <c r="A34" s="28"/>
      <c r="B34" s="28"/>
      <c r="C34" s="28" t="s">
        <v>879</v>
      </c>
      <c r="D34" s="28"/>
      <c r="E34" s="12" t="s">
        <v>1248</v>
      </c>
      <c r="F34" s="12" t="s">
        <v>927</v>
      </c>
      <c r="G34" s="12" t="s">
        <v>1147</v>
      </c>
    </row>
    <row r="35" spans="1:7" x14ac:dyDescent="0.3">
      <c r="A35" s="28"/>
      <c r="B35" s="28"/>
      <c r="C35" s="28" t="s">
        <v>879</v>
      </c>
      <c r="D35" s="28"/>
      <c r="E35" s="12" t="s">
        <v>1248</v>
      </c>
      <c r="F35" s="12" t="s">
        <v>927</v>
      </c>
      <c r="G35" s="12" t="s">
        <v>1158</v>
      </c>
    </row>
    <row r="36" spans="1:7" x14ac:dyDescent="0.3">
      <c r="A36" s="28"/>
      <c r="B36" s="28"/>
      <c r="C36" s="28" t="s">
        <v>879</v>
      </c>
      <c r="D36" s="28"/>
      <c r="E36" s="12" t="s">
        <v>1248</v>
      </c>
      <c r="F36" s="12" t="s">
        <v>1504</v>
      </c>
      <c r="G36" s="12" t="s">
        <v>1147</v>
      </c>
    </row>
    <row r="37" spans="1:7" x14ac:dyDescent="0.3">
      <c r="A37" s="28"/>
      <c r="B37" s="28"/>
      <c r="C37" s="28" t="s">
        <v>879</v>
      </c>
      <c r="D37" s="28"/>
      <c r="E37" s="12" t="s">
        <v>1248</v>
      </c>
      <c r="F37" s="12" t="s">
        <v>1504</v>
      </c>
      <c r="G37" s="12" t="s">
        <v>1158</v>
      </c>
    </row>
    <row r="38" spans="1:7" x14ac:dyDescent="0.3">
      <c r="A38" s="28"/>
      <c r="B38" s="28"/>
      <c r="C38" s="28" t="s">
        <v>879</v>
      </c>
      <c r="D38" s="28"/>
      <c r="E38" s="12" t="s">
        <v>1248</v>
      </c>
      <c r="F38" s="12" t="s">
        <v>929</v>
      </c>
      <c r="G38" s="12" t="s">
        <v>1147</v>
      </c>
    </row>
    <row r="39" spans="1:7" x14ac:dyDescent="0.3">
      <c r="A39" s="28"/>
      <c r="B39" s="28"/>
      <c r="C39" s="28" t="s">
        <v>879</v>
      </c>
      <c r="D39" s="28"/>
      <c r="E39" s="12" t="s">
        <v>1248</v>
      </c>
      <c r="F39" s="12" t="s">
        <v>929</v>
      </c>
      <c r="G39" s="12" t="s">
        <v>1158</v>
      </c>
    </row>
    <row r="40" spans="1:7" x14ac:dyDescent="0.3">
      <c r="A40" s="28"/>
      <c r="B40" s="28"/>
      <c r="C40" s="28" t="s">
        <v>879</v>
      </c>
      <c r="D40" s="28"/>
      <c r="E40" s="12" t="s">
        <v>1248</v>
      </c>
      <c r="F40" s="12" t="s">
        <v>1505</v>
      </c>
      <c r="G40" s="12" t="s">
        <v>1147</v>
      </c>
    </row>
    <row r="41" spans="1:7" x14ac:dyDescent="0.3">
      <c r="A41" s="28"/>
      <c r="B41" s="28"/>
      <c r="C41" s="28" t="s">
        <v>879</v>
      </c>
      <c r="D41" s="28"/>
      <c r="E41" s="12" t="s">
        <v>1248</v>
      </c>
      <c r="F41" s="12" t="s">
        <v>1505</v>
      </c>
      <c r="G41" s="12" t="s">
        <v>1158</v>
      </c>
    </row>
    <row r="42" spans="1:7" x14ac:dyDescent="0.3">
      <c r="A42" s="28"/>
      <c r="B42" s="28"/>
      <c r="C42" s="28" t="s">
        <v>879</v>
      </c>
      <c r="D42" s="28"/>
      <c r="E42" s="12" t="s">
        <v>1248</v>
      </c>
      <c r="F42" s="12" t="s">
        <v>1503</v>
      </c>
      <c r="G42" s="12" t="s">
        <v>1147</v>
      </c>
    </row>
    <row r="43" spans="1:7" x14ac:dyDescent="0.3">
      <c r="A43" s="28"/>
      <c r="B43" s="28"/>
      <c r="C43" s="28" t="s">
        <v>879</v>
      </c>
      <c r="D43" s="28"/>
      <c r="E43" s="12" t="s">
        <v>1248</v>
      </c>
      <c r="F43" s="12" t="s">
        <v>1503</v>
      </c>
      <c r="G43" s="12" t="s">
        <v>1158</v>
      </c>
    </row>
    <row r="44" spans="1:7" x14ac:dyDescent="0.3">
      <c r="A44" s="28"/>
      <c r="B44" s="28"/>
      <c r="C44" s="28" t="s">
        <v>879</v>
      </c>
      <c r="D44" s="28"/>
      <c r="E44" s="12" t="s">
        <v>1248</v>
      </c>
      <c r="F44" s="12" t="s">
        <v>1036</v>
      </c>
      <c r="G44" s="12" t="s">
        <v>1169</v>
      </c>
    </row>
    <row r="45" spans="1:7" x14ac:dyDescent="0.3">
      <c r="A45" s="28"/>
      <c r="B45" s="28"/>
      <c r="C45" s="28" t="s">
        <v>879</v>
      </c>
      <c r="D45" s="28"/>
      <c r="E45" s="12" t="s">
        <v>1250</v>
      </c>
      <c r="F45" s="12" t="s">
        <v>851</v>
      </c>
      <c r="G45" s="12" t="s">
        <v>1986</v>
      </c>
    </row>
    <row r="46" spans="1:7" x14ac:dyDescent="0.3">
      <c r="A46" s="28"/>
      <c r="B46" s="28"/>
      <c r="C46" s="28" t="s">
        <v>879</v>
      </c>
      <c r="D46" s="28"/>
      <c r="E46" s="12" t="s">
        <v>1250</v>
      </c>
      <c r="F46" s="12" t="s">
        <v>851</v>
      </c>
      <c r="G46" s="12" t="s">
        <v>1987</v>
      </c>
    </row>
    <row r="47" spans="1:7" x14ac:dyDescent="0.3">
      <c r="A47" s="28"/>
      <c r="B47" s="28"/>
      <c r="C47" s="28" t="s">
        <v>879</v>
      </c>
      <c r="D47" s="28"/>
      <c r="E47" s="12" t="s">
        <v>1250</v>
      </c>
      <c r="F47" s="12" t="s">
        <v>1038</v>
      </c>
      <c r="G47" s="12" t="s">
        <v>1169</v>
      </c>
    </row>
    <row r="48" spans="1:7" x14ac:dyDescent="0.3">
      <c r="A48" s="28"/>
      <c r="B48" s="28"/>
      <c r="C48" s="28" t="s">
        <v>879</v>
      </c>
      <c r="D48" s="28"/>
      <c r="E48" s="12" t="s">
        <v>1252</v>
      </c>
      <c r="F48" s="12" t="s">
        <v>851</v>
      </c>
      <c r="G48" s="12" t="s">
        <v>1986</v>
      </c>
    </row>
    <row r="49" spans="1:7" x14ac:dyDescent="0.3">
      <c r="A49" s="28"/>
      <c r="B49" s="28"/>
      <c r="C49" s="28" t="s">
        <v>879</v>
      </c>
      <c r="D49" s="28"/>
      <c r="E49" s="12" t="s">
        <v>1252</v>
      </c>
      <c r="F49" s="12" t="s">
        <v>851</v>
      </c>
      <c r="G49" s="12" t="s">
        <v>1987</v>
      </c>
    </row>
    <row r="50" spans="1:7" x14ac:dyDescent="0.3">
      <c r="A50" s="28"/>
      <c r="B50" s="28"/>
      <c r="C50" s="28" t="s">
        <v>879</v>
      </c>
      <c r="D50" s="28"/>
      <c r="E50" s="12" t="s">
        <v>1252</v>
      </c>
      <c r="F50" s="12" t="s">
        <v>1054</v>
      </c>
      <c r="G50" s="12" t="s">
        <v>1169</v>
      </c>
    </row>
    <row r="51" spans="1:7" x14ac:dyDescent="0.3">
      <c r="A51" s="28"/>
      <c r="B51" s="28"/>
      <c r="C51" s="28" t="s">
        <v>879</v>
      </c>
      <c r="D51" s="28"/>
      <c r="E51" s="12" t="s">
        <v>1949</v>
      </c>
      <c r="F51" s="12" t="s">
        <v>1941</v>
      </c>
      <c r="G51" s="12" t="s">
        <v>1147</v>
      </c>
    </row>
    <row r="52" spans="1:7" x14ac:dyDescent="0.3">
      <c r="A52" s="28"/>
      <c r="B52" s="28"/>
      <c r="C52" s="28" t="s">
        <v>879</v>
      </c>
      <c r="D52" s="28"/>
      <c r="E52" s="12" t="s">
        <v>1949</v>
      </c>
      <c r="F52" s="12" t="s">
        <v>1022</v>
      </c>
      <c r="G52" s="12" t="s">
        <v>1169</v>
      </c>
    </row>
    <row r="53" spans="1:7" x14ac:dyDescent="0.3">
      <c r="A53" s="28"/>
      <c r="B53" s="28"/>
      <c r="C53" s="28" t="s">
        <v>879</v>
      </c>
      <c r="D53" s="28"/>
      <c r="E53" s="12" t="s">
        <v>1236</v>
      </c>
      <c r="F53" s="12" t="s">
        <v>943</v>
      </c>
      <c r="G53" s="12" t="s">
        <v>1158</v>
      </c>
    </row>
    <row r="54" spans="1:7" x14ac:dyDescent="0.3">
      <c r="A54" s="28"/>
      <c r="B54" s="28"/>
      <c r="C54" s="28" t="s">
        <v>879</v>
      </c>
      <c r="D54" s="28"/>
      <c r="E54" s="12" t="s">
        <v>1236</v>
      </c>
      <c r="F54" s="12" t="s">
        <v>943</v>
      </c>
      <c r="G54" s="12" t="s">
        <v>1169</v>
      </c>
    </row>
    <row r="55" spans="1:7" x14ac:dyDescent="0.3">
      <c r="A55" s="28"/>
      <c r="B55" s="28"/>
      <c r="C55" s="28" t="s">
        <v>879</v>
      </c>
      <c r="D55" s="28"/>
      <c r="E55" s="12" t="s">
        <v>1236</v>
      </c>
      <c r="F55" s="12" t="s">
        <v>945</v>
      </c>
      <c r="G55" s="12" t="s">
        <v>1158</v>
      </c>
    </row>
    <row r="56" spans="1:7" x14ac:dyDescent="0.3">
      <c r="A56" s="28"/>
      <c r="B56" s="28"/>
      <c r="C56" s="28" t="s">
        <v>879</v>
      </c>
      <c r="D56" s="28"/>
      <c r="E56" s="12" t="s">
        <v>1236</v>
      </c>
      <c r="F56" s="12" t="s">
        <v>945</v>
      </c>
      <c r="G56" s="12" t="s">
        <v>1169</v>
      </c>
    </row>
    <row r="57" spans="1:7" x14ac:dyDescent="0.3">
      <c r="A57" s="28"/>
      <c r="B57" s="28"/>
      <c r="C57" s="28" t="s">
        <v>879</v>
      </c>
      <c r="D57" s="28"/>
      <c r="E57" s="12" t="s">
        <v>1236</v>
      </c>
      <c r="F57" s="12" t="s">
        <v>947</v>
      </c>
      <c r="G57" s="12" t="s">
        <v>1158</v>
      </c>
    </row>
    <row r="58" spans="1:7" x14ac:dyDescent="0.3">
      <c r="A58" s="28"/>
      <c r="B58" s="28"/>
      <c r="C58" s="28" t="s">
        <v>879</v>
      </c>
      <c r="D58" s="28"/>
      <c r="E58" s="12" t="s">
        <v>1236</v>
      </c>
      <c r="F58" s="12" t="s">
        <v>947</v>
      </c>
      <c r="G58" s="12" t="s">
        <v>1169</v>
      </c>
    </row>
    <row r="59" spans="1:7" x14ac:dyDescent="0.3">
      <c r="A59" s="28"/>
      <c r="B59" s="28"/>
      <c r="C59" s="28" t="s">
        <v>879</v>
      </c>
      <c r="D59" s="28"/>
      <c r="E59" s="12" t="s">
        <v>1236</v>
      </c>
      <c r="F59" s="12" t="s">
        <v>949</v>
      </c>
      <c r="G59" s="12" t="s">
        <v>1158</v>
      </c>
    </row>
    <row r="60" spans="1:7" x14ac:dyDescent="0.3">
      <c r="A60" s="28"/>
      <c r="B60" s="28"/>
      <c r="C60" s="28" t="s">
        <v>879</v>
      </c>
      <c r="D60" s="28"/>
      <c r="E60" s="12" t="s">
        <v>1236</v>
      </c>
      <c r="F60" s="12" t="s">
        <v>949</v>
      </c>
      <c r="G60" s="12" t="s">
        <v>1169</v>
      </c>
    </row>
    <row r="61" spans="1:7" x14ac:dyDescent="0.3">
      <c r="A61" s="28"/>
      <c r="B61" s="28"/>
      <c r="C61" s="28" t="s">
        <v>879</v>
      </c>
      <c r="D61" s="28"/>
      <c r="E61" s="12" t="s">
        <v>1236</v>
      </c>
      <c r="F61" s="12" t="s">
        <v>951</v>
      </c>
      <c r="G61" s="12" t="s">
        <v>1158</v>
      </c>
    </row>
    <row r="62" spans="1:7" x14ac:dyDescent="0.3">
      <c r="A62" s="28"/>
      <c r="B62" s="28"/>
      <c r="C62" s="28" t="s">
        <v>879</v>
      </c>
      <c r="D62" s="28"/>
      <c r="E62" s="12" t="s">
        <v>1236</v>
      </c>
      <c r="F62" s="12" t="s">
        <v>951</v>
      </c>
      <c r="G62" s="12" t="s">
        <v>1169</v>
      </c>
    </row>
    <row r="63" spans="1:7" x14ac:dyDescent="0.3">
      <c r="A63" s="28"/>
      <c r="B63" s="28"/>
      <c r="C63" s="28" t="s">
        <v>879</v>
      </c>
      <c r="D63" s="28"/>
      <c r="E63" s="12" t="s">
        <v>1236</v>
      </c>
      <c r="F63" s="12" t="s">
        <v>953</v>
      </c>
      <c r="G63" s="12" t="s">
        <v>1158</v>
      </c>
    </row>
    <row r="64" spans="1:7" x14ac:dyDescent="0.3">
      <c r="A64" s="28"/>
      <c r="B64" s="28"/>
      <c r="C64" s="28" t="s">
        <v>879</v>
      </c>
      <c r="D64" s="28"/>
      <c r="E64" s="12" t="s">
        <v>1236</v>
      </c>
      <c r="F64" s="12" t="s">
        <v>953</v>
      </c>
      <c r="G64" s="12" t="s">
        <v>1169</v>
      </c>
    </row>
    <row r="65" spans="1:7" x14ac:dyDescent="0.3">
      <c r="A65" s="28"/>
      <c r="B65" s="28"/>
      <c r="C65" s="28" t="s">
        <v>879</v>
      </c>
      <c r="D65" s="28"/>
      <c r="E65" s="12" t="s">
        <v>1236</v>
      </c>
      <c r="F65" s="12" t="s">
        <v>955</v>
      </c>
      <c r="G65" s="12" t="s">
        <v>1158</v>
      </c>
    </row>
    <row r="66" spans="1:7" x14ac:dyDescent="0.3">
      <c r="A66" s="28"/>
      <c r="B66" s="28"/>
      <c r="C66" s="28" t="s">
        <v>879</v>
      </c>
      <c r="D66" s="28"/>
      <c r="E66" s="12" t="s">
        <v>1236</v>
      </c>
      <c r="F66" s="12" t="s">
        <v>955</v>
      </c>
      <c r="G66" s="12" t="s">
        <v>1169</v>
      </c>
    </row>
    <row r="67" spans="1:7" x14ac:dyDescent="0.3">
      <c r="A67" s="28"/>
      <c r="B67" s="28"/>
      <c r="C67" s="28" t="s">
        <v>879</v>
      </c>
      <c r="D67" s="28"/>
      <c r="E67" s="12" t="s">
        <v>1236</v>
      </c>
      <c r="F67" s="12" t="s">
        <v>957</v>
      </c>
      <c r="G67" s="12" t="s">
        <v>1158</v>
      </c>
    </row>
    <row r="68" spans="1:7" x14ac:dyDescent="0.3">
      <c r="A68" s="28"/>
      <c r="B68" s="28"/>
      <c r="C68" s="28" t="s">
        <v>879</v>
      </c>
      <c r="D68" s="28"/>
      <c r="E68" s="12" t="s">
        <v>1236</v>
      </c>
      <c r="F68" s="12" t="s">
        <v>957</v>
      </c>
      <c r="G68" s="12" t="s">
        <v>1169</v>
      </c>
    </row>
    <row r="69" spans="1:7" x14ac:dyDescent="0.3">
      <c r="A69" s="28"/>
      <c r="B69" s="28"/>
      <c r="C69" s="28" t="s">
        <v>879</v>
      </c>
      <c r="D69" s="28"/>
      <c r="E69" s="12" t="s">
        <v>1236</v>
      </c>
      <c r="F69" s="12" t="s">
        <v>959</v>
      </c>
      <c r="G69" s="12" t="s">
        <v>1158</v>
      </c>
    </row>
    <row r="70" spans="1:7" x14ac:dyDescent="0.3">
      <c r="A70" s="28"/>
      <c r="B70" s="28"/>
      <c r="C70" s="28" t="s">
        <v>879</v>
      </c>
      <c r="D70" s="28"/>
      <c r="E70" s="12" t="s">
        <v>1236</v>
      </c>
      <c r="F70" s="12" t="s">
        <v>959</v>
      </c>
      <c r="G70" s="12" t="s">
        <v>1169</v>
      </c>
    </row>
    <row r="71" spans="1:7" x14ac:dyDescent="0.3">
      <c r="A71" s="28"/>
      <c r="B71" s="28"/>
      <c r="C71" s="28" t="s">
        <v>879</v>
      </c>
      <c r="D71" s="28"/>
      <c r="E71" s="12" t="s">
        <v>1236</v>
      </c>
      <c r="F71" s="12" t="s">
        <v>961</v>
      </c>
      <c r="G71" s="12" t="s">
        <v>1158</v>
      </c>
    </row>
    <row r="72" spans="1:7" x14ac:dyDescent="0.3">
      <c r="A72" s="28"/>
      <c r="B72" s="28"/>
      <c r="C72" s="28" t="s">
        <v>879</v>
      </c>
      <c r="D72" s="28"/>
      <c r="E72" s="12" t="s">
        <v>1236</v>
      </c>
      <c r="F72" s="12" t="s">
        <v>961</v>
      </c>
      <c r="G72" s="12" t="s">
        <v>1169</v>
      </c>
    </row>
    <row r="73" spans="1:7" x14ac:dyDescent="0.3">
      <c r="A73" s="28"/>
      <c r="B73" s="28"/>
      <c r="C73" s="28" t="s">
        <v>879</v>
      </c>
      <c r="D73" s="28"/>
      <c r="E73" s="12" t="s">
        <v>1236</v>
      </c>
      <c r="F73" s="12" t="s">
        <v>963</v>
      </c>
      <c r="G73" s="12" t="s">
        <v>1158</v>
      </c>
    </row>
    <row r="74" spans="1:7" x14ac:dyDescent="0.3">
      <c r="A74" s="28"/>
      <c r="B74" s="28"/>
      <c r="C74" s="28" t="s">
        <v>879</v>
      </c>
      <c r="D74" s="28"/>
      <c r="E74" s="12" t="s">
        <v>1236</v>
      </c>
      <c r="F74" s="12" t="s">
        <v>963</v>
      </c>
      <c r="G74" s="12" t="s">
        <v>1169</v>
      </c>
    </row>
    <row r="75" spans="1:7" x14ac:dyDescent="0.3">
      <c r="A75" s="28"/>
      <c r="B75" s="28"/>
      <c r="C75" s="28" t="s">
        <v>879</v>
      </c>
      <c r="D75" s="28"/>
      <c r="E75" s="12" t="s">
        <v>1236</v>
      </c>
      <c r="F75" s="12" t="s">
        <v>965</v>
      </c>
      <c r="G75" s="12" t="s">
        <v>1158</v>
      </c>
    </row>
    <row r="76" spans="1:7" x14ac:dyDescent="0.3">
      <c r="A76" s="28"/>
      <c r="B76" s="28"/>
      <c r="C76" s="28" t="s">
        <v>879</v>
      </c>
      <c r="D76" s="28"/>
      <c r="E76" s="12" t="s">
        <v>1236</v>
      </c>
      <c r="F76" s="12" t="s">
        <v>965</v>
      </c>
      <c r="G76" s="12" t="s">
        <v>1169</v>
      </c>
    </row>
    <row r="77" spans="1:7" x14ac:dyDescent="0.3">
      <c r="A77" s="28"/>
      <c r="B77" s="28"/>
      <c r="C77" s="28" t="s">
        <v>879</v>
      </c>
      <c r="D77" s="28"/>
      <c r="E77" s="12" t="s">
        <v>1288</v>
      </c>
      <c r="F77" s="12" t="s">
        <v>975</v>
      </c>
      <c r="G77" s="12" t="s">
        <v>1147</v>
      </c>
    </row>
    <row r="78" spans="1:7" x14ac:dyDescent="0.3">
      <c r="A78" s="28"/>
      <c r="B78" s="28"/>
      <c r="C78" s="28" t="s">
        <v>879</v>
      </c>
      <c r="D78" s="28"/>
      <c r="E78" s="12" t="s">
        <v>1288</v>
      </c>
      <c r="F78" s="12" t="s">
        <v>1027</v>
      </c>
      <c r="G78" s="12" t="s">
        <v>1169</v>
      </c>
    </row>
    <row r="79" spans="1:7" x14ac:dyDescent="0.3">
      <c r="A79" s="28"/>
      <c r="B79" s="28"/>
      <c r="C79" s="28" t="s">
        <v>879</v>
      </c>
      <c r="D79" s="28"/>
      <c r="E79" s="12" t="s">
        <v>1515</v>
      </c>
      <c r="F79" s="12"/>
      <c r="G79" s="12" t="s">
        <v>1147</v>
      </c>
    </row>
    <row r="80" spans="1:7" x14ac:dyDescent="0.3">
      <c r="A80" s="28"/>
      <c r="B80" s="28"/>
      <c r="C80" s="28" t="s">
        <v>879</v>
      </c>
      <c r="D80" s="28"/>
      <c r="E80" s="12" t="s">
        <v>1290</v>
      </c>
      <c r="F80" s="12" t="s">
        <v>1028</v>
      </c>
      <c r="G80" s="12" t="s">
        <v>1169</v>
      </c>
    </row>
    <row r="81" spans="1:7" x14ac:dyDescent="0.3">
      <c r="A81" s="28"/>
      <c r="B81" s="28"/>
      <c r="C81" s="28" t="s">
        <v>879</v>
      </c>
      <c r="D81" s="28"/>
      <c r="E81" s="12" t="s">
        <v>1292</v>
      </c>
      <c r="F81" s="12" t="s">
        <v>1046</v>
      </c>
      <c r="G81" s="12" t="s">
        <v>1169</v>
      </c>
    </row>
    <row r="82" spans="1:7" x14ac:dyDescent="0.3">
      <c r="A82" s="28"/>
      <c r="B82" s="28"/>
      <c r="C82" s="28" t="s">
        <v>879</v>
      </c>
      <c r="D82" s="28"/>
      <c r="E82" s="12" t="s">
        <v>1536</v>
      </c>
      <c r="F82" s="12" t="s">
        <v>898</v>
      </c>
      <c r="G82" s="12" t="s">
        <v>1147</v>
      </c>
    </row>
    <row r="83" spans="1:7" x14ac:dyDescent="0.3">
      <c r="A83" s="28"/>
      <c r="B83" s="28"/>
      <c r="C83" s="28" t="s">
        <v>879</v>
      </c>
      <c r="D83" s="28"/>
      <c r="E83" s="12" t="s">
        <v>1537</v>
      </c>
      <c r="F83" s="12" t="s">
        <v>898</v>
      </c>
      <c r="G83" s="12" t="s">
        <v>1147</v>
      </c>
    </row>
    <row r="84" spans="1:7" x14ac:dyDescent="0.3">
      <c r="A84" s="28"/>
      <c r="B84" s="28"/>
      <c r="C84" s="28" t="s">
        <v>879</v>
      </c>
      <c r="D84" s="28"/>
      <c r="E84" s="21" t="s">
        <v>1309</v>
      </c>
      <c r="F84" s="1" t="s">
        <v>943</v>
      </c>
      <c r="G84" s="12" t="s">
        <v>1158</v>
      </c>
    </row>
    <row r="85" spans="1:7" x14ac:dyDescent="0.3">
      <c r="A85" s="28"/>
      <c r="B85" s="28"/>
      <c r="C85" s="28" t="s">
        <v>879</v>
      </c>
      <c r="D85" s="28"/>
      <c r="E85" s="21" t="s">
        <v>1309</v>
      </c>
      <c r="F85" s="21" t="s">
        <v>943</v>
      </c>
      <c r="G85" s="12" t="s">
        <v>1169</v>
      </c>
    </row>
    <row r="86" spans="1:7" x14ac:dyDescent="0.3">
      <c r="A86" s="28"/>
      <c r="B86" s="28"/>
      <c r="C86" s="28" t="s">
        <v>879</v>
      </c>
      <c r="D86" s="28"/>
      <c r="E86" s="21" t="s">
        <v>1309</v>
      </c>
      <c r="F86" s="1" t="s">
        <v>945</v>
      </c>
      <c r="G86" s="12" t="s">
        <v>1158</v>
      </c>
    </row>
    <row r="87" spans="1:7" x14ac:dyDescent="0.3">
      <c r="A87" s="28"/>
      <c r="B87" s="28"/>
      <c r="C87" s="28" t="s">
        <v>879</v>
      </c>
      <c r="D87" s="28"/>
      <c r="E87" s="21" t="s">
        <v>1309</v>
      </c>
      <c r="F87" s="21" t="s">
        <v>945</v>
      </c>
      <c r="G87" s="12" t="s">
        <v>1169</v>
      </c>
    </row>
    <row r="88" spans="1:7" x14ac:dyDescent="0.3">
      <c r="A88" s="28"/>
      <c r="B88" s="28"/>
      <c r="C88" s="28" t="s">
        <v>879</v>
      </c>
      <c r="D88" s="28"/>
      <c r="E88" s="21" t="s">
        <v>1309</v>
      </c>
      <c r="F88" s="1" t="s">
        <v>947</v>
      </c>
      <c r="G88" s="12" t="s">
        <v>1158</v>
      </c>
    </row>
    <row r="89" spans="1:7" x14ac:dyDescent="0.3">
      <c r="A89" s="28"/>
      <c r="B89" s="28"/>
      <c r="C89" s="28" t="s">
        <v>879</v>
      </c>
      <c r="D89" s="28"/>
      <c r="E89" s="21" t="s">
        <v>1309</v>
      </c>
      <c r="F89" s="21" t="s">
        <v>947</v>
      </c>
      <c r="G89" s="12" t="s">
        <v>1169</v>
      </c>
    </row>
    <row r="90" spans="1:7" x14ac:dyDescent="0.3">
      <c r="A90" s="28"/>
      <c r="B90" s="28"/>
      <c r="C90" s="28" t="s">
        <v>879</v>
      </c>
      <c r="D90" s="28"/>
      <c r="E90" s="12" t="s">
        <v>1030</v>
      </c>
      <c r="F90" s="12" t="s">
        <v>1030</v>
      </c>
      <c r="G90" s="12" t="s">
        <v>1169</v>
      </c>
    </row>
    <row r="91" spans="1:7" x14ac:dyDescent="0.3">
      <c r="A91" s="28"/>
      <c r="B91" s="28"/>
      <c r="C91" s="28" t="s">
        <v>879</v>
      </c>
      <c r="D91" s="28"/>
      <c r="E91" s="12" t="s">
        <v>1298</v>
      </c>
      <c r="F91" s="12" t="s">
        <v>1050</v>
      </c>
      <c r="G91" s="12" t="s">
        <v>1169</v>
      </c>
    </row>
    <row r="92" spans="1:7" x14ac:dyDescent="0.3">
      <c r="A92" s="28"/>
      <c r="B92" s="28"/>
      <c r="C92" s="28" t="s">
        <v>879</v>
      </c>
      <c r="D92" s="28"/>
      <c r="E92" s="12" t="s">
        <v>1052</v>
      </c>
      <c r="F92" s="12" t="s">
        <v>1052</v>
      </c>
      <c r="G92" s="12" t="s">
        <v>1169</v>
      </c>
    </row>
    <row r="93" spans="1:7" x14ac:dyDescent="0.3">
      <c r="A93" s="28"/>
      <c r="B93" s="28"/>
      <c r="C93" s="28" t="s">
        <v>879</v>
      </c>
      <c r="D93" s="28"/>
      <c r="E93" s="12" t="s">
        <v>1032</v>
      </c>
      <c r="F93" s="12" t="s">
        <v>1032</v>
      </c>
      <c r="G93" s="12" t="s">
        <v>1169</v>
      </c>
    </row>
    <row r="94" spans="1:7" x14ac:dyDescent="0.3">
      <c r="A94" s="28"/>
      <c r="B94" s="28"/>
      <c r="C94" s="28" t="s">
        <v>879</v>
      </c>
      <c r="D94" s="28"/>
      <c r="E94" s="12" t="s">
        <v>1300</v>
      </c>
      <c r="F94" s="12" t="s">
        <v>1048</v>
      </c>
      <c r="G94" s="12" t="s">
        <v>1169</v>
      </c>
    </row>
    <row r="95" spans="1:7" x14ac:dyDescent="0.3">
      <c r="A95" s="28"/>
      <c r="B95" s="28"/>
      <c r="C95" s="28" t="s">
        <v>879</v>
      </c>
      <c r="D95" s="28"/>
      <c r="E95" s="12" t="s">
        <v>1036</v>
      </c>
      <c r="F95" s="12" t="s">
        <v>1036</v>
      </c>
      <c r="G95" s="12" t="s">
        <v>1169</v>
      </c>
    </row>
    <row r="96" spans="1:7" x14ac:dyDescent="0.3">
      <c r="A96" s="28"/>
      <c r="B96" s="28"/>
      <c r="C96" s="28" t="s">
        <v>879</v>
      </c>
      <c r="D96" s="28"/>
      <c r="E96" s="12" t="s">
        <v>1303</v>
      </c>
      <c r="F96" s="12" t="s">
        <v>1042</v>
      </c>
      <c r="G96" s="12" t="s">
        <v>1169</v>
      </c>
    </row>
    <row r="97" spans="1:7" x14ac:dyDescent="0.3">
      <c r="A97" s="28"/>
      <c r="B97" s="28"/>
      <c r="C97" s="28" t="s">
        <v>879</v>
      </c>
      <c r="D97" s="28"/>
      <c r="E97" s="12" t="s">
        <v>1038</v>
      </c>
      <c r="F97" s="12" t="s">
        <v>1038</v>
      </c>
      <c r="G97" s="12" t="s">
        <v>1169</v>
      </c>
    </row>
    <row r="98" spans="1:7" x14ac:dyDescent="0.3">
      <c r="A98" s="28"/>
      <c r="B98" s="28"/>
      <c r="C98" s="28" t="s">
        <v>879</v>
      </c>
      <c r="D98" s="28"/>
      <c r="E98" s="12" t="s">
        <v>1305</v>
      </c>
      <c r="F98" s="12" t="s">
        <v>1044</v>
      </c>
      <c r="G98" s="12" t="s">
        <v>1169</v>
      </c>
    </row>
    <row r="99" spans="1:7" x14ac:dyDescent="0.3">
      <c r="A99" s="28"/>
      <c r="B99" s="28"/>
      <c r="C99" s="28" t="s">
        <v>879</v>
      </c>
      <c r="D99" s="28"/>
      <c r="E99" s="12" t="s">
        <v>1240</v>
      </c>
      <c r="F99" s="12" t="s">
        <v>920</v>
      </c>
      <c r="G99" s="12" t="s">
        <v>1158</v>
      </c>
    </row>
    <row r="100" spans="1:7" x14ac:dyDescent="0.3">
      <c r="A100" s="28"/>
      <c r="B100" s="28"/>
      <c r="C100" s="28" t="s">
        <v>879</v>
      </c>
      <c r="D100" s="28"/>
      <c r="E100" s="12" t="s">
        <v>1240</v>
      </c>
      <c r="F100" s="12" t="s">
        <v>920</v>
      </c>
      <c r="G100" s="12" t="s">
        <v>1169</v>
      </c>
    </row>
    <row r="101" spans="1:7" x14ac:dyDescent="0.3">
      <c r="A101" s="28"/>
      <c r="B101" s="28"/>
      <c r="C101" s="28" t="s">
        <v>879</v>
      </c>
      <c r="D101" s="28"/>
      <c r="E101" s="12" t="s">
        <v>1240</v>
      </c>
      <c r="F101" s="12" t="s">
        <v>923</v>
      </c>
      <c r="G101" s="12" t="s">
        <v>1158</v>
      </c>
    </row>
    <row r="102" spans="1:7" x14ac:dyDescent="0.3">
      <c r="A102" s="28"/>
      <c r="B102" s="28"/>
      <c r="C102" s="28" t="s">
        <v>879</v>
      </c>
      <c r="D102" s="28"/>
      <c r="E102" s="12" t="s">
        <v>1240</v>
      </c>
      <c r="F102" s="12" t="s">
        <v>923</v>
      </c>
      <c r="G102" s="12" t="s">
        <v>1169</v>
      </c>
    </row>
    <row r="103" spans="1:7" x14ac:dyDescent="0.3">
      <c r="A103" s="28"/>
      <c r="B103" s="28"/>
      <c r="C103" s="28" t="s">
        <v>879</v>
      </c>
      <c r="D103" s="28"/>
      <c r="E103" s="12" t="s">
        <v>1240</v>
      </c>
      <c r="F103" s="12" t="s">
        <v>925</v>
      </c>
      <c r="G103" s="12" t="s">
        <v>1158</v>
      </c>
    </row>
    <row r="104" spans="1:7" x14ac:dyDescent="0.3">
      <c r="A104" s="28"/>
      <c r="B104" s="28"/>
      <c r="C104" s="28" t="s">
        <v>879</v>
      </c>
      <c r="D104" s="28"/>
      <c r="E104" s="12" t="s">
        <v>1240</v>
      </c>
      <c r="F104" s="12" t="s">
        <v>925</v>
      </c>
      <c r="G104" s="12" t="s">
        <v>1169</v>
      </c>
    </row>
    <row r="105" spans="1:7" x14ac:dyDescent="0.3">
      <c r="A105" s="28"/>
      <c r="B105" s="28"/>
      <c r="C105" s="28" t="s">
        <v>879</v>
      </c>
      <c r="D105" s="28"/>
      <c r="E105" s="12" t="s">
        <v>1240</v>
      </c>
      <c r="F105" s="12" t="s">
        <v>927</v>
      </c>
      <c r="G105" s="12" t="s">
        <v>1158</v>
      </c>
    </row>
    <row r="106" spans="1:7" x14ac:dyDescent="0.3">
      <c r="A106" s="28"/>
      <c r="B106" s="28"/>
      <c r="C106" s="28" t="s">
        <v>879</v>
      </c>
      <c r="D106" s="28"/>
      <c r="E106" s="12" t="s">
        <v>1240</v>
      </c>
      <c r="F106" s="12" t="s">
        <v>927</v>
      </c>
      <c r="G106" s="12" t="s">
        <v>1169</v>
      </c>
    </row>
    <row r="107" spans="1:7" x14ac:dyDescent="0.3">
      <c r="A107" s="28"/>
      <c r="B107" s="28"/>
      <c r="C107" s="28" t="str">
        <f>_xlfn.XLOOKUP(CALCFC[[#This Row],[CalculatorCode2]],CALCS[CalculatorCode],CALCS[School Type])</f>
        <v>All</v>
      </c>
      <c r="D107" s="28"/>
      <c r="E107" s="12" t="s">
        <v>1240</v>
      </c>
      <c r="F107" s="12" t="s">
        <v>1504</v>
      </c>
      <c r="G107" s="12" t="s">
        <v>1158</v>
      </c>
    </row>
    <row r="108" spans="1:7" x14ac:dyDescent="0.3">
      <c r="A108" s="28"/>
      <c r="B108" s="28"/>
      <c r="C108" s="28" t="str">
        <f>_xlfn.XLOOKUP(CALCFC[[#This Row],[CalculatorCode2]],CALCS[CalculatorCode],CALCS[School Type])</f>
        <v>All</v>
      </c>
      <c r="D108" s="28"/>
      <c r="E108" s="12" t="s">
        <v>1240</v>
      </c>
      <c r="F108" s="12" t="s">
        <v>1504</v>
      </c>
      <c r="G108" s="12" t="s">
        <v>1169</v>
      </c>
    </row>
    <row r="109" spans="1:7" x14ac:dyDescent="0.3">
      <c r="A109" s="28"/>
      <c r="B109" s="28"/>
      <c r="C109" s="28" t="s">
        <v>879</v>
      </c>
      <c r="D109" s="28"/>
      <c r="E109" s="12" t="s">
        <v>1240</v>
      </c>
      <c r="F109" s="12" t="s">
        <v>929</v>
      </c>
      <c r="G109" s="12" t="s">
        <v>1158</v>
      </c>
    </row>
    <row r="110" spans="1:7" x14ac:dyDescent="0.3">
      <c r="A110" s="28"/>
      <c r="B110" s="28"/>
      <c r="C110" s="28" t="s">
        <v>879</v>
      </c>
      <c r="D110" s="28"/>
      <c r="E110" s="12" t="s">
        <v>1240</v>
      </c>
      <c r="F110" s="12" t="s">
        <v>929</v>
      </c>
      <c r="G110" s="12" t="s">
        <v>1169</v>
      </c>
    </row>
    <row r="111" spans="1:7" x14ac:dyDescent="0.3">
      <c r="A111" s="28"/>
      <c r="B111" s="28"/>
      <c r="C111" s="28" t="str">
        <f>_xlfn.XLOOKUP(CALCFC[[#This Row],[CalculatorCode2]],CALCS[CalculatorCode],CALCS[School Type])</f>
        <v>All</v>
      </c>
      <c r="D111" s="28"/>
      <c r="E111" s="12" t="s">
        <v>1240</v>
      </c>
      <c r="F111" s="12" t="s">
        <v>1505</v>
      </c>
      <c r="G111" s="12" t="s">
        <v>1158</v>
      </c>
    </row>
    <row r="112" spans="1:7" x14ac:dyDescent="0.3">
      <c r="A112" s="28"/>
      <c r="B112" s="28"/>
      <c r="C112" s="28" t="str">
        <f>_xlfn.XLOOKUP(CALCFC[[#This Row],[CalculatorCode2]],CALCS[CalculatorCode],CALCS[School Type])</f>
        <v>All</v>
      </c>
      <c r="D112" s="28"/>
      <c r="E112" s="12" t="s">
        <v>1240</v>
      </c>
      <c r="F112" s="12" t="s">
        <v>1505</v>
      </c>
      <c r="G112" s="12" t="s">
        <v>1169</v>
      </c>
    </row>
    <row r="113" spans="1:7" x14ac:dyDescent="0.3">
      <c r="A113" s="28"/>
      <c r="B113" s="28"/>
      <c r="C113" s="28" t="str">
        <f>_xlfn.XLOOKUP(CALCFC[[#This Row],[CalculatorCode2]],CALCS[CalculatorCode],CALCS[School Type])</f>
        <v>All</v>
      </c>
      <c r="D113" s="28"/>
      <c r="E113" s="12" t="s">
        <v>1240</v>
      </c>
      <c r="F113" s="12" t="s">
        <v>1503</v>
      </c>
      <c r="G113" s="12" t="s">
        <v>1158</v>
      </c>
    </row>
    <row r="114" spans="1:7" x14ac:dyDescent="0.3">
      <c r="A114" s="28"/>
      <c r="B114" s="28"/>
      <c r="C114" s="28" t="str">
        <f>_xlfn.XLOOKUP(CALCFC[[#This Row],[CalculatorCode2]],CALCS[CalculatorCode],CALCS[School Type])</f>
        <v>All</v>
      </c>
      <c r="D114" s="28"/>
      <c r="E114" s="12" t="s">
        <v>1240</v>
      </c>
      <c r="F114" s="12" t="s">
        <v>1503</v>
      </c>
      <c r="G114" s="12" t="s">
        <v>1169</v>
      </c>
    </row>
    <row r="115" spans="1:7" x14ac:dyDescent="0.3">
      <c r="A115" s="28"/>
      <c r="B115" s="28"/>
      <c r="C115" s="28" t="s">
        <v>879</v>
      </c>
      <c r="D115" s="28"/>
      <c r="E115" s="12" t="s">
        <v>1238</v>
      </c>
      <c r="F115" s="12" t="s">
        <v>943</v>
      </c>
      <c r="G115" s="12" t="s">
        <v>1169</v>
      </c>
    </row>
    <row r="116" spans="1:7" x14ac:dyDescent="0.3">
      <c r="A116" s="28"/>
      <c r="B116" s="28"/>
      <c r="C116" s="28" t="s">
        <v>879</v>
      </c>
      <c r="D116" s="28"/>
      <c r="E116" s="12" t="s">
        <v>1238</v>
      </c>
      <c r="F116" s="12" t="s">
        <v>943</v>
      </c>
      <c r="G116" s="12" t="s">
        <v>1158</v>
      </c>
    </row>
    <row r="117" spans="1:7" x14ac:dyDescent="0.3">
      <c r="A117" s="28"/>
      <c r="B117" s="28"/>
      <c r="C117" s="28" t="s">
        <v>879</v>
      </c>
      <c r="D117" s="28"/>
      <c r="E117" s="12" t="s">
        <v>1238</v>
      </c>
      <c r="F117" s="12" t="s">
        <v>945</v>
      </c>
      <c r="G117" s="12" t="s">
        <v>1169</v>
      </c>
    </row>
    <row r="118" spans="1:7" x14ac:dyDescent="0.3">
      <c r="A118" s="28"/>
      <c r="B118" s="28"/>
      <c r="C118" s="28" t="s">
        <v>879</v>
      </c>
      <c r="D118" s="28"/>
      <c r="E118" s="12" t="s">
        <v>1238</v>
      </c>
      <c r="F118" s="12" t="s">
        <v>945</v>
      </c>
      <c r="G118" s="12" t="s">
        <v>1158</v>
      </c>
    </row>
    <row r="119" spans="1:7" x14ac:dyDescent="0.3">
      <c r="A119" s="28"/>
      <c r="B119" s="28"/>
      <c r="C119" s="28" t="s">
        <v>879</v>
      </c>
      <c r="D119" s="28"/>
      <c r="E119" s="12" t="s">
        <v>1238</v>
      </c>
      <c r="F119" s="12" t="s">
        <v>947</v>
      </c>
      <c r="G119" s="12" t="s">
        <v>1169</v>
      </c>
    </row>
    <row r="120" spans="1:7" x14ac:dyDescent="0.3">
      <c r="A120" s="28"/>
      <c r="B120" s="28"/>
      <c r="C120" s="28" t="s">
        <v>879</v>
      </c>
      <c r="D120" s="28"/>
      <c r="E120" s="12" t="s">
        <v>1238</v>
      </c>
      <c r="F120" s="12" t="s">
        <v>947</v>
      </c>
      <c r="G120" s="12" t="s">
        <v>1158</v>
      </c>
    </row>
    <row r="121" spans="1:7" x14ac:dyDescent="0.3">
      <c r="A121" s="28"/>
      <c r="B121" s="28"/>
      <c r="C121" s="28" t="s">
        <v>879</v>
      </c>
      <c r="D121" s="28"/>
      <c r="E121" s="12" t="s">
        <v>1238</v>
      </c>
      <c r="F121" s="12" t="s">
        <v>949</v>
      </c>
      <c r="G121" s="12" t="s">
        <v>1169</v>
      </c>
    </row>
    <row r="122" spans="1:7" x14ac:dyDescent="0.3">
      <c r="A122" s="28"/>
      <c r="B122" s="28"/>
      <c r="C122" s="28" t="s">
        <v>879</v>
      </c>
      <c r="D122" s="28"/>
      <c r="E122" s="12" t="s">
        <v>1238</v>
      </c>
      <c r="F122" s="12" t="s">
        <v>949</v>
      </c>
      <c r="G122" s="12" t="s">
        <v>1158</v>
      </c>
    </row>
    <row r="123" spans="1:7" x14ac:dyDescent="0.3">
      <c r="A123" s="28"/>
      <c r="B123" s="28"/>
      <c r="C123" s="28" t="s">
        <v>879</v>
      </c>
      <c r="D123" s="28"/>
      <c r="E123" s="12" t="s">
        <v>1238</v>
      </c>
      <c r="F123" s="12" t="s">
        <v>951</v>
      </c>
      <c r="G123" s="12" t="s">
        <v>1169</v>
      </c>
    </row>
    <row r="124" spans="1:7" x14ac:dyDescent="0.3">
      <c r="A124" s="28"/>
      <c r="B124" s="28"/>
      <c r="C124" s="28" t="s">
        <v>879</v>
      </c>
      <c r="D124" s="28"/>
      <c r="E124" s="12" t="s">
        <v>1238</v>
      </c>
      <c r="F124" s="12" t="s">
        <v>951</v>
      </c>
      <c r="G124" s="12" t="s">
        <v>1158</v>
      </c>
    </row>
    <row r="125" spans="1:7" x14ac:dyDescent="0.3">
      <c r="A125" s="28"/>
      <c r="B125" s="28"/>
      <c r="C125" s="28" t="s">
        <v>879</v>
      </c>
      <c r="D125" s="28"/>
      <c r="E125" s="12" t="s">
        <v>1238</v>
      </c>
      <c r="F125" s="12" t="s">
        <v>953</v>
      </c>
      <c r="G125" s="12" t="s">
        <v>1169</v>
      </c>
    </row>
    <row r="126" spans="1:7" x14ac:dyDescent="0.3">
      <c r="A126" s="28"/>
      <c r="B126" s="28"/>
      <c r="C126" s="28" t="s">
        <v>879</v>
      </c>
      <c r="D126" s="28"/>
      <c r="E126" s="12" t="s">
        <v>1238</v>
      </c>
      <c r="F126" s="12" t="s">
        <v>953</v>
      </c>
      <c r="G126" s="12" t="s">
        <v>1158</v>
      </c>
    </row>
    <row r="127" spans="1:7" x14ac:dyDescent="0.3">
      <c r="A127" s="28"/>
      <c r="B127" s="28"/>
      <c r="C127" s="28" t="s">
        <v>879</v>
      </c>
      <c r="D127" s="28"/>
      <c r="E127" s="12" t="s">
        <v>1238</v>
      </c>
      <c r="F127" s="12" t="s">
        <v>955</v>
      </c>
      <c r="G127" s="12" t="s">
        <v>1169</v>
      </c>
    </row>
    <row r="128" spans="1:7" x14ac:dyDescent="0.3">
      <c r="A128" s="28"/>
      <c r="B128" s="28"/>
      <c r="C128" s="28" t="s">
        <v>879</v>
      </c>
      <c r="D128" s="28"/>
      <c r="E128" s="12" t="s">
        <v>1238</v>
      </c>
      <c r="F128" s="12" t="s">
        <v>955</v>
      </c>
      <c r="G128" s="12" t="s">
        <v>1158</v>
      </c>
    </row>
    <row r="129" spans="1:7" x14ac:dyDescent="0.3">
      <c r="A129" s="28"/>
      <c r="B129" s="28"/>
      <c r="C129" s="28" t="s">
        <v>879</v>
      </c>
      <c r="D129" s="28"/>
      <c r="E129" s="12" t="s">
        <v>1238</v>
      </c>
      <c r="F129" s="12" t="s">
        <v>957</v>
      </c>
      <c r="G129" s="12" t="s">
        <v>1169</v>
      </c>
    </row>
    <row r="130" spans="1:7" x14ac:dyDescent="0.3">
      <c r="A130" s="28"/>
      <c r="B130" s="28"/>
      <c r="C130" s="28" t="s">
        <v>879</v>
      </c>
      <c r="D130" s="28"/>
      <c r="E130" s="12" t="s">
        <v>1238</v>
      </c>
      <c r="F130" s="12" t="s">
        <v>957</v>
      </c>
      <c r="G130" s="12" t="s">
        <v>1158</v>
      </c>
    </row>
    <row r="131" spans="1:7" x14ac:dyDescent="0.3">
      <c r="A131" s="28"/>
      <c r="B131" s="28"/>
      <c r="C131" s="28" t="s">
        <v>879</v>
      </c>
      <c r="D131" s="28"/>
      <c r="E131" s="12" t="s">
        <v>1238</v>
      </c>
      <c r="F131" s="12" t="s">
        <v>959</v>
      </c>
      <c r="G131" s="12" t="s">
        <v>1169</v>
      </c>
    </row>
    <row r="132" spans="1:7" x14ac:dyDescent="0.3">
      <c r="A132" s="28"/>
      <c r="B132" s="28"/>
      <c r="C132" s="28" t="s">
        <v>879</v>
      </c>
      <c r="D132" s="28"/>
      <c r="E132" s="12" t="s">
        <v>1238</v>
      </c>
      <c r="F132" s="12" t="s">
        <v>959</v>
      </c>
      <c r="G132" s="12" t="s">
        <v>1158</v>
      </c>
    </row>
    <row r="133" spans="1:7" x14ac:dyDescent="0.3">
      <c r="A133" s="28"/>
      <c r="B133" s="28"/>
      <c r="C133" s="28" t="s">
        <v>879</v>
      </c>
      <c r="D133" s="28"/>
      <c r="E133" s="12" t="s">
        <v>1238</v>
      </c>
      <c r="F133" s="12" t="s">
        <v>961</v>
      </c>
      <c r="G133" s="12" t="s">
        <v>1169</v>
      </c>
    </row>
    <row r="134" spans="1:7" x14ac:dyDescent="0.3">
      <c r="A134" s="28"/>
      <c r="B134" s="28"/>
      <c r="C134" s="28" t="s">
        <v>879</v>
      </c>
      <c r="D134" s="28"/>
      <c r="E134" s="12" t="s">
        <v>1238</v>
      </c>
      <c r="F134" s="12" t="s">
        <v>961</v>
      </c>
      <c r="G134" s="12" t="s">
        <v>1158</v>
      </c>
    </row>
    <row r="135" spans="1:7" x14ac:dyDescent="0.3">
      <c r="A135" s="28"/>
      <c r="B135" s="28"/>
      <c r="C135" s="28" t="s">
        <v>879</v>
      </c>
      <c r="D135" s="28"/>
      <c r="E135" s="12" t="s">
        <v>1238</v>
      </c>
      <c r="F135" s="12" t="s">
        <v>963</v>
      </c>
      <c r="G135" s="12" t="s">
        <v>1169</v>
      </c>
    </row>
    <row r="136" spans="1:7" x14ac:dyDescent="0.3">
      <c r="A136" s="28"/>
      <c r="B136" s="28"/>
      <c r="C136" s="28" t="s">
        <v>879</v>
      </c>
      <c r="D136" s="28"/>
      <c r="E136" s="12" t="s">
        <v>1238</v>
      </c>
      <c r="F136" s="12" t="s">
        <v>963</v>
      </c>
      <c r="G136" s="12" t="s">
        <v>1158</v>
      </c>
    </row>
    <row r="137" spans="1:7" x14ac:dyDescent="0.3">
      <c r="A137" s="28"/>
      <c r="B137" s="28"/>
      <c r="C137" s="28" t="s">
        <v>879</v>
      </c>
      <c r="D137" s="28"/>
      <c r="E137" s="12" t="s">
        <v>1238</v>
      </c>
      <c r="F137" s="12" t="s">
        <v>965</v>
      </c>
      <c r="G137" s="12" t="s">
        <v>1169</v>
      </c>
    </row>
    <row r="138" spans="1:7" x14ac:dyDescent="0.3">
      <c r="A138" s="28"/>
      <c r="B138" s="28"/>
      <c r="C138" s="28" t="s">
        <v>879</v>
      </c>
      <c r="D138" s="28"/>
      <c r="E138" s="12" t="s">
        <v>1238</v>
      </c>
      <c r="F138" s="12" t="s">
        <v>965</v>
      </c>
      <c r="G138" s="12" t="s">
        <v>1158</v>
      </c>
    </row>
    <row r="139" spans="1:7" x14ac:dyDescent="0.3">
      <c r="A139" s="28"/>
      <c r="B139" s="28"/>
      <c r="C139" s="28" t="s">
        <v>879</v>
      </c>
      <c r="D139" s="28"/>
      <c r="E139" s="12" t="s">
        <v>1238</v>
      </c>
      <c r="F139" s="12" t="s">
        <v>967</v>
      </c>
      <c r="G139" s="12" t="s">
        <v>1169</v>
      </c>
    </row>
    <row r="140" spans="1:7" x14ac:dyDescent="0.3">
      <c r="A140" s="28"/>
      <c r="B140" s="28"/>
      <c r="C140" s="28" t="s">
        <v>879</v>
      </c>
      <c r="D140" s="28"/>
      <c r="E140" s="12" t="s">
        <v>1238</v>
      </c>
      <c r="F140" s="12" t="s">
        <v>967</v>
      </c>
      <c r="G140" s="12" t="s">
        <v>1158</v>
      </c>
    </row>
    <row r="141" spans="1:7" x14ac:dyDescent="0.3">
      <c r="A141" s="28"/>
      <c r="B141" s="28"/>
      <c r="C141" s="28" t="s">
        <v>879</v>
      </c>
      <c r="D141" s="28"/>
      <c r="E141" s="12" t="s">
        <v>1238</v>
      </c>
      <c r="F141" s="12" t="s">
        <v>969</v>
      </c>
      <c r="G141" s="12" t="s">
        <v>1169</v>
      </c>
    </row>
    <row r="142" spans="1:7" x14ac:dyDescent="0.3">
      <c r="A142" s="28"/>
      <c r="B142" s="28"/>
      <c r="C142" s="28" t="s">
        <v>879</v>
      </c>
      <c r="D142" s="28"/>
      <c r="E142" s="12" t="s">
        <v>1238</v>
      </c>
      <c r="F142" s="12" t="s">
        <v>969</v>
      </c>
      <c r="G142" s="12" t="s">
        <v>1158</v>
      </c>
    </row>
    <row r="143" spans="1:7" x14ac:dyDescent="0.3">
      <c r="A143" s="28"/>
      <c r="B143" s="28"/>
      <c r="C143" s="28" t="s">
        <v>879</v>
      </c>
      <c r="D143" s="28"/>
      <c r="E143" s="12" t="s">
        <v>1238</v>
      </c>
      <c r="F143" s="12" t="s">
        <v>1501</v>
      </c>
      <c r="G143" s="12" t="s">
        <v>1169</v>
      </c>
    </row>
    <row r="144" spans="1:7" x14ac:dyDescent="0.3">
      <c r="A144" s="28"/>
      <c r="B144" s="28"/>
      <c r="C144" s="28" t="s">
        <v>879</v>
      </c>
      <c r="D144" s="28"/>
      <c r="E144" s="12" t="s">
        <v>1238</v>
      </c>
      <c r="F144" s="12" t="s">
        <v>1501</v>
      </c>
      <c r="G144" s="12" t="s">
        <v>1158</v>
      </c>
    </row>
    <row r="145" spans="1:7" x14ac:dyDescent="0.3">
      <c r="A145" s="28"/>
      <c r="B145" s="28"/>
      <c r="C145" s="28" t="s">
        <v>879</v>
      </c>
      <c r="D145" s="28"/>
      <c r="E145" s="12" t="s">
        <v>1054</v>
      </c>
      <c r="F145" s="12" t="s">
        <v>1054</v>
      </c>
      <c r="G145" s="12" t="s">
        <v>1169</v>
      </c>
    </row>
    <row r="146" spans="1:7" x14ac:dyDescent="0.3">
      <c r="A146" s="28"/>
      <c r="B146" s="28"/>
      <c r="C146" s="28" t="str">
        <f>_xlfn.XLOOKUP(CALCFC[[#This Row],[CalculatorCode2]],CALCS[CalculatorCode],CALCS[School Type])</f>
        <v>All</v>
      </c>
      <c r="D146" s="28"/>
      <c r="E146" s="12" t="s">
        <v>2059</v>
      </c>
      <c r="F146" s="12" t="s">
        <v>2059</v>
      </c>
      <c r="G146" s="12" t="s">
        <v>1169</v>
      </c>
    </row>
    <row r="147" spans="1:7" x14ac:dyDescent="0.3">
      <c r="A147" s="28"/>
      <c r="B147" s="28"/>
      <c r="C147" s="28" t="str">
        <f>_xlfn.XLOOKUP(CALCFC[[#This Row],[CalculatorCode2]],CALCS[CalculatorCode],CALCS[School Type])</f>
        <v>All</v>
      </c>
      <c r="D147" s="28"/>
      <c r="E147" s="12" t="s">
        <v>2058</v>
      </c>
      <c r="F147" s="12" t="s">
        <v>2058</v>
      </c>
      <c r="G147" s="12" t="s">
        <v>1169</v>
      </c>
    </row>
    <row r="148" spans="1:7" x14ac:dyDescent="0.3">
      <c r="A148" s="28"/>
      <c r="B148" s="28"/>
      <c r="C148" s="28" t="str">
        <f>_xlfn.XLOOKUP(CALCFC[[#This Row],[CalculatorCode2]],CALCS[CalculatorCode],CALCS[School Type])</f>
        <v>All</v>
      </c>
      <c r="D148" s="28"/>
      <c r="E148" s="12" t="s">
        <v>2342</v>
      </c>
      <c r="F148" s="12">
        <v>610100</v>
      </c>
      <c r="G148" s="12" t="s">
        <v>1986</v>
      </c>
    </row>
    <row r="149" spans="1:7" x14ac:dyDescent="0.3">
      <c r="A149" s="28"/>
      <c r="B149" s="28"/>
      <c r="C149" s="28" t="str">
        <f>_xlfn.XLOOKUP(CALCFC[[#This Row],[CalculatorCode2]],CALCS[CalculatorCode],CALCS[School Type])</f>
        <v>All</v>
      </c>
      <c r="D149" s="28"/>
      <c r="E149" s="12" t="s">
        <v>2342</v>
      </c>
      <c r="F149" s="12" t="s">
        <v>228</v>
      </c>
      <c r="G149" s="12" t="s">
        <v>1986</v>
      </c>
    </row>
    <row r="150" spans="1:7" x14ac:dyDescent="0.3">
      <c r="A150" s="28"/>
      <c r="B150" s="28"/>
      <c r="C150" s="28" t="str">
        <f>_xlfn.XLOOKUP(CALCFC[[#This Row],[CalculatorCode2]],CALCS[CalculatorCode],CALCS[School Type])</f>
        <v>All</v>
      </c>
      <c r="D150" s="28"/>
      <c r="E150" s="12" t="s">
        <v>2342</v>
      </c>
      <c r="F150" s="12" t="s">
        <v>236</v>
      </c>
      <c r="G150" s="12" t="s">
        <v>1986</v>
      </c>
    </row>
    <row r="151" spans="1:7" x14ac:dyDescent="0.3">
      <c r="A151" s="28"/>
      <c r="B151" s="28"/>
      <c r="C151" s="28" t="str">
        <f>_xlfn.XLOOKUP(CALCFC[[#This Row],[CalculatorCode2]],CALCS[CalculatorCode],CALCS[School Type])</f>
        <v>All</v>
      </c>
      <c r="D151" s="28"/>
      <c r="E151" s="12" t="s">
        <v>2343</v>
      </c>
      <c r="F151" s="12" t="s">
        <v>2343</v>
      </c>
      <c r="G151" s="12" t="s">
        <v>1169</v>
      </c>
    </row>
    <row r="152" spans="1:7" x14ac:dyDescent="0.3">
      <c r="A152" s="28"/>
      <c r="B152" s="28"/>
      <c r="C152" s="28" t="str">
        <f>_xlfn.XLOOKUP(CALCFC[[#This Row],[CalculatorCode2]],CALCS[CalculatorCode],CALCS[School Type])</f>
        <v>All</v>
      </c>
      <c r="D152" s="28"/>
      <c r="E152" s="12" t="s">
        <v>2343</v>
      </c>
      <c r="F152" s="12">
        <v>611100</v>
      </c>
      <c r="G152" s="12" t="s">
        <v>1986</v>
      </c>
    </row>
    <row r="153" spans="1:7" x14ac:dyDescent="0.3">
      <c r="A153" s="28"/>
      <c r="B153" s="28"/>
      <c r="C153" s="28" t="str">
        <f>_xlfn.XLOOKUP(CALCFC[[#This Row],[CalculatorCode2]],CALCS[CalculatorCode],CALCS[School Type])</f>
        <v>All</v>
      </c>
      <c r="D153" s="28"/>
      <c r="E153" s="12" t="s">
        <v>2343</v>
      </c>
      <c r="F153" s="12" t="s">
        <v>244</v>
      </c>
      <c r="G153" s="12" t="s">
        <v>1986</v>
      </c>
    </row>
    <row r="154" spans="1:7" x14ac:dyDescent="0.3">
      <c r="A154" s="28"/>
      <c r="B154" s="28"/>
      <c r="C154" s="28" t="str">
        <f>_xlfn.XLOOKUP(CALCFC[[#This Row],[CalculatorCode2]],CALCS[CalculatorCode],CALCS[School Type])</f>
        <v>All</v>
      </c>
      <c r="D154" s="28"/>
      <c r="E154" s="12" t="s">
        <v>2343</v>
      </c>
      <c r="F154" s="12" t="s">
        <v>252</v>
      </c>
      <c r="G154" s="12" t="s">
        <v>1986</v>
      </c>
    </row>
    <row r="155" spans="1:7" x14ac:dyDescent="0.3">
      <c r="A155" s="28"/>
      <c r="B155" s="28"/>
      <c r="C155" s="28" t="str">
        <f>_xlfn.XLOOKUP(CALCFC[[#This Row],[CalculatorCode2]],CALCS[CalculatorCode],CALCS[School Type])</f>
        <v>All</v>
      </c>
      <c r="D155" s="28"/>
      <c r="E155" s="12" t="s">
        <v>2343</v>
      </c>
      <c r="F155" s="12" t="s">
        <v>260</v>
      </c>
      <c r="G155" s="12" t="s">
        <v>1986</v>
      </c>
    </row>
    <row r="156" spans="1:7" x14ac:dyDescent="0.3">
      <c r="A156" s="28"/>
      <c r="B156" s="28"/>
      <c r="C156" s="28" t="str">
        <f>_xlfn.XLOOKUP(CALCFC[[#This Row],[CalculatorCode2]],CALCS[CalculatorCode],CALCS[School Type])</f>
        <v>All</v>
      </c>
      <c r="D156" s="28"/>
      <c r="E156" s="12" t="s">
        <v>2343</v>
      </c>
      <c r="F156" s="12" t="s">
        <v>2194</v>
      </c>
      <c r="G156" s="12" t="s">
        <v>1986</v>
      </c>
    </row>
    <row r="157" spans="1:7" x14ac:dyDescent="0.3">
      <c r="A157" s="28"/>
      <c r="B157" s="28"/>
      <c r="C157" s="28" t="str">
        <f>_xlfn.XLOOKUP(CALCFC[[#This Row],[CalculatorCode2]],CALCS[CalculatorCode],CALCS[School Type])</f>
        <v>All</v>
      </c>
      <c r="D157" s="28"/>
      <c r="E157" s="12" t="s">
        <v>2343</v>
      </c>
      <c r="F157" s="12" t="s">
        <v>268</v>
      </c>
      <c r="G157" s="12" t="s">
        <v>1986</v>
      </c>
    </row>
    <row r="158" spans="1:7" x14ac:dyDescent="0.3">
      <c r="A158" s="28"/>
      <c r="B158" s="28"/>
      <c r="C158" s="28" t="str">
        <f>_xlfn.XLOOKUP(CALCFC[[#This Row],[CalculatorCode2]],CALCS[CalculatorCode],CALCS[School Type])</f>
        <v>All</v>
      </c>
      <c r="D158" s="28"/>
      <c r="E158" s="12" t="s">
        <v>2343</v>
      </c>
      <c r="F158" s="12" t="s">
        <v>276</v>
      </c>
      <c r="G158" s="12" t="s">
        <v>1986</v>
      </c>
    </row>
    <row r="159" spans="1:7" x14ac:dyDescent="0.3">
      <c r="A159" s="28"/>
      <c r="B159" s="28"/>
      <c r="C159" s="28" t="str">
        <f>_xlfn.XLOOKUP(CALCFC[[#This Row],[CalculatorCode2]],CALCS[CalculatorCode],CALCS[School Type])</f>
        <v>All</v>
      </c>
      <c r="D159" s="28"/>
      <c r="E159" s="12" t="s">
        <v>2343</v>
      </c>
      <c r="F159" s="12" t="s">
        <v>284</v>
      </c>
      <c r="G159" s="12" t="s">
        <v>1986</v>
      </c>
    </row>
    <row r="160" spans="1:7" x14ac:dyDescent="0.3">
      <c r="A160" s="28"/>
      <c r="B160" s="28"/>
      <c r="C160" s="28" t="str">
        <f>_xlfn.XLOOKUP(CALCFC[[#This Row],[CalculatorCode2]],CALCS[CalculatorCode],CALCS[School Type])</f>
        <v>All</v>
      </c>
      <c r="D160" s="28"/>
      <c r="E160" s="12" t="s">
        <v>2343</v>
      </c>
      <c r="F160" s="12" t="s">
        <v>292</v>
      </c>
      <c r="G160" s="12" t="s">
        <v>1986</v>
      </c>
    </row>
    <row r="161" spans="1:7" x14ac:dyDescent="0.3">
      <c r="A161" s="28"/>
      <c r="B161" s="28"/>
      <c r="C161" s="28" t="str">
        <f>_xlfn.XLOOKUP(CALCFC[[#This Row],[CalculatorCode2]],CALCS[CalculatorCode],CALCS[School Type])</f>
        <v>All</v>
      </c>
      <c r="D161" s="28"/>
      <c r="E161" s="12" t="s">
        <v>2343</v>
      </c>
      <c r="F161" s="12" t="s">
        <v>300</v>
      </c>
      <c r="G161" s="12" t="s">
        <v>1986</v>
      </c>
    </row>
    <row r="162" spans="1:7" x14ac:dyDescent="0.3">
      <c r="A162" s="28"/>
      <c r="B162" s="28"/>
      <c r="C162" s="28" t="str">
        <f>_xlfn.XLOOKUP(CALCFC[[#This Row],[CalculatorCode2]],CALCS[CalculatorCode],CALCS[School Type])</f>
        <v>All</v>
      </c>
      <c r="D162" s="28"/>
      <c r="E162" s="12" t="s">
        <v>2343</v>
      </c>
      <c r="F162" s="12" t="s">
        <v>308</v>
      </c>
      <c r="G162" s="12" t="s">
        <v>1986</v>
      </c>
    </row>
    <row r="163" spans="1:7" x14ac:dyDescent="0.3">
      <c r="A163" s="28"/>
      <c r="B163" s="28"/>
      <c r="C163" s="28" t="str">
        <f>_xlfn.XLOOKUP(CALCFC[[#This Row],[CalculatorCode2]],CALCS[CalculatorCode],CALCS[School Type])</f>
        <v>All</v>
      </c>
      <c r="D163" s="28"/>
      <c r="E163" s="12" t="s">
        <v>2343</v>
      </c>
      <c r="F163" s="12" t="s">
        <v>316</v>
      </c>
      <c r="G163" s="12" t="s">
        <v>1986</v>
      </c>
    </row>
    <row r="164" spans="1:7" x14ac:dyDescent="0.3">
      <c r="A164" s="28"/>
      <c r="B164" s="28"/>
      <c r="C164" s="28" t="str">
        <f>_xlfn.XLOOKUP(CALCFC[[#This Row],[CalculatorCode2]],CALCS[CalculatorCode],CALCS[School Type])</f>
        <v>All</v>
      </c>
      <c r="D164" s="28"/>
      <c r="E164" s="12" t="s">
        <v>2343</v>
      </c>
      <c r="F164" s="12" t="s">
        <v>332</v>
      </c>
      <c r="G164" s="12" t="s">
        <v>1986</v>
      </c>
    </row>
    <row r="165" spans="1:7" x14ac:dyDescent="0.3">
      <c r="A165" s="28"/>
      <c r="B165" s="28"/>
      <c r="C165" s="28" t="str">
        <f>_xlfn.XLOOKUP(CALCFC[[#This Row],[CalculatorCode2]],CALCS[CalculatorCode],CALCS[School Type])</f>
        <v>All</v>
      </c>
      <c r="D165" s="28"/>
      <c r="E165" s="12" t="s">
        <v>2343</v>
      </c>
      <c r="F165" s="12" t="s">
        <v>340</v>
      </c>
      <c r="G165" s="12" t="s">
        <v>1986</v>
      </c>
    </row>
    <row r="166" spans="1:7" x14ac:dyDescent="0.3">
      <c r="A166" s="28"/>
      <c r="B166" s="28"/>
      <c r="C166" s="28" t="str">
        <f>_xlfn.XLOOKUP(CALCFC[[#This Row],[CalculatorCode2]],CALCS[CalculatorCode],CALCS[School Type])</f>
        <v>All</v>
      </c>
      <c r="D166" s="28"/>
      <c r="E166" s="12" t="s">
        <v>2346</v>
      </c>
      <c r="F166" s="24" t="str">
        <f>_xlfn.TEXTJOIN(",",TRUE,SRG[AnnualFteFinanceCode])</f>
        <v>A_FTE_LST,A_FTE_LSN,A_FTE_TEA,A_FTE_TA,A_FTE_LIB,A_FTE_TEC,A_FTE_COV,A_FTE_ADM,A_FTE_PRE,A_FTE_CLE,A_FTE_CAT,A_FTE_MDS,A_FTE_NUR,A_FTE_FSW,A_FTE_INV,A_FTE_EXT,A_FTE_OTH</v>
      </c>
      <c r="G166" s="12" t="s">
        <v>1158</v>
      </c>
    </row>
    <row r="167" spans="1:7" x14ac:dyDescent="0.3">
      <c r="A167" s="28"/>
      <c r="B167" s="28"/>
      <c r="C167" s="28" t="str">
        <f>_xlfn.XLOOKUP(CALCFC[[#This Row],[CalculatorCode2]],CALCS[CalculatorCode],CALCS[School Type])</f>
        <v>All</v>
      </c>
      <c r="D167" s="28"/>
      <c r="E167" s="12" t="s">
        <v>2346</v>
      </c>
      <c r="F167" s="24"/>
      <c r="G167" s="12" t="s">
        <v>1169</v>
      </c>
    </row>
    <row r="168" spans="1:7" x14ac:dyDescent="0.3">
      <c r="A168" s="28"/>
      <c r="B168" s="28"/>
      <c r="C168" s="28" t="str">
        <f>_xlfn.XLOOKUP(CALCFC[[#This Row],[CalculatorCode2]],CALCS[CalculatorCode],CALCS[School Type])</f>
        <v>All</v>
      </c>
      <c r="D168" s="28"/>
      <c r="E168" s="12" t="s">
        <v>2346</v>
      </c>
      <c r="F168" s="12" t="s">
        <v>1502</v>
      </c>
      <c r="G168" s="12" t="s">
        <v>1147</v>
      </c>
    </row>
    <row r="169" spans="1:7" x14ac:dyDescent="0.3">
      <c r="A169" s="28" t="s">
        <v>1464</v>
      </c>
      <c r="B169" s="28"/>
      <c r="C169" s="28" t="s">
        <v>1548</v>
      </c>
      <c r="D169" s="28" t="s">
        <v>1630</v>
      </c>
      <c r="E169" s="21" t="s">
        <v>1758</v>
      </c>
      <c r="F169" s="21" t="s">
        <v>1758</v>
      </c>
      <c r="G169" s="12" t="s">
        <v>1169</v>
      </c>
    </row>
    <row r="170" spans="1:7" x14ac:dyDescent="0.3">
      <c r="A170" s="28" t="s">
        <v>1466</v>
      </c>
      <c r="B170" s="28"/>
      <c r="C170" s="28" t="s">
        <v>1548</v>
      </c>
      <c r="D170" s="28" t="s">
        <v>1630</v>
      </c>
      <c r="E170" s="21" t="s">
        <v>1758</v>
      </c>
      <c r="F170" s="21" t="s">
        <v>1758</v>
      </c>
      <c r="G170" s="12" t="s">
        <v>1169</v>
      </c>
    </row>
    <row r="171" spans="1:7" x14ac:dyDescent="0.3">
      <c r="A171" s="28" t="s">
        <v>1467</v>
      </c>
      <c r="B171" s="28"/>
      <c r="C171" s="28" t="s">
        <v>1548</v>
      </c>
      <c r="D171" s="28" t="s">
        <v>1630</v>
      </c>
      <c r="E171" s="21" t="s">
        <v>1758</v>
      </c>
      <c r="F171" s="21" t="s">
        <v>1758</v>
      </c>
      <c r="G171" s="12" t="s">
        <v>1169</v>
      </c>
    </row>
    <row r="172" spans="1:7" x14ac:dyDescent="0.3">
      <c r="A172" s="28" t="s">
        <v>1468</v>
      </c>
      <c r="B172" s="28"/>
      <c r="C172" s="28" t="s">
        <v>1548</v>
      </c>
      <c r="D172" s="28" t="s">
        <v>1630</v>
      </c>
      <c r="E172" s="21" t="s">
        <v>1758</v>
      </c>
      <c r="F172" s="21" t="s">
        <v>1758</v>
      </c>
      <c r="G172" s="12" t="s">
        <v>1169</v>
      </c>
    </row>
    <row r="173" spans="1:7" x14ac:dyDescent="0.3">
      <c r="A173" s="28" t="s">
        <v>1469</v>
      </c>
      <c r="B173" s="28"/>
      <c r="C173" s="28" t="s">
        <v>1548</v>
      </c>
      <c r="D173" s="28" t="s">
        <v>1630</v>
      </c>
      <c r="E173" s="21" t="s">
        <v>1758</v>
      </c>
      <c r="F173" s="21" t="s">
        <v>1758</v>
      </c>
      <c r="G173" s="12" t="s">
        <v>1169</v>
      </c>
    </row>
    <row r="174" spans="1:7" x14ac:dyDescent="0.3">
      <c r="A174" s="28" t="s">
        <v>1470</v>
      </c>
      <c r="B174" s="28"/>
      <c r="C174" s="28" t="s">
        <v>1548</v>
      </c>
      <c r="D174" s="28" t="s">
        <v>1630</v>
      </c>
      <c r="E174" s="21" t="s">
        <v>1758</v>
      </c>
      <c r="F174" s="21" t="s">
        <v>1758</v>
      </c>
      <c r="G174" s="12" t="s">
        <v>1169</v>
      </c>
    </row>
    <row r="175" spans="1:7" x14ac:dyDescent="0.3">
      <c r="A175" s="28" t="s">
        <v>1464</v>
      </c>
      <c r="B175" s="28"/>
      <c r="C175" s="28" t="s">
        <v>1548</v>
      </c>
      <c r="D175" s="28" t="s">
        <v>1630</v>
      </c>
      <c r="E175" s="21" t="s">
        <v>1758</v>
      </c>
      <c r="F175" s="12" t="s">
        <v>920</v>
      </c>
      <c r="G175" s="12" t="s">
        <v>1147</v>
      </c>
    </row>
    <row r="176" spans="1:7" x14ac:dyDescent="0.3">
      <c r="A176" s="28" t="s">
        <v>1466</v>
      </c>
      <c r="B176" s="28"/>
      <c r="C176" s="28" t="s">
        <v>1548</v>
      </c>
      <c r="D176" s="28" t="s">
        <v>1630</v>
      </c>
      <c r="E176" s="21" t="s">
        <v>1758</v>
      </c>
      <c r="F176" s="12" t="s">
        <v>920</v>
      </c>
      <c r="G176" s="12" t="s">
        <v>1147</v>
      </c>
    </row>
    <row r="177" spans="1:7" x14ac:dyDescent="0.3">
      <c r="A177" s="28" t="s">
        <v>1467</v>
      </c>
      <c r="B177" s="28"/>
      <c r="C177" s="28" t="s">
        <v>1548</v>
      </c>
      <c r="D177" s="28" t="s">
        <v>1630</v>
      </c>
      <c r="E177" s="21" t="s">
        <v>1758</v>
      </c>
      <c r="F177" s="12" t="s">
        <v>920</v>
      </c>
      <c r="G177" s="12" t="s">
        <v>1147</v>
      </c>
    </row>
    <row r="178" spans="1:7" x14ac:dyDescent="0.3">
      <c r="A178" s="28" t="s">
        <v>1468</v>
      </c>
      <c r="B178" s="28"/>
      <c r="C178" s="28" t="s">
        <v>1548</v>
      </c>
      <c r="D178" s="28" t="s">
        <v>1630</v>
      </c>
      <c r="E178" s="21" t="s">
        <v>1758</v>
      </c>
      <c r="F178" s="12" t="s">
        <v>920</v>
      </c>
      <c r="G178" s="12" t="s">
        <v>1147</v>
      </c>
    </row>
    <row r="179" spans="1:7" x14ac:dyDescent="0.3">
      <c r="A179" s="28" t="s">
        <v>1469</v>
      </c>
      <c r="B179" s="28"/>
      <c r="C179" s="28" t="s">
        <v>1548</v>
      </c>
      <c r="D179" s="28" t="s">
        <v>1630</v>
      </c>
      <c r="E179" s="21" t="s">
        <v>1758</v>
      </c>
      <c r="F179" s="12" t="s">
        <v>920</v>
      </c>
      <c r="G179" s="12" t="s">
        <v>1147</v>
      </c>
    </row>
    <row r="180" spans="1:7" x14ac:dyDescent="0.3">
      <c r="A180" s="28" t="s">
        <v>1470</v>
      </c>
      <c r="B180" s="28"/>
      <c r="C180" s="28" t="s">
        <v>1548</v>
      </c>
      <c r="D180" s="28" t="s">
        <v>1630</v>
      </c>
      <c r="E180" s="21" t="s">
        <v>1758</v>
      </c>
      <c r="F180" s="12" t="s">
        <v>920</v>
      </c>
      <c r="G180" s="12" t="s">
        <v>1147</v>
      </c>
    </row>
    <row r="181" spans="1:7" x14ac:dyDescent="0.3">
      <c r="A181" s="28" t="s">
        <v>1464</v>
      </c>
      <c r="B181" s="28"/>
      <c r="C181" s="28" t="s">
        <v>1548</v>
      </c>
      <c r="D181" s="28" t="s">
        <v>1630</v>
      </c>
      <c r="E181" s="21" t="s">
        <v>1758</v>
      </c>
      <c r="F181" s="12" t="s">
        <v>923</v>
      </c>
      <c r="G181" s="12" t="s">
        <v>1147</v>
      </c>
    </row>
    <row r="182" spans="1:7" x14ac:dyDescent="0.3">
      <c r="A182" s="28" t="s">
        <v>1466</v>
      </c>
      <c r="B182" s="28"/>
      <c r="C182" s="28" t="s">
        <v>1548</v>
      </c>
      <c r="D182" s="28" t="s">
        <v>1630</v>
      </c>
      <c r="E182" s="21" t="s">
        <v>1758</v>
      </c>
      <c r="F182" s="12" t="s">
        <v>923</v>
      </c>
      <c r="G182" s="12" t="s">
        <v>1147</v>
      </c>
    </row>
    <row r="183" spans="1:7" x14ac:dyDescent="0.3">
      <c r="A183" s="28" t="s">
        <v>1467</v>
      </c>
      <c r="B183" s="28"/>
      <c r="C183" s="28" t="s">
        <v>1548</v>
      </c>
      <c r="D183" s="28" t="s">
        <v>1630</v>
      </c>
      <c r="E183" s="21" t="s">
        <v>1758</v>
      </c>
      <c r="F183" s="12" t="s">
        <v>923</v>
      </c>
      <c r="G183" s="12" t="s">
        <v>1147</v>
      </c>
    </row>
    <row r="184" spans="1:7" x14ac:dyDescent="0.3">
      <c r="A184" s="28" t="s">
        <v>1468</v>
      </c>
      <c r="B184" s="28"/>
      <c r="C184" s="28" t="s">
        <v>1548</v>
      </c>
      <c r="D184" s="28" t="s">
        <v>1630</v>
      </c>
      <c r="E184" s="21" t="s">
        <v>1758</v>
      </c>
      <c r="F184" s="12" t="s">
        <v>923</v>
      </c>
      <c r="G184" s="12" t="s">
        <v>1147</v>
      </c>
    </row>
    <row r="185" spans="1:7" x14ac:dyDescent="0.3">
      <c r="A185" s="28" t="s">
        <v>1469</v>
      </c>
      <c r="B185" s="28"/>
      <c r="C185" s="28" t="s">
        <v>1548</v>
      </c>
      <c r="D185" s="28" t="s">
        <v>1630</v>
      </c>
      <c r="E185" s="21" t="s">
        <v>1758</v>
      </c>
      <c r="F185" s="12" t="s">
        <v>923</v>
      </c>
      <c r="G185" s="12" t="s">
        <v>1147</v>
      </c>
    </row>
    <row r="186" spans="1:7" x14ac:dyDescent="0.3">
      <c r="A186" s="28" t="s">
        <v>1470</v>
      </c>
      <c r="B186" s="28"/>
      <c r="C186" s="28" t="s">
        <v>1548</v>
      </c>
      <c r="D186" s="28" t="s">
        <v>1630</v>
      </c>
      <c r="E186" s="21" t="s">
        <v>1758</v>
      </c>
      <c r="F186" s="12" t="s">
        <v>923</v>
      </c>
      <c r="G186" s="12" t="s">
        <v>1147</v>
      </c>
    </row>
    <row r="187" spans="1:7" x14ac:dyDescent="0.3">
      <c r="A187" s="28" t="s">
        <v>1464</v>
      </c>
      <c r="B187" s="28"/>
      <c r="C187" s="28" t="s">
        <v>1548</v>
      </c>
      <c r="D187" s="28" t="s">
        <v>1630</v>
      </c>
      <c r="E187" s="21" t="s">
        <v>1758</v>
      </c>
      <c r="F187" s="12" t="s">
        <v>925</v>
      </c>
      <c r="G187" s="12" t="s">
        <v>1147</v>
      </c>
    </row>
    <row r="188" spans="1:7" x14ac:dyDescent="0.3">
      <c r="A188" s="28" t="s">
        <v>1466</v>
      </c>
      <c r="B188" s="28"/>
      <c r="C188" s="28" t="s">
        <v>1548</v>
      </c>
      <c r="D188" s="28" t="s">
        <v>1630</v>
      </c>
      <c r="E188" s="21" t="s">
        <v>1758</v>
      </c>
      <c r="F188" s="12" t="s">
        <v>925</v>
      </c>
      <c r="G188" s="12" t="s">
        <v>1147</v>
      </c>
    </row>
    <row r="189" spans="1:7" x14ac:dyDescent="0.3">
      <c r="A189" s="28" t="s">
        <v>1467</v>
      </c>
      <c r="B189" s="28"/>
      <c r="C189" s="28" t="s">
        <v>1548</v>
      </c>
      <c r="D189" s="28" t="s">
        <v>1630</v>
      </c>
      <c r="E189" s="21" t="s">
        <v>1758</v>
      </c>
      <c r="F189" s="12" t="s">
        <v>925</v>
      </c>
      <c r="G189" s="12" t="s">
        <v>1147</v>
      </c>
    </row>
    <row r="190" spans="1:7" x14ac:dyDescent="0.3">
      <c r="A190" s="28" t="s">
        <v>1468</v>
      </c>
      <c r="B190" s="28"/>
      <c r="C190" s="28" t="s">
        <v>1548</v>
      </c>
      <c r="D190" s="28" t="s">
        <v>1630</v>
      </c>
      <c r="E190" s="21" t="s">
        <v>1758</v>
      </c>
      <c r="F190" s="12" t="s">
        <v>925</v>
      </c>
      <c r="G190" s="12" t="s">
        <v>1147</v>
      </c>
    </row>
    <row r="191" spans="1:7" x14ac:dyDescent="0.3">
      <c r="A191" s="28" t="s">
        <v>1469</v>
      </c>
      <c r="B191" s="28"/>
      <c r="C191" s="28" t="s">
        <v>1548</v>
      </c>
      <c r="D191" s="28" t="s">
        <v>1630</v>
      </c>
      <c r="E191" s="21" t="s">
        <v>1758</v>
      </c>
      <c r="F191" s="12" t="s">
        <v>925</v>
      </c>
      <c r="G191" s="12" t="s">
        <v>1147</v>
      </c>
    </row>
    <row r="192" spans="1:7" x14ac:dyDescent="0.3">
      <c r="A192" s="28" t="s">
        <v>1470</v>
      </c>
      <c r="B192" s="28"/>
      <c r="C192" s="28" t="s">
        <v>1548</v>
      </c>
      <c r="D192" s="28" t="s">
        <v>1630</v>
      </c>
      <c r="E192" s="21" t="s">
        <v>1758</v>
      </c>
      <c r="F192" s="12" t="s">
        <v>925</v>
      </c>
      <c r="G192" s="12" t="s">
        <v>1147</v>
      </c>
    </row>
    <row r="193" spans="1:7" x14ac:dyDescent="0.3">
      <c r="A193" s="28" t="s">
        <v>1464</v>
      </c>
      <c r="B193" s="28"/>
      <c r="C193" s="28" t="s">
        <v>1548</v>
      </c>
      <c r="D193" s="28" t="s">
        <v>1630</v>
      </c>
      <c r="E193" s="21" t="s">
        <v>1758</v>
      </c>
      <c r="F193" s="12" t="s">
        <v>1503</v>
      </c>
      <c r="G193" s="12" t="s">
        <v>1147</v>
      </c>
    </row>
    <row r="194" spans="1:7" x14ac:dyDescent="0.3">
      <c r="A194" s="28" t="s">
        <v>1466</v>
      </c>
      <c r="B194" s="28"/>
      <c r="C194" s="28" t="s">
        <v>1548</v>
      </c>
      <c r="D194" s="28" t="s">
        <v>1630</v>
      </c>
      <c r="E194" s="21" t="s">
        <v>1758</v>
      </c>
      <c r="F194" s="12" t="s">
        <v>1503</v>
      </c>
      <c r="G194" s="12" t="s">
        <v>1147</v>
      </c>
    </row>
    <row r="195" spans="1:7" x14ac:dyDescent="0.3">
      <c r="A195" s="28" t="s">
        <v>1467</v>
      </c>
      <c r="B195" s="28"/>
      <c r="C195" s="28" t="s">
        <v>1548</v>
      </c>
      <c r="D195" s="28" t="s">
        <v>1630</v>
      </c>
      <c r="E195" s="21" t="s">
        <v>1758</v>
      </c>
      <c r="F195" s="12" t="s">
        <v>1503</v>
      </c>
      <c r="G195" s="12" t="s">
        <v>1147</v>
      </c>
    </row>
    <row r="196" spans="1:7" x14ac:dyDescent="0.3">
      <c r="A196" s="28" t="s">
        <v>1468</v>
      </c>
      <c r="B196" s="28"/>
      <c r="C196" s="28" t="s">
        <v>1548</v>
      </c>
      <c r="D196" s="28" t="s">
        <v>1630</v>
      </c>
      <c r="E196" s="21" t="s">
        <v>1758</v>
      </c>
      <c r="F196" s="12" t="s">
        <v>1503</v>
      </c>
      <c r="G196" s="12" t="s">
        <v>1147</v>
      </c>
    </row>
    <row r="197" spans="1:7" x14ac:dyDescent="0.3">
      <c r="A197" s="28" t="s">
        <v>1469</v>
      </c>
      <c r="B197" s="28"/>
      <c r="C197" s="28" t="s">
        <v>1548</v>
      </c>
      <c r="D197" s="28" t="s">
        <v>1630</v>
      </c>
      <c r="E197" s="21" t="s">
        <v>1758</v>
      </c>
      <c r="F197" s="12" t="s">
        <v>1503</v>
      </c>
      <c r="G197" s="12" t="s">
        <v>1147</v>
      </c>
    </row>
    <row r="198" spans="1:7" x14ac:dyDescent="0.3">
      <c r="A198" s="28" t="s">
        <v>1470</v>
      </c>
      <c r="B198" s="28"/>
      <c r="C198" s="28" t="s">
        <v>1548</v>
      </c>
      <c r="D198" s="28" t="s">
        <v>1630</v>
      </c>
      <c r="E198" s="21" t="s">
        <v>1758</v>
      </c>
      <c r="F198" s="12" t="s">
        <v>1503</v>
      </c>
      <c r="G198" s="12" t="s">
        <v>1147</v>
      </c>
    </row>
    <row r="199" spans="1:7" x14ac:dyDescent="0.3">
      <c r="A199" s="28" t="s">
        <v>1934</v>
      </c>
      <c r="B199" s="28"/>
      <c r="C199" s="28" t="s">
        <v>1548</v>
      </c>
      <c r="D199" s="28" t="s">
        <v>1630</v>
      </c>
      <c r="E199" s="21" t="s">
        <v>1758</v>
      </c>
      <c r="F199" s="21" t="s">
        <v>1758</v>
      </c>
      <c r="G199" s="12" t="s">
        <v>1169</v>
      </c>
    </row>
    <row r="200" spans="1:7" x14ac:dyDescent="0.3">
      <c r="A200" s="28" t="s">
        <v>1935</v>
      </c>
      <c r="B200" s="28"/>
      <c r="C200" s="28" t="s">
        <v>1548</v>
      </c>
      <c r="D200" s="28" t="s">
        <v>1630</v>
      </c>
      <c r="E200" s="21" t="s">
        <v>1758</v>
      </c>
      <c r="F200" s="21" t="s">
        <v>1758</v>
      </c>
      <c r="G200" s="12" t="s">
        <v>1169</v>
      </c>
    </row>
    <row r="201" spans="1:7" x14ac:dyDescent="0.3">
      <c r="A201" s="28" t="s">
        <v>1936</v>
      </c>
      <c r="B201" s="28"/>
      <c r="C201" s="28" t="s">
        <v>1548</v>
      </c>
      <c r="D201" s="28" t="s">
        <v>1630</v>
      </c>
      <c r="E201" s="21" t="s">
        <v>1758</v>
      </c>
      <c r="F201" s="21" t="s">
        <v>1758</v>
      </c>
      <c r="G201" s="12" t="s">
        <v>1169</v>
      </c>
    </row>
    <row r="202" spans="1:7" x14ac:dyDescent="0.3">
      <c r="A202" s="28" t="s">
        <v>1937</v>
      </c>
      <c r="B202" s="28"/>
      <c r="C202" s="28" t="s">
        <v>1548</v>
      </c>
      <c r="D202" s="28" t="s">
        <v>1630</v>
      </c>
      <c r="E202" s="21" t="s">
        <v>1758</v>
      </c>
      <c r="F202" s="21" t="s">
        <v>1758</v>
      </c>
      <c r="G202" s="12" t="s">
        <v>1169</v>
      </c>
    </row>
    <row r="203" spans="1:7" x14ac:dyDescent="0.3">
      <c r="A203" s="28" t="s">
        <v>1938</v>
      </c>
      <c r="B203" s="28"/>
      <c r="C203" s="28" t="s">
        <v>1548</v>
      </c>
      <c r="D203" s="28" t="s">
        <v>1630</v>
      </c>
      <c r="E203" s="21" t="s">
        <v>1758</v>
      </c>
      <c r="F203" s="21" t="s">
        <v>1758</v>
      </c>
      <c r="G203" s="12" t="s">
        <v>1169</v>
      </c>
    </row>
    <row r="204" spans="1:7" x14ac:dyDescent="0.3">
      <c r="A204" s="28" t="s">
        <v>1939</v>
      </c>
      <c r="B204" s="28"/>
      <c r="C204" s="28" t="s">
        <v>1548</v>
      </c>
      <c r="D204" s="28" t="s">
        <v>1630</v>
      </c>
      <c r="E204" s="21" t="s">
        <v>1758</v>
      </c>
      <c r="F204" s="21" t="s">
        <v>1758</v>
      </c>
      <c r="G204" s="12" t="s">
        <v>1169</v>
      </c>
    </row>
    <row r="205" spans="1:7" x14ac:dyDescent="0.3">
      <c r="A205" s="28" t="s">
        <v>1934</v>
      </c>
      <c r="B205" s="28"/>
      <c r="C205" s="28" t="s">
        <v>1548</v>
      </c>
      <c r="D205" s="28" t="s">
        <v>1630</v>
      </c>
      <c r="E205" s="21" t="s">
        <v>1758</v>
      </c>
      <c r="F205" s="12" t="s">
        <v>920</v>
      </c>
      <c r="G205" s="12" t="s">
        <v>1147</v>
      </c>
    </row>
    <row r="206" spans="1:7" x14ac:dyDescent="0.3">
      <c r="A206" s="28" t="s">
        <v>1935</v>
      </c>
      <c r="B206" s="28"/>
      <c r="C206" s="28" t="s">
        <v>1548</v>
      </c>
      <c r="D206" s="28" t="s">
        <v>1630</v>
      </c>
      <c r="E206" s="21" t="s">
        <v>1758</v>
      </c>
      <c r="F206" s="12" t="s">
        <v>920</v>
      </c>
      <c r="G206" s="12" t="s">
        <v>1147</v>
      </c>
    </row>
    <row r="207" spans="1:7" x14ac:dyDescent="0.3">
      <c r="A207" s="28" t="s">
        <v>1936</v>
      </c>
      <c r="B207" s="28"/>
      <c r="C207" s="28" t="s">
        <v>1548</v>
      </c>
      <c r="D207" s="28" t="s">
        <v>1630</v>
      </c>
      <c r="E207" s="21" t="s">
        <v>1758</v>
      </c>
      <c r="F207" s="12" t="s">
        <v>920</v>
      </c>
      <c r="G207" s="12" t="s">
        <v>1147</v>
      </c>
    </row>
    <row r="208" spans="1:7" x14ac:dyDescent="0.3">
      <c r="A208" s="28" t="s">
        <v>1937</v>
      </c>
      <c r="B208" s="28"/>
      <c r="C208" s="28" t="s">
        <v>1548</v>
      </c>
      <c r="D208" s="28" t="s">
        <v>1630</v>
      </c>
      <c r="E208" s="21" t="s">
        <v>1758</v>
      </c>
      <c r="F208" s="12" t="s">
        <v>920</v>
      </c>
      <c r="G208" s="12" t="s">
        <v>1147</v>
      </c>
    </row>
    <row r="209" spans="1:7" x14ac:dyDescent="0.3">
      <c r="A209" s="28" t="s">
        <v>1938</v>
      </c>
      <c r="B209" s="28"/>
      <c r="C209" s="28" t="s">
        <v>1548</v>
      </c>
      <c r="D209" s="28" t="s">
        <v>1630</v>
      </c>
      <c r="E209" s="21" t="s">
        <v>1758</v>
      </c>
      <c r="F209" s="12" t="s">
        <v>920</v>
      </c>
      <c r="G209" s="12" t="s">
        <v>1147</v>
      </c>
    </row>
    <row r="210" spans="1:7" x14ac:dyDescent="0.3">
      <c r="A210" s="28" t="s">
        <v>1939</v>
      </c>
      <c r="B210" s="28"/>
      <c r="C210" s="28" t="s">
        <v>1548</v>
      </c>
      <c r="D210" s="28" t="s">
        <v>1630</v>
      </c>
      <c r="E210" s="21" t="s">
        <v>1758</v>
      </c>
      <c r="F210" s="12" t="s">
        <v>920</v>
      </c>
      <c r="G210" s="12" t="s">
        <v>1147</v>
      </c>
    </row>
    <row r="211" spans="1:7" x14ac:dyDescent="0.3">
      <c r="A211" s="28" t="s">
        <v>1934</v>
      </c>
      <c r="B211" s="28"/>
      <c r="C211" s="28" t="s">
        <v>1548</v>
      </c>
      <c r="D211" s="28" t="s">
        <v>1630</v>
      </c>
      <c r="E211" s="21" t="s">
        <v>1758</v>
      </c>
      <c r="F211" s="12" t="s">
        <v>923</v>
      </c>
      <c r="G211" s="12" t="s">
        <v>1147</v>
      </c>
    </row>
    <row r="212" spans="1:7" x14ac:dyDescent="0.3">
      <c r="A212" s="28" t="s">
        <v>1935</v>
      </c>
      <c r="B212" s="28"/>
      <c r="C212" s="28" t="s">
        <v>1548</v>
      </c>
      <c r="D212" s="28" t="s">
        <v>1630</v>
      </c>
      <c r="E212" s="21" t="s">
        <v>1758</v>
      </c>
      <c r="F212" s="12" t="s">
        <v>923</v>
      </c>
      <c r="G212" s="12" t="s">
        <v>1147</v>
      </c>
    </row>
    <row r="213" spans="1:7" x14ac:dyDescent="0.3">
      <c r="A213" s="28" t="s">
        <v>1936</v>
      </c>
      <c r="B213" s="28"/>
      <c r="C213" s="28" t="s">
        <v>1548</v>
      </c>
      <c r="D213" s="28" t="s">
        <v>1630</v>
      </c>
      <c r="E213" s="21" t="s">
        <v>1758</v>
      </c>
      <c r="F213" s="12" t="s">
        <v>923</v>
      </c>
      <c r="G213" s="12" t="s">
        <v>1147</v>
      </c>
    </row>
    <row r="214" spans="1:7" x14ac:dyDescent="0.3">
      <c r="A214" s="28" t="s">
        <v>1937</v>
      </c>
      <c r="B214" s="28"/>
      <c r="C214" s="28" t="s">
        <v>1548</v>
      </c>
      <c r="D214" s="28" t="s">
        <v>1630</v>
      </c>
      <c r="E214" s="21" t="s">
        <v>1758</v>
      </c>
      <c r="F214" s="12" t="s">
        <v>923</v>
      </c>
      <c r="G214" s="12" t="s">
        <v>1147</v>
      </c>
    </row>
    <row r="215" spans="1:7" x14ac:dyDescent="0.3">
      <c r="A215" s="28" t="s">
        <v>1938</v>
      </c>
      <c r="B215" s="28"/>
      <c r="C215" s="28" t="s">
        <v>1548</v>
      </c>
      <c r="D215" s="28" t="s">
        <v>1630</v>
      </c>
      <c r="E215" s="21" t="s">
        <v>1758</v>
      </c>
      <c r="F215" s="12" t="s">
        <v>923</v>
      </c>
      <c r="G215" s="12" t="s">
        <v>1147</v>
      </c>
    </row>
    <row r="216" spans="1:7" x14ac:dyDescent="0.3">
      <c r="A216" s="28" t="s">
        <v>1939</v>
      </c>
      <c r="B216" s="28"/>
      <c r="C216" s="28" t="s">
        <v>1548</v>
      </c>
      <c r="D216" s="28" t="s">
        <v>1630</v>
      </c>
      <c r="E216" s="21" t="s">
        <v>1758</v>
      </c>
      <c r="F216" s="12" t="s">
        <v>923</v>
      </c>
      <c r="G216" s="12" t="s">
        <v>1147</v>
      </c>
    </row>
    <row r="217" spans="1:7" x14ac:dyDescent="0.3">
      <c r="A217" s="28" t="s">
        <v>1934</v>
      </c>
      <c r="B217" s="28"/>
      <c r="C217" s="28" t="s">
        <v>1548</v>
      </c>
      <c r="D217" s="28" t="s">
        <v>1630</v>
      </c>
      <c r="E217" s="21" t="s">
        <v>1758</v>
      </c>
      <c r="F217" s="12" t="s">
        <v>925</v>
      </c>
      <c r="G217" s="12" t="s">
        <v>1147</v>
      </c>
    </row>
    <row r="218" spans="1:7" x14ac:dyDescent="0.3">
      <c r="A218" s="28" t="s">
        <v>1935</v>
      </c>
      <c r="B218" s="28"/>
      <c r="C218" s="28" t="s">
        <v>1548</v>
      </c>
      <c r="D218" s="28" t="s">
        <v>1630</v>
      </c>
      <c r="E218" s="21" t="s">
        <v>1758</v>
      </c>
      <c r="F218" s="12" t="s">
        <v>925</v>
      </c>
      <c r="G218" s="12" t="s">
        <v>1147</v>
      </c>
    </row>
    <row r="219" spans="1:7" x14ac:dyDescent="0.3">
      <c r="A219" s="28" t="s">
        <v>1936</v>
      </c>
      <c r="B219" s="28"/>
      <c r="C219" s="28" t="s">
        <v>1548</v>
      </c>
      <c r="D219" s="28" t="s">
        <v>1630</v>
      </c>
      <c r="E219" s="21" t="s">
        <v>1758</v>
      </c>
      <c r="F219" s="12" t="s">
        <v>925</v>
      </c>
      <c r="G219" s="12" t="s">
        <v>1147</v>
      </c>
    </row>
    <row r="220" spans="1:7" x14ac:dyDescent="0.3">
      <c r="A220" s="28" t="s">
        <v>1937</v>
      </c>
      <c r="B220" s="28"/>
      <c r="C220" s="28" t="s">
        <v>1548</v>
      </c>
      <c r="D220" s="28" t="s">
        <v>1630</v>
      </c>
      <c r="E220" s="21" t="s">
        <v>1758</v>
      </c>
      <c r="F220" s="12" t="s">
        <v>925</v>
      </c>
      <c r="G220" s="12" t="s">
        <v>1147</v>
      </c>
    </row>
    <row r="221" spans="1:7" x14ac:dyDescent="0.3">
      <c r="A221" s="28" t="s">
        <v>1938</v>
      </c>
      <c r="B221" s="28"/>
      <c r="C221" s="28" t="s">
        <v>1548</v>
      </c>
      <c r="D221" s="28" t="s">
        <v>1630</v>
      </c>
      <c r="E221" s="21" t="s">
        <v>1758</v>
      </c>
      <c r="F221" s="12" t="s">
        <v>925</v>
      </c>
      <c r="G221" s="12" t="s">
        <v>1147</v>
      </c>
    </row>
    <row r="222" spans="1:7" x14ac:dyDescent="0.3">
      <c r="A222" s="28" t="s">
        <v>1939</v>
      </c>
      <c r="B222" s="28"/>
      <c r="C222" s="28" t="s">
        <v>1548</v>
      </c>
      <c r="D222" s="28" t="s">
        <v>1630</v>
      </c>
      <c r="E222" s="21" t="s">
        <v>1758</v>
      </c>
      <c r="F222" s="12" t="s">
        <v>925</v>
      </c>
      <c r="G222" s="12" t="s">
        <v>1147</v>
      </c>
    </row>
    <row r="223" spans="1:7" x14ac:dyDescent="0.3">
      <c r="A223" s="28" t="s">
        <v>1934</v>
      </c>
      <c r="B223" s="28"/>
      <c r="C223" s="28" t="s">
        <v>1548</v>
      </c>
      <c r="D223" s="28" t="s">
        <v>1630</v>
      </c>
      <c r="E223" s="21" t="s">
        <v>1758</v>
      </c>
      <c r="F223" s="12" t="s">
        <v>1503</v>
      </c>
      <c r="G223" s="12" t="s">
        <v>1147</v>
      </c>
    </row>
    <row r="224" spans="1:7" x14ac:dyDescent="0.3">
      <c r="A224" s="28" t="s">
        <v>1935</v>
      </c>
      <c r="B224" s="28"/>
      <c r="C224" s="28" t="s">
        <v>1548</v>
      </c>
      <c r="D224" s="28" t="s">
        <v>1630</v>
      </c>
      <c r="E224" s="21" t="s">
        <v>1758</v>
      </c>
      <c r="F224" s="12" t="s">
        <v>1503</v>
      </c>
      <c r="G224" s="12" t="s">
        <v>1147</v>
      </c>
    </row>
    <row r="225" spans="1:7" x14ac:dyDescent="0.3">
      <c r="A225" s="28" t="s">
        <v>1936</v>
      </c>
      <c r="B225" s="28"/>
      <c r="C225" s="28" t="s">
        <v>1548</v>
      </c>
      <c r="D225" s="28" t="s">
        <v>1630</v>
      </c>
      <c r="E225" s="21" t="s">
        <v>1758</v>
      </c>
      <c r="F225" s="12" t="s">
        <v>1503</v>
      </c>
      <c r="G225" s="12" t="s">
        <v>1147</v>
      </c>
    </row>
    <row r="226" spans="1:7" x14ac:dyDescent="0.3">
      <c r="A226" s="28" t="s">
        <v>1937</v>
      </c>
      <c r="B226" s="28"/>
      <c r="C226" s="28" t="s">
        <v>1548</v>
      </c>
      <c r="D226" s="28" t="s">
        <v>1630</v>
      </c>
      <c r="E226" s="21" t="s">
        <v>1758</v>
      </c>
      <c r="F226" s="12" t="s">
        <v>1503</v>
      </c>
      <c r="G226" s="12" t="s">
        <v>1147</v>
      </c>
    </row>
    <row r="227" spans="1:7" x14ac:dyDescent="0.3">
      <c r="A227" s="28" t="s">
        <v>1938</v>
      </c>
      <c r="B227" s="28"/>
      <c r="C227" s="28" t="s">
        <v>1548</v>
      </c>
      <c r="D227" s="28" t="s">
        <v>1630</v>
      </c>
      <c r="E227" s="21" t="s">
        <v>1758</v>
      </c>
      <c r="F227" s="12" t="s">
        <v>1503</v>
      </c>
      <c r="G227" s="12" t="s">
        <v>1147</v>
      </c>
    </row>
    <row r="228" spans="1:7" x14ac:dyDescent="0.3">
      <c r="A228" s="28" t="s">
        <v>1939</v>
      </c>
      <c r="B228" s="28"/>
      <c r="C228" s="28" t="s">
        <v>1548</v>
      </c>
      <c r="D228" s="28" t="s">
        <v>1630</v>
      </c>
      <c r="E228" s="21" t="s">
        <v>1758</v>
      </c>
      <c r="F228" s="12" t="s">
        <v>1503</v>
      </c>
      <c r="G228" s="12" t="s">
        <v>1147</v>
      </c>
    </row>
    <row r="229" spans="1:7" x14ac:dyDescent="0.3">
      <c r="A229" s="28" t="s">
        <v>1464</v>
      </c>
      <c r="B229" s="28"/>
      <c r="C229" s="28" t="s">
        <v>1548</v>
      </c>
      <c r="D229" s="28" t="s">
        <v>1481</v>
      </c>
      <c r="E229" s="12" t="s">
        <v>1759</v>
      </c>
      <c r="F229" s="12" t="s">
        <v>1759</v>
      </c>
      <c r="G229" s="12" t="s">
        <v>1169</v>
      </c>
    </row>
    <row r="230" spans="1:7" x14ac:dyDescent="0.3">
      <c r="A230" s="28" t="s">
        <v>1466</v>
      </c>
      <c r="B230" s="28"/>
      <c r="C230" s="28" t="s">
        <v>1548</v>
      </c>
      <c r="D230" s="28" t="s">
        <v>1481</v>
      </c>
      <c r="E230" s="12" t="s">
        <v>1759</v>
      </c>
      <c r="F230" s="12" t="s">
        <v>1759</v>
      </c>
      <c r="G230" s="12" t="s">
        <v>1169</v>
      </c>
    </row>
    <row r="231" spans="1:7" x14ac:dyDescent="0.3">
      <c r="A231" s="28" t="s">
        <v>1467</v>
      </c>
      <c r="B231" s="28"/>
      <c r="C231" s="28" t="s">
        <v>1548</v>
      </c>
      <c r="D231" s="28" t="s">
        <v>1481</v>
      </c>
      <c r="E231" s="12" t="s">
        <v>1759</v>
      </c>
      <c r="F231" s="12" t="s">
        <v>1759</v>
      </c>
      <c r="G231" s="12" t="s">
        <v>1169</v>
      </c>
    </row>
    <row r="232" spans="1:7" x14ac:dyDescent="0.3">
      <c r="A232" s="28" t="s">
        <v>1468</v>
      </c>
      <c r="B232" s="28"/>
      <c r="C232" s="28" t="s">
        <v>1548</v>
      </c>
      <c r="D232" s="28" t="s">
        <v>1481</v>
      </c>
      <c r="E232" s="12" t="s">
        <v>1759</v>
      </c>
      <c r="F232" s="12" t="s">
        <v>1759</v>
      </c>
      <c r="G232" s="12" t="s">
        <v>1169</v>
      </c>
    </row>
    <row r="233" spans="1:7" x14ac:dyDescent="0.3">
      <c r="A233" s="28" t="s">
        <v>1469</v>
      </c>
      <c r="B233" s="28"/>
      <c r="C233" s="28" t="s">
        <v>1548</v>
      </c>
      <c r="D233" s="28" t="s">
        <v>1481</v>
      </c>
      <c r="E233" s="12" t="s">
        <v>1759</v>
      </c>
      <c r="F233" s="12" t="s">
        <v>1759</v>
      </c>
      <c r="G233" s="12" t="s">
        <v>1169</v>
      </c>
    </row>
    <row r="234" spans="1:7" x14ac:dyDescent="0.3">
      <c r="A234" s="28" t="s">
        <v>1470</v>
      </c>
      <c r="B234" s="28"/>
      <c r="C234" s="28" t="s">
        <v>1548</v>
      </c>
      <c r="D234" s="28" t="s">
        <v>1481</v>
      </c>
      <c r="E234" s="12" t="s">
        <v>1759</v>
      </c>
      <c r="F234" s="12" t="s">
        <v>1759</v>
      </c>
      <c r="G234" s="12" t="s">
        <v>1169</v>
      </c>
    </row>
    <row r="235" spans="1:7" x14ac:dyDescent="0.3">
      <c r="A235" s="28" t="s">
        <v>1464</v>
      </c>
      <c r="B235" s="28"/>
      <c r="C235" s="28" t="s">
        <v>1548</v>
      </c>
      <c r="D235" s="28" t="s">
        <v>1481</v>
      </c>
      <c r="E235" s="12" t="s">
        <v>1759</v>
      </c>
      <c r="F235" s="12" t="s">
        <v>927</v>
      </c>
      <c r="G235" s="12" t="s">
        <v>1147</v>
      </c>
    </row>
    <row r="236" spans="1:7" x14ac:dyDescent="0.3">
      <c r="A236" s="28" t="s">
        <v>1466</v>
      </c>
      <c r="B236" s="28"/>
      <c r="C236" s="28" t="s">
        <v>1548</v>
      </c>
      <c r="D236" s="28" t="s">
        <v>1481</v>
      </c>
      <c r="E236" s="12" t="s">
        <v>1759</v>
      </c>
      <c r="F236" s="12" t="s">
        <v>927</v>
      </c>
      <c r="G236" s="12" t="s">
        <v>1147</v>
      </c>
    </row>
    <row r="237" spans="1:7" x14ac:dyDescent="0.3">
      <c r="A237" s="28" t="s">
        <v>1467</v>
      </c>
      <c r="B237" s="28"/>
      <c r="C237" s="28" t="s">
        <v>1548</v>
      </c>
      <c r="D237" s="28" t="s">
        <v>1481</v>
      </c>
      <c r="E237" s="12" t="s">
        <v>1759</v>
      </c>
      <c r="F237" s="12" t="s">
        <v>927</v>
      </c>
      <c r="G237" s="12" t="s">
        <v>1147</v>
      </c>
    </row>
    <row r="238" spans="1:7" x14ac:dyDescent="0.3">
      <c r="A238" s="28" t="s">
        <v>1468</v>
      </c>
      <c r="B238" s="28"/>
      <c r="C238" s="28" t="s">
        <v>1548</v>
      </c>
      <c r="D238" s="28" t="s">
        <v>1481</v>
      </c>
      <c r="E238" s="12" t="s">
        <v>1759</v>
      </c>
      <c r="F238" s="12" t="s">
        <v>927</v>
      </c>
      <c r="G238" s="12" t="s">
        <v>1147</v>
      </c>
    </row>
    <row r="239" spans="1:7" x14ac:dyDescent="0.3">
      <c r="A239" s="28" t="s">
        <v>1469</v>
      </c>
      <c r="B239" s="28"/>
      <c r="C239" s="28" t="s">
        <v>1548</v>
      </c>
      <c r="D239" s="28" t="s">
        <v>1481</v>
      </c>
      <c r="E239" s="12" t="s">
        <v>1759</v>
      </c>
      <c r="F239" s="12" t="s">
        <v>927</v>
      </c>
      <c r="G239" s="12" t="s">
        <v>1147</v>
      </c>
    </row>
    <row r="240" spans="1:7" x14ac:dyDescent="0.3">
      <c r="A240" s="28" t="s">
        <v>1470</v>
      </c>
      <c r="B240" s="28"/>
      <c r="C240" s="28" t="s">
        <v>1548</v>
      </c>
      <c r="D240" s="28" t="s">
        <v>1481</v>
      </c>
      <c r="E240" s="12" t="s">
        <v>1759</v>
      </c>
      <c r="F240" s="12" t="s">
        <v>927</v>
      </c>
      <c r="G240" s="12" t="s">
        <v>1147</v>
      </c>
    </row>
    <row r="241" spans="1:7" x14ac:dyDescent="0.3">
      <c r="A241" s="28" t="s">
        <v>1464</v>
      </c>
      <c r="B241" s="28"/>
      <c r="C241" s="28" t="s">
        <v>1548</v>
      </c>
      <c r="D241" s="28" t="s">
        <v>1481</v>
      </c>
      <c r="E241" s="12" t="s">
        <v>1759</v>
      </c>
      <c r="F241" s="12" t="s">
        <v>1504</v>
      </c>
      <c r="G241" s="12" t="s">
        <v>1147</v>
      </c>
    </row>
    <row r="242" spans="1:7" x14ac:dyDescent="0.3">
      <c r="A242" s="28" t="s">
        <v>1466</v>
      </c>
      <c r="B242" s="28"/>
      <c r="C242" s="28" t="s">
        <v>1548</v>
      </c>
      <c r="D242" s="28" t="s">
        <v>1481</v>
      </c>
      <c r="E242" s="12" t="s">
        <v>1759</v>
      </c>
      <c r="F242" s="12" t="s">
        <v>1504</v>
      </c>
      <c r="G242" s="12" t="s">
        <v>1147</v>
      </c>
    </row>
    <row r="243" spans="1:7" x14ac:dyDescent="0.3">
      <c r="A243" s="28" t="s">
        <v>1467</v>
      </c>
      <c r="B243" s="28"/>
      <c r="C243" s="28" t="s">
        <v>1548</v>
      </c>
      <c r="D243" s="28" t="s">
        <v>1481</v>
      </c>
      <c r="E243" s="12" t="s">
        <v>1759</v>
      </c>
      <c r="F243" s="12" t="s">
        <v>1504</v>
      </c>
      <c r="G243" s="12" t="s">
        <v>1147</v>
      </c>
    </row>
    <row r="244" spans="1:7" x14ac:dyDescent="0.3">
      <c r="A244" s="28" t="s">
        <v>1468</v>
      </c>
      <c r="B244" s="28"/>
      <c r="C244" s="28" t="s">
        <v>1548</v>
      </c>
      <c r="D244" s="28" t="s">
        <v>1481</v>
      </c>
      <c r="E244" s="12" t="s">
        <v>1759</v>
      </c>
      <c r="F244" s="12" t="s">
        <v>1504</v>
      </c>
      <c r="G244" s="12" t="s">
        <v>1147</v>
      </c>
    </row>
    <row r="245" spans="1:7" x14ac:dyDescent="0.3">
      <c r="A245" s="28" t="s">
        <v>1469</v>
      </c>
      <c r="B245" s="28"/>
      <c r="C245" s="28" t="s">
        <v>1548</v>
      </c>
      <c r="D245" s="28" t="s">
        <v>1481</v>
      </c>
      <c r="E245" s="12" t="s">
        <v>1759</v>
      </c>
      <c r="F245" s="12" t="s">
        <v>1504</v>
      </c>
      <c r="G245" s="12" t="s">
        <v>1147</v>
      </c>
    </row>
    <row r="246" spans="1:7" x14ac:dyDescent="0.3">
      <c r="A246" s="28" t="s">
        <v>1470</v>
      </c>
      <c r="B246" s="28"/>
      <c r="C246" s="28" t="s">
        <v>1548</v>
      </c>
      <c r="D246" s="28" t="s">
        <v>1481</v>
      </c>
      <c r="E246" s="12" t="s">
        <v>1759</v>
      </c>
      <c r="F246" s="12" t="s">
        <v>1504</v>
      </c>
      <c r="G246" s="12" t="s">
        <v>1147</v>
      </c>
    </row>
    <row r="247" spans="1:7" x14ac:dyDescent="0.3">
      <c r="A247" s="28" t="s">
        <v>1934</v>
      </c>
      <c r="B247" s="28"/>
      <c r="C247" s="28" t="s">
        <v>1548</v>
      </c>
      <c r="D247" s="28" t="s">
        <v>1481</v>
      </c>
      <c r="E247" s="12" t="s">
        <v>1759</v>
      </c>
      <c r="F247" s="12" t="s">
        <v>1759</v>
      </c>
      <c r="G247" s="12" t="s">
        <v>1169</v>
      </c>
    </row>
    <row r="248" spans="1:7" x14ac:dyDescent="0.3">
      <c r="A248" s="28" t="s">
        <v>1935</v>
      </c>
      <c r="B248" s="28"/>
      <c r="C248" s="28" t="s">
        <v>1548</v>
      </c>
      <c r="D248" s="28" t="s">
        <v>1481</v>
      </c>
      <c r="E248" s="12" t="s">
        <v>1759</v>
      </c>
      <c r="F248" s="12" t="s">
        <v>1759</v>
      </c>
      <c r="G248" s="12" t="s">
        <v>1169</v>
      </c>
    </row>
    <row r="249" spans="1:7" x14ac:dyDescent="0.3">
      <c r="A249" s="28" t="s">
        <v>1936</v>
      </c>
      <c r="B249" s="28"/>
      <c r="C249" s="28" t="s">
        <v>1548</v>
      </c>
      <c r="D249" s="28" t="s">
        <v>1481</v>
      </c>
      <c r="E249" s="12" t="s">
        <v>1759</v>
      </c>
      <c r="F249" s="12" t="s">
        <v>1759</v>
      </c>
      <c r="G249" s="12" t="s">
        <v>1169</v>
      </c>
    </row>
    <row r="250" spans="1:7" x14ac:dyDescent="0.3">
      <c r="A250" s="28" t="s">
        <v>1937</v>
      </c>
      <c r="B250" s="28"/>
      <c r="C250" s="28" t="s">
        <v>1548</v>
      </c>
      <c r="D250" s="28" t="s">
        <v>1481</v>
      </c>
      <c r="E250" s="12" t="s">
        <v>1759</v>
      </c>
      <c r="F250" s="12" t="s">
        <v>1759</v>
      </c>
      <c r="G250" s="12" t="s">
        <v>1169</v>
      </c>
    </row>
    <row r="251" spans="1:7" x14ac:dyDescent="0.3">
      <c r="A251" s="28" t="s">
        <v>1938</v>
      </c>
      <c r="B251" s="28"/>
      <c r="C251" s="28" t="s">
        <v>1548</v>
      </c>
      <c r="D251" s="28" t="s">
        <v>1481</v>
      </c>
      <c r="E251" s="12" t="s">
        <v>1759</v>
      </c>
      <c r="F251" s="12" t="s">
        <v>1759</v>
      </c>
      <c r="G251" s="12" t="s">
        <v>1169</v>
      </c>
    </row>
    <row r="252" spans="1:7" x14ac:dyDescent="0.3">
      <c r="A252" s="28" t="s">
        <v>1939</v>
      </c>
      <c r="B252" s="28"/>
      <c r="C252" s="28" t="s">
        <v>1548</v>
      </c>
      <c r="D252" s="28" t="s">
        <v>1481</v>
      </c>
      <c r="E252" s="12" t="s">
        <v>1759</v>
      </c>
      <c r="F252" s="12" t="s">
        <v>1759</v>
      </c>
      <c r="G252" s="12" t="s">
        <v>1169</v>
      </c>
    </row>
    <row r="253" spans="1:7" x14ac:dyDescent="0.3">
      <c r="A253" s="28" t="s">
        <v>1934</v>
      </c>
      <c r="B253" s="28"/>
      <c r="C253" s="28" t="s">
        <v>1548</v>
      </c>
      <c r="D253" s="28" t="s">
        <v>1481</v>
      </c>
      <c r="E253" s="12" t="s">
        <v>1759</v>
      </c>
      <c r="F253" s="12" t="s">
        <v>927</v>
      </c>
      <c r="G253" s="12" t="s">
        <v>1147</v>
      </c>
    </row>
    <row r="254" spans="1:7" x14ac:dyDescent="0.3">
      <c r="A254" s="28" t="s">
        <v>1935</v>
      </c>
      <c r="B254" s="28"/>
      <c r="C254" s="28" t="s">
        <v>1548</v>
      </c>
      <c r="D254" s="28" t="s">
        <v>1481</v>
      </c>
      <c r="E254" s="12" t="s">
        <v>1759</v>
      </c>
      <c r="F254" s="12" t="s">
        <v>927</v>
      </c>
      <c r="G254" s="12" t="s">
        <v>1147</v>
      </c>
    </row>
    <row r="255" spans="1:7" x14ac:dyDescent="0.3">
      <c r="A255" s="28" t="s">
        <v>1936</v>
      </c>
      <c r="B255" s="28"/>
      <c r="C255" s="28" t="s">
        <v>1548</v>
      </c>
      <c r="D255" s="28" t="s">
        <v>1481</v>
      </c>
      <c r="E255" s="12" t="s">
        <v>1759</v>
      </c>
      <c r="F255" s="12" t="s">
        <v>927</v>
      </c>
      <c r="G255" s="12" t="s">
        <v>1147</v>
      </c>
    </row>
    <row r="256" spans="1:7" x14ac:dyDescent="0.3">
      <c r="A256" s="28" t="s">
        <v>1937</v>
      </c>
      <c r="B256" s="28"/>
      <c r="C256" s="28" t="s">
        <v>1548</v>
      </c>
      <c r="D256" s="28" t="s">
        <v>1481</v>
      </c>
      <c r="E256" s="12" t="s">
        <v>1759</v>
      </c>
      <c r="F256" s="12" t="s">
        <v>927</v>
      </c>
      <c r="G256" s="12" t="s">
        <v>1147</v>
      </c>
    </row>
    <row r="257" spans="1:7" x14ac:dyDescent="0.3">
      <c r="A257" s="28" t="s">
        <v>1938</v>
      </c>
      <c r="B257" s="28"/>
      <c r="C257" s="28" t="s">
        <v>1548</v>
      </c>
      <c r="D257" s="28" t="s">
        <v>1481</v>
      </c>
      <c r="E257" s="12" t="s">
        <v>1759</v>
      </c>
      <c r="F257" s="12" t="s">
        <v>927</v>
      </c>
      <c r="G257" s="12" t="s">
        <v>1147</v>
      </c>
    </row>
    <row r="258" spans="1:7" x14ac:dyDescent="0.3">
      <c r="A258" s="28" t="s">
        <v>1939</v>
      </c>
      <c r="B258" s="28"/>
      <c r="C258" s="28" t="s">
        <v>1548</v>
      </c>
      <c r="D258" s="28" t="s">
        <v>1481</v>
      </c>
      <c r="E258" s="12" t="s">
        <v>1759</v>
      </c>
      <c r="F258" s="12" t="s">
        <v>927</v>
      </c>
      <c r="G258" s="12" t="s">
        <v>1147</v>
      </c>
    </row>
    <row r="259" spans="1:7" x14ac:dyDescent="0.3">
      <c r="A259" s="28" t="s">
        <v>1934</v>
      </c>
      <c r="B259" s="28"/>
      <c r="C259" s="28" t="s">
        <v>1548</v>
      </c>
      <c r="D259" s="28" t="s">
        <v>1481</v>
      </c>
      <c r="E259" s="12" t="s">
        <v>1759</v>
      </c>
      <c r="F259" s="12" t="s">
        <v>1504</v>
      </c>
      <c r="G259" s="12" t="s">
        <v>1147</v>
      </c>
    </row>
    <row r="260" spans="1:7" x14ac:dyDescent="0.3">
      <c r="A260" s="28" t="s">
        <v>1935</v>
      </c>
      <c r="B260" s="28"/>
      <c r="C260" s="28" t="s">
        <v>1548</v>
      </c>
      <c r="D260" s="28" t="s">
        <v>1481</v>
      </c>
      <c r="E260" s="12" t="s">
        <v>1759</v>
      </c>
      <c r="F260" s="12" t="s">
        <v>1504</v>
      </c>
      <c r="G260" s="12" t="s">
        <v>1147</v>
      </c>
    </row>
    <row r="261" spans="1:7" x14ac:dyDescent="0.3">
      <c r="A261" s="28" t="s">
        <v>1936</v>
      </c>
      <c r="B261" s="28"/>
      <c r="C261" s="28" t="s">
        <v>1548</v>
      </c>
      <c r="D261" s="28" t="s">
        <v>1481</v>
      </c>
      <c r="E261" s="12" t="s">
        <v>1759</v>
      </c>
      <c r="F261" s="12" t="s">
        <v>1504</v>
      </c>
      <c r="G261" s="12" t="s">
        <v>1147</v>
      </c>
    </row>
    <row r="262" spans="1:7" x14ac:dyDescent="0.3">
      <c r="A262" s="28" t="s">
        <v>1937</v>
      </c>
      <c r="B262" s="28"/>
      <c r="C262" s="28" t="s">
        <v>1548</v>
      </c>
      <c r="D262" s="28" t="s">
        <v>1481</v>
      </c>
      <c r="E262" s="12" t="s">
        <v>1759</v>
      </c>
      <c r="F262" s="12" t="s">
        <v>1504</v>
      </c>
      <c r="G262" s="12" t="s">
        <v>1147</v>
      </c>
    </row>
    <row r="263" spans="1:7" x14ac:dyDescent="0.3">
      <c r="A263" s="28" t="s">
        <v>1938</v>
      </c>
      <c r="B263" s="28"/>
      <c r="C263" s="28" t="s">
        <v>1548</v>
      </c>
      <c r="D263" s="28" t="s">
        <v>1481</v>
      </c>
      <c r="E263" s="12" t="s">
        <v>1759</v>
      </c>
      <c r="F263" s="12" t="s">
        <v>1504</v>
      </c>
      <c r="G263" s="12" t="s">
        <v>1147</v>
      </c>
    </row>
    <row r="264" spans="1:7" x14ac:dyDescent="0.3">
      <c r="A264" s="28" t="s">
        <v>1939</v>
      </c>
      <c r="B264" s="28"/>
      <c r="C264" s="28" t="s">
        <v>1548</v>
      </c>
      <c r="D264" s="28" t="s">
        <v>1481</v>
      </c>
      <c r="E264" s="12" t="s">
        <v>1759</v>
      </c>
      <c r="F264" s="12" t="s">
        <v>1504</v>
      </c>
      <c r="G264" s="12" t="s">
        <v>1147</v>
      </c>
    </row>
    <row r="265" spans="1:7" x14ac:dyDescent="0.3">
      <c r="A265" s="28" t="s">
        <v>1464</v>
      </c>
      <c r="B265" s="28"/>
      <c r="C265" s="28" t="s">
        <v>1548</v>
      </c>
      <c r="D265" s="28" t="s">
        <v>1594</v>
      </c>
      <c r="E265" s="12" t="s">
        <v>1760</v>
      </c>
      <c r="F265" s="21" t="s">
        <v>1760</v>
      </c>
      <c r="G265" s="12" t="s">
        <v>1169</v>
      </c>
    </row>
    <row r="266" spans="1:7" x14ac:dyDescent="0.3">
      <c r="A266" s="28" t="s">
        <v>1466</v>
      </c>
      <c r="B266" s="28"/>
      <c r="C266" s="28" t="s">
        <v>1548</v>
      </c>
      <c r="D266" s="28" t="s">
        <v>1594</v>
      </c>
      <c r="E266" s="12" t="s">
        <v>1760</v>
      </c>
      <c r="F266" s="21" t="s">
        <v>1760</v>
      </c>
      <c r="G266" s="12" t="s">
        <v>1169</v>
      </c>
    </row>
    <row r="267" spans="1:7" x14ac:dyDescent="0.3">
      <c r="A267" s="28" t="s">
        <v>1467</v>
      </c>
      <c r="B267" s="28"/>
      <c r="C267" s="28" t="s">
        <v>1548</v>
      </c>
      <c r="D267" s="28" t="s">
        <v>1594</v>
      </c>
      <c r="E267" s="12" t="s">
        <v>1760</v>
      </c>
      <c r="F267" s="21" t="s">
        <v>1760</v>
      </c>
      <c r="G267" s="12" t="s">
        <v>1169</v>
      </c>
    </row>
    <row r="268" spans="1:7" x14ac:dyDescent="0.3">
      <c r="A268" s="28" t="s">
        <v>1468</v>
      </c>
      <c r="B268" s="28"/>
      <c r="C268" s="28" t="s">
        <v>1548</v>
      </c>
      <c r="D268" s="28" t="s">
        <v>1594</v>
      </c>
      <c r="E268" s="12" t="s">
        <v>1760</v>
      </c>
      <c r="F268" s="21" t="s">
        <v>1760</v>
      </c>
      <c r="G268" s="12" t="s">
        <v>1169</v>
      </c>
    </row>
    <row r="269" spans="1:7" x14ac:dyDescent="0.3">
      <c r="A269" s="28" t="s">
        <v>1469</v>
      </c>
      <c r="B269" s="28"/>
      <c r="C269" s="28" t="s">
        <v>1548</v>
      </c>
      <c r="D269" s="28" t="s">
        <v>1594</v>
      </c>
      <c r="E269" s="12" t="s">
        <v>1760</v>
      </c>
      <c r="F269" s="21" t="s">
        <v>1760</v>
      </c>
      <c r="G269" s="12" t="s">
        <v>1169</v>
      </c>
    </row>
    <row r="270" spans="1:7" x14ac:dyDescent="0.3">
      <c r="A270" s="28" t="s">
        <v>1470</v>
      </c>
      <c r="B270" s="28"/>
      <c r="C270" s="28" t="s">
        <v>1548</v>
      </c>
      <c r="D270" s="28" t="s">
        <v>1594</v>
      </c>
      <c r="E270" s="12" t="s">
        <v>1760</v>
      </c>
      <c r="F270" s="21" t="s">
        <v>1760</v>
      </c>
      <c r="G270" s="12" t="s">
        <v>1169</v>
      </c>
    </row>
    <row r="271" spans="1:7" x14ac:dyDescent="0.3">
      <c r="A271" s="28" t="s">
        <v>1464</v>
      </c>
      <c r="B271" s="28"/>
      <c r="C271" s="28" t="s">
        <v>1548</v>
      </c>
      <c r="D271" s="28" t="s">
        <v>1594</v>
      </c>
      <c r="E271" s="12" t="s">
        <v>1760</v>
      </c>
      <c r="F271" s="12" t="s">
        <v>929</v>
      </c>
      <c r="G271" s="12" t="s">
        <v>1147</v>
      </c>
    </row>
    <row r="272" spans="1:7" x14ac:dyDescent="0.3">
      <c r="A272" s="28" t="s">
        <v>1466</v>
      </c>
      <c r="B272" s="28"/>
      <c r="C272" s="28" t="s">
        <v>1548</v>
      </c>
      <c r="D272" s="28" t="s">
        <v>1594</v>
      </c>
      <c r="E272" s="12" t="s">
        <v>1760</v>
      </c>
      <c r="F272" s="12" t="s">
        <v>929</v>
      </c>
      <c r="G272" s="12" t="s">
        <v>1147</v>
      </c>
    </row>
    <row r="273" spans="1:7" x14ac:dyDescent="0.3">
      <c r="A273" s="28" t="s">
        <v>1467</v>
      </c>
      <c r="B273" s="28"/>
      <c r="C273" s="28" t="s">
        <v>1548</v>
      </c>
      <c r="D273" s="28" t="s">
        <v>1594</v>
      </c>
      <c r="E273" s="12" t="s">
        <v>1760</v>
      </c>
      <c r="F273" s="12" t="s">
        <v>929</v>
      </c>
      <c r="G273" s="12" t="s">
        <v>1147</v>
      </c>
    </row>
    <row r="274" spans="1:7" x14ac:dyDescent="0.3">
      <c r="A274" s="28" t="s">
        <v>1468</v>
      </c>
      <c r="B274" s="28"/>
      <c r="C274" s="28" t="s">
        <v>1548</v>
      </c>
      <c r="D274" s="28" t="s">
        <v>1594</v>
      </c>
      <c r="E274" s="12" t="s">
        <v>1760</v>
      </c>
      <c r="F274" s="12" t="s">
        <v>929</v>
      </c>
      <c r="G274" s="12" t="s">
        <v>1147</v>
      </c>
    </row>
    <row r="275" spans="1:7" x14ac:dyDescent="0.3">
      <c r="A275" s="28" t="s">
        <v>1469</v>
      </c>
      <c r="B275" s="28"/>
      <c r="C275" s="28" t="s">
        <v>1548</v>
      </c>
      <c r="D275" s="28" t="s">
        <v>1594</v>
      </c>
      <c r="E275" s="12" t="s">
        <v>1760</v>
      </c>
      <c r="F275" s="12" t="s">
        <v>929</v>
      </c>
      <c r="G275" s="12" t="s">
        <v>1147</v>
      </c>
    </row>
    <row r="276" spans="1:7" x14ac:dyDescent="0.3">
      <c r="A276" s="28" t="s">
        <v>1470</v>
      </c>
      <c r="B276" s="28"/>
      <c r="C276" s="28" t="s">
        <v>1548</v>
      </c>
      <c r="D276" s="28" t="s">
        <v>1594</v>
      </c>
      <c r="E276" s="12" t="s">
        <v>1760</v>
      </c>
      <c r="F276" s="12" t="s">
        <v>929</v>
      </c>
      <c r="G276" s="12" t="s">
        <v>1147</v>
      </c>
    </row>
    <row r="277" spans="1:7" x14ac:dyDescent="0.3">
      <c r="A277" s="28" t="s">
        <v>1464</v>
      </c>
      <c r="B277" s="28"/>
      <c r="C277" s="28" t="s">
        <v>1548</v>
      </c>
      <c r="D277" s="28" t="s">
        <v>1594</v>
      </c>
      <c r="E277" s="12" t="s">
        <v>1760</v>
      </c>
      <c r="F277" s="12" t="s">
        <v>1505</v>
      </c>
      <c r="G277" s="12" t="s">
        <v>1147</v>
      </c>
    </row>
    <row r="278" spans="1:7" x14ac:dyDescent="0.3">
      <c r="A278" s="28" t="s">
        <v>1466</v>
      </c>
      <c r="B278" s="28"/>
      <c r="C278" s="28" t="s">
        <v>1548</v>
      </c>
      <c r="D278" s="28" t="s">
        <v>1594</v>
      </c>
      <c r="E278" s="12" t="s">
        <v>1760</v>
      </c>
      <c r="F278" s="12" t="s">
        <v>1505</v>
      </c>
      <c r="G278" s="12" t="s">
        <v>1147</v>
      </c>
    </row>
    <row r="279" spans="1:7" x14ac:dyDescent="0.3">
      <c r="A279" s="28" t="s">
        <v>1467</v>
      </c>
      <c r="B279" s="28"/>
      <c r="C279" s="28" t="s">
        <v>1548</v>
      </c>
      <c r="D279" s="28" t="s">
        <v>1594</v>
      </c>
      <c r="E279" s="12" t="s">
        <v>1760</v>
      </c>
      <c r="F279" s="12" t="s">
        <v>1505</v>
      </c>
      <c r="G279" s="12" t="s">
        <v>1147</v>
      </c>
    </row>
    <row r="280" spans="1:7" x14ac:dyDescent="0.3">
      <c r="A280" s="28" t="s">
        <v>1468</v>
      </c>
      <c r="B280" s="28"/>
      <c r="C280" s="28" t="s">
        <v>1548</v>
      </c>
      <c r="D280" s="28" t="s">
        <v>1594</v>
      </c>
      <c r="E280" s="12" t="s">
        <v>1760</v>
      </c>
      <c r="F280" s="12" t="s">
        <v>1505</v>
      </c>
      <c r="G280" s="12" t="s">
        <v>1147</v>
      </c>
    </row>
    <row r="281" spans="1:7" x14ac:dyDescent="0.3">
      <c r="A281" s="28" t="s">
        <v>1469</v>
      </c>
      <c r="B281" s="28"/>
      <c r="C281" s="28" t="s">
        <v>1548</v>
      </c>
      <c r="D281" s="28" t="s">
        <v>1594</v>
      </c>
      <c r="E281" s="12" t="s">
        <v>1760</v>
      </c>
      <c r="F281" s="12" t="s">
        <v>1505</v>
      </c>
      <c r="G281" s="12" t="s">
        <v>1147</v>
      </c>
    </row>
    <row r="282" spans="1:7" x14ac:dyDescent="0.3">
      <c r="A282" s="28" t="s">
        <v>1470</v>
      </c>
      <c r="B282" s="28"/>
      <c r="C282" s="28" t="s">
        <v>1548</v>
      </c>
      <c r="D282" s="28" t="s">
        <v>1594</v>
      </c>
      <c r="E282" s="12" t="s">
        <v>1760</v>
      </c>
      <c r="F282" s="12" t="s">
        <v>1505</v>
      </c>
      <c r="G282" s="12" t="s">
        <v>1147</v>
      </c>
    </row>
    <row r="283" spans="1:7" x14ac:dyDescent="0.3">
      <c r="A283" s="28" t="s">
        <v>1934</v>
      </c>
      <c r="B283" s="28"/>
      <c r="C283" s="28" t="s">
        <v>1548</v>
      </c>
      <c r="D283" s="28" t="s">
        <v>1594</v>
      </c>
      <c r="E283" s="12" t="s">
        <v>1760</v>
      </c>
      <c r="F283" s="21" t="s">
        <v>1760</v>
      </c>
      <c r="G283" s="12" t="s">
        <v>1169</v>
      </c>
    </row>
    <row r="284" spans="1:7" x14ac:dyDescent="0.3">
      <c r="A284" s="28" t="s">
        <v>1935</v>
      </c>
      <c r="B284" s="28"/>
      <c r="C284" s="28" t="s">
        <v>1548</v>
      </c>
      <c r="D284" s="28" t="s">
        <v>1594</v>
      </c>
      <c r="E284" s="12" t="s">
        <v>1760</v>
      </c>
      <c r="F284" s="21" t="s">
        <v>1760</v>
      </c>
      <c r="G284" s="12" t="s">
        <v>1169</v>
      </c>
    </row>
    <row r="285" spans="1:7" x14ac:dyDescent="0.3">
      <c r="A285" s="28" t="s">
        <v>1936</v>
      </c>
      <c r="B285" s="28"/>
      <c r="C285" s="28" t="s">
        <v>1548</v>
      </c>
      <c r="D285" s="28" t="s">
        <v>1594</v>
      </c>
      <c r="E285" s="12" t="s">
        <v>1760</v>
      </c>
      <c r="F285" s="21" t="s">
        <v>1760</v>
      </c>
      <c r="G285" s="12" t="s">
        <v>1169</v>
      </c>
    </row>
    <row r="286" spans="1:7" x14ac:dyDescent="0.3">
      <c r="A286" s="28" t="s">
        <v>1937</v>
      </c>
      <c r="B286" s="28"/>
      <c r="C286" s="28" t="s">
        <v>1548</v>
      </c>
      <c r="D286" s="28" t="s">
        <v>1594</v>
      </c>
      <c r="E286" s="12" t="s">
        <v>1760</v>
      </c>
      <c r="F286" s="21" t="s">
        <v>1760</v>
      </c>
      <c r="G286" s="12" t="s">
        <v>1169</v>
      </c>
    </row>
    <row r="287" spans="1:7" x14ac:dyDescent="0.3">
      <c r="A287" s="28" t="s">
        <v>1938</v>
      </c>
      <c r="B287" s="28"/>
      <c r="C287" s="28" t="s">
        <v>1548</v>
      </c>
      <c r="D287" s="28" t="s">
        <v>1594</v>
      </c>
      <c r="E287" s="12" t="s">
        <v>1760</v>
      </c>
      <c r="F287" s="21" t="s">
        <v>1760</v>
      </c>
      <c r="G287" s="12" t="s">
        <v>1169</v>
      </c>
    </row>
    <row r="288" spans="1:7" x14ac:dyDescent="0.3">
      <c r="A288" s="28" t="s">
        <v>1939</v>
      </c>
      <c r="B288" s="28"/>
      <c r="C288" s="28" t="s">
        <v>1548</v>
      </c>
      <c r="D288" s="28" t="s">
        <v>1594</v>
      </c>
      <c r="E288" s="12" t="s">
        <v>1760</v>
      </c>
      <c r="F288" s="21" t="s">
        <v>1760</v>
      </c>
      <c r="G288" s="12" t="s">
        <v>1169</v>
      </c>
    </row>
    <row r="289" spans="1:7" x14ac:dyDescent="0.3">
      <c r="A289" s="28" t="s">
        <v>1934</v>
      </c>
      <c r="B289" s="28"/>
      <c r="C289" s="28" t="s">
        <v>1548</v>
      </c>
      <c r="D289" s="28" t="s">
        <v>1594</v>
      </c>
      <c r="E289" s="12" t="s">
        <v>1760</v>
      </c>
      <c r="F289" s="12" t="s">
        <v>929</v>
      </c>
      <c r="G289" s="12" t="s">
        <v>1147</v>
      </c>
    </row>
    <row r="290" spans="1:7" x14ac:dyDescent="0.3">
      <c r="A290" s="28" t="s">
        <v>1935</v>
      </c>
      <c r="B290" s="28"/>
      <c r="C290" s="28" t="s">
        <v>1548</v>
      </c>
      <c r="D290" s="28" t="s">
        <v>1594</v>
      </c>
      <c r="E290" s="12" t="s">
        <v>1760</v>
      </c>
      <c r="F290" s="12" t="s">
        <v>929</v>
      </c>
      <c r="G290" s="12" t="s">
        <v>1147</v>
      </c>
    </row>
    <row r="291" spans="1:7" x14ac:dyDescent="0.3">
      <c r="A291" s="28" t="s">
        <v>1936</v>
      </c>
      <c r="B291" s="28"/>
      <c r="C291" s="28" t="s">
        <v>1548</v>
      </c>
      <c r="D291" s="28" t="s">
        <v>1594</v>
      </c>
      <c r="E291" s="12" t="s">
        <v>1760</v>
      </c>
      <c r="F291" s="12" t="s">
        <v>929</v>
      </c>
      <c r="G291" s="12" t="s">
        <v>1147</v>
      </c>
    </row>
    <row r="292" spans="1:7" x14ac:dyDescent="0.3">
      <c r="A292" s="28" t="s">
        <v>1937</v>
      </c>
      <c r="B292" s="28"/>
      <c r="C292" s="28" t="s">
        <v>1548</v>
      </c>
      <c r="D292" s="28" t="s">
        <v>1594</v>
      </c>
      <c r="E292" s="12" t="s">
        <v>1760</v>
      </c>
      <c r="F292" s="12" t="s">
        <v>929</v>
      </c>
      <c r="G292" s="12" t="s">
        <v>1147</v>
      </c>
    </row>
    <row r="293" spans="1:7" x14ac:dyDescent="0.3">
      <c r="A293" s="28" t="s">
        <v>1938</v>
      </c>
      <c r="B293" s="28"/>
      <c r="C293" s="28" t="s">
        <v>1548</v>
      </c>
      <c r="D293" s="28" t="s">
        <v>1594</v>
      </c>
      <c r="E293" s="12" t="s">
        <v>1760</v>
      </c>
      <c r="F293" s="12" t="s">
        <v>929</v>
      </c>
      <c r="G293" s="12" t="s">
        <v>1147</v>
      </c>
    </row>
    <row r="294" spans="1:7" x14ac:dyDescent="0.3">
      <c r="A294" s="28" t="s">
        <v>1939</v>
      </c>
      <c r="B294" s="28"/>
      <c r="C294" s="28" t="s">
        <v>1548</v>
      </c>
      <c r="D294" s="28" t="s">
        <v>1594</v>
      </c>
      <c r="E294" s="12" t="s">
        <v>1760</v>
      </c>
      <c r="F294" s="12" t="s">
        <v>929</v>
      </c>
      <c r="G294" s="12" t="s">
        <v>1147</v>
      </c>
    </row>
    <row r="295" spans="1:7" x14ac:dyDescent="0.3">
      <c r="A295" s="28" t="s">
        <v>1934</v>
      </c>
      <c r="B295" s="28"/>
      <c r="C295" s="28" t="s">
        <v>1548</v>
      </c>
      <c r="D295" s="28" t="s">
        <v>1594</v>
      </c>
      <c r="E295" s="12" t="s">
        <v>1760</v>
      </c>
      <c r="F295" s="12" t="s">
        <v>1505</v>
      </c>
      <c r="G295" s="12" t="s">
        <v>1147</v>
      </c>
    </row>
    <row r="296" spans="1:7" x14ac:dyDescent="0.3">
      <c r="A296" s="28" t="s">
        <v>1935</v>
      </c>
      <c r="B296" s="28"/>
      <c r="C296" s="28" t="s">
        <v>1548</v>
      </c>
      <c r="D296" s="28" t="s">
        <v>1594</v>
      </c>
      <c r="E296" s="12" t="s">
        <v>1760</v>
      </c>
      <c r="F296" s="12" t="s">
        <v>1505</v>
      </c>
      <c r="G296" s="12" t="s">
        <v>1147</v>
      </c>
    </row>
    <row r="297" spans="1:7" x14ac:dyDescent="0.3">
      <c r="A297" s="28" t="s">
        <v>1936</v>
      </c>
      <c r="B297" s="28"/>
      <c r="C297" s="28" t="s">
        <v>1548</v>
      </c>
      <c r="D297" s="28" t="s">
        <v>1594</v>
      </c>
      <c r="E297" s="12" t="s">
        <v>1760</v>
      </c>
      <c r="F297" s="12" t="s">
        <v>1505</v>
      </c>
      <c r="G297" s="12" t="s">
        <v>1147</v>
      </c>
    </row>
    <row r="298" spans="1:7" x14ac:dyDescent="0.3">
      <c r="A298" s="28" t="s">
        <v>1937</v>
      </c>
      <c r="B298" s="28"/>
      <c r="C298" s="28" t="s">
        <v>1548</v>
      </c>
      <c r="D298" s="28" t="s">
        <v>1594</v>
      </c>
      <c r="E298" s="12" t="s">
        <v>1760</v>
      </c>
      <c r="F298" s="12" t="s">
        <v>1505</v>
      </c>
      <c r="G298" s="12" t="s">
        <v>1147</v>
      </c>
    </row>
    <row r="299" spans="1:7" x14ac:dyDescent="0.3">
      <c r="A299" s="28" t="s">
        <v>1938</v>
      </c>
      <c r="B299" s="28"/>
      <c r="C299" s="28" t="s">
        <v>1548</v>
      </c>
      <c r="D299" s="28" t="s">
        <v>1594</v>
      </c>
      <c r="E299" s="12" t="s">
        <v>1760</v>
      </c>
      <c r="F299" s="12" t="s">
        <v>1505</v>
      </c>
      <c r="G299" s="12" t="s">
        <v>1147</v>
      </c>
    </row>
    <row r="300" spans="1:7" x14ac:dyDescent="0.3">
      <c r="A300" s="28" t="s">
        <v>1939</v>
      </c>
      <c r="B300" s="28"/>
      <c r="C300" s="28" t="s">
        <v>1548</v>
      </c>
      <c r="D300" s="28" t="s">
        <v>1594</v>
      </c>
      <c r="E300" s="12" t="s">
        <v>1760</v>
      </c>
      <c r="F300" s="12" t="s">
        <v>1505</v>
      </c>
      <c r="G300" s="12" t="s">
        <v>1147</v>
      </c>
    </row>
    <row r="301" spans="1:7" x14ac:dyDescent="0.3">
      <c r="A301" s="28"/>
      <c r="B301" s="28"/>
      <c r="C301" s="28" t="s">
        <v>1548</v>
      </c>
      <c r="D301" s="28"/>
      <c r="E301" s="12" t="s">
        <v>1517</v>
      </c>
      <c r="F301" s="12" t="s">
        <v>1517</v>
      </c>
      <c r="G301" s="12" t="s">
        <v>1169</v>
      </c>
    </row>
    <row r="302" spans="1:7" x14ac:dyDescent="0.3">
      <c r="A302" s="28"/>
      <c r="B302" s="28"/>
      <c r="C302" s="28" t="s">
        <v>1548</v>
      </c>
      <c r="D302" s="28"/>
      <c r="E302" s="12" t="s">
        <v>1517</v>
      </c>
      <c r="F302" s="12" t="s">
        <v>1522</v>
      </c>
      <c r="G302" s="12" t="s">
        <v>1147</v>
      </c>
    </row>
    <row r="303" spans="1:7" x14ac:dyDescent="0.3">
      <c r="A303" s="28"/>
      <c r="B303" s="28"/>
      <c r="C303" s="28" t="s">
        <v>1548</v>
      </c>
      <c r="D303" s="28"/>
      <c r="E303" s="12" t="s">
        <v>1001</v>
      </c>
      <c r="F303" s="12" t="s">
        <v>1001</v>
      </c>
      <c r="G303" s="12" t="s">
        <v>1169</v>
      </c>
    </row>
    <row r="304" spans="1:7" x14ac:dyDescent="0.3">
      <c r="A304" s="28"/>
      <c r="B304" s="28"/>
      <c r="C304" s="28" t="s">
        <v>1548</v>
      </c>
      <c r="D304" s="28"/>
      <c r="E304" s="12" t="s">
        <v>1001</v>
      </c>
      <c r="F304" s="12" t="s">
        <v>1527</v>
      </c>
      <c r="G304" s="12" t="s">
        <v>1147</v>
      </c>
    </row>
    <row r="305" spans="1:7" x14ac:dyDescent="0.3">
      <c r="A305" s="28"/>
      <c r="B305" s="28"/>
      <c r="C305" s="28" t="s">
        <v>1548</v>
      </c>
      <c r="D305" s="28"/>
      <c r="E305" s="12" t="s">
        <v>1003</v>
      </c>
      <c r="F305" s="12" t="s">
        <v>1003</v>
      </c>
      <c r="G305" s="12" t="s">
        <v>1169</v>
      </c>
    </row>
    <row r="306" spans="1:7" x14ac:dyDescent="0.3">
      <c r="A306" s="28"/>
      <c r="B306" s="28"/>
      <c r="C306" s="28" t="s">
        <v>1548</v>
      </c>
      <c r="D306" s="28"/>
      <c r="E306" s="12" t="s">
        <v>1003</v>
      </c>
      <c r="F306" s="12" t="s">
        <v>1528</v>
      </c>
      <c r="G306" s="12" t="s">
        <v>1147</v>
      </c>
    </row>
    <row r="307" spans="1:7" x14ac:dyDescent="0.3">
      <c r="A307" s="28"/>
      <c r="B307" s="28"/>
      <c r="C307" s="28" t="s">
        <v>1548</v>
      </c>
      <c r="D307" s="28"/>
      <c r="E307" s="12" t="s">
        <v>1003</v>
      </c>
      <c r="F307" s="12" t="s">
        <v>1523</v>
      </c>
      <c r="G307" s="12" t="s">
        <v>1147</v>
      </c>
    </row>
    <row r="308" spans="1:7" x14ac:dyDescent="0.3">
      <c r="A308" s="28"/>
      <c r="B308" s="28"/>
      <c r="C308" s="28" t="s">
        <v>1548</v>
      </c>
      <c r="D308" s="28"/>
      <c r="E308" s="12" t="s">
        <v>1003</v>
      </c>
      <c r="F308" s="12" t="s">
        <v>1524</v>
      </c>
      <c r="G308" s="12" t="s">
        <v>1147</v>
      </c>
    </row>
    <row r="309" spans="1:7" x14ac:dyDescent="0.3">
      <c r="A309" s="28"/>
      <c r="B309" s="28"/>
      <c r="C309" s="28" t="s">
        <v>1548</v>
      </c>
      <c r="D309" s="28"/>
      <c r="E309" s="12" t="s">
        <v>1005</v>
      </c>
      <c r="F309" s="12" t="s">
        <v>1005</v>
      </c>
      <c r="G309" s="12" t="s">
        <v>1169</v>
      </c>
    </row>
    <row r="310" spans="1:7" x14ac:dyDescent="0.3">
      <c r="A310" s="28"/>
      <c r="B310" s="28"/>
      <c r="C310" s="28" t="s">
        <v>1548</v>
      </c>
      <c r="D310" s="28"/>
      <c r="E310" s="12" t="s">
        <v>1005</v>
      </c>
      <c r="F310" s="12" t="s">
        <v>1525</v>
      </c>
      <c r="G310" s="12" t="s">
        <v>1147</v>
      </c>
    </row>
    <row r="311" spans="1:7" x14ac:dyDescent="0.3">
      <c r="A311" s="28"/>
      <c r="B311" s="28"/>
      <c r="C311" s="28" t="s">
        <v>1548</v>
      </c>
      <c r="D311" s="28"/>
      <c r="E311" s="12" t="s">
        <v>1005</v>
      </c>
      <c r="F311" s="12" t="s">
        <v>1526</v>
      </c>
      <c r="G311" s="12" t="s">
        <v>1147</v>
      </c>
    </row>
    <row r="312" spans="1:7" x14ac:dyDescent="0.3">
      <c r="A312" s="28"/>
      <c r="B312" s="28"/>
      <c r="C312" s="28" t="s">
        <v>1548</v>
      </c>
      <c r="D312" s="28"/>
      <c r="E312" s="21" t="s">
        <v>2001</v>
      </c>
      <c r="F312" s="12" t="s">
        <v>967</v>
      </c>
      <c r="G312" s="12" t="s">
        <v>1147</v>
      </c>
    </row>
    <row r="313" spans="1:7" x14ac:dyDescent="0.3">
      <c r="A313" s="28"/>
      <c r="B313" s="28"/>
      <c r="C313" s="28" t="s">
        <v>1548</v>
      </c>
      <c r="D313" s="28"/>
      <c r="E313" s="21" t="s">
        <v>2001</v>
      </c>
      <c r="F313" s="12" t="s">
        <v>969</v>
      </c>
      <c r="G313" s="12" t="s">
        <v>1147</v>
      </c>
    </row>
    <row r="314" spans="1:7" x14ac:dyDescent="0.3">
      <c r="A314" s="28"/>
      <c r="B314" s="28"/>
      <c r="C314" s="28" t="s">
        <v>1548</v>
      </c>
      <c r="D314" s="28"/>
      <c r="E314" s="21" t="s">
        <v>2001</v>
      </c>
      <c r="F314" s="12" t="s">
        <v>1501</v>
      </c>
      <c r="G314" s="12" t="s">
        <v>1147</v>
      </c>
    </row>
    <row r="315" spans="1:7" x14ac:dyDescent="0.3">
      <c r="A315" s="28"/>
      <c r="B315" s="28"/>
      <c r="C315" s="28" t="s">
        <v>1548</v>
      </c>
      <c r="D315" s="28"/>
      <c r="E315" s="21" t="s">
        <v>2084</v>
      </c>
      <c r="F315" s="21" t="s">
        <v>941</v>
      </c>
      <c r="G315" s="12" t="s">
        <v>1147</v>
      </c>
    </row>
    <row r="316" spans="1:7" x14ac:dyDescent="0.3">
      <c r="A316" s="28"/>
      <c r="B316" s="28"/>
      <c r="C316" s="28" t="s">
        <v>1548</v>
      </c>
      <c r="D316" s="28"/>
      <c r="E316" s="12" t="s">
        <v>920</v>
      </c>
      <c r="F316" s="12" t="s">
        <v>943</v>
      </c>
      <c r="G316" s="12" t="s">
        <v>1147</v>
      </c>
    </row>
    <row r="317" spans="1:7" x14ac:dyDescent="0.3">
      <c r="A317" s="28"/>
      <c r="B317" s="28"/>
      <c r="C317" s="28" t="s">
        <v>1548</v>
      </c>
      <c r="D317" s="28"/>
      <c r="E317" s="12" t="s">
        <v>923</v>
      </c>
      <c r="F317" s="12" t="s">
        <v>945</v>
      </c>
      <c r="G317" s="12" t="s">
        <v>1147</v>
      </c>
    </row>
    <row r="318" spans="1:7" x14ac:dyDescent="0.3">
      <c r="A318" s="28"/>
      <c r="B318" s="28"/>
      <c r="C318" s="28" t="s">
        <v>1548</v>
      </c>
      <c r="D318" s="28"/>
      <c r="E318" s="12" t="s">
        <v>923</v>
      </c>
      <c r="F318" s="12" t="s">
        <v>947</v>
      </c>
      <c r="G318" s="12" t="s">
        <v>1147</v>
      </c>
    </row>
    <row r="319" spans="1:7" x14ac:dyDescent="0.3">
      <c r="A319" s="28"/>
      <c r="B319" s="28"/>
      <c r="C319" s="28" t="s">
        <v>1548</v>
      </c>
      <c r="D319" s="28"/>
      <c r="E319" s="12" t="s">
        <v>925</v>
      </c>
      <c r="F319" s="12" t="s">
        <v>949</v>
      </c>
      <c r="G319" s="12" t="s">
        <v>1147</v>
      </c>
    </row>
    <row r="320" spans="1:7" x14ac:dyDescent="0.3">
      <c r="A320" s="28"/>
      <c r="B320" s="28"/>
      <c r="C320" s="28" t="s">
        <v>1548</v>
      </c>
      <c r="D320" s="28"/>
      <c r="E320" s="12" t="s">
        <v>925</v>
      </c>
      <c r="F320" s="12" t="s">
        <v>951</v>
      </c>
      <c r="G320" s="12" t="s">
        <v>1147</v>
      </c>
    </row>
    <row r="321" spans="1:7" x14ac:dyDescent="0.3">
      <c r="A321" s="28"/>
      <c r="B321" s="28"/>
      <c r="C321" s="28" t="s">
        <v>1548</v>
      </c>
      <c r="D321" s="28"/>
      <c r="E321" s="12" t="s">
        <v>925</v>
      </c>
      <c r="F321" s="12" t="s">
        <v>953</v>
      </c>
      <c r="G321" s="12" t="s">
        <v>1147</v>
      </c>
    </row>
    <row r="322" spans="1:7" x14ac:dyDescent="0.3">
      <c r="A322" s="28"/>
      <c r="B322" s="28"/>
      <c r="C322" s="28" t="s">
        <v>1548</v>
      </c>
      <c r="D322" s="28"/>
      <c r="E322" s="12" t="s">
        <v>925</v>
      </c>
      <c r="F322" s="12" t="s">
        <v>955</v>
      </c>
      <c r="G322" s="12" t="s">
        <v>1147</v>
      </c>
    </row>
    <row r="323" spans="1:7" x14ac:dyDescent="0.3">
      <c r="A323" s="28"/>
      <c r="B323" s="28"/>
      <c r="C323" s="28" t="s">
        <v>1548</v>
      </c>
      <c r="D323" s="28"/>
      <c r="E323" s="12" t="s">
        <v>927</v>
      </c>
      <c r="F323" s="12" t="s">
        <v>957</v>
      </c>
      <c r="G323" s="12" t="s">
        <v>1147</v>
      </c>
    </row>
    <row r="324" spans="1:7" x14ac:dyDescent="0.3">
      <c r="A324" s="28"/>
      <c r="B324" s="28"/>
      <c r="C324" s="28" t="s">
        <v>1548</v>
      </c>
      <c r="D324" s="28"/>
      <c r="E324" s="12" t="s">
        <v>927</v>
      </c>
      <c r="F324" s="12" t="s">
        <v>959</v>
      </c>
      <c r="G324" s="12" t="s">
        <v>1147</v>
      </c>
    </row>
    <row r="325" spans="1:7" x14ac:dyDescent="0.3">
      <c r="A325" s="28"/>
      <c r="B325" s="28"/>
      <c r="C325" s="28" t="s">
        <v>1548</v>
      </c>
      <c r="D325" s="28"/>
      <c r="E325" s="12" t="s">
        <v>927</v>
      </c>
      <c r="F325" s="12" t="s">
        <v>961</v>
      </c>
      <c r="G325" s="12" t="s">
        <v>1147</v>
      </c>
    </row>
    <row r="326" spans="1:7" x14ac:dyDescent="0.3">
      <c r="A326" s="28"/>
      <c r="B326" s="28"/>
      <c r="C326" s="28" t="s">
        <v>1548</v>
      </c>
      <c r="D326" s="28"/>
      <c r="E326" s="12" t="s">
        <v>929</v>
      </c>
      <c r="F326" s="12" t="s">
        <v>963</v>
      </c>
      <c r="G326" s="12" t="s">
        <v>1147</v>
      </c>
    </row>
    <row r="327" spans="1:7" x14ac:dyDescent="0.3">
      <c r="A327" s="28"/>
      <c r="B327" s="28"/>
      <c r="C327" s="28" t="s">
        <v>1548</v>
      </c>
      <c r="D327" s="28"/>
      <c r="E327" s="12" t="s">
        <v>929</v>
      </c>
      <c r="F327" s="12" t="s">
        <v>965</v>
      </c>
      <c r="G327" s="12" t="s">
        <v>1147</v>
      </c>
    </row>
    <row r="328" spans="1:7" x14ac:dyDescent="0.3">
      <c r="A328" s="28"/>
      <c r="B328" s="28"/>
      <c r="C328" s="28" t="s">
        <v>1548</v>
      </c>
      <c r="D328" s="28"/>
      <c r="E328" s="12" t="s">
        <v>931</v>
      </c>
      <c r="F328" s="12" t="s">
        <v>967</v>
      </c>
      <c r="G328" s="12" t="s">
        <v>1147</v>
      </c>
    </row>
    <row r="329" spans="1:7" x14ac:dyDescent="0.3">
      <c r="A329" s="28"/>
      <c r="B329" s="28"/>
      <c r="C329" s="28" t="s">
        <v>1548</v>
      </c>
      <c r="D329" s="28"/>
      <c r="E329" s="12" t="s">
        <v>931</v>
      </c>
      <c r="F329" s="12" t="s">
        <v>969</v>
      </c>
      <c r="G329" s="12" t="s">
        <v>1147</v>
      </c>
    </row>
    <row r="330" spans="1:7" x14ac:dyDescent="0.3">
      <c r="A330" s="28"/>
      <c r="B330" s="28"/>
      <c r="C330" s="28" t="s">
        <v>1548</v>
      </c>
      <c r="D330" s="28"/>
      <c r="E330" s="12" t="s">
        <v>931</v>
      </c>
      <c r="F330" s="12" t="s">
        <v>1501</v>
      </c>
      <c r="G330" s="12" t="s">
        <v>1147</v>
      </c>
    </row>
    <row r="331" spans="1:7" x14ac:dyDescent="0.3">
      <c r="A331" s="28"/>
      <c r="B331" s="28"/>
      <c r="C331" s="28" t="s">
        <v>1548</v>
      </c>
      <c r="D331" s="28"/>
      <c r="E331" s="12" t="s">
        <v>1563</v>
      </c>
      <c r="F331" s="12" t="s">
        <v>943</v>
      </c>
      <c r="G331" s="12" t="s">
        <v>1147</v>
      </c>
    </row>
    <row r="332" spans="1:7" x14ac:dyDescent="0.3">
      <c r="A332" s="28"/>
      <c r="B332" s="28"/>
      <c r="C332" s="28" t="s">
        <v>1548</v>
      </c>
      <c r="D332" s="28"/>
      <c r="E332" s="12" t="s">
        <v>1563</v>
      </c>
      <c r="F332" s="12" t="s">
        <v>945</v>
      </c>
      <c r="G332" s="12" t="s">
        <v>1147</v>
      </c>
    </row>
    <row r="333" spans="1:7" x14ac:dyDescent="0.3">
      <c r="A333" s="28"/>
      <c r="B333" s="28"/>
      <c r="C333" s="28" t="s">
        <v>1548</v>
      </c>
      <c r="D333" s="28"/>
      <c r="E333" s="12" t="s">
        <v>1563</v>
      </c>
      <c r="F333" s="12" t="s">
        <v>947</v>
      </c>
      <c r="G333" s="12" t="s">
        <v>1147</v>
      </c>
    </row>
    <row r="334" spans="1:7" x14ac:dyDescent="0.3">
      <c r="A334" s="28"/>
      <c r="B334" s="28"/>
      <c r="C334" s="28" t="s">
        <v>1548</v>
      </c>
      <c r="D334" s="28"/>
      <c r="E334" s="12" t="s">
        <v>1563</v>
      </c>
      <c r="F334" s="12" t="s">
        <v>949</v>
      </c>
      <c r="G334" s="12" t="s">
        <v>1147</v>
      </c>
    </row>
    <row r="335" spans="1:7" x14ac:dyDescent="0.3">
      <c r="A335" s="28"/>
      <c r="B335" s="28"/>
      <c r="C335" s="28" t="s">
        <v>1548</v>
      </c>
      <c r="D335" s="28"/>
      <c r="E335" s="12" t="s">
        <v>1563</v>
      </c>
      <c r="F335" s="12" t="s">
        <v>951</v>
      </c>
      <c r="G335" s="12" t="s">
        <v>1147</v>
      </c>
    </row>
    <row r="336" spans="1:7" x14ac:dyDescent="0.3">
      <c r="A336" s="28"/>
      <c r="B336" s="28"/>
      <c r="C336" s="28" t="s">
        <v>1548</v>
      </c>
      <c r="D336" s="28"/>
      <c r="E336" s="12" t="s">
        <v>1563</v>
      </c>
      <c r="F336" s="12" t="s">
        <v>953</v>
      </c>
      <c r="G336" s="12" t="s">
        <v>1147</v>
      </c>
    </row>
    <row r="337" spans="1:7" x14ac:dyDescent="0.3">
      <c r="A337" s="28"/>
      <c r="B337" s="28"/>
      <c r="C337" s="28" t="s">
        <v>1548</v>
      </c>
      <c r="D337" s="28"/>
      <c r="E337" s="12" t="s">
        <v>1563</v>
      </c>
      <c r="F337" s="12" t="s">
        <v>955</v>
      </c>
      <c r="G337" s="12" t="s">
        <v>1147</v>
      </c>
    </row>
    <row r="338" spans="1:7" x14ac:dyDescent="0.3">
      <c r="A338" s="28"/>
      <c r="B338" s="28"/>
      <c r="C338" s="28" t="s">
        <v>1548</v>
      </c>
      <c r="D338" s="28"/>
      <c r="E338" s="21" t="s">
        <v>1586</v>
      </c>
      <c r="F338" s="21" t="s">
        <v>1586</v>
      </c>
      <c r="G338" s="12" t="s">
        <v>1147</v>
      </c>
    </row>
    <row r="339" spans="1:7" x14ac:dyDescent="0.3">
      <c r="A339" s="28"/>
      <c r="B339" s="28"/>
      <c r="C339" s="28" t="s">
        <v>1548</v>
      </c>
      <c r="D339" s="28"/>
      <c r="E339" s="12" t="s">
        <v>904</v>
      </c>
      <c r="F339" s="12" t="s">
        <v>904</v>
      </c>
      <c r="G339" s="12" t="s">
        <v>1147</v>
      </c>
    </row>
    <row r="340" spans="1:7" x14ac:dyDescent="0.3">
      <c r="A340" s="28"/>
      <c r="B340" s="28"/>
      <c r="C340" s="28" t="s">
        <v>1548</v>
      </c>
      <c r="D340" s="28"/>
      <c r="E340" s="12" t="s">
        <v>908</v>
      </c>
      <c r="F340" s="12" t="s">
        <v>908</v>
      </c>
      <c r="G340" s="12" t="s">
        <v>1147</v>
      </c>
    </row>
    <row r="341" spans="1:7" x14ac:dyDescent="0.3">
      <c r="A341" s="28"/>
      <c r="B341" s="28"/>
      <c r="C341" s="28" t="s">
        <v>1548</v>
      </c>
      <c r="D341" s="28"/>
      <c r="E341" s="12" t="s">
        <v>906</v>
      </c>
      <c r="F341" s="12" t="s">
        <v>906</v>
      </c>
      <c r="G341" s="12" t="s">
        <v>1147</v>
      </c>
    </row>
    <row r="342" spans="1:7" x14ac:dyDescent="0.3">
      <c r="A342" s="28"/>
      <c r="B342" s="28"/>
      <c r="C342" s="28" t="s">
        <v>1548</v>
      </c>
      <c r="D342" s="28"/>
      <c r="E342" s="12" t="s">
        <v>910</v>
      </c>
      <c r="F342" s="12" t="s">
        <v>910</v>
      </c>
      <c r="G342" s="12" t="s">
        <v>1147</v>
      </c>
    </row>
    <row r="343" spans="1:7" x14ac:dyDescent="0.3">
      <c r="A343" s="28"/>
      <c r="B343" s="28"/>
      <c r="C343" s="28" t="s">
        <v>1548</v>
      </c>
      <c r="D343" s="28"/>
      <c r="E343" s="21" t="s">
        <v>2047</v>
      </c>
      <c r="F343" s="21" t="s">
        <v>2047</v>
      </c>
      <c r="G343" s="12" t="s">
        <v>1147</v>
      </c>
    </row>
    <row r="344" spans="1:7" x14ac:dyDescent="0.3">
      <c r="A344" s="28"/>
      <c r="B344" s="28"/>
      <c r="C344" s="28" t="s">
        <v>1548</v>
      </c>
      <c r="D344" s="28"/>
      <c r="E344" s="12" t="s">
        <v>1207</v>
      </c>
      <c r="F344" s="12" t="s">
        <v>937</v>
      </c>
      <c r="G344" s="12" t="s">
        <v>1147</v>
      </c>
    </row>
    <row r="345" spans="1:7" x14ac:dyDescent="0.3">
      <c r="A345" s="28"/>
      <c r="B345" s="28"/>
      <c r="C345" s="28" t="s">
        <v>1548</v>
      </c>
      <c r="D345" s="28"/>
      <c r="E345" s="12" t="s">
        <v>1207</v>
      </c>
      <c r="F345" s="12" t="s">
        <v>1011</v>
      </c>
      <c r="G345" s="12" t="s">
        <v>1169</v>
      </c>
    </row>
    <row r="346" spans="1:7" x14ac:dyDescent="0.3">
      <c r="A346" s="28"/>
      <c r="B346" s="28"/>
      <c r="C346" s="28" t="s">
        <v>1548</v>
      </c>
      <c r="D346" s="28"/>
      <c r="E346" s="12" t="s">
        <v>1203</v>
      </c>
      <c r="F346" s="12" t="s">
        <v>933</v>
      </c>
      <c r="G346" s="12" t="s">
        <v>1147</v>
      </c>
    </row>
    <row r="347" spans="1:7" x14ac:dyDescent="0.3">
      <c r="A347" s="28"/>
      <c r="B347" s="28"/>
      <c r="C347" s="28" t="s">
        <v>1548</v>
      </c>
      <c r="D347" s="28"/>
      <c r="E347" s="12" t="s">
        <v>1203</v>
      </c>
      <c r="F347" s="12" t="s">
        <v>1009</v>
      </c>
      <c r="G347" s="12" t="s">
        <v>1169</v>
      </c>
    </row>
    <row r="348" spans="1:7" x14ac:dyDescent="0.3">
      <c r="A348" s="28"/>
      <c r="B348" s="28"/>
      <c r="C348" s="28" t="s">
        <v>1548</v>
      </c>
      <c r="D348" s="28"/>
      <c r="E348" s="12" t="s">
        <v>1209</v>
      </c>
      <c r="F348" s="12" t="s">
        <v>939</v>
      </c>
      <c r="G348" s="12" t="s">
        <v>1147</v>
      </c>
    </row>
    <row r="349" spans="1:7" x14ac:dyDescent="0.3">
      <c r="A349" s="28"/>
      <c r="B349" s="28"/>
      <c r="C349" s="28" t="s">
        <v>1548</v>
      </c>
      <c r="D349" s="28"/>
      <c r="E349" s="12" t="s">
        <v>1209</v>
      </c>
      <c r="F349" s="12" t="s">
        <v>1011</v>
      </c>
      <c r="G349" s="12" t="s">
        <v>1169</v>
      </c>
    </row>
    <row r="350" spans="1:7" x14ac:dyDescent="0.3">
      <c r="A350" s="28"/>
      <c r="B350" s="28"/>
      <c r="C350" s="28" t="s">
        <v>1548</v>
      </c>
      <c r="D350" s="28"/>
      <c r="E350" s="12" t="s">
        <v>1205</v>
      </c>
      <c r="F350" s="12" t="s">
        <v>935</v>
      </c>
      <c r="G350" s="12" t="s">
        <v>1147</v>
      </c>
    </row>
    <row r="351" spans="1:7" x14ac:dyDescent="0.3">
      <c r="A351" s="28"/>
      <c r="B351" s="28"/>
      <c r="C351" s="28" t="s">
        <v>1548</v>
      </c>
      <c r="D351" s="28"/>
      <c r="E351" s="12" t="s">
        <v>1205</v>
      </c>
      <c r="F351" s="12" t="s">
        <v>1009</v>
      </c>
      <c r="G351" s="12" t="s">
        <v>1169</v>
      </c>
    </row>
    <row r="352" spans="1:7" x14ac:dyDescent="0.3">
      <c r="A352" s="28" t="s">
        <v>1464</v>
      </c>
      <c r="B352" s="28"/>
      <c r="C352" s="28" t="s">
        <v>1548</v>
      </c>
      <c r="D352" s="28" t="s">
        <v>1630</v>
      </c>
      <c r="E352" s="21" t="s">
        <v>1761</v>
      </c>
      <c r="F352" s="21" t="s">
        <v>1761</v>
      </c>
      <c r="G352" s="12" t="s">
        <v>1147</v>
      </c>
    </row>
    <row r="353" spans="1:7" x14ac:dyDescent="0.3">
      <c r="A353" s="28" t="s">
        <v>1466</v>
      </c>
      <c r="B353" s="28"/>
      <c r="C353" s="28" t="s">
        <v>1548</v>
      </c>
      <c r="D353" s="28" t="s">
        <v>1630</v>
      </c>
      <c r="E353" s="21" t="s">
        <v>1761</v>
      </c>
      <c r="F353" s="21" t="s">
        <v>1761</v>
      </c>
      <c r="G353" s="12" t="s">
        <v>1147</v>
      </c>
    </row>
    <row r="354" spans="1:7" x14ac:dyDescent="0.3">
      <c r="A354" s="28" t="s">
        <v>1467</v>
      </c>
      <c r="B354" s="28"/>
      <c r="C354" s="28" t="s">
        <v>1548</v>
      </c>
      <c r="D354" s="28" t="s">
        <v>1630</v>
      </c>
      <c r="E354" s="21" t="s">
        <v>1761</v>
      </c>
      <c r="F354" s="21" t="s">
        <v>1761</v>
      </c>
      <c r="G354" s="12" t="s">
        <v>1147</v>
      </c>
    </row>
    <row r="355" spans="1:7" x14ac:dyDescent="0.3">
      <c r="A355" s="28" t="s">
        <v>1468</v>
      </c>
      <c r="B355" s="28"/>
      <c r="C355" s="28" t="s">
        <v>1548</v>
      </c>
      <c r="D355" s="28" t="s">
        <v>1630</v>
      </c>
      <c r="E355" s="21" t="s">
        <v>1761</v>
      </c>
      <c r="F355" s="21" t="s">
        <v>1761</v>
      </c>
      <c r="G355" s="12" t="s">
        <v>1147</v>
      </c>
    </row>
    <row r="356" spans="1:7" x14ac:dyDescent="0.3">
      <c r="A356" s="28" t="s">
        <v>1469</v>
      </c>
      <c r="B356" s="28"/>
      <c r="C356" s="28" t="s">
        <v>1548</v>
      </c>
      <c r="D356" s="28" t="s">
        <v>1630</v>
      </c>
      <c r="E356" s="21" t="s">
        <v>1761</v>
      </c>
      <c r="F356" s="21" t="s">
        <v>1761</v>
      </c>
      <c r="G356" s="12" t="s">
        <v>1147</v>
      </c>
    </row>
    <row r="357" spans="1:7" x14ac:dyDescent="0.3">
      <c r="A357" s="28" t="s">
        <v>1470</v>
      </c>
      <c r="B357" s="28"/>
      <c r="C357" s="28" t="s">
        <v>1548</v>
      </c>
      <c r="D357" s="28" t="s">
        <v>1630</v>
      </c>
      <c r="E357" s="21" t="s">
        <v>1761</v>
      </c>
      <c r="F357" s="21" t="s">
        <v>1761</v>
      </c>
      <c r="G357" s="12" t="s">
        <v>1147</v>
      </c>
    </row>
    <row r="358" spans="1:7" x14ac:dyDescent="0.3">
      <c r="A358" s="28" t="s">
        <v>1464</v>
      </c>
      <c r="B358" s="28"/>
      <c r="C358" s="28" t="s">
        <v>1548</v>
      </c>
      <c r="D358" s="28" t="s">
        <v>1631</v>
      </c>
      <c r="E358" s="21" t="s">
        <v>1761</v>
      </c>
      <c r="F358" s="21" t="s">
        <v>1761</v>
      </c>
      <c r="G358" s="12" t="s">
        <v>1147</v>
      </c>
    </row>
    <row r="359" spans="1:7" x14ac:dyDescent="0.3">
      <c r="A359" s="28" t="s">
        <v>1466</v>
      </c>
      <c r="B359" s="28"/>
      <c r="C359" s="28" t="s">
        <v>1548</v>
      </c>
      <c r="D359" s="28" t="s">
        <v>1631</v>
      </c>
      <c r="E359" s="21" t="s">
        <v>1761</v>
      </c>
      <c r="F359" s="21" t="s">
        <v>1761</v>
      </c>
      <c r="G359" s="12" t="s">
        <v>1147</v>
      </c>
    </row>
    <row r="360" spans="1:7" x14ac:dyDescent="0.3">
      <c r="A360" s="28" t="s">
        <v>1467</v>
      </c>
      <c r="B360" s="28"/>
      <c r="C360" s="28" t="s">
        <v>1548</v>
      </c>
      <c r="D360" s="28" t="s">
        <v>1631</v>
      </c>
      <c r="E360" s="21" t="s">
        <v>1761</v>
      </c>
      <c r="F360" s="21" t="s">
        <v>1761</v>
      </c>
      <c r="G360" s="12" t="s">
        <v>1147</v>
      </c>
    </row>
    <row r="361" spans="1:7" x14ac:dyDescent="0.3">
      <c r="A361" s="28" t="s">
        <v>1468</v>
      </c>
      <c r="B361" s="28"/>
      <c r="C361" s="28" t="s">
        <v>1548</v>
      </c>
      <c r="D361" s="28" t="s">
        <v>1631</v>
      </c>
      <c r="E361" s="21" t="s">
        <v>1761</v>
      </c>
      <c r="F361" s="21" t="s">
        <v>1761</v>
      </c>
      <c r="G361" s="12" t="s">
        <v>1147</v>
      </c>
    </row>
    <row r="362" spans="1:7" x14ac:dyDescent="0.3">
      <c r="A362" s="28" t="s">
        <v>1469</v>
      </c>
      <c r="B362" s="28"/>
      <c r="C362" s="28" t="s">
        <v>1548</v>
      </c>
      <c r="D362" s="28" t="s">
        <v>1631</v>
      </c>
      <c r="E362" s="21" t="s">
        <v>1761</v>
      </c>
      <c r="F362" s="21" t="s">
        <v>1761</v>
      </c>
      <c r="G362" s="12" t="s">
        <v>1147</v>
      </c>
    </row>
    <row r="363" spans="1:7" x14ac:dyDescent="0.3">
      <c r="A363" s="28" t="s">
        <v>1470</v>
      </c>
      <c r="B363" s="28"/>
      <c r="C363" s="28" t="s">
        <v>1548</v>
      </c>
      <c r="D363" s="28" t="s">
        <v>1631</v>
      </c>
      <c r="E363" s="21" t="s">
        <v>1761</v>
      </c>
      <c r="F363" s="21" t="s">
        <v>1761</v>
      </c>
      <c r="G363" s="12" t="s">
        <v>1147</v>
      </c>
    </row>
    <row r="364" spans="1:7" x14ac:dyDescent="0.3">
      <c r="A364" s="28" t="s">
        <v>1934</v>
      </c>
      <c r="B364" s="28"/>
      <c r="C364" s="28" t="s">
        <v>1548</v>
      </c>
      <c r="D364" s="28" t="s">
        <v>1630</v>
      </c>
      <c r="E364" s="21" t="s">
        <v>1761</v>
      </c>
      <c r="F364" s="21" t="s">
        <v>1761</v>
      </c>
      <c r="G364" s="12" t="s">
        <v>1147</v>
      </c>
    </row>
    <row r="365" spans="1:7" x14ac:dyDescent="0.3">
      <c r="A365" s="28" t="s">
        <v>1935</v>
      </c>
      <c r="B365" s="28"/>
      <c r="C365" s="28" t="s">
        <v>1548</v>
      </c>
      <c r="D365" s="28" t="s">
        <v>1630</v>
      </c>
      <c r="E365" s="21" t="s">
        <v>1761</v>
      </c>
      <c r="F365" s="21" t="s">
        <v>1761</v>
      </c>
      <c r="G365" s="12" t="s">
        <v>1147</v>
      </c>
    </row>
    <row r="366" spans="1:7" x14ac:dyDescent="0.3">
      <c r="A366" s="28" t="s">
        <v>1936</v>
      </c>
      <c r="B366" s="28"/>
      <c r="C366" s="28" t="s">
        <v>1548</v>
      </c>
      <c r="D366" s="28" t="s">
        <v>1630</v>
      </c>
      <c r="E366" s="21" t="s">
        <v>1761</v>
      </c>
      <c r="F366" s="21" t="s">
        <v>1761</v>
      </c>
      <c r="G366" s="12" t="s">
        <v>1147</v>
      </c>
    </row>
    <row r="367" spans="1:7" x14ac:dyDescent="0.3">
      <c r="A367" s="28" t="s">
        <v>1937</v>
      </c>
      <c r="B367" s="28"/>
      <c r="C367" s="28" t="s">
        <v>1548</v>
      </c>
      <c r="D367" s="28" t="s">
        <v>1630</v>
      </c>
      <c r="E367" s="21" t="s">
        <v>1761</v>
      </c>
      <c r="F367" s="21" t="s">
        <v>1761</v>
      </c>
      <c r="G367" s="12" t="s">
        <v>1147</v>
      </c>
    </row>
    <row r="368" spans="1:7" x14ac:dyDescent="0.3">
      <c r="A368" s="28" t="s">
        <v>1938</v>
      </c>
      <c r="B368" s="28"/>
      <c r="C368" s="28" t="s">
        <v>1548</v>
      </c>
      <c r="D368" s="28" t="s">
        <v>1630</v>
      </c>
      <c r="E368" s="21" t="s">
        <v>1761</v>
      </c>
      <c r="F368" s="21" t="s">
        <v>1761</v>
      </c>
      <c r="G368" s="12" t="s">
        <v>1147</v>
      </c>
    </row>
    <row r="369" spans="1:7" x14ac:dyDescent="0.3">
      <c r="A369" s="28" t="s">
        <v>1939</v>
      </c>
      <c r="B369" s="28"/>
      <c r="C369" s="28" t="s">
        <v>1548</v>
      </c>
      <c r="D369" s="28" t="s">
        <v>1630</v>
      </c>
      <c r="E369" s="21" t="s">
        <v>1761</v>
      </c>
      <c r="F369" s="21" t="s">
        <v>1761</v>
      </c>
      <c r="G369" s="12" t="s">
        <v>1147</v>
      </c>
    </row>
    <row r="370" spans="1:7" x14ac:dyDescent="0.3">
      <c r="A370" s="28" t="s">
        <v>1934</v>
      </c>
      <c r="B370" s="28"/>
      <c r="C370" s="28" t="s">
        <v>1548</v>
      </c>
      <c r="D370" s="28" t="s">
        <v>1631</v>
      </c>
      <c r="E370" s="21" t="s">
        <v>1761</v>
      </c>
      <c r="F370" s="21" t="s">
        <v>1761</v>
      </c>
      <c r="G370" s="12" t="s">
        <v>1147</v>
      </c>
    </row>
    <row r="371" spans="1:7" x14ac:dyDescent="0.3">
      <c r="A371" s="28" t="s">
        <v>1935</v>
      </c>
      <c r="B371" s="28"/>
      <c r="C371" s="28" t="s">
        <v>1548</v>
      </c>
      <c r="D371" s="28" t="s">
        <v>1631</v>
      </c>
      <c r="E371" s="21" t="s">
        <v>1761</v>
      </c>
      <c r="F371" s="21" t="s">
        <v>1761</v>
      </c>
      <c r="G371" s="12" t="s">
        <v>1147</v>
      </c>
    </row>
    <row r="372" spans="1:7" x14ac:dyDescent="0.3">
      <c r="A372" s="28" t="s">
        <v>1936</v>
      </c>
      <c r="B372" s="28"/>
      <c r="C372" s="28" t="s">
        <v>1548</v>
      </c>
      <c r="D372" s="28" t="s">
        <v>1631</v>
      </c>
      <c r="E372" s="21" t="s">
        <v>1761</v>
      </c>
      <c r="F372" s="21" t="s">
        <v>1761</v>
      </c>
      <c r="G372" s="12" t="s">
        <v>1147</v>
      </c>
    </row>
    <row r="373" spans="1:7" x14ac:dyDescent="0.3">
      <c r="A373" s="28" t="s">
        <v>1937</v>
      </c>
      <c r="B373" s="28"/>
      <c r="C373" s="28" t="s">
        <v>1548</v>
      </c>
      <c r="D373" s="28" t="s">
        <v>1631</v>
      </c>
      <c r="E373" s="21" t="s">
        <v>1761</v>
      </c>
      <c r="F373" s="21" t="s">
        <v>1761</v>
      </c>
      <c r="G373" s="12" t="s">
        <v>1147</v>
      </c>
    </row>
    <row r="374" spans="1:7" x14ac:dyDescent="0.3">
      <c r="A374" s="28" t="s">
        <v>1938</v>
      </c>
      <c r="B374" s="28"/>
      <c r="C374" s="28" t="s">
        <v>1548</v>
      </c>
      <c r="D374" s="28" t="s">
        <v>1631</v>
      </c>
      <c r="E374" s="21" t="s">
        <v>1761</v>
      </c>
      <c r="F374" s="21" t="s">
        <v>1761</v>
      </c>
      <c r="G374" s="12" t="s">
        <v>1147</v>
      </c>
    </row>
    <row r="375" spans="1:7" x14ac:dyDescent="0.3">
      <c r="A375" s="28" t="s">
        <v>1939</v>
      </c>
      <c r="B375" s="28"/>
      <c r="C375" s="28" t="s">
        <v>1548</v>
      </c>
      <c r="D375" s="28" t="s">
        <v>1631</v>
      </c>
      <c r="E375" s="21" t="s">
        <v>1761</v>
      </c>
      <c r="F375" s="21" t="s">
        <v>1761</v>
      </c>
      <c r="G375" s="12" t="s">
        <v>1147</v>
      </c>
    </row>
    <row r="376" spans="1:7" x14ac:dyDescent="0.3">
      <c r="A376" s="28"/>
      <c r="B376" s="28"/>
      <c r="C376" s="28" t="s">
        <v>1548</v>
      </c>
      <c r="D376" s="28"/>
      <c r="E376" s="12" t="s">
        <v>1017</v>
      </c>
      <c r="F376" s="12" t="s">
        <v>1017</v>
      </c>
      <c r="G376" s="12" t="s">
        <v>1147</v>
      </c>
    </row>
    <row r="377" spans="1:7" x14ac:dyDescent="0.3">
      <c r="A377" s="28"/>
      <c r="B377" s="28"/>
      <c r="C377" s="28" t="s">
        <v>1548</v>
      </c>
      <c r="D377" s="28"/>
      <c r="E377" s="12" t="s">
        <v>1019</v>
      </c>
      <c r="F377" s="12" t="s">
        <v>1019</v>
      </c>
      <c r="G377" s="12" t="s">
        <v>1169</v>
      </c>
    </row>
    <row r="378" spans="1:7" x14ac:dyDescent="0.3">
      <c r="A378" s="28"/>
      <c r="B378" s="28"/>
      <c r="C378" s="28" t="s">
        <v>1548</v>
      </c>
      <c r="D378" s="28"/>
      <c r="E378" s="12" t="s">
        <v>1019</v>
      </c>
      <c r="F378" s="12" t="s">
        <v>1523</v>
      </c>
      <c r="G378" s="12" t="s">
        <v>1147</v>
      </c>
    </row>
    <row r="379" spans="1:7" x14ac:dyDescent="0.3">
      <c r="A379" s="28"/>
      <c r="B379" s="28"/>
      <c r="C379" s="28" t="s">
        <v>1548</v>
      </c>
      <c r="D379" s="28"/>
      <c r="E379" s="12" t="s">
        <v>1019</v>
      </c>
      <c r="F379" s="12" t="s">
        <v>1524</v>
      </c>
      <c r="G379" s="12" t="s">
        <v>1147</v>
      </c>
    </row>
    <row r="380" spans="1:7" x14ac:dyDescent="0.3">
      <c r="A380" s="28"/>
      <c r="B380" s="132" t="s">
        <v>878</v>
      </c>
      <c r="C380" s="28" t="s">
        <v>1548</v>
      </c>
      <c r="D380" s="28"/>
      <c r="E380" s="12" t="s">
        <v>2019</v>
      </c>
      <c r="F380" s="12" t="s">
        <v>2001</v>
      </c>
      <c r="G380" s="12" t="s">
        <v>1147</v>
      </c>
    </row>
    <row r="381" spans="1:7" x14ac:dyDescent="0.3">
      <c r="A381" s="28"/>
      <c r="B381" s="132" t="s">
        <v>878</v>
      </c>
      <c r="C381" s="28" t="s">
        <v>1548</v>
      </c>
      <c r="D381" s="28"/>
      <c r="E381" s="12" t="s">
        <v>2019</v>
      </c>
      <c r="F381" s="12" t="s">
        <v>2017</v>
      </c>
      <c r="G381" s="12" t="s">
        <v>1169</v>
      </c>
    </row>
    <row r="382" spans="1:7" x14ac:dyDescent="0.3">
      <c r="A382" s="28"/>
      <c r="B382" s="132" t="s">
        <v>878</v>
      </c>
      <c r="C382" s="28" t="s">
        <v>1548</v>
      </c>
      <c r="D382" s="28"/>
      <c r="E382" s="12" t="s">
        <v>2021</v>
      </c>
      <c r="F382" s="12" t="s">
        <v>2001</v>
      </c>
      <c r="G382" s="12" t="s">
        <v>1147</v>
      </c>
    </row>
    <row r="383" spans="1:7" x14ac:dyDescent="0.3">
      <c r="A383" s="28"/>
      <c r="B383" s="132" t="s">
        <v>878</v>
      </c>
      <c r="C383" s="28" t="s">
        <v>1548</v>
      </c>
      <c r="D383" s="28"/>
      <c r="E383" s="12" t="s">
        <v>2021</v>
      </c>
      <c r="F383" s="12" t="s">
        <v>2018</v>
      </c>
      <c r="G383" s="12" t="s">
        <v>1169</v>
      </c>
    </row>
    <row r="384" spans="1:7" x14ac:dyDescent="0.3">
      <c r="A384" s="28"/>
      <c r="B384" s="132" t="s">
        <v>1014</v>
      </c>
      <c r="C384" s="28" t="s">
        <v>1548</v>
      </c>
      <c r="D384" s="28"/>
      <c r="E384" s="12" t="s">
        <v>2023</v>
      </c>
      <c r="F384" s="12" t="s">
        <v>2001</v>
      </c>
      <c r="G384" s="12" t="s">
        <v>1147</v>
      </c>
    </row>
    <row r="385" spans="1:7" x14ac:dyDescent="0.3">
      <c r="A385" s="28"/>
      <c r="B385" s="132" t="s">
        <v>1014</v>
      </c>
      <c r="C385" s="28" t="s">
        <v>1548</v>
      </c>
      <c r="D385" s="28"/>
      <c r="E385" s="12" t="s">
        <v>2023</v>
      </c>
      <c r="F385" s="12" t="s">
        <v>2004</v>
      </c>
      <c r="G385" s="12" t="s">
        <v>1169</v>
      </c>
    </row>
    <row r="386" spans="1:7" x14ac:dyDescent="0.3">
      <c r="A386" s="28"/>
      <c r="B386" s="132" t="s">
        <v>1014</v>
      </c>
      <c r="C386" s="28" t="s">
        <v>1548</v>
      </c>
      <c r="D386" s="28"/>
      <c r="E386" s="12" t="s">
        <v>2025</v>
      </c>
      <c r="F386" s="12" t="s">
        <v>2001</v>
      </c>
      <c r="G386" s="12" t="s">
        <v>1147</v>
      </c>
    </row>
    <row r="387" spans="1:7" x14ac:dyDescent="0.3">
      <c r="A387" s="28"/>
      <c r="B387" s="132" t="s">
        <v>1014</v>
      </c>
      <c r="C387" s="28" t="s">
        <v>1548</v>
      </c>
      <c r="D387" s="28"/>
      <c r="E387" s="12" t="s">
        <v>2025</v>
      </c>
      <c r="F387" s="12" t="s">
        <v>2011</v>
      </c>
      <c r="G387" s="12" t="s">
        <v>1169</v>
      </c>
    </row>
    <row r="388" spans="1:7" x14ac:dyDescent="0.3">
      <c r="A388" s="28"/>
      <c r="B388" s="132" t="s">
        <v>1015</v>
      </c>
      <c r="C388" s="28" t="s">
        <v>1548</v>
      </c>
      <c r="D388" s="28"/>
      <c r="E388" s="12" t="s">
        <v>2027</v>
      </c>
      <c r="F388" s="12" t="s">
        <v>2001</v>
      </c>
      <c r="G388" s="12" t="s">
        <v>1147</v>
      </c>
    </row>
    <row r="389" spans="1:7" x14ac:dyDescent="0.3">
      <c r="A389" s="28"/>
      <c r="B389" s="132" t="s">
        <v>1015</v>
      </c>
      <c r="C389" s="28" t="s">
        <v>1548</v>
      </c>
      <c r="D389" s="28"/>
      <c r="E389" s="12" t="s">
        <v>2027</v>
      </c>
      <c r="F389" s="12" t="s">
        <v>2006</v>
      </c>
      <c r="G389" s="12" t="s">
        <v>1169</v>
      </c>
    </row>
    <row r="390" spans="1:7" x14ac:dyDescent="0.3">
      <c r="A390" s="28"/>
      <c r="B390" s="132" t="s">
        <v>1015</v>
      </c>
      <c r="C390" s="28" t="s">
        <v>1548</v>
      </c>
      <c r="D390" s="28"/>
      <c r="E390" s="12" t="s">
        <v>2029</v>
      </c>
      <c r="F390" s="12" t="s">
        <v>2001</v>
      </c>
      <c r="G390" s="12" t="s">
        <v>1147</v>
      </c>
    </row>
    <row r="391" spans="1:7" x14ac:dyDescent="0.3">
      <c r="A391" s="28"/>
      <c r="B391" s="132" t="s">
        <v>1015</v>
      </c>
      <c r="C391" s="28" t="s">
        <v>1548</v>
      </c>
      <c r="D391" s="28"/>
      <c r="E391" s="12" t="s">
        <v>2029</v>
      </c>
      <c r="F391" s="12" t="s">
        <v>2013</v>
      </c>
      <c r="G391" s="12" t="s">
        <v>1169</v>
      </c>
    </row>
    <row r="392" spans="1:7" x14ac:dyDescent="0.3">
      <c r="A392" s="28"/>
      <c r="B392" s="132" t="s">
        <v>1016</v>
      </c>
      <c r="C392" s="28" t="s">
        <v>1548</v>
      </c>
      <c r="D392" s="28"/>
      <c r="E392" s="12" t="s">
        <v>2031</v>
      </c>
      <c r="F392" s="12" t="s">
        <v>2001</v>
      </c>
      <c r="G392" s="12" t="s">
        <v>1147</v>
      </c>
    </row>
    <row r="393" spans="1:7" x14ac:dyDescent="0.3">
      <c r="A393" s="28"/>
      <c r="B393" s="132" t="s">
        <v>1016</v>
      </c>
      <c r="C393" s="28" t="s">
        <v>1548</v>
      </c>
      <c r="D393" s="28"/>
      <c r="E393" s="12" t="s">
        <v>2031</v>
      </c>
      <c r="F393" s="12" t="s">
        <v>2008</v>
      </c>
      <c r="G393" s="12" t="s">
        <v>1169</v>
      </c>
    </row>
    <row r="394" spans="1:7" x14ac:dyDescent="0.3">
      <c r="A394" s="28"/>
      <c r="B394" s="132" t="s">
        <v>1016</v>
      </c>
      <c r="C394" s="28" t="s">
        <v>1548</v>
      </c>
      <c r="D394" s="28"/>
      <c r="E394" s="12" t="s">
        <v>2033</v>
      </c>
      <c r="F394" s="12" t="s">
        <v>2001</v>
      </c>
      <c r="G394" s="12" t="s">
        <v>1147</v>
      </c>
    </row>
    <row r="395" spans="1:7" x14ac:dyDescent="0.3">
      <c r="A395" s="28"/>
      <c r="B395" s="132" t="s">
        <v>1016</v>
      </c>
      <c r="C395" s="28" t="s">
        <v>1548</v>
      </c>
      <c r="D395" s="28"/>
      <c r="E395" s="12" t="s">
        <v>2033</v>
      </c>
      <c r="F395" s="12" t="s">
        <v>2015</v>
      </c>
      <c r="G395" s="12" t="s">
        <v>1169</v>
      </c>
    </row>
    <row r="396" spans="1:7" x14ac:dyDescent="0.3">
      <c r="A396" s="28"/>
      <c r="B396" s="28"/>
      <c r="C396" s="28" t="s">
        <v>1548</v>
      </c>
      <c r="D396" s="28"/>
      <c r="E396" s="12" t="s">
        <v>1314</v>
      </c>
      <c r="F396" s="12" t="s">
        <v>914</v>
      </c>
      <c r="G396" s="12" t="s">
        <v>1147</v>
      </c>
    </row>
    <row r="397" spans="1:7" x14ac:dyDescent="0.3">
      <c r="A397" s="28"/>
      <c r="B397" s="28"/>
      <c r="C397" s="28" t="s">
        <v>1548</v>
      </c>
      <c r="D397" s="28"/>
      <c r="E397" s="12" t="s">
        <v>1316</v>
      </c>
      <c r="F397" s="12" t="s">
        <v>914</v>
      </c>
      <c r="G397" s="12" t="s">
        <v>1147</v>
      </c>
    </row>
    <row r="398" spans="1:7" x14ac:dyDescent="0.3">
      <c r="A398" s="28"/>
      <c r="B398" s="28"/>
      <c r="C398" s="28" t="s">
        <v>1548</v>
      </c>
      <c r="D398" s="28"/>
      <c r="E398" s="12" t="s">
        <v>1318</v>
      </c>
      <c r="F398" s="12" t="s">
        <v>916</v>
      </c>
      <c r="G398" s="12" t="s">
        <v>1147</v>
      </c>
    </row>
    <row r="399" spans="1:7" x14ac:dyDescent="0.3">
      <c r="A399" s="28"/>
      <c r="B399" s="28"/>
      <c r="C399" s="28" t="s">
        <v>1548</v>
      </c>
      <c r="D399" s="28"/>
      <c r="E399" s="12" t="s">
        <v>1320</v>
      </c>
      <c r="F399" s="12" t="s">
        <v>916</v>
      </c>
      <c r="G399" s="12" t="s">
        <v>1147</v>
      </c>
    </row>
    <row r="400" spans="1:7" x14ac:dyDescent="0.3">
      <c r="A400" s="28"/>
      <c r="B400" s="28"/>
      <c r="C400" s="28" t="s">
        <v>1548</v>
      </c>
      <c r="D400" s="28"/>
      <c r="E400" s="12" t="s">
        <v>1528</v>
      </c>
      <c r="F400" s="12" t="s">
        <v>943</v>
      </c>
      <c r="G400" s="12" t="s">
        <v>1147</v>
      </c>
    </row>
    <row r="401" spans="1:7" x14ac:dyDescent="0.3">
      <c r="A401" s="28"/>
      <c r="B401" s="28"/>
      <c r="C401" s="28" t="s">
        <v>1548</v>
      </c>
      <c r="D401" s="28"/>
      <c r="E401" s="12" t="s">
        <v>1523</v>
      </c>
      <c r="F401" s="12" t="s">
        <v>945</v>
      </c>
      <c r="G401" s="12" t="s">
        <v>1147</v>
      </c>
    </row>
    <row r="402" spans="1:7" x14ac:dyDescent="0.3">
      <c r="A402" s="28"/>
      <c r="B402" s="28"/>
      <c r="C402" s="28" t="s">
        <v>1548</v>
      </c>
      <c r="D402" s="28"/>
      <c r="E402" s="12" t="s">
        <v>1523</v>
      </c>
      <c r="F402" s="12" t="s">
        <v>947</v>
      </c>
      <c r="G402" s="12" t="s">
        <v>1147</v>
      </c>
    </row>
    <row r="403" spans="1:7" x14ac:dyDescent="0.3">
      <c r="A403" s="28"/>
      <c r="B403" s="28"/>
      <c r="C403" s="28" t="s">
        <v>1548</v>
      </c>
      <c r="D403" s="28"/>
      <c r="E403" s="12" t="s">
        <v>1524</v>
      </c>
      <c r="F403" s="12" t="s">
        <v>949</v>
      </c>
      <c r="G403" s="12" t="s">
        <v>1147</v>
      </c>
    </row>
    <row r="404" spans="1:7" x14ac:dyDescent="0.3">
      <c r="A404" s="28"/>
      <c r="B404" s="28"/>
      <c r="C404" s="28" t="s">
        <v>1548</v>
      </c>
      <c r="D404" s="28"/>
      <c r="E404" s="12" t="s">
        <v>1524</v>
      </c>
      <c r="F404" s="12" t="s">
        <v>951</v>
      </c>
      <c r="G404" s="12" t="s">
        <v>1147</v>
      </c>
    </row>
    <row r="405" spans="1:7" x14ac:dyDescent="0.3">
      <c r="A405" s="28"/>
      <c r="B405" s="28"/>
      <c r="C405" s="28" t="s">
        <v>1548</v>
      </c>
      <c r="D405" s="28"/>
      <c r="E405" s="12" t="s">
        <v>1524</v>
      </c>
      <c r="F405" s="12" t="s">
        <v>953</v>
      </c>
      <c r="G405" s="12" t="s">
        <v>1147</v>
      </c>
    </row>
    <row r="406" spans="1:7" x14ac:dyDescent="0.3">
      <c r="A406" s="28"/>
      <c r="B406" s="28"/>
      <c r="C406" s="28" t="s">
        <v>1548</v>
      </c>
      <c r="D406" s="28"/>
      <c r="E406" s="12" t="s">
        <v>1524</v>
      </c>
      <c r="F406" s="12" t="s">
        <v>955</v>
      </c>
      <c r="G406" s="12" t="s">
        <v>1147</v>
      </c>
    </row>
    <row r="407" spans="1:7" x14ac:dyDescent="0.3">
      <c r="A407" s="28"/>
      <c r="B407" s="28"/>
      <c r="C407" s="28" t="s">
        <v>1548</v>
      </c>
      <c r="D407" s="28"/>
      <c r="E407" s="12" t="s">
        <v>1525</v>
      </c>
      <c r="F407" s="12" t="s">
        <v>957</v>
      </c>
      <c r="G407" s="12" t="s">
        <v>1147</v>
      </c>
    </row>
    <row r="408" spans="1:7" x14ac:dyDescent="0.3">
      <c r="A408" s="28"/>
      <c r="B408" s="28"/>
      <c r="C408" s="28" t="s">
        <v>1548</v>
      </c>
      <c r="D408" s="28"/>
      <c r="E408" s="12" t="s">
        <v>1525</v>
      </c>
      <c r="F408" s="12" t="s">
        <v>959</v>
      </c>
      <c r="G408" s="12" t="s">
        <v>1147</v>
      </c>
    </row>
    <row r="409" spans="1:7" x14ac:dyDescent="0.3">
      <c r="A409" s="28"/>
      <c r="B409" s="28"/>
      <c r="C409" s="28" t="s">
        <v>1548</v>
      </c>
      <c r="D409" s="28"/>
      <c r="E409" s="12" t="s">
        <v>1525</v>
      </c>
      <c r="F409" s="12" t="s">
        <v>961</v>
      </c>
      <c r="G409" s="12" t="s">
        <v>1147</v>
      </c>
    </row>
    <row r="410" spans="1:7" x14ac:dyDescent="0.3">
      <c r="A410" s="28"/>
      <c r="B410" s="28"/>
      <c r="C410" s="28" t="s">
        <v>1548</v>
      </c>
      <c r="D410" s="28"/>
      <c r="E410" s="12" t="s">
        <v>1526</v>
      </c>
      <c r="F410" s="12" t="s">
        <v>963</v>
      </c>
      <c r="G410" s="12" t="s">
        <v>1147</v>
      </c>
    </row>
    <row r="411" spans="1:7" x14ac:dyDescent="0.3">
      <c r="A411" s="28"/>
      <c r="B411" s="28"/>
      <c r="C411" s="28" t="s">
        <v>1548</v>
      </c>
      <c r="D411" s="28"/>
      <c r="E411" s="12" t="s">
        <v>1526</v>
      </c>
      <c r="F411" s="12" t="s">
        <v>965</v>
      </c>
      <c r="G411" s="12" t="s">
        <v>1147</v>
      </c>
    </row>
    <row r="412" spans="1:7" x14ac:dyDescent="0.3">
      <c r="A412" s="28"/>
      <c r="B412" s="28"/>
      <c r="C412" s="28" t="s">
        <v>1548</v>
      </c>
      <c r="D412" s="28"/>
      <c r="E412" s="12" t="s">
        <v>1527</v>
      </c>
      <c r="F412" s="12" t="s">
        <v>967</v>
      </c>
      <c r="G412" s="12" t="s">
        <v>1147</v>
      </c>
    </row>
    <row r="413" spans="1:7" x14ac:dyDescent="0.3">
      <c r="A413" s="28"/>
      <c r="B413" s="28"/>
      <c r="C413" s="28" t="s">
        <v>1548</v>
      </c>
      <c r="D413" s="28"/>
      <c r="E413" s="12" t="s">
        <v>1527</v>
      </c>
      <c r="F413" s="12" t="s">
        <v>969</v>
      </c>
      <c r="G413" s="12" t="s">
        <v>1147</v>
      </c>
    </row>
    <row r="414" spans="1:7" x14ac:dyDescent="0.3">
      <c r="A414" s="28"/>
      <c r="B414" s="28"/>
      <c r="C414" s="28" t="s">
        <v>1548</v>
      </c>
      <c r="D414" s="28"/>
      <c r="E414" s="12" t="s">
        <v>1527</v>
      </c>
      <c r="F414" s="12" t="s">
        <v>1501</v>
      </c>
      <c r="G414" s="12" t="s">
        <v>1147</v>
      </c>
    </row>
    <row r="415" spans="1:7" x14ac:dyDescent="0.3">
      <c r="A415" s="28"/>
      <c r="B415" s="28"/>
      <c r="C415" s="28" t="s">
        <v>1548</v>
      </c>
      <c r="D415" s="28"/>
      <c r="E415" s="12" t="s">
        <v>1522</v>
      </c>
      <c r="F415" s="12" t="s">
        <v>941</v>
      </c>
      <c r="G415" s="12" t="s">
        <v>1147</v>
      </c>
    </row>
    <row r="416" spans="1:7" x14ac:dyDescent="0.3">
      <c r="A416" s="28"/>
      <c r="B416" s="28"/>
      <c r="C416" s="28" t="str">
        <f>_xlfn.XLOOKUP(CALCFC[[#This Row],[CalculatorCode2]],CALCS[CalculatorCode],CALCS[School Type])</f>
        <v>AllThrough</v>
      </c>
      <c r="D416" s="28"/>
      <c r="E416" s="12" t="s">
        <v>1246</v>
      </c>
      <c r="F416" s="12" t="s">
        <v>1506</v>
      </c>
      <c r="G416" s="12" t="s">
        <v>1147</v>
      </c>
    </row>
    <row r="417" spans="1:7" x14ac:dyDescent="0.3">
      <c r="A417" s="28"/>
      <c r="B417" s="28"/>
      <c r="C417" s="28" t="str">
        <f>_xlfn.XLOOKUP(CALCFC[[#This Row],[CalculatorCode2]],CALCS[CalculatorCode],CALCS[School Type])</f>
        <v>AllThrough</v>
      </c>
      <c r="D417" s="28"/>
      <c r="E417" s="12" t="s">
        <v>1246</v>
      </c>
      <c r="F417" s="12" t="s">
        <v>1506</v>
      </c>
      <c r="G417" s="12" t="s">
        <v>1158</v>
      </c>
    </row>
    <row r="418" spans="1:7" x14ac:dyDescent="0.3">
      <c r="A418" s="28"/>
      <c r="B418" s="28"/>
      <c r="C418" s="28" t="s">
        <v>1548</v>
      </c>
      <c r="D418" s="28"/>
      <c r="E418" s="12" t="s">
        <v>1254</v>
      </c>
      <c r="F418" s="12" t="s">
        <v>943</v>
      </c>
      <c r="G418" s="12" t="s">
        <v>1147</v>
      </c>
    </row>
    <row r="419" spans="1:7" x14ac:dyDescent="0.3">
      <c r="A419" s="28"/>
      <c r="B419" s="28"/>
      <c r="C419" s="28" t="s">
        <v>1548</v>
      </c>
      <c r="D419" s="28"/>
      <c r="E419" s="12" t="s">
        <v>1256</v>
      </c>
      <c r="F419" s="12" t="s">
        <v>945</v>
      </c>
      <c r="G419" s="12" t="s">
        <v>1147</v>
      </c>
    </row>
    <row r="420" spans="1:7" x14ac:dyDescent="0.3">
      <c r="A420" s="28"/>
      <c r="B420" s="28"/>
      <c r="C420" s="28" t="s">
        <v>1548</v>
      </c>
      <c r="D420" s="28"/>
      <c r="E420" s="12" t="s">
        <v>1258</v>
      </c>
      <c r="F420" s="12" t="s">
        <v>947</v>
      </c>
      <c r="G420" s="12" t="s">
        <v>1147</v>
      </c>
    </row>
    <row r="421" spans="1:7" x14ac:dyDescent="0.3">
      <c r="A421" s="28"/>
      <c r="B421" s="28"/>
      <c r="C421" s="28" t="s">
        <v>1548</v>
      </c>
      <c r="D421" s="28"/>
      <c r="E421" s="12" t="s">
        <v>1260</v>
      </c>
      <c r="F421" s="12" t="s">
        <v>949</v>
      </c>
      <c r="G421" s="12" t="s">
        <v>1147</v>
      </c>
    </row>
    <row r="422" spans="1:7" x14ac:dyDescent="0.3">
      <c r="A422" s="28"/>
      <c r="B422" s="28"/>
      <c r="C422" s="28" t="s">
        <v>1548</v>
      </c>
      <c r="D422" s="28"/>
      <c r="E422" s="12" t="s">
        <v>1262</v>
      </c>
      <c r="F422" s="12" t="s">
        <v>951</v>
      </c>
      <c r="G422" s="12" t="s">
        <v>1147</v>
      </c>
    </row>
    <row r="423" spans="1:7" x14ac:dyDescent="0.3">
      <c r="A423" s="28"/>
      <c r="B423" s="28"/>
      <c r="C423" s="28" t="s">
        <v>1548</v>
      </c>
      <c r="D423" s="28"/>
      <c r="E423" s="12" t="s">
        <v>1264</v>
      </c>
      <c r="F423" s="12" t="s">
        <v>953</v>
      </c>
      <c r="G423" s="12" t="s">
        <v>1147</v>
      </c>
    </row>
    <row r="424" spans="1:7" x14ac:dyDescent="0.3">
      <c r="A424" s="28"/>
      <c r="B424" s="28"/>
      <c r="C424" s="28" t="s">
        <v>1548</v>
      </c>
      <c r="D424" s="28"/>
      <c r="E424" s="12" t="s">
        <v>1266</v>
      </c>
      <c r="F424" s="12" t="s">
        <v>955</v>
      </c>
      <c r="G424" s="12" t="s">
        <v>1147</v>
      </c>
    </row>
    <row r="425" spans="1:7" x14ac:dyDescent="0.3">
      <c r="A425" s="28"/>
      <c r="B425" s="28"/>
      <c r="C425" s="28" t="s">
        <v>1548</v>
      </c>
      <c r="D425" s="28"/>
      <c r="E425" s="12" t="s">
        <v>1268</v>
      </c>
      <c r="F425" s="12" t="s">
        <v>957</v>
      </c>
      <c r="G425" s="12" t="s">
        <v>1147</v>
      </c>
    </row>
    <row r="426" spans="1:7" x14ac:dyDescent="0.3">
      <c r="A426" s="28"/>
      <c r="B426" s="28"/>
      <c r="C426" s="28" t="s">
        <v>1548</v>
      </c>
      <c r="D426" s="28"/>
      <c r="E426" s="12" t="s">
        <v>1270</v>
      </c>
      <c r="F426" s="12" t="s">
        <v>959</v>
      </c>
      <c r="G426" s="12" t="s">
        <v>1147</v>
      </c>
    </row>
    <row r="427" spans="1:7" x14ac:dyDescent="0.3">
      <c r="A427" s="28"/>
      <c r="B427" s="28"/>
      <c r="C427" s="28" t="s">
        <v>1548</v>
      </c>
      <c r="D427" s="28"/>
      <c r="E427" s="12" t="s">
        <v>1272</v>
      </c>
      <c r="F427" s="12" t="s">
        <v>961</v>
      </c>
      <c r="G427" s="12" t="s">
        <v>1147</v>
      </c>
    </row>
    <row r="428" spans="1:7" x14ac:dyDescent="0.3">
      <c r="A428" s="28"/>
      <c r="B428" s="28"/>
      <c r="C428" s="28" t="s">
        <v>1548</v>
      </c>
      <c r="D428" s="28"/>
      <c r="E428" s="12" t="s">
        <v>1274</v>
      </c>
      <c r="F428" s="12" t="s">
        <v>963</v>
      </c>
      <c r="G428" s="12" t="s">
        <v>1147</v>
      </c>
    </row>
    <row r="429" spans="1:7" x14ac:dyDescent="0.3">
      <c r="A429" s="28"/>
      <c r="B429" s="28"/>
      <c r="C429" s="28" t="s">
        <v>1548</v>
      </c>
      <c r="D429" s="28"/>
      <c r="E429" s="12" t="s">
        <v>1276</v>
      </c>
      <c r="F429" s="12" t="s">
        <v>965</v>
      </c>
      <c r="G429" s="12" t="s">
        <v>1147</v>
      </c>
    </row>
    <row r="430" spans="1:7" x14ac:dyDescent="0.3">
      <c r="A430" s="28"/>
      <c r="B430" s="28"/>
      <c r="C430" s="28" t="s">
        <v>1548</v>
      </c>
      <c r="D430" s="28"/>
      <c r="E430" s="12" t="s">
        <v>1278</v>
      </c>
      <c r="F430" s="12" t="s">
        <v>967</v>
      </c>
      <c r="G430" s="12" t="s">
        <v>1147</v>
      </c>
    </row>
    <row r="431" spans="1:7" x14ac:dyDescent="0.3">
      <c r="A431" s="28"/>
      <c r="B431" s="28"/>
      <c r="C431" s="28" t="s">
        <v>1548</v>
      </c>
      <c r="D431" s="28"/>
      <c r="E431" s="12" t="s">
        <v>1280</v>
      </c>
      <c r="F431" s="12" t="s">
        <v>969</v>
      </c>
      <c r="G431" s="12" t="s">
        <v>1147</v>
      </c>
    </row>
    <row r="432" spans="1:7" x14ac:dyDescent="0.3">
      <c r="A432" s="28"/>
      <c r="B432" s="28"/>
      <c r="C432" s="28" t="s">
        <v>1548</v>
      </c>
      <c r="D432" s="28"/>
      <c r="E432" s="12" t="s">
        <v>1282</v>
      </c>
      <c r="F432" s="12" t="s">
        <v>941</v>
      </c>
      <c r="G432" s="12" t="s">
        <v>1147</v>
      </c>
    </row>
    <row r="433" spans="1:7" x14ac:dyDescent="0.3">
      <c r="A433" s="28"/>
      <c r="B433" s="28"/>
      <c r="C433" s="28" t="s">
        <v>1548</v>
      </c>
      <c r="D433" s="28"/>
      <c r="E433" s="12" t="s">
        <v>1284</v>
      </c>
      <c r="F433" s="12" t="s">
        <v>971</v>
      </c>
      <c r="G433" s="12" t="s">
        <v>1147</v>
      </c>
    </row>
    <row r="434" spans="1:7" x14ac:dyDescent="0.3">
      <c r="A434" s="28"/>
      <c r="B434" s="28"/>
      <c r="C434" s="28" t="s">
        <v>1548</v>
      </c>
      <c r="D434" s="28"/>
      <c r="E434" s="12" t="s">
        <v>1284</v>
      </c>
      <c r="F434" s="12" t="s">
        <v>1023</v>
      </c>
      <c r="G434" s="12" t="s">
        <v>1169</v>
      </c>
    </row>
    <row r="435" spans="1:7" x14ac:dyDescent="0.3">
      <c r="A435" s="28"/>
      <c r="B435" s="28"/>
      <c r="C435" s="28" t="s">
        <v>1548</v>
      </c>
      <c r="D435" s="28"/>
      <c r="E435" s="12" t="s">
        <v>1286</v>
      </c>
      <c r="F435" s="12" t="s">
        <v>973</v>
      </c>
      <c r="G435" s="12" t="s">
        <v>1147</v>
      </c>
    </row>
    <row r="436" spans="1:7" x14ac:dyDescent="0.3">
      <c r="A436" s="28"/>
      <c r="B436" s="28"/>
      <c r="C436" s="28" t="s">
        <v>1548</v>
      </c>
      <c r="D436" s="28"/>
      <c r="E436" s="12" t="s">
        <v>1286</v>
      </c>
      <c r="F436" s="12" t="s">
        <v>1025</v>
      </c>
      <c r="G436" s="12" t="s">
        <v>1169</v>
      </c>
    </row>
    <row r="437" spans="1:7" x14ac:dyDescent="0.3">
      <c r="A437" s="28"/>
      <c r="B437" s="28"/>
      <c r="C437" s="28" t="s">
        <v>1548</v>
      </c>
      <c r="D437" s="28"/>
      <c r="E437" s="12" t="s">
        <v>2083</v>
      </c>
      <c r="F437" s="21" t="s">
        <v>1028</v>
      </c>
      <c r="G437" s="12" t="s">
        <v>1169</v>
      </c>
    </row>
    <row r="438" spans="1:7" x14ac:dyDescent="0.3">
      <c r="A438" s="28"/>
      <c r="B438" s="28"/>
      <c r="C438" s="28" t="s">
        <v>1548</v>
      </c>
      <c r="D438" s="28"/>
      <c r="E438" s="12" t="s">
        <v>2083</v>
      </c>
      <c r="F438" s="12" t="s">
        <v>2084</v>
      </c>
      <c r="G438" s="12" t="s">
        <v>1147</v>
      </c>
    </row>
    <row r="439" spans="1:7" x14ac:dyDescent="0.3">
      <c r="A439" s="28"/>
      <c r="B439" s="28"/>
      <c r="C439" s="28" t="str">
        <f>_xlfn.XLOOKUP(CALCFC[[#This Row],[CalculatorCode2]],CALCS[CalculatorCode],CALCS[School Type])</f>
        <v>AllThrough</v>
      </c>
      <c r="D439" s="28"/>
      <c r="E439" s="12" t="s">
        <v>2083</v>
      </c>
      <c r="F439" s="21" t="s">
        <v>1028</v>
      </c>
      <c r="G439" s="12" t="s">
        <v>1169</v>
      </c>
    </row>
    <row r="440" spans="1:7" x14ac:dyDescent="0.3">
      <c r="A440" s="28"/>
      <c r="B440" s="28"/>
      <c r="C440" s="28" t="str">
        <f>_xlfn.XLOOKUP(CALCFC[[#This Row],[CalculatorCode2]],CALCS[CalculatorCode],CALCS[School Type])</f>
        <v>AllThrough</v>
      </c>
      <c r="D440" s="28"/>
      <c r="E440" s="12" t="s">
        <v>2083</v>
      </c>
      <c r="F440" s="12" t="s">
        <v>2084</v>
      </c>
      <c r="G440" s="12" t="s">
        <v>1147</v>
      </c>
    </row>
    <row r="441" spans="1:7" x14ac:dyDescent="0.3">
      <c r="A441" s="28"/>
      <c r="B441" s="28"/>
      <c r="C441" s="28" t="s">
        <v>1548</v>
      </c>
      <c r="D441" s="28"/>
      <c r="E441" s="12" t="s">
        <v>1294</v>
      </c>
      <c r="F441" s="12" t="s">
        <v>912</v>
      </c>
      <c r="G441" s="12" t="s">
        <v>1147</v>
      </c>
    </row>
    <row r="442" spans="1:7" x14ac:dyDescent="0.3">
      <c r="A442" s="28"/>
      <c r="B442" s="28"/>
      <c r="C442" s="28" t="s">
        <v>1548</v>
      </c>
      <c r="D442" s="28"/>
      <c r="E442" s="12" t="s">
        <v>1833</v>
      </c>
      <c r="F442" s="12" t="s">
        <v>971</v>
      </c>
      <c r="G442" s="12" t="s">
        <v>1147</v>
      </c>
    </row>
    <row r="443" spans="1:7" x14ac:dyDescent="0.3">
      <c r="A443" s="28"/>
      <c r="B443" s="28"/>
      <c r="C443" s="28" t="s">
        <v>1548</v>
      </c>
      <c r="D443" s="28"/>
      <c r="E443" s="12" t="s">
        <v>1837</v>
      </c>
      <c r="F443" s="12" t="s">
        <v>973</v>
      </c>
      <c r="G443" s="12" t="s">
        <v>1147</v>
      </c>
    </row>
    <row r="444" spans="1:7" x14ac:dyDescent="0.3">
      <c r="A444" s="28"/>
      <c r="B444" s="28"/>
      <c r="C444" s="28" t="s">
        <v>1548</v>
      </c>
      <c r="D444" s="28"/>
      <c r="E444" s="12" t="s">
        <v>1296</v>
      </c>
      <c r="F444" s="12" t="s">
        <v>1554</v>
      </c>
      <c r="G444" s="12" t="s">
        <v>1147</v>
      </c>
    </row>
    <row r="445" spans="1:7" x14ac:dyDescent="0.3">
      <c r="A445" s="28"/>
      <c r="B445" s="28"/>
      <c r="C445" s="28" t="s">
        <v>1548</v>
      </c>
      <c r="D445" s="28"/>
      <c r="E445" s="12" t="s">
        <v>1296</v>
      </c>
      <c r="F445" s="12" t="s">
        <v>1556</v>
      </c>
      <c r="G445" s="12" t="s">
        <v>1147</v>
      </c>
    </row>
    <row r="446" spans="1:7" x14ac:dyDescent="0.3">
      <c r="A446" s="28"/>
      <c r="B446" s="28"/>
      <c r="C446" s="28" t="s">
        <v>1548</v>
      </c>
      <c r="D446" s="28"/>
      <c r="E446" s="12" t="s">
        <v>1296</v>
      </c>
      <c r="F446" s="12" t="s">
        <v>1575</v>
      </c>
      <c r="G446" s="12" t="s">
        <v>1169</v>
      </c>
    </row>
    <row r="447" spans="1:7" x14ac:dyDescent="0.3">
      <c r="A447" s="28"/>
      <c r="B447" s="28"/>
      <c r="C447" s="28" t="s">
        <v>1548</v>
      </c>
      <c r="D447" s="28"/>
      <c r="E447" s="12" t="s">
        <v>1558</v>
      </c>
      <c r="F447" s="12" t="s">
        <v>1623</v>
      </c>
      <c r="G447" s="12" t="s">
        <v>1147</v>
      </c>
    </row>
    <row r="448" spans="1:7" x14ac:dyDescent="0.3">
      <c r="A448" s="28"/>
      <c r="B448" s="28"/>
      <c r="C448" s="28" t="s">
        <v>1548</v>
      </c>
      <c r="D448" s="28"/>
      <c r="E448" s="12" t="s">
        <v>1558</v>
      </c>
      <c r="F448" s="12" t="s">
        <v>1560</v>
      </c>
      <c r="G448" s="12" t="s">
        <v>1147</v>
      </c>
    </row>
    <row r="449" spans="1:7" x14ac:dyDescent="0.3">
      <c r="A449" s="28"/>
      <c r="B449" s="28"/>
      <c r="C449" s="28" t="s">
        <v>1548</v>
      </c>
      <c r="D449" s="28"/>
      <c r="E449" s="12" t="s">
        <v>2050</v>
      </c>
      <c r="F449" s="12" t="s">
        <v>1558</v>
      </c>
      <c r="G449" s="12" t="s">
        <v>1147</v>
      </c>
    </row>
    <row r="450" spans="1:7" x14ac:dyDescent="0.3">
      <c r="A450" s="28"/>
      <c r="B450" s="28"/>
      <c r="C450" s="28" t="s">
        <v>1548</v>
      </c>
      <c r="D450" s="28"/>
      <c r="E450" s="12" t="s">
        <v>1560</v>
      </c>
      <c r="F450" s="12" t="s">
        <v>1554</v>
      </c>
      <c r="G450" s="12" t="s">
        <v>1147</v>
      </c>
    </row>
    <row r="451" spans="1:7" x14ac:dyDescent="0.3">
      <c r="A451" s="28"/>
      <c r="B451" s="28"/>
      <c r="C451" s="28" t="s">
        <v>1548</v>
      </c>
      <c r="D451" s="28"/>
      <c r="E451" s="12" t="s">
        <v>1560</v>
      </c>
      <c r="F451" s="12" t="s">
        <v>1556</v>
      </c>
      <c r="G451" s="12" t="s">
        <v>1147</v>
      </c>
    </row>
    <row r="452" spans="1:7" x14ac:dyDescent="0.3">
      <c r="A452" s="28"/>
      <c r="B452" s="28"/>
      <c r="C452" s="28" t="s">
        <v>1548</v>
      </c>
      <c r="D452" s="28"/>
      <c r="E452" s="12" t="s">
        <v>1560</v>
      </c>
      <c r="F452" s="12" t="s">
        <v>1573</v>
      </c>
      <c r="G452" s="12" t="s">
        <v>1169</v>
      </c>
    </row>
    <row r="453" spans="1:7" x14ac:dyDescent="0.3">
      <c r="A453" s="28"/>
      <c r="B453" s="28"/>
      <c r="C453" s="28" t="s">
        <v>1548</v>
      </c>
      <c r="D453" s="28"/>
      <c r="E453" s="12" t="s">
        <v>2052</v>
      </c>
      <c r="F453" s="12" t="s">
        <v>1560</v>
      </c>
      <c r="G453" s="12" t="s">
        <v>1147</v>
      </c>
    </row>
    <row r="454" spans="1:7" x14ac:dyDescent="0.3">
      <c r="A454" s="28"/>
      <c r="B454" s="28"/>
      <c r="C454" s="28" t="s">
        <v>1548</v>
      </c>
      <c r="D454" s="28"/>
      <c r="E454" s="12" t="s">
        <v>2036</v>
      </c>
      <c r="F454" s="12" t="s">
        <v>1575</v>
      </c>
      <c r="G454" s="12" t="s">
        <v>1147</v>
      </c>
    </row>
    <row r="455" spans="1:7" x14ac:dyDescent="0.3">
      <c r="A455" s="28"/>
      <c r="B455" s="28"/>
      <c r="C455" s="28" t="s">
        <v>1548</v>
      </c>
      <c r="D455" s="28"/>
      <c r="E455" s="12" t="s">
        <v>1580</v>
      </c>
      <c r="F455" s="12" t="s">
        <v>1621</v>
      </c>
      <c r="G455" s="12" t="s">
        <v>1147</v>
      </c>
    </row>
    <row r="456" spans="1:7" x14ac:dyDescent="0.3">
      <c r="A456" s="28"/>
      <c r="B456" s="28"/>
      <c r="C456" s="28" t="s">
        <v>1548</v>
      </c>
      <c r="D456" s="28"/>
      <c r="E456" s="12" t="s">
        <v>1580</v>
      </c>
      <c r="F456" s="12" t="s">
        <v>1575</v>
      </c>
      <c r="G456" s="12" t="s">
        <v>1169</v>
      </c>
    </row>
    <row r="457" spans="1:7" x14ac:dyDescent="0.3">
      <c r="A457" s="28"/>
      <c r="B457" s="28"/>
      <c r="C457" s="28" t="s">
        <v>1548</v>
      </c>
      <c r="D457" s="28"/>
      <c r="E457" s="12" t="s">
        <v>1513</v>
      </c>
      <c r="F457" s="12" t="s">
        <v>920</v>
      </c>
      <c r="G457" s="12" t="s">
        <v>1158</v>
      </c>
    </row>
    <row r="458" spans="1:7" x14ac:dyDescent="0.3">
      <c r="A458" s="28"/>
      <c r="B458" s="28"/>
      <c r="C458" s="28" t="s">
        <v>1548</v>
      </c>
      <c r="D458" s="28"/>
      <c r="E458" s="12" t="s">
        <v>1513</v>
      </c>
      <c r="F458" s="12" t="s">
        <v>920</v>
      </c>
      <c r="G458" s="12" t="s">
        <v>1169</v>
      </c>
    </row>
    <row r="459" spans="1:7" x14ac:dyDescent="0.3">
      <c r="A459" s="28"/>
      <c r="B459" s="28"/>
      <c r="C459" s="28" t="s">
        <v>1548</v>
      </c>
      <c r="D459" s="28"/>
      <c r="E459" s="12" t="s">
        <v>1511</v>
      </c>
      <c r="F459" s="12" t="s">
        <v>943</v>
      </c>
      <c r="G459" s="12" t="s">
        <v>1158</v>
      </c>
    </row>
    <row r="460" spans="1:7" x14ac:dyDescent="0.3">
      <c r="A460" s="28"/>
      <c r="B460" s="28"/>
      <c r="C460" s="28" t="s">
        <v>1548</v>
      </c>
      <c r="D460" s="28"/>
      <c r="E460" s="12" t="s">
        <v>1511</v>
      </c>
      <c r="F460" s="12" t="s">
        <v>943</v>
      </c>
      <c r="G460" s="12" t="s">
        <v>1169</v>
      </c>
    </row>
    <row r="461" spans="1:7" x14ac:dyDescent="0.3">
      <c r="A461" s="28"/>
      <c r="B461" s="28"/>
      <c r="C461" s="28" t="s">
        <v>1548</v>
      </c>
      <c r="D461" s="28"/>
      <c r="E461" s="12" t="s">
        <v>1221</v>
      </c>
      <c r="F461" s="12" t="s">
        <v>923</v>
      </c>
      <c r="G461" s="12" t="s">
        <v>1158</v>
      </c>
    </row>
    <row r="462" spans="1:7" x14ac:dyDescent="0.3">
      <c r="A462" s="28"/>
      <c r="B462" s="28"/>
      <c r="C462" s="28" t="s">
        <v>1548</v>
      </c>
      <c r="D462" s="28"/>
      <c r="E462" s="12" t="s">
        <v>1221</v>
      </c>
      <c r="F462" s="12" t="s">
        <v>923</v>
      </c>
      <c r="G462" s="12" t="s">
        <v>1169</v>
      </c>
    </row>
    <row r="463" spans="1:7" x14ac:dyDescent="0.3">
      <c r="A463" s="28"/>
      <c r="B463" s="28"/>
      <c r="C463" s="28" t="s">
        <v>1548</v>
      </c>
      <c r="D463" s="28"/>
      <c r="E463" s="12" t="s">
        <v>1211</v>
      </c>
      <c r="F463" s="12" t="s">
        <v>945</v>
      </c>
      <c r="G463" s="12" t="s">
        <v>1158</v>
      </c>
    </row>
    <row r="464" spans="1:7" x14ac:dyDescent="0.3">
      <c r="A464" s="28"/>
      <c r="B464" s="28"/>
      <c r="C464" s="28" t="s">
        <v>1548</v>
      </c>
      <c r="D464" s="28"/>
      <c r="E464" s="12" t="s">
        <v>1211</v>
      </c>
      <c r="F464" s="12" t="s">
        <v>945</v>
      </c>
      <c r="G464" s="12" t="s">
        <v>1169</v>
      </c>
    </row>
    <row r="465" spans="1:7" x14ac:dyDescent="0.3">
      <c r="A465" s="28"/>
      <c r="B465" s="28"/>
      <c r="C465" s="28" t="s">
        <v>1548</v>
      </c>
      <c r="D465" s="28"/>
      <c r="E465" s="12" t="s">
        <v>1211</v>
      </c>
      <c r="F465" s="12" t="s">
        <v>947</v>
      </c>
      <c r="G465" s="12" t="s">
        <v>1158</v>
      </c>
    </row>
    <row r="466" spans="1:7" x14ac:dyDescent="0.3">
      <c r="A466" s="28"/>
      <c r="B466" s="28"/>
      <c r="C466" s="28" t="s">
        <v>1548</v>
      </c>
      <c r="D466" s="28"/>
      <c r="E466" s="12" t="s">
        <v>1211</v>
      </c>
      <c r="F466" s="12" t="s">
        <v>947</v>
      </c>
      <c r="G466" s="12" t="s">
        <v>1169</v>
      </c>
    </row>
    <row r="467" spans="1:7" x14ac:dyDescent="0.3">
      <c r="A467" s="28"/>
      <c r="B467" s="28"/>
      <c r="C467" s="28" t="s">
        <v>1548</v>
      </c>
      <c r="D467" s="28"/>
      <c r="E467" s="12" t="s">
        <v>1223</v>
      </c>
      <c r="F467" s="12" t="s">
        <v>925</v>
      </c>
      <c r="G467" s="12" t="s">
        <v>1158</v>
      </c>
    </row>
    <row r="468" spans="1:7" x14ac:dyDescent="0.3">
      <c r="A468" s="28"/>
      <c r="B468" s="28"/>
      <c r="C468" s="28" t="s">
        <v>1548</v>
      </c>
      <c r="D468" s="28"/>
      <c r="E468" s="12" t="s">
        <v>1223</v>
      </c>
      <c r="F468" s="12" t="s">
        <v>925</v>
      </c>
      <c r="G468" s="12" t="s">
        <v>1169</v>
      </c>
    </row>
    <row r="469" spans="1:7" x14ac:dyDescent="0.3">
      <c r="A469" s="28"/>
      <c r="B469" s="28"/>
      <c r="C469" s="28" t="s">
        <v>1548</v>
      </c>
      <c r="D469" s="28"/>
      <c r="E469" s="12" t="s">
        <v>1213</v>
      </c>
      <c r="F469" s="12" t="s">
        <v>949</v>
      </c>
      <c r="G469" s="12" t="s">
        <v>1158</v>
      </c>
    </row>
    <row r="470" spans="1:7" x14ac:dyDescent="0.3">
      <c r="A470" s="28"/>
      <c r="B470" s="28"/>
      <c r="C470" s="28" t="s">
        <v>1548</v>
      </c>
      <c r="D470" s="28"/>
      <c r="E470" s="12" t="s">
        <v>1213</v>
      </c>
      <c r="F470" s="12" t="s">
        <v>949</v>
      </c>
      <c r="G470" s="12" t="s">
        <v>1169</v>
      </c>
    </row>
    <row r="471" spans="1:7" x14ac:dyDescent="0.3">
      <c r="A471" s="28"/>
      <c r="B471" s="28"/>
      <c r="C471" s="28" t="s">
        <v>1548</v>
      </c>
      <c r="D471" s="28"/>
      <c r="E471" s="12" t="s">
        <v>1213</v>
      </c>
      <c r="F471" s="12" t="s">
        <v>951</v>
      </c>
      <c r="G471" s="12" t="s">
        <v>1158</v>
      </c>
    </row>
    <row r="472" spans="1:7" x14ac:dyDescent="0.3">
      <c r="A472" s="28"/>
      <c r="B472" s="28"/>
      <c r="C472" s="28" t="s">
        <v>1548</v>
      </c>
      <c r="D472" s="28"/>
      <c r="E472" s="12" t="s">
        <v>1213</v>
      </c>
      <c r="F472" s="12" t="s">
        <v>951</v>
      </c>
      <c r="G472" s="12" t="s">
        <v>1169</v>
      </c>
    </row>
    <row r="473" spans="1:7" x14ac:dyDescent="0.3">
      <c r="A473" s="28"/>
      <c r="B473" s="28"/>
      <c r="C473" s="28" t="s">
        <v>1548</v>
      </c>
      <c r="D473" s="28"/>
      <c r="E473" s="12" t="s">
        <v>1213</v>
      </c>
      <c r="F473" s="12" t="s">
        <v>953</v>
      </c>
      <c r="G473" s="12" t="s">
        <v>1158</v>
      </c>
    </row>
    <row r="474" spans="1:7" x14ac:dyDescent="0.3">
      <c r="A474" s="28"/>
      <c r="B474" s="28"/>
      <c r="C474" s="28" t="s">
        <v>1548</v>
      </c>
      <c r="D474" s="28"/>
      <c r="E474" s="12" t="s">
        <v>1213</v>
      </c>
      <c r="F474" s="12" t="s">
        <v>953</v>
      </c>
      <c r="G474" s="12" t="s">
        <v>1169</v>
      </c>
    </row>
    <row r="475" spans="1:7" x14ac:dyDescent="0.3">
      <c r="A475" s="28"/>
      <c r="B475" s="28"/>
      <c r="C475" s="28" t="s">
        <v>1548</v>
      </c>
      <c r="D475" s="28"/>
      <c r="E475" s="12" t="s">
        <v>1213</v>
      </c>
      <c r="F475" s="12" t="s">
        <v>955</v>
      </c>
      <c r="G475" s="12" t="s">
        <v>1158</v>
      </c>
    </row>
    <row r="476" spans="1:7" x14ac:dyDescent="0.3">
      <c r="A476" s="28"/>
      <c r="B476" s="28"/>
      <c r="C476" s="28" t="s">
        <v>1548</v>
      </c>
      <c r="D476" s="28"/>
      <c r="E476" s="12" t="s">
        <v>1213</v>
      </c>
      <c r="F476" s="12" t="s">
        <v>955</v>
      </c>
      <c r="G476" s="12" t="s">
        <v>1169</v>
      </c>
    </row>
    <row r="477" spans="1:7" x14ac:dyDescent="0.3">
      <c r="A477" s="28"/>
      <c r="B477" s="28"/>
      <c r="C477" s="28" t="s">
        <v>1548</v>
      </c>
      <c r="D477" s="28"/>
      <c r="E477" s="12" t="s">
        <v>1225</v>
      </c>
      <c r="F477" s="12" t="s">
        <v>927</v>
      </c>
      <c r="G477" s="12" t="s">
        <v>1158</v>
      </c>
    </row>
    <row r="478" spans="1:7" x14ac:dyDescent="0.3">
      <c r="A478" s="28"/>
      <c r="B478" s="28"/>
      <c r="C478" s="28" t="s">
        <v>1548</v>
      </c>
      <c r="D478" s="28"/>
      <c r="E478" s="12" t="s">
        <v>1225</v>
      </c>
      <c r="F478" s="12" t="s">
        <v>927</v>
      </c>
      <c r="G478" s="12" t="s">
        <v>1169</v>
      </c>
    </row>
    <row r="479" spans="1:7" x14ac:dyDescent="0.3">
      <c r="A479" s="28"/>
      <c r="B479" s="28"/>
      <c r="C479" s="28" t="s">
        <v>1548</v>
      </c>
      <c r="D479" s="28"/>
      <c r="E479" s="12" t="s">
        <v>1215</v>
      </c>
      <c r="F479" s="12" t="s">
        <v>957</v>
      </c>
      <c r="G479" s="12" t="s">
        <v>1158</v>
      </c>
    </row>
    <row r="480" spans="1:7" x14ac:dyDescent="0.3">
      <c r="A480" s="28"/>
      <c r="B480" s="28"/>
      <c r="C480" s="28" t="s">
        <v>1548</v>
      </c>
      <c r="D480" s="28"/>
      <c r="E480" s="12" t="s">
        <v>1215</v>
      </c>
      <c r="F480" s="12" t="s">
        <v>957</v>
      </c>
      <c r="G480" s="12" t="s">
        <v>1169</v>
      </c>
    </row>
    <row r="481" spans="1:7" x14ac:dyDescent="0.3">
      <c r="A481" s="28"/>
      <c r="B481" s="28"/>
      <c r="C481" s="28" t="s">
        <v>1548</v>
      </c>
      <c r="D481" s="28"/>
      <c r="E481" s="12" t="s">
        <v>1215</v>
      </c>
      <c r="F481" s="12" t="s">
        <v>959</v>
      </c>
      <c r="G481" s="12" t="s">
        <v>1158</v>
      </c>
    </row>
    <row r="482" spans="1:7" x14ac:dyDescent="0.3">
      <c r="A482" s="28"/>
      <c r="B482" s="28"/>
      <c r="C482" s="28" t="s">
        <v>1548</v>
      </c>
      <c r="D482" s="28"/>
      <c r="E482" s="12" t="s">
        <v>1215</v>
      </c>
      <c r="F482" s="12" t="s">
        <v>959</v>
      </c>
      <c r="G482" s="12" t="s">
        <v>1169</v>
      </c>
    </row>
    <row r="483" spans="1:7" x14ac:dyDescent="0.3">
      <c r="A483" s="28"/>
      <c r="B483" s="28"/>
      <c r="C483" s="28" t="s">
        <v>1548</v>
      </c>
      <c r="D483" s="28"/>
      <c r="E483" s="12" t="s">
        <v>1215</v>
      </c>
      <c r="F483" s="12" t="s">
        <v>961</v>
      </c>
      <c r="G483" s="12" t="s">
        <v>1158</v>
      </c>
    </row>
    <row r="484" spans="1:7" x14ac:dyDescent="0.3">
      <c r="A484" s="28"/>
      <c r="B484" s="28"/>
      <c r="C484" s="28" t="s">
        <v>1548</v>
      </c>
      <c r="D484" s="28"/>
      <c r="E484" s="12" t="s">
        <v>1215</v>
      </c>
      <c r="F484" s="12" t="s">
        <v>961</v>
      </c>
      <c r="G484" s="12" t="s">
        <v>1169</v>
      </c>
    </row>
    <row r="485" spans="1:7" x14ac:dyDescent="0.3">
      <c r="A485" s="28"/>
      <c r="B485" s="28"/>
      <c r="C485" s="28" t="s">
        <v>1548</v>
      </c>
      <c r="D485" s="28"/>
      <c r="E485" s="12" t="s">
        <v>1227</v>
      </c>
      <c r="F485" s="12" t="s">
        <v>929</v>
      </c>
      <c r="G485" s="12" t="s">
        <v>1158</v>
      </c>
    </row>
    <row r="486" spans="1:7" x14ac:dyDescent="0.3">
      <c r="A486" s="28"/>
      <c r="B486" s="28"/>
      <c r="C486" s="28" t="s">
        <v>1548</v>
      </c>
      <c r="D486" s="28"/>
      <c r="E486" s="12" t="s">
        <v>1227</v>
      </c>
      <c r="F486" s="12" t="s">
        <v>929</v>
      </c>
      <c r="G486" s="12" t="s">
        <v>1169</v>
      </c>
    </row>
    <row r="487" spans="1:7" x14ac:dyDescent="0.3">
      <c r="A487" s="28"/>
      <c r="B487" s="28"/>
      <c r="C487" s="28" t="s">
        <v>1548</v>
      </c>
      <c r="D487" s="28"/>
      <c r="E487" s="12" t="s">
        <v>1217</v>
      </c>
      <c r="F487" s="12" t="s">
        <v>963</v>
      </c>
      <c r="G487" s="12" t="s">
        <v>1158</v>
      </c>
    </row>
    <row r="488" spans="1:7" x14ac:dyDescent="0.3">
      <c r="A488" s="28"/>
      <c r="B488" s="28"/>
      <c r="C488" s="28" t="s">
        <v>1548</v>
      </c>
      <c r="D488" s="28"/>
      <c r="E488" s="12" t="s">
        <v>1217</v>
      </c>
      <c r="F488" s="12" t="s">
        <v>963</v>
      </c>
      <c r="G488" s="12" t="s">
        <v>1169</v>
      </c>
    </row>
    <row r="489" spans="1:7" x14ac:dyDescent="0.3">
      <c r="A489" s="28"/>
      <c r="B489" s="28"/>
      <c r="C489" s="28" t="s">
        <v>1548</v>
      </c>
      <c r="D489" s="28"/>
      <c r="E489" s="12" t="s">
        <v>1217</v>
      </c>
      <c r="F489" s="12" t="s">
        <v>965</v>
      </c>
      <c r="G489" s="12" t="s">
        <v>1158</v>
      </c>
    </row>
    <row r="490" spans="1:7" x14ac:dyDescent="0.3">
      <c r="A490" s="28"/>
      <c r="B490" s="28"/>
      <c r="C490" s="28" t="s">
        <v>1548</v>
      </c>
      <c r="D490" s="28"/>
      <c r="E490" s="12" t="s">
        <v>1217</v>
      </c>
      <c r="F490" s="12" t="s">
        <v>965</v>
      </c>
      <c r="G490" s="12" t="s">
        <v>1169</v>
      </c>
    </row>
    <row r="491" spans="1:7" x14ac:dyDescent="0.3">
      <c r="A491" s="28"/>
      <c r="B491" s="28"/>
      <c r="C491" s="28" t="s">
        <v>1548</v>
      </c>
      <c r="D491" s="28"/>
      <c r="E491" s="12" t="s">
        <v>1229</v>
      </c>
      <c r="F491" s="12" t="s">
        <v>931</v>
      </c>
      <c r="G491" s="12" t="s">
        <v>1158</v>
      </c>
    </row>
    <row r="492" spans="1:7" x14ac:dyDescent="0.3">
      <c r="A492" s="28"/>
      <c r="B492" s="28"/>
      <c r="C492" s="28" t="s">
        <v>1548</v>
      </c>
      <c r="D492" s="28"/>
      <c r="E492" s="12" t="s">
        <v>1229</v>
      </c>
      <c r="F492" s="12" t="s">
        <v>931</v>
      </c>
      <c r="G492" s="12" t="s">
        <v>1169</v>
      </c>
    </row>
    <row r="493" spans="1:7" x14ac:dyDescent="0.3">
      <c r="A493" s="28"/>
      <c r="B493" s="28"/>
      <c r="C493" s="28" t="s">
        <v>1548</v>
      </c>
      <c r="D493" s="28"/>
      <c r="E493" s="12" t="s">
        <v>1219</v>
      </c>
      <c r="F493" s="12" t="s">
        <v>967</v>
      </c>
      <c r="G493" s="12" t="s">
        <v>1158</v>
      </c>
    </row>
    <row r="494" spans="1:7" x14ac:dyDescent="0.3">
      <c r="A494" s="28"/>
      <c r="B494" s="28"/>
      <c r="C494" s="28" t="s">
        <v>1548</v>
      </c>
      <c r="D494" s="28"/>
      <c r="E494" s="12" t="s">
        <v>1219</v>
      </c>
      <c r="F494" s="12" t="s">
        <v>967</v>
      </c>
      <c r="G494" s="12" t="s">
        <v>1169</v>
      </c>
    </row>
    <row r="495" spans="1:7" x14ac:dyDescent="0.3">
      <c r="A495" s="28"/>
      <c r="B495" s="28"/>
      <c r="C495" s="28" t="s">
        <v>1548</v>
      </c>
      <c r="D495" s="28"/>
      <c r="E495" s="12" t="s">
        <v>1219</v>
      </c>
      <c r="F495" s="12" t="s">
        <v>969</v>
      </c>
      <c r="G495" s="12" t="s">
        <v>1158</v>
      </c>
    </row>
    <row r="496" spans="1:7" x14ac:dyDescent="0.3">
      <c r="A496" s="28"/>
      <c r="B496" s="28"/>
      <c r="C496" s="28" t="s">
        <v>1548</v>
      </c>
      <c r="D496" s="28"/>
      <c r="E496" s="12" t="s">
        <v>1219</v>
      </c>
      <c r="F496" s="12" t="s">
        <v>969</v>
      </c>
      <c r="G496" s="12" t="s">
        <v>1169</v>
      </c>
    </row>
    <row r="497" spans="1:7" x14ac:dyDescent="0.3">
      <c r="A497" s="28"/>
      <c r="B497" s="28"/>
      <c r="C497" s="28" t="s">
        <v>1548</v>
      </c>
      <c r="D497" s="28"/>
      <c r="E497" s="12" t="s">
        <v>1219</v>
      </c>
      <c r="F497" s="12" t="s">
        <v>1501</v>
      </c>
      <c r="G497" s="12" t="s">
        <v>1158</v>
      </c>
    </row>
    <row r="498" spans="1:7" x14ac:dyDescent="0.3">
      <c r="A498" s="28"/>
      <c r="B498" s="28"/>
      <c r="C498" s="28" t="s">
        <v>1548</v>
      </c>
      <c r="D498" s="28"/>
      <c r="E498" s="12" t="s">
        <v>1219</v>
      </c>
      <c r="F498" s="12" t="s">
        <v>1501</v>
      </c>
      <c r="G498" s="12" t="s">
        <v>1169</v>
      </c>
    </row>
    <row r="499" spans="1:7" x14ac:dyDescent="0.3">
      <c r="A499" s="28"/>
      <c r="B499" s="28"/>
      <c r="C499" s="28" t="s">
        <v>1548</v>
      </c>
      <c r="D499" s="28"/>
      <c r="E499" s="12" t="s">
        <v>2093</v>
      </c>
      <c r="F499" s="21" t="s">
        <v>1586</v>
      </c>
      <c r="G499" s="12" t="s">
        <v>1147</v>
      </c>
    </row>
    <row r="500" spans="1:7" x14ac:dyDescent="0.3">
      <c r="A500" s="28"/>
      <c r="B500" s="28"/>
      <c r="C500" s="28" t="s">
        <v>1548</v>
      </c>
      <c r="D500" s="28"/>
      <c r="E500" s="12" t="s">
        <v>2093</v>
      </c>
      <c r="F500" s="12" t="s">
        <v>904</v>
      </c>
      <c r="G500" s="12" t="s">
        <v>1147</v>
      </c>
    </row>
    <row r="501" spans="1:7" x14ac:dyDescent="0.3">
      <c r="A501" s="28"/>
      <c r="B501" s="28"/>
      <c r="C501" s="28" t="s">
        <v>1548</v>
      </c>
      <c r="D501" s="28"/>
      <c r="E501" s="12" t="s">
        <v>2093</v>
      </c>
      <c r="F501" s="21" t="s">
        <v>2047</v>
      </c>
      <c r="G501" s="12" t="s">
        <v>1147</v>
      </c>
    </row>
    <row r="502" spans="1:7" x14ac:dyDescent="0.3">
      <c r="A502" s="28"/>
      <c r="B502" s="28"/>
      <c r="C502" s="28" t="s">
        <v>1548</v>
      </c>
      <c r="D502" s="28"/>
      <c r="E502" s="12" t="s">
        <v>1246</v>
      </c>
      <c r="F502" s="12" t="s">
        <v>931</v>
      </c>
      <c r="G502" s="12" t="s">
        <v>1147</v>
      </c>
    </row>
    <row r="503" spans="1:7" x14ac:dyDescent="0.3">
      <c r="A503" s="28"/>
      <c r="B503" s="28"/>
      <c r="C503" s="28" t="s">
        <v>1548</v>
      </c>
      <c r="D503" s="28"/>
      <c r="E503" s="12" t="s">
        <v>1246</v>
      </c>
      <c r="F503" s="12" t="s">
        <v>931</v>
      </c>
      <c r="G503" s="12" t="s">
        <v>1158</v>
      </c>
    </row>
    <row r="504" spans="1:7" x14ac:dyDescent="0.3">
      <c r="A504" s="28"/>
      <c r="B504" s="28"/>
      <c r="C504" s="28" t="s">
        <v>1548</v>
      </c>
      <c r="D504" s="28"/>
      <c r="E504" s="12" t="s">
        <v>1246</v>
      </c>
      <c r="F504" s="12" t="s">
        <v>1034</v>
      </c>
      <c r="G504" s="12" t="s">
        <v>1169</v>
      </c>
    </row>
    <row r="505" spans="1:7" x14ac:dyDescent="0.3">
      <c r="A505" s="28"/>
      <c r="B505" s="28"/>
      <c r="C505" s="28" t="s">
        <v>1548</v>
      </c>
      <c r="D505" s="28"/>
      <c r="E505" s="12" t="s">
        <v>1034</v>
      </c>
      <c r="F505" s="12" t="s">
        <v>1034</v>
      </c>
      <c r="G505" s="12" t="s">
        <v>1169</v>
      </c>
    </row>
    <row r="506" spans="1:7" x14ac:dyDescent="0.3">
      <c r="A506" s="28"/>
      <c r="B506" s="28"/>
      <c r="C506" s="28" t="s">
        <v>1548</v>
      </c>
      <c r="D506" s="28"/>
      <c r="E506" s="12" t="s">
        <v>1312</v>
      </c>
      <c r="F506" s="12" t="s">
        <v>1040</v>
      </c>
      <c r="G506" s="12" t="s">
        <v>1169</v>
      </c>
    </row>
    <row r="507" spans="1:7" x14ac:dyDescent="0.3">
      <c r="A507" s="28"/>
      <c r="B507" s="28"/>
      <c r="C507" s="28" t="s">
        <v>2179</v>
      </c>
      <c r="D507" s="28"/>
      <c r="E507" s="12" t="s">
        <v>1001</v>
      </c>
      <c r="F507" s="12" t="s">
        <v>1001</v>
      </c>
      <c r="G507" s="12" t="s">
        <v>1169</v>
      </c>
    </row>
    <row r="508" spans="1:7" x14ac:dyDescent="0.3">
      <c r="A508" s="28"/>
      <c r="B508" s="28"/>
      <c r="C508" s="28" t="s">
        <v>2179</v>
      </c>
      <c r="D508" s="28"/>
      <c r="E508" s="12" t="s">
        <v>1001</v>
      </c>
      <c r="F508" s="12" t="s">
        <v>1527</v>
      </c>
      <c r="G508" s="12" t="s">
        <v>1147</v>
      </c>
    </row>
    <row r="509" spans="1:7" x14ac:dyDescent="0.3">
      <c r="A509" s="28"/>
      <c r="B509" s="28"/>
      <c r="C509" s="28" t="s">
        <v>2179</v>
      </c>
      <c r="D509" s="28"/>
      <c r="E509" s="21" t="s">
        <v>2001</v>
      </c>
      <c r="F509" s="12" t="s">
        <v>967</v>
      </c>
      <c r="G509" s="12" t="s">
        <v>1147</v>
      </c>
    </row>
    <row r="510" spans="1:7" x14ac:dyDescent="0.3">
      <c r="A510" s="28"/>
      <c r="B510" s="28"/>
      <c r="C510" s="28" t="s">
        <v>2179</v>
      </c>
      <c r="D510" s="28"/>
      <c r="E510" s="21" t="s">
        <v>2001</v>
      </c>
      <c r="F510" s="12" t="s">
        <v>969</v>
      </c>
      <c r="G510" s="12" t="s">
        <v>1147</v>
      </c>
    </row>
    <row r="511" spans="1:7" x14ac:dyDescent="0.3">
      <c r="A511" s="28"/>
      <c r="B511" s="28"/>
      <c r="C511" s="28" t="s">
        <v>2179</v>
      </c>
      <c r="D511" s="28"/>
      <c r="E511" s="21" t="s">
        <v>2001</v>
      </c>
      <c r="F511" s="12" t="s">
        <v>1501</v>
      </c>
      <c r="G511" s="12" t="s">
        <v>1147</v>
      </c>
    </row>
    <row r="512" spans="1:7" x14ac:dyDescent="0.3">
      <c r="A512" s="28"/>
      <c r="B512" s="28"/>
      <c r="C512" s="28" t="s">
        <v>2179</v>
      </c>
      <c r="D512" s="28"/>
      <c r="E512" s="12" t="s">
        <v>931</v>
      </c>
      <c r="F512" s="12" t="s">
        <v>967</v>
      </c>
      <c r="G512" s="12" t="s">
        <v>1147</v>
      </c>
    </row>
    <row r="513" spans="1:7" x14ac:dyDescent="0.3">
      <c r="A513" s="28"/>
      <c r="B513" s="28"/>
      <c r="C513" s="28" t="s">
        <v>2179</v>
      </c>
      <c r="D513" s="28"/>
      <c r="E513" s="12" t="s">
        <v>931</v>
      </c>
      <c r="F513" s="12" t="s">
        <v>969</v>
      </c>
      <c r="G513" s="12" t="s">
        <v>1147</v>
      </c>
    </row>
    <row r="514" spans="1:7" x14ac:dyDescent="0.3">
      <c r="A514" s="28"/>
      <c r="B514" s="28"/>
      <c r="C514" s="28" t="s">
        <v>2179</v>
      </c>
      <c r="D514" s="28"/>
      <c r="E514" s="12" t="s">
        <v>931</v>
      </c>
      <c r="F514" s="12" t="s">
        <v>1501</v>
      </c>
      <c r="G514" s="12" t="s">
        <v>1147</v>
      </c>
    </row>
    <row r="515" spans="1:7" x14ac:dyDescent="0.3">
      <c r="A515" s="28"/>
      <c r="B515" s="28"/>
      <c r="C515" s="28" t="s">
        <v>2179</v>
      </c>
      <c r="D515" s="28"/>
      <c r="E515" s="21" t="s">
        <v>1586</v>
      </c>
      <c r="F515" s="21" t="s">
        <v>1586</v>
      </c>
      <c r="G515" s="12" t="s">
        <v>1147</v>
      </c>
    </row>
    <row r="516" spans="1:7" x14ac:dyDescent="0.3">
      <c r="A516" s="28"/>
      <c r="B516" s="28"/>
      <c r="C516" s="28" t="s">
        <v>2179</v>
      </c>
      <c r="D516" s="28"/>
      <c r="E516" s="12" t="s">
        <v>904</v>
      </c>
      <c r="F516" s="12" t="s">
        <v>904</v>
      </c>
      <c r="G516" s="12" t="s">
        <v>1147</v>
      </c>
    </row>
    <row r="517" spans="1:7" x14ac:dyDescent="0.3">
      <c r="A517" s="28"/>
      <c r="B517" s="28"/>
      <c r="C517" s="28" t="s">
        <v>2179</v>
      </c>
      <c r="D517" s="28"/>
      <c r="E517" s="12" t="s">
        <v>908</v>
      </c>
      <c r="F517" s="12" t="s">
        <v>908</v>
      </c>
      <c r="G517" s="12" t="s">
        <v>1147</v>
      </c>
    </row>
    <row r="518" spans="1:7" x14ac:dyDescent="0.3">
      <c r="A518" s="28"/>
      <c r="B518" s="28"/>
      <c r="C518" s="28" t="s">
        <v>2179</v>
      </c>
      <c r="D518" s="28"/>
      <c r="E518" s="21" t="s">
        <v>2047</v>
      </c>
      <c r="F518" s="21" t="s">
        <v>2047</v>
      </c>
      <c r="G518" s="12" t="s">
        <v>1147</v>
      </c>
    </row>
    <row r="519" spans="1:7" x14ac:dyDescent="0.3">
      <c r="A519" s="28"/>
      <c r="B519" s="28"/>
      <c r="C519" s="28" t="s">
        <v>2179</v>
      </c>
      <c r="D519" s="28"/>
      <c r="E519" s="12" t="s">
        <v>1207</v>
      </c>
      <c r="F519" s="12" t="s">
        <v>937</v>
      </c>
      <c r="G519" s="12" t="s">
        <v>1147</v>
      </c>
    </row>
    <row r="520" spans="1:7" x14ac:dyDescent="0.3">
      <c r="A520" s="28"/>
      <c r="B520" s="28"/>
      <c r="C520" s="28" t="s">
        <v>2179</v>
      </c>
      <c r="D520" s="28"/>
      <c r="E520" s="12" t="s">
        <v>1207</v>
      </c>
      <c r="F520" s="12" t="s">
        <v>1011</v>
      </c>
      <c r="G520" s="12" t="s">
        <v>1169</v>
      </c>
    </row>
    <row r="521" spans="1:7" x14ac:dyDescent="0.3">
      <c r="A521" s="28"/>
      <c r="B521" s="28"/>
      <c r="C521" s="28" t="s">
        <v>2179</v>
      </c>
      <c r="D521" s="28"/>
      <c r="E521" s="12" t="s">
        <v>1203</v>
      </c>
      <c r="F521" s="12" t="s">
        <v>933</v>
      </c>
      <c r="G521" s="12" t="s">
        <v>1147</v>
      </c>
    </row>
    <row r="522" spans="1:7" x14ac:dyDescent="0.3">
      <c r="A522" s="28"/>
      <c r="B522" s="28"/>
      <c r="C522" s="28" t="s">
        <v>2179</v>
      </c>
      <c r="D522" s="28"/>
      <c r="E522" s="12" t="s">
        <v>1203</v>
      </c>
      <c r="F522" s="12" t="s">
        <v>1009</v>
      </c>
      <c r="G522" s="12" t="s">
        <v>1169</v>
      </c>
    </row>
    <row r="523" spans="1:7" x14ac:dyDescent="0.3">
      <c r="A523" s="28"/>
      <c r="B523" s="132" t="s">
        <v>878</v>
      </c>
      <c r="C523" s="28" t="s">
        <v>2179</v>
      </c>
      <c r="D523" s="28"/>
      <c r="E523" s="12" t="s">
        <v>2019</v>
      </c>
      <c r="F523" s="12" t="s">
        <v>2001</v>
      </c>
      <c r="G523" s="12" t="s">
        <v>1147</v>
      </c>
    </row>
    <row r="524" spans="1:7" x14ac:dyDescent="0.3">
      <c r="A524" s="28"/>
      <c r="B524" s="132" t="s">
        <v>878</v>
      </c>
      <c r="C524" s="28" t="s">
        <v>2179</v>
      </c>
      <c r="D524" s="28"/>
      <c r="E524" s="12" t="s">
        <v>2019</v>
      </c>
      <c r="F524" s="12" t="s">
        <v>2017</v>
      </c>
      <c r="G524" s="12" t="s">
        <v>1169</v>
      </c>
    </row>
    <row r="525" spans="1:7" x14ac:dyDescent="0.3">
      <c r="A525" s="28"/>
      <c r="B525" s="132" t="s">
        <v>878</v>
      </c>
      <c r="C525" s="28" t="s">
        <v>2179</v>
      </c>
      <c r="D525" s="28"/>
      <c r="E525" s="12" t="s">
        <v>2021</v>
      </c>
      <c r="F525" s="12" t="s">
        <v>2001</v>
      </c>
      <c r="G525" s="12" t="s">
        <v>1147</v>
      </c>
    </row>
    <row r="526" spans="1:7" x14ac:dyDescent="0.3">
      <c r="A526" s="28"/>
      <c r="B526" s="132" t="s">
        <v>878</v>
      </c>
      <c r="C526" s="28" t="s">
        <v>2179</v>
      </c>
      <c r="D526" s="28"/>
      <c r="E526" s="12" t="s">
        <v>2021</v>
      </c>
      <c r="F526" s="12" t="s">
        <v>2018</v>
      </c>
      <c r="G526" s="12" t="s">
        <v>1169</v>
      </c>
    </row>
    <row r="527" spans="1:7" x14ac:dyDescent="0.3">
      <c r="A527" s="28"/>
      <c r="B527" s="132" t="s">
        <v>1014</v>
      </c>
      <c r="C527" s="28" t="s">
        <v>2179</v>
      </c>
      <c r="D527" s="28"/>
      <c r="E527" s="12" t="s">
        <v>2023</v>
      </c>
      <c r="F527" s="12" t="s">
        <v>2001</v>
      </c>
      <c r="G527" s="12" t="s">
        <v>1147</v>
      </c>
    </row>
    <row r="528" spans="1:7" x14ac:dyDescent="0.3">
      <c r="A528" s="28"/>
      <c r="B528" s="132" t="s">
        <v>1014</v>
      </c>
      <c r="C528" s="28" t="s">
        <v>2179</v>
      </c>
      <c r="D528" s="28"/>
      <c r="E528" s="12" t="s">
        <v>2023</v>
      </c>
      <c r="F528" s="12" t="s">
        <v>2004</v>
      </c>
      <c r="G528" s="12" t="s">
        <v>1169</v>
      </c>
    </row>
    <row r="529" spans="1:7" x14ac:dyDescent="0.3">
      <c r="A529" s="28"/>
      <c r="B529" s="132" t="s">
        <v>1014</v>
      </c>
      <c r="C529" s="28" t="s">
        <v>2179</v>
      </c>
      <c r="D529" s="28"/>
      <c r="E529" s="12" t="s">
        <v>2025</v>
      </c>
      <c r="F529" s="12" t="s">
        <v>2001</v>
      </c>
      <c r="G529" s="12" t="s">
        <v>1147</v>
      </c>
    </row>
    <row r="530" spans="1:7" x14ac:dyDescent="0.3">
      <c r="A530" s="28"/>
      <c r="B530" s="132" t="s">
        <v>1014</v>
      </c>
      <c r="C530" s="28" t="s">
        <v>2179</v>
      </c>
      <c r="D530" s="28"/>
      <c r="E530" s="12" t="s">
        <v>2025</v>
      </c>
      <c r="F530" s="12" t="s">
        <v>2011</v>
      </c>
      <c r="G530" s="12" t="s">
        <v>1169</v>
      </c>
    </row>
    <row r="531" spans="1:7" x14ac:dyDescent="0.3">
      <c r="A531" s="28"/>
      <c r="B531" s="132" t="s">
        <v>1015</v>
      </c>
      <c r="C531" s="28" t="s">
        <v>2179</v>
      </c>
      <c r="D531" s="28"/>
      <c r="E531" s="12" t="s">
        <v>2027</v>
      </c>
      <c r="F531" s="12" t="s">
        <v>2001</v>
      </c>
      <c r="G531" s="12" t="s">
        <v>1147</v>
      </c>
    </row>
    <row r="532" spans="1:7" x14ac:dyDescent="0.3">
      <c r="A532" s="28"/>
      <c r="B532" s="132" t="s">
        <v>1015</v>
      </c>
      <c r="C532" s="28" t="s">
        <v>2179</v>
      </c>
      <c r="D532" s="28"/>
      <c r="E532" s="12" t="s">
        <v>2027</v>
      </c>
      <c r="F532" s="12" t="s">
        <v>2006</v>
      </c>
      <c r="G532" s="12" t="s">
        <v>1169</v>
      </c>
    </row>
    <row r="533" spans="1:7" x14ac:dyDescent="0.3">
      <c r="A533" s="28"/>
      <c r="B533" s="132" t="s">
        <v>1015</v>
      </c>
      <c r="C533" s="28" t="s">
        <v>2179</v>
      </c>
      <c r="D533" s="28"/>
      <c r="E533" s="12" t="s">
        <v>2029</v>
      </c>
      <c r="F533" s="12" t="s">
        <v>2001</v>
      </c>
      <c r="G533" s="12" t="s">
        <v>1147</v>
      </c>
    </row>
    <row r="534" spans="1:7" x14ac:dyDescent="0.3">
      <c r="A534" s="28"/>
      <c r="B534" s="132" t="s">
        <v>1015</v>
      </c>
      <c r="C534" s="28" t="s">
        <v>2179</v>
      </c>
      <c r="D534" s="28"/>
      <c r="E534" s="12" t="s">
        <v>2029</v>
      </c>
      <c r="F534" s="12" t="s">
        <v>2013</v>
      </c>
      <c r="G534" s="12" t="s">
        <v>1169</v>
      </c>
    </row>
    <row r="535" spans="1:7" x14ac:dyDescent="0.3">
      <c r="A535" s="28"/>
      <c r="B535" s="132" t="s">
        <v>1016</v>
      </c>
      <c r="C535" s="28" t="s">
        <v>2179</v>
      </c>
      <c r="D535" s="28"/>
      <c r="E535" s="12" t="s">
        <v>2031</v>
      </c>
      <c r="F535" s="12" t="s">
        <v>2001</v>
      </c>
      <c r="G535" s="12" t="s">
        <v>1147</v>
      </c>
    </row>
    <row r="536" spans="1:7" x14ac:dyDescent="0.3">
      <c r="A536" s="28"/>
      <c r="B536" s="132" t="s">
        <v>1016</v>
      </c>
      <c r="C536" s="28" t="s">
        <v>2179</v>
      </c>
      <c r="D536" s="28"/>
      <c r="E536" s="12" t="s">
        <v>2031</v>
      </c>
      <c r="F536" s="12" t="s">
        <v>2008</v>
      </c>
      <c r="G536" s="12" t="s">
        <v>1169</v>
      </c>
    </row>
    <row r="537" spans="1:7" x14ac:dyDescent="0.3">
      <c r="A537" s="28"/>
      <c r="B537" s="132" t="s">
        <v>1016</v>
      </c>
      <c r="C537" s="28" t="s">
        <v>2179</v>
      </c>
      <c r="D537" s="28"/>
      <c r="E537" s="12" t="s">
        <v>2033</v>
      </c>
      <c r="F537" s="12" t="s">
        <v>2001</v>
      </c>
      <c r="G537" s="12" t="s">
        <v>1147</v>
      </c>
    </row>
    <row r="538" spans="1:7" x14ac:dyDescent="0.3">
      <c r="A538" s="28"/>
      <c r="B538" s="132" t="s">
        <v>1016</v>
      </c>
      <c r="C538" s="28" t="s">
        <v>2179</v>
      </c>
      <c r="D538" s="28"/>
      <c r="E538" s="12" t="s">
        <v>2033</v>
      </c>
      <c r="F538" s="12" t="s">
        <v>2015</v>
      </c>
      <c r="G538" s="12" t="s">
        <v>1169</v>
      </c>
    </row>
    <row r="539" spans="1:7" x14ac:dyDescent="0.3">
      <c r="A539" s="28"/>
      <c r="B539" s="28"/>
      <c r="C539" s="28" t="s">
        <v>2179</v>
      </c>
      <c r="D539" s="28"/>
      <c r="E539" s="12" t="s">
        <v>1527</v>
      </c>
      <c r="F539" s="12" t="s">
        <v>967</v>
      </c>
      <c r="G539" s="12" t="s">
        <v>1147</v>
      </c>
    </row>
    <row r="540" spans="1:7" x14ac:dyDescent="0.3">
      <c r="A540" s="28"/>
      <c r="B540" s="28"/>
      <c r="C540" s="28" t="s">
        <v>2179</v>
      </c>
      <c r="D540" s="28"/>
      <c r="E540" s="12" t="s">
        <v>1527</v>
      </c>
      <c r="F540" s="12" t="s">
        <v>969</v>
      </c>
      <c r="G540" s="12" t="s">
        <v>1147</v>
      </c>
    </row>
    <row r="541" spans="1:7" x14ac:dyDescent="0.3">
      <c r="A541" s="28"/>
      <c r="B541" s="28"/>
      <c r="C541" s="28" t="s">
        <v>2179</v>
      </c>
      <c r="D541" s="28"/>
      <c r="E541" s="12" t="s">
        <v>1527</v>
      </c>
      <c r="F541" s="12" t="s">
        <v>1501</v>
      </c>
      <c r="G541" s="12" t="s">
        <v>1147</v>
      </c>
    </row>
    <row r="542" spans="1:7" x14ac:dyDescent="0.3">
      <c r="A542" s="28"/>
      <c r="B542" s="28"/>
      <c r="C542" s="28" t="s">
        <v>2179</v>
      </c>
      <c r="D542" s="28"/>
      <c r="E542" s="12" t="s">
        <v>1276</v>
      </c>
      <c r="F542" s="12" t="s">
        <v>965</v>
      </c>
      <c r="G542" s="12" t="s">
        <v>1147</v>
      </c>
    </row>
    <row r="543" spans="1:7" x14ac:dyDescent="0.3">
      <c r="A543" s="28"/>
      <c r="B543" s="28"/>
      <c r="C543" s="28" t="s">
        <v>2179</v>
      </c>
      <c r="D543" s="28"/>
      <c r="E543" s="12" t="s">
        <v>1278</v>
      </c>
      <c r="F543" s="12" t="s">
        <v>967</v>
      </c>
      <c r="G543" s="12" t="s">
        <v>1147</v>
      </c>
    </row>
    <row r="544" spans="1:7" x14ac:dyDescent="0.3">
      <c r="A544" s="28"/>
      <c r="B544" s="28"/>
      <c r="C544" s="28" t="s">
        <v>2179</v>
      </c>
      <c r="D544" s="28"/>
      <c r="E544" s="12" t="s">
        <v>1280</v>
      </c>
      <c r="F544" s="12" t="s">
        <v>969</v>
      </c>
      <c r="G544" s="12" t="s">
        <v>1147</v>
      </c>
    </row>
    <row r="545" spans="1:7" x14ac:dyDescent="0.3">
      <c r="A545" s="28"/>
      <c r="B545" s="28"/>
      <c r="C545" s="28" t="s">
        <v>2179</v>
      </c>
      <c r="D545" s="28"/>
      <c r="E545" s="12" t="s">
        <v>1229</v>
      </c>
      <c r="F545" s="12" t="s">
        <v>931</v>
      </c>
      <c r="G545" s="12" t="s">
        <v>1158</v>
      </c>
    </row>
    <row r="546" spans="1:7" x14ac:dyDescent="0.3">
      <c r="A546" s="28"/>
      <c r="B546" s="28"/>
      <c r="C546" s="28" t="s">
        <v>2179</v>
      </c>
      <c r="D546" s="28"/>
      <c r="E546" s="12" t="s">
        <v>1229</v>
      </c>
      <c r="F546" s="12" t="s">
        <v>931</v>
      </c>
      <c r="G546" s="12" t="s">
        <v>1169</v>
      </c>
    </row>
    <row r="547" spans="1:7" x14ac:dyDescent="0.3">
      <c r="A547" s="28"/>
      <c r="B547" s="28"/>
      <c r="C547" s="28" t="s">
        <v>2179</v>
      </c>
      <c r="D547" s="28"/>
      <c r="E547" s="12" t="s">
        <v>1219</v>
      </c>
      <c r="F547" s="12" t="s">
        <v>967</v>
      </c>
      <c r="G547" s="12" t="s">
        <v>1158</v>
      </c>
    </row>
    <row r="548" spans="1:7" x14ac:dyDescent="0.3">
      <c r="A548" s="28"/>
      <c r="B548" s="28"/>
      <c r="C548" s="28" t="s">
        <v>2179</v>
      </c>
      <c r="D548" s="28"/>
      <c r="E548" s="12" t="s">
        <v>1219</v>
      </c>
      <c r="F548" s="12" t="s">
        <v>967</v>
      </c>
      <c r="G548" s="12" t="s">
        <v>1169</v>
      </c>
    </row>
    <row r="549" spans="1:7" x14ac:dyDescent="0.3">
      <c r="A549" s="28"/>
      <c r="B549" s="28"/>
      <c r="C549" s="28" t="s">
        <v>2179</v>
      </c>
      <c r="D549" s="28"/>
      <c r="E549" s="12" t="s">
        <v>1219</v>
      </c>
      <c r="F549" s="12" t="s">
        <v>969</v>
      </c>
      <c r="G549" s="12" t="s">
        <v>1158</v>
      </c>
    </row>
    <row r="550" spans="1:7" x14ac:dyDescent="0.3">
      <c r="A550" s="28"/>
      <c r="B550" s="28"/>
      <c r="C550" s="28" t="s">
        <v>2179</v>
      </c>
      <c r="D550" s="28"/>
      <c r="E550" s="12" t="s">
        <v>1219</v>
      </c>
      <c r="F550" s="12" t="s">
        <v>969</v>
      </c>
      <c r="G550" s="12" t="s">
        <v>1169</v>
      </c>
    </row>
    <row r="551" spans="1:7" x14ac:dyDescent="0.3">
      <c r="A551" s="28"/>
      <c r="B551" s="28"/>
      <c r="C551" s="28" t="s">
        <v>2179</v>
      </c>
      <c r="D551" s="28"/>
      <c r="E551" s="12" t="s">
        <v>1219</v>
      </c>
      <c r="F551" s="12" t="s">
        <v>1501</v>
      </c>
      <c r="G551" s="12" t="s">
        <v>1158</v>
      </c>
    </row>
    <row r="552" spans="1:7" x14ac:dyDescent="0.3">
      <c r="A552" s="28"/>
      <c r="B552" s="28"/>
      <c r="C552" s="28" t="s">
        <v>2179</v>
      </c>
      <c r="D552" s="28"/>
      <c r="E552" s="12" t="s">
        <v>1219</v>
      </c>
      <c r="F552" s="12" t="s">
        <v>1501</v>
      </c>
      <c r="G552" s="12" t="s">
        <v>1169</v>
      </c>
    </row>
    <row r="553" spans="1:7" x14ac:dyDescent="0.3">
      <c r="A553" s="28"/>
      <c r="B553" s="28"/>
      <c r="C553" s="28" t="s">
        <v>2179</v>
      </c>
      <c r="D553" s="28"/>
      <c r="E553" s="12" t="s">
        <v>2093</v>
      </c>
      <c r="F553" s="21" t="s">
        <v>1586</v>
      </c>
      <c r="G553" s="12" t="s">
        <v>1147</v>
      </c>
    </row>
    <row r="554" spans="1:7" x14ac:dyDescent="0.3">
      <c r="A554" s="28"/>
      <c r="B554" s="28"/>
      <c r="C554" s="28" t="s">
        <v>2179</v>
      </c>
      <c r="D554" s="28"/>
      <c r="E554" s="12" t="s">
        <v>2093</v>
      </c>
      <c r="F554" s="12" t="s">
        <v>904</v>
      </c>
      <c r="G554" s="12" t="s">
        <v>1147</v>
      </c>
    </row>
    <row r="555" spans="1:7" x14ac:dyDescent="0.3">
      <c r="A555" s="28"/>
      <c r="B555" s="28"/>
      <c r="C555" s="28" t="s">
        <v>2179</v>
      </c>
      <c r="D555" s="28"/>
      <c r="E555" s="12" t="s">
        <v>2093</v>
      </c>
      <c r="F555" s="21" t="s">
        <v>2047</v>
      </c>
      <c r="G555" s="12" t="s">
        <v>1147</v>
      </c>
    </row>
    <row r="556" spans="1:7" x14ac:dyDescent="0.3">
      <c r="A556" s="28"/>
      <c r="B556" s="28"/>
      <c r="C556" s="28" t="s">
        <v>2179</v>
      </c>
      <c r="D556" s="28"/>
      <c r="E556" s="12" t="s">
        <v>1246</v>
      </c>
      <c r="F556" s="12" t="s">
        <v>931</v>
      </c>
      <c r="G556" s="12" t="s">
        <v>1147</v>
      </c>
    </row>
    <row r="557" spans="1:7" x14ac:dyDescent="0.3">
      <c r="A557" s="28"/>
      <c r="B557" s="28"/>
      <c r="C557" s="28" t="s">
        <v>2179</v>
      </c>
      <c r="D557" s="28"/>
      <c r="E557" s="12" t="s">
        <v>1246</v>
      </c>
      <c r="F557" s="12" t="s">
        <v>931</v>
      </c>
      <c r="G557" s="12" t="s">
        <v>1158</v>
      </c>
    </row>
    <row r="558" spans="1:7" x14ac:dyDescent="0.3">
      <c r="A558" s="28"/>
      <c r="B558" s="28"/>
      <c r="C558" s="28" t="s">
        <v>2179</v>
      </c>
      <c r="D558" s="28"/>
      <c r="E558" s="12" t="s">
        <v>1246</v>
      </c>
      <c r="F558" s="12" t="s">
        <v>1034</v>
      </c>
      <c r="G558" s="12" t="s">
        <v>1169</v>
      </c>
    </row>
    <row r="559" spans="1:7" x14ac:dyDescent="0.3">
      <c r="A559" s="28"/>
      <c r="B559" s="28"/>
      <c r="C559" s="28" t="s">
        <v>2179</v>
      </c>
      <c r="D559" s="28"/>
      <c r="E559" s="12" t="s">
        <v>1034</v>
      </c>
      <c r="F559" s="12" t="s">
        <v>1034</v>
      </c>
      <c r="G559" s="12" t="s">
        <v>1169</v>
      </c>
    </row>
    <row r="560" spans="1:7" x14ac:dyDescent="0.3">
      <c r="A560" s="28"/>
      <c r="B560" s="28"/>
      <c r="C560" s="28" t="s">
        <v>2179</v>
      </c>
      <c r="D560" s="28"/>
      <c r="E560" s="12" t="s">
        <v>1312</v>
      </c>
      <c r="F560" s="12" t="s">
        <v>1040</v>
      </c>
      <c r="G560" s="12" t="s">
        <v>1169</v>
      </c>
    </row>
    <row r="561" spans="1:7" x14ac:dyDescent="0.3">
      <c r="A561" s="28"/>
      <c r="B561" s="28"/>
      <c r="C561" s="28" t="s">
        <v>2178</v>
      </c>
      <c r="D561" s="28"/>
      <c r="E561" s="12" t="s">
        <v>1517</v>
      </c>
      <c r="F561" s="12" t="s">
        <v>1517</v>
      </c>
      <c r="G561" s="12" t="s">
        <v>1169</v>
      </c>
    </row>
    <row r="562" spans="1:7" x14ac:dyDescent="0.3">
      <c r="A562" s="28"/>
      <c r="B562" s="28"/>
      <c r="C562" s="28" t="s">
        <v>2178</v>
      </c>
      <c r="D562" s="28"/>
      <c r="E562" s="12" t="s">
        <v>1517</v>
      </c>
      <c r="F562" s="12" t="s">
        <v>1522</v>
      </c>
      <c r="G562" s="12" t="s">
        <v>1147</v>
      </c>
    </row>
    <row r="563" spans="1:7" x14ac:dyDescent="0.3">
      <c r="A563" s="28"/>
      <c r="B563" s="28"/>
      <c r="C563" s="28" t="s">
        <v>2178</v>
      </c>
      <c r="D563" s="28"/>
      <c r="E563" s="12" t="s">
        <v>1003</v>
      </c>
      <c r="F563" s="12" t="s">
        <v>1003</v>
      </c>
      <c r="G563" s="12" t="s">
        <v>1169</v>
      </c>
    </row>
    <row r="564" spans="1:7" x14ac:dyDescent="0.3">
      <c r="A564" s="28"/>
      <c r="B564" s="28"/>
      <c r="C564" s="28" t="s">
        <v>2178</v>
      </c>
      <c r="D564" s="28"/>
      <c r="E564" s="12" t="s">
        <v>1003</v>
      </c>
      <c r="F564" s="12" t="s">
        <v>1528</v>
      </c>
      <c r="G564" s="12" t="s">
        <v>1147</v>
      </c>
    </row>
    <row r="565" spans="1:7" x14ac:dyDescent="0.3">
      <c r="A565" s="28"/>
      <c r="B565" s="28"/>
      <c r="C565" s="28" t="s">
        <v>2178</v>
      </c>
      <c r="D565" s="28"/>
      <c r="E565" s="12" t="s">
        <v>1003</v>
      </c>
      <c r="F565" s="12" t="s">
        <v>1523</v>
      </c>
      <c r="G565" s="12" t="s">
        <v>1147</v>
      </c>
    </row>
    <row r="566" spans="1:7" x14ac:dyDescent="0.3">
      <c r="A566" s="28"/>
      <c r="B566" s="28"/>
      <c r="C566" s="28" t="s">
        <v>2178</v>
      </c>
      <c r="D566" s="28"/>
      <c r="E566" s="21" t="s">
        <v>2084</v>
      </c>
      <c r="F566" s="21" t="s">
        <v>941</v>
      </c>
      <c r="G566" s="12" t="s">
        <v>1147</v>
      </c>
    </row>
    <row r="567" spans="1:7" x14ac:dyDescent="0.3">
      <c r="A567" s="28"/>
      <c r="B567" s="28"/>
      <c r="C567" s="28" t="s">
        <v>2178</v>
      </c>
      <c r="D567" s="28"/>
      <c r="E567" s="12" t="s">
        <v>920</v>
      </c>
      <c r="F567" s="12" t="s">
        <v>943</v>
      </c>
      <c r="G567" s="12" t="s">
        <v>1147</v>
      </c>
    </row>
    <row r="568" spans="1:7" x14ac:dyDescent="0.3">
      <c r="A568" s="28"/>
      <c r="B568" s="28"/>
      <c r="C568" s="28" t="s">
        <v>2178</v>
      </c>
      <c r="D568" s="28"/>
      <c r="E568" s="12" t="s">
        <v>923</v>
      </c>
      <c r="F568" s="12" t="s">
        <v>945</v>
      </c>
      <c r="G568" s="12" t="s">
        <v>1147</v>
      </c>
    </row>
    <row r="569" spans="1:7" x14ac:dyDescent="0.3">
      <c r="A569" s="28"/>
      <c r="B569" s="28"/>
      <c r="C569" s="28" t="s">
        <v>2178</v>
      </c>
      <c r="D569" s="28"/>
      <c r="E569" s="12" t="s">
        <v>923</v>
      </c>
      <c r="F569" s="12" t="s">
        <v>947</v>
      </c>
      <c r="G569" s="12" t="s">
        <v>1147</v>
      </c>
    </row>
    <row r="570" spans="1:7" x14ac:dyDescent="0.3">
      <c r="A570" s="28"/>
      <c r="B570" s="28"/>
      <c r="C570" s="28" t="s">
        <v>2178</v>
      </c>
      <c r="D570" s="28"/>
      <c r="E570" s="12" t="s">
        <v>1563</v>
      </c>
      <c r="F570" s="12" t="s">
        <v>943</v>
      </c>
      <c r="G570" s="12" t="s">
        <v>1147</v>
      </c>
    </row>
    <row r="571" spans="1:7" x14ac:dyDescent="0.3">
      <c r="A571" s="28"/>
      <c r="B571" s="28"/>
      <c r="C571" s="28" t="s">
        <v>2178</v>
      </c>
      <c r="D571" s="28"/>
      <c r="E571" s="12" t="s">
        <v>1563</v>
      </c>
      <c r="F571" s="12" t="s">
        <v>945</v>
      </c>
      <c r="G571" s="12" t="s">
        <v>1147</v>
      </c>
    </row>
    <row r="572" spans="1:7" x14ac:dyDescent="0.3">
      <c r="A572" s="28"/>
      <c r="B572" s="28"/>
      <c r="C572" s="28" t="s">
        <v>2178</v>
      </c>
      <c r="D572" s="28"/>
      <c r="E572" s="12" t="s">
        <v>1563</v>
      </c>
      <c r="F572" s="12" t="s">
        <v>947</v>
      </c>
      <c r="G572" s="12" t="s">
        <v>1147</v>
      </c>
    </row>
    <row r="573" spans="1:7" x14ac:dyDescent="0.3">
      <c r="A573" s="28"/>
      <c r="B573" s="28"/>
      <c r="C573" s="28" t="s">
        <v>2178</v>
      </c>
      <c r="D573" s="28"/>
      <c r="E573" s="12" t="s">
        <v>906</v>
      </c>
      <c r="F573" s="12" t="s">
        <v>906</v>
      </c>
      <c r="G573" s="12" t="s">
        <v>1147</v>
      </c>
    </row>
    <row r="574" spans="1:7" x14ac:dyDescent="0.3">
      <c r="A574" s="28"/>
      <c r="B574" s="28"/>
      <c r="C574" s="28" t="s">
        <v>2178</v>
      </c>
      <c r="D574" s="28"/>
      <c r="E574" s="12" t="s">
        <v>910</v>
      </c>
      <c r="F574" s="12" t="s">
        <v>910</v>
      </c>
      <c r="G574" s="12" t="s">
        <v>1147</v>
      </c>
    </row>
    <row r="575" spans="1:7" x14ac:dyDescent="0.3">
      <c r="A575" s="28"/>
      <c r="B575" s="28"/>
      <c r="C575" s="28" t="s">
        <v>2178</v>
      </c>
      <c r="D575" s="28"/>
      <c r="E575" s="12" t="s">
        <v>1209</v>
      </c>
      <c r="F575" s="12" t="s">
        <v>939</v>
      </c>
      <c r="G575" s="12" t="s">
        <v>1147</v>
      </c>
    </row>
    <row r="576" spans="1:7" x14ac:dyDescent="0.3">
      <c r="A576" s="28"/>
      <c r="B576" s="28"/>
      <c r="C576" s="28" t="s">
        <v>2178</v>
      </c>
      <c r="D576" s="28"/>
      <c r="E576" s="12" t="s">
        <v>1209</v>
      </c>
      <c r="F576" s="12" t="s">
        <v>1011</v>
      </c>
      <c r="G576" s="12" t="s">
        <v>1169</v>
      </c>
    </row>
    <row r="577" spans="1:7" x14ac:dyDescent="0.3">
      <c r="A577" s="28"/>
      <c r="B577" s="28"/>
      <c r="C577" s="28" t="s">
        <v>2178</v>
      </c>
      <c r="D577" s="28"/>
      <c r="E577" s="12" t="s">
        <v>1205</v>
      </c>
      <c r="F577" s="12" t="s">
        <v>935</v>
      </c>
      <c r="G577" s="12" t="s">
        <v>1147</v>
      </c>
    </row>
    <row r="578" spans="1:7" x14ac:dyDescent="0.3">
      <c r="A578" s="28"/>
      <c r="B578" s="28"/>
      <c r="C578" s="28" t="s">
        <v>2178</v>
      </c>
      <c r="D578" s="28"/>
      <c r="E578" s="12" t="s">
        <v>1205</v>
      </c>
      <c r="F578" s="12" t="s">
        <v>1009</v>
      </c>
      <c r="G578" s="12" t="s">
        <v>1169</v>
      </c>
    </row>
    <row r="579" spans="1:7" x14ac:dyDescent="0.3">
      <c r="A579" s="28" t="s">
        <v>1464</v>
      </c>
      <c r="B579" s="28"/>
      <c r="C579" s="28" t="s">
        <v>2178</v>
      </c>
      <c r="D579" s="28" t="s">
        <v>1630</v>
      </c>
      <c r="E579" s="21" t="s">
        <v>1761</v>
      </c>
      <c r="F579" s="21" t="s">
        <v>1761</v>
      </c>
      <c r="G579" s="12" t="s">
        <v>1147</v>
      </c>
    </row>
    <row r="580" spans="1:7" x14ac:dyDescent="0.3">
      <c r="A580" s="28" t="s">
        <v>1466</v>
      </c>
      <c r="B580" s="28"/>
      <c r="C580" s="28" t="s">
        <v>2178</v>
      </c>
      <c r="D580" s="28" t="s">
        <v>1630</v>
      </c>
      <c r="E580" s="21" t="s">
        <v>1761</v>
      </c>
      <c r="F580" s="21" t="s">
        <v>1761</v>
      </c>
      <c r="G580" s="12" t="s">
        <v>1147</v>
      </c>
    </row>
    <row r="581" spans="1:7" x14ac:dyDescent="0.3">
      <c r="A581" s="28" t="s">
        <v>1467</v>
      </c>
      <c r="B581" s="28"/>
      <c r="C581" s="28" t="s">
        <v>2178</v>
      </c>
      <c r="D581" s="28" t="s">
        <v>1630</v>
      </c>
      <c r="E581" s="21" t="s">
        <v>1761</v>
      </c>
      <c r="F581" s="21" t="s">
        <v>1761</v>
      </c>
      <c r="G581" s="12" t="s">
        <v>1147</v>
      </c>
    </row>
    <row r="582" spans="1:7" x14ac:dyDescent="0.3">
      <c r="A582" s="28" t="s">
        <v>1468</v>
      </c>
      <c r="B582" s="28"/>
      <c r="C582" s="28" t="s">
        <v>2178</v>
      </c>
      <c r="D582" s="28" t="s">
        <v>1630</v>
      </c>
      <c r="E582" s="21" t="s">
        <v>1761</v>
      </c>
      <c r="F582" s="21" t="s">
        <v>1761</v>
      </c>
      <c r="G582" s="12" t="s">
        <v>1147</v>
      </c>
    </row>
    <row r="583" spans="1:7" x14ac:dyDescent="0.3">
      <c r="A583" s="28" t="s">
        <v>1469</v>
      </c>
      <c r="B583" s="28"/>
      <c r="C583" s="28" t="s">
        <v>2178</v>
      </c>
      <c r="D583" s="28" t="s">
        <v>1630</v>
      </c>
      <c r="E583" s="21" t="s">
        <v>1761</v>
      </c>
      <c r="F583" s="21" t="s">
        <v>1761</v>
      </c>
      <c r="G583" s="12" t="s">
        <v>1147</v>
      </c>
    </row>
    <row r="584" spans="1:7" x14ac:dyDescent="0.3">
      <c r="A584" s="28" t="s">
        <v>1470</v>
      </c>
      <c r="B584" s="28"/>
      <c r="C584" s="28" t="s">
        <v>2178</v>
      </c>
      <c r="D584" s="28" t="s">
        <v>1630</v>
      </c>
      <c r="E584" s="21" t="s">
        <v>1761</v>
      </c>
      <c r="F584" s="21" t="s">
        <v>1761</v>
      </c>
      <c r="G584" s="12" t="s">
        <v>1147</v>
      </c>
    </row>
    <row r="585" spans="1:7" x14ac:dyDescent="0.3">
      <c r="A585" s="28" t="s">
        <v>1934</v>
      </c>
      <c r="B585" s="28"/>
      <c r="C585" s="28" t="s">
        <v>2178</v>
      </c>
      <c r="D585" s="28" t="s">
        <v>1630</v>
      </c>
      <c r="E585" s="21" t="s">
        <v>1761</v>
      </c>
      <c r="F585" s="21" t="s">
        <v>1761</v>
      </c>
      <c r="G585" s="12" t="s">
        <v>1147</v>
      </c>
    </row>
    <row r="586" spans="1:7" x14ac:dyDescent="0.3">
      <c r="A586" s="28" t="s">
        <v>1935</v>
      </c>
      <c r="B586" s="28"/>
      <c r="C586" s="28" t="s">
        <v>2178</v>
      </c>
      <c r="D586" s="28" t="s">
        <v>1630</v>
      </c>
      <c r="E586" s="21" t="s">
        <v>1761</v>
      </c>
      <c r="F586" s="21" t="s">
        <v>1761</v>
      </c>
      <c r="G586" s="12" t="s">
        <v>1147</v>
      </c>
    </row>
    <row r="587" spans="1:7" x14ac:dyDescent="0.3">
      <c r="A587" s="28" t="s">
        <v>1936</v>
      </c>
      <c r="B587" s="28"/>
      <c r="C587" s="28" t="s">
        <v>2178</v>
      </c>
      <c r="D587" s="28" t="s">
        <v>1630</v>
      </c>
      <c r="E587" s="21" t="s">
        <v>1761</v>
      </c>
      <c r="F587" s="21" t="s">
        <v>1761</v>
      </c>
      <c r="G587" s="12" t="s">
        <v>1147</v>
      </c>
    </row>
    <row r="588" spans="1:7" x14ac:dyDescent="0.3">
      <c r="A588" s="28" t="s">
        <v>1937</v>
      </c>
      <c r="B588" s="28"/>
      <c r="C588" s="28" t="s">
        <v>2178</v>
      </c>
      <c r="D588" s="28" t="s">
        <v>1630</v>
      </c>
      <c r="E588" s="21" t="s">
        <v>1761</v>
      </c>
      <c r="F588" s="21" t="s">
        <v>1761</v>
      </c>
      <c r="G588" s="12" t="s">
        <v>1147</v>
      </c>
    </row>
    <row r="589" spans="1:7" x14ac:dyDescent="0.3">
      <c r="A589" s="28" t="s">
        <v>1938</v>
      </c>
      <c r="B589" s="28"/>
      <c r="C589" s="28" t="s">
        <v>2178</v>
      </c>
      <c r="D589" s="28" t="s">
        <v>1630</v>
      </c>
      <c r="E589" s="21" t="s">
        <v>1761</v>
      </c>
      <c r="F589" s="21" t="s">
        <v>1761</v>
      </c>
      <c r="G589" s="12" t="s">
        <v>1147</v>
      </c>
    </row>
    <row r="590" spans="1:7" x14ac:dyDescent="0.3">
      <c r="A590" s="28" t="s">
        <v>1939</v>
      </c>
      <c r="B590" s="28"/>
      <c r="C590" s="28" t="s">
        <v>2178</v>
      </c>
      <c r="D590" s="28" t="s">
        <v>1630</v>
      </c>
      <c r="E590" s="21" t="s">
        <v>1761</v>
      </c>
      <c r="F590" s="21" t="s">
        <v>1761</v>
      </c>
      <c r="G590" s="12" t="s">
        <v>1147</v>
      </c>
    </row>
    <row r="591" spans="1:7" x14ac:dyDescent="0.3">
      <c r="A591" s="28"/>
      <c r="B591" s="28"/>
      <c r="C591" s="28" t="s">
        <v>2178</v>
      </c>
      <c r="D591" s="28"/>
      <c r="E591" s="12" t="s">
        <v>1017</v>
      </c>
      <c r="F591" s="12" t="s">
        <v>1017</v>
      </c>
      <c r="G591" s="12" t="s">
        <v>1147</v>
      </c>
    </row>
    <row r="592" spans="1:7" x14ac:dyDescent="0.3">
      <c r="A592" s="28"/>
      <c r="B592" s="28"/>
      <c r="C592" s="28" t="s">
        <v>2178</v>
      </c>
      <c r="D592" s="28"/>
      <c r="E592" s="12" t="s">
        <v>1019</v>
      </c>
      <c r="F592" s="12" t="s">
        <v>1019</v>
      </c>
      <c r="G592" s="12" t="s">
        <v>1169</v>
      </c>
    </row>
    <row r="593" spans="1:7" x14ac:dyDescent="0.3">
      <c r="A593" s="28"/>
      <c r="B593" s="28"/>
      <c r="C593" s="28" t="s">
        <v>2178</v>
      </c>
      <c r="D593" s="28"/>
      <c r="E593" s="12" t="s">
        <v>1019</v>
      </c>
      <c r="F593" s="12" t="s">
        <v>1523</v>
      </c>
      <c r="G593" s="12" t="s">
        <v>1147</v>
      </c>
    </row>
    <row r="594" spans="1:7" x14ac:dyDescent="0.3">
      <c r="A594" s="28"/>
      <c r="B594" s="28"/>
      <c r="C594" s="28" t="s">
        <v>2178</v>
      </c>
      <c r="D594" s="28"/>
      <c r="E594" s="12" t="s">
        <v>1314</v>
      </c>
      <c r="F594" s="12" t="s">
        <v>914</v>
      </c>
      <c r="G594" s="12" t="s">
        <v>1147</v>
      </c>
    </row>
    <row r="595" spans="1:7" x14ac:dyDescent="0.3">
      <c r="A595" s="28"/>
      <c r="B595" s="28"/>
      <c r="C595" s="28" t="s">
        <v>2178</v>
      </c>
      <c r="D595" s="28"/>
      <c r="E595" s="12" t="s">
        <v>1316</v>
      </c>
      <c r="F595" s="12" t="s">
        <v>914</v>
      </c>
      <c r="G595" s="12" t="s">
        <v>1147</v>
      </c>
    </row>
    <row r="596" spans="1:7" x14ac:dyDescent="0.3">
      <c r="A596" s="28"/>
      <c r="B596" s="28"/>
      <c r="C596" s="28" t="s">
        <v>2178</v>
      </c>
      <c r="D596" s="28"/>
      <c r="E596" s="12" t="s">
        <v>1528</v>
      </c>
      <c r="F596" s="12" t="s">
        <v>943</v>
      </c>
      <c r="G596" s="12" t="s">
        <v>1147</v>
      </c>
    </row>
    <row r="597" spans="1:7" x14ac:dyDescent="0.3">
      <c r="A597" s="28"/>
      <c r="B597" s="28"/>
      <c r="C597" s="28" t="s">
        <v>2178</v>
      </c>
      <c r="D597" s="28"/>
      <c r="E597" s="12" t="s">
        <v>1523</v>
      </c>
      <c r="F597" s="12" t="s">
        <v>945</v>
      </c>
      <c r="G597" s="12" t="s">
        <v>1147</v>
      </c>
    </row>
    <row r="598" spans="1:7" x14ac:dyDescent="0.3">
      <c r="A598" s="28"/>
      <c r="B598" s="28"/>
      <c r="C598" s="28" t="s">
        <v>2178</v>
      </c>
      <c r="D598" s="28"/>
      <c r="E598" s="12" t="s">
        <v>1523</v>
      </c>
      <c r="F598" s="12" t="s">
        <v>947</v>
      </c>
      <c r="G598" s="12" t="s">
        <v>1147</v>
      </c>
    </row>
    <row r="599" spans="1:7" x14ac:dyDescent="0.3">
      <c r="A599" s="28"/>
      <c r="B599" s="28"/>
      <c r="C599" s="28" t="s">
        <v>2178</v>
      </c>
      <c r="D599" s="28"/>
      <c r="E599" s="12" t="s">
        <v>1522</v>
      </c>
      <c r="F599" s="12" t="s">
        <v>941</v>
      </c>
      <c r="G599" s="12" t="s">
        <v>1147</v>
      </c>
    </row>
    <row r="600" spans="1:7" x14ac:dyDescent="0.3">
      <c r="A600" s="28"/>
      <c r="B600" s="28"/>
      <c r="C600" s="28" t="s">
        <v>2178</v>
      </c>
      <c r="D600" s="28"/>
      <c r="E600" s="12" t="s">
        <v>1254</v>
      </c>
      <c r="F600" s="12" t="s">
        <v>943</v>
      </c>
      <c r="G600" s="12" t="s">
        <v>1147</v>
      </c>
    </row>
    <row r="601" spans="1:7" x14ac:dyDescent="0.3">
      <c r="A601" s="28"/>
      <c r="B601" s="28"/>
      <c r="C601" s="28" t="s">
        <v>2178</v>
      </c>
      <c r="D601" s="28"/>
      <c r="E601" s="12" t="s">
        <v>1256</v>
      </c>
      <c r="F601" s="12" t="s">
        <v>945</v>
      </c>
      <c r="G601" s="12" t="s">
        <v>1147</v>
      </c>
    </row>
    <row r="602" spans="1:7" x14ac:dyDescent="0.3">
      <c r="A602" s="28"/>
      <c r="B602" s="28"/>
      <c r="C602" s="28" t="s">
        <v>2178</v>
      </c>
      <c r="D602" s="28"/>
      <c r="E602" s="12" t="s">
        <v>1258</v>
      </c>
      <c r="F602" s="12" t="s">
        <v>947</v>
      </c>
      <c r="G602" s="12" t="s">
        <v>1147</v>
      </c>
    </row>
    <row r="603" spans="1:7" x14ac:dyDescent="0.3">
      <c r="A603" s="28"/>
      <c r="B603" s="28"/>
      <c r="C603" s="28" t="s">
        <v>2178</v>
      </c>
      <c r="D603" s="28"/>
      <c r="E603" s="12" t="s">
        <v>1282</v>
      </c>
      <c r="F603" s="12" t="s">
        <v>941</v>
      </c>
      <c r="G603" s="12" t="s">
        <v>1147</v>
      </c>
    </row>
    <row r="604" spans="1:7" x14ac:dyDescent="0.3">
      <c r="A604" s="28"/>
      <c r="B604" s="28"/>
      <c r="C604" s="28" t="s">
        <v>2178</v>
      </c>
      <c r="D604" s="28"/>
      <c r="E604" s="12" t="s">
        <v>1284</v>
      </c>
      <c r="F604" s="12" t="s">
        <v>971</v>
      </c>
      <c r="G604" s="12" t="s">
        <v>1147</v>
      </c>
    </row>
    <row r="605" spans="1:7" x14ac:dyDescent="0.3">
      <c r="A605" s="28"/>
      <c r="B605" s="28"/>
      <c r="C605" s="28" t="s">
        <v>2178</v>
      </c>
      <c r="D605" s="28"/>
      <c r="E605" s="12" t="s">
        <v>1284</v>
      </c>
      <c r="F605" s="12" t="s">
        <v>1023</v>
      </c>
      <c r="G605" s="12" t="s">
        <v>1169</v>
      </c>
    </row>
    <row r="606" spans="1:7" x14ac:dyDescent="0.3">
      <c r="A606" s="28"/>
      <c r="B606" s="28"/>
      <c r="C606" s="28" t="s">
        <v>2178</v>
      </c>
      <c r="D606" s="28"/>
      <c r="E606" s="12" t="s">
        <v>2083</v>
      </c>
      <c r="F606" s="21" t="s">
        <v>1028</v>
      </c>
      <c r="G606" s="12" t="s">
        <v>1169</v>
      </c>
    </row>
    <row r="607" spans="1:7" x14ac:dyDescent="0.3">
      <c r="A607" s="28"/>
      <c r="B607" s="28"/>
      <c r="C607" s="28" t="s">
        <v>2178</v>
      </c>
      <c r="D607" s="28"/>
      <c r="E607" s="12" t="s">
        <v>2083</v>
      </c>
      <c r="F607" s="12" t="s">
        <v>2084</v>
      </c>
      <c r="G607" s="12" t="s">
        <v>1147</v>
      </c>
    </row>
    <row r="608" spans="1:7" x14ac:dyDescent="0.3">
      <c r="A608" s="28"/>
      <c r="B608" s="28"/>
      <c r="C608" s="28" t="s">
        <v>2178</v>
      </c>
      <c r="D608" s="28"/>
      <c r="E608" s="12" t="s">
        <v>1294</v>
      </c>
      <c r="F608" s="12" t="s">
        <v>912</v>
      </c>
      <c r="G608" s="12" t="s">
        <v>1147</v>
      </c>
    </row>
    <row r="609" spans="1:7" x14ac:dyDescent="0.3">
      <c r="A609" s="28"/>
      <c r="B609" s="28"/>
      <c r="C609" s="28" t="s">
        <v>2178</v>
      </c>
      <c r="D609" s="28"/>
      <c r="E609" s="12" t="s">
        <v>1833</v>
      </c>
      <c r="F609" s="12" t="s">
        <v>971</v>
      </c>
      <c r="G609" s="12" t="s">
        <v>1147</v>
      </c>
    </row>
    <row r="610" spans="1:7" x14ac:dyDescent="0.3">
      <c r="A610" s="28"/>
      <c r="B610" s="28"/>
      <c r="C610" s="28" t="s">
        <v>2178</v>
      </c>
      <c r="D610" s="28"/>
      <c r="E610" s="12" t="s">
        <v>1296</v>
      </c>
      <c r="F610" s="12" t="s">
        <v>1554</v>
      </c>
      <c r="G610" s="12" t="s">
        <v>1147</v>
      </c>
    </row>
    <row r="611" spans="1:7" x14ac:dyDescent="0.3">
      <c r="A611" s="28"/>
      <c r="B611" s="28"/>
      <c r="C611" s="28" t="s">
        <v>2178</v>
      </c>
      <c r="D611" s="28"/>
      <c r="E611" s="12" t="s">
        <v>1296</v>
      </c>
      <c r="F611" s="12" t="s">
        <v>1556</v>
      </c>
      <c r="G611" s="12" t="s">
        <v>1147</v>
      </c>
    </row>
    <row r="612" spans="1:7" x14ac:dyDescent="0.3">
      <c r="A612" s="28"/>
      <c r="B612" s="28"/>
      <c r="C612" s="28" t="s">
        <v>2178</v>
      </c>
      <c r="D612" s="28"/>
      <c r="E612" s="12" t="s">
        <v>1296</v>
      </c>
      <c r="F612" s="12" t="s">
        <v>1575</v>
      </c>
      <c r="G612" s="12" t="s">
        <v>1169</v>
      </c>
    </row>
    <row r="613" spans="1:7" x14ac:dyDescent="0.3">
      <c r="A613" s="28"/>
      <c r="B613" s="28"/>
      <c r="C613" s="28" t="s">
        <v>2178</v>
      </c>
      <c r="D613" s="28"/>
      <c r="E613" s="12" t="s">
        <v>1558</v>
      </c>
      <c r="F613" s="12" t="s">
        <v>1623</v>
      </c>
      <c r="G613" s="12" t="s">
        <v>1147</v>
      </c>
    </row>
    <row r="614" spans="1:7" x14ac:dyDescent="0.3">
      <c r="A614" s="28"/>
      <c r="B614" s="28"/>
      <c r="C614" s="28" t="s">
        <v>2178</v>
      </c>
      <c r="D614" s="28"/>
      <c r="E614" s="12" t="s">
        <v>1558</v>
      </c>
      <c r="F614" s="12" t="s">
        <v>1560</v>
      </c>
      <c r="G614" s="12" t="s">
        <v>1147</v>
      </c>
    </row>
    <row r="615" spans="1:7" x14ac:dyDescent="0.3">
      <c r="A615" s="28"/>
      <c r="B615" s="28"/>
      <c r="C615" s="28" t="s">
        <v>2178</v>
      </c>
      <c r="D615" s="28"/>
      <c r="E615" s="12" t="s">
        <v>2050</v>
      </c>
      <c r="F615" s="12" t="s">
        <v>1558</v>
      </c>
      <c r="G615" s="12" t="s">
        <v>1147</v>
      </c>
    </row>
    <row r="616" spans="1:7" x14ac:dyDescent="0.3">
      <c r="A616" s="28"/>
      <c r="B616" s="28"/>
      <c r="C616" s="28" t="s">
        <v>2178</v>
      </c>
      <c r="D616" s="28"/>
      <c r="E616" s="12" t="s">
        <v>1560</v>
      </c>
      <c r="F616" s="12" t="s">
        <v>1554</v>
      </c>
      <c r="G616" s="12" t="s">
        <v>1147</v>
      </c>
    </row>
    <row r="617" spans="1:7" x14ac:dyDescent="0.3">
      <c r="A617" s="28"/>
      <c r="B617" s="28"/>
      <c r="C617" s="28" t="s">
        <v>2178</v>
      </c>
      <c r="D617" s="28"/>
      <c r="E617" s="12" t="s">
        <v>1560</v>
      </c>
      <c r="F617" s="12" t="s">
        <v>1556</v>
      </c>
      <c r="G617" s="12" t="s">
        <v>1147</v>
      </c>
    </row>
    <row r="618" spans="1:7" x14ac:dyDescent="0.3">
      <c r="A618" s="28"/>
      <c r="B618" s="28"/>
      <c r="C618" s="28" t="s">
        <v>2178</v>
      </c>
      <c r="D618" s="28"/>
      <c r="E618" s="12" t="s">
        <v>1560</v>
      </c>
      <c r="F618" s="12" t="s">
        <v>1573</v>
      </c>
      <c r="G618" s="12" t="s">
        <v>1169</v>
      </c>
    </row>
    <row r="619" spans="1:7" x14ac:dyDescent="0.3">
      <c r="A619" s="28"/>
      <c r="B619" s="28"/>
      <c r="C619" s="28" t="s">
        <v>2178</v>
      </c>
      <c r="D619" s="28"/>
      <c r="E619" s="12" t="s">
        <v>2052</v>
      </c>
      <c r="F619" s="12" t="s">
        <v>1560</v>
      </c>
      <c r="G619" s="12" t="s">
        <v>1147</v>
      </c>
    </row>
    <row r="620" spans="1:7" x14ac:dyDescent="0.3">
      <c r="A620" s="28"/>
      <c r="B620" s="28"/>
      <c r="C620" s="28" t="s">
        <v>2178</v>
      </c>
      <c r="D620" s="28"/>
      <c r="E620" s="12" t="s">
        <v>2036</v>
      </c>
      <c r="F620" s="12" t="s">
        <v>1575</v>
      </c>
      <c r="G620" s="12" t="s">
        <v>1147</v>
      </c>
    </row>
    <row r="621" spans="1:7" x14ac:dyDescent="0.3">
      <c r="A621" s="28"/>
      <c r="B621" s="28"/>
      <c r="C621" s="28" t="s">
        <v>2178</v>
      </c>
      <c r="D621" s="28"/>
      <c r="E621" s="12" t="s">
        <v>1580</v>
      </c>
      <c r="F621" s="12" t="s">
        <v>1621</v>
      </c>
      <c r="G621" s="12" t="s">
        <v>1147</v>
      </c>
    </row>
    <row r="622" spans="1:7" x14ac:dyDescent="0.3">
      <c r="A622" s="28"/>
      <c r="B622" s="28"/>
      <c r="C622" s="28" t="s">
        <v>2178</v>
      </c>
      <c r="D622" s="28"/>
      <c r="E622" s="12" t="s">
        <v>1580</v>
      </c>
      <c r="F622" s="12" t="s">
        <v>1575</v>
      </c>
      <c r="G622" s="12" t="s">
        <v>1169</v>
      </c>
    </row>
    <row r="623" spans="1:7" x14ac:dyDescent="0.3">
      <c r="A623" s="28"/>
      <c r="B623" s="28"/>
      <c r="C623" s="28" t="s">
        <v>2178</v>
      </c>
      <c r="D623" s="28"/>
      <c r="E623" s="12" t="s">
        <v>1513</v>
      </c>
      <c r="F623" s="12" t="s">
        <v>920</v>
      </c>
      <c r="G623" s="12" t="s">
        <v>1158</v>
      </c>
    </row>
    <row r="624" spans="1:7" x14ac:dyDescent="0.3">
      <c r="A624" s="28"/>
      <c r="B624" s="28"/>
      <c r="C624" s="28" t="s">
        <v>2178</v>
      </c>
      <c r="D624" s="28"/>
      <c r="E624" s="12" t="s">
        <v>1513</v>
      </c>
      <c r="F624" s="12" t="s">
        <v>920</v>
      </c>
      <c r="G624" s="12" t="s">
        <v>1169</v>
      </c>
    </row>
    <row r="625" spans="1:7" x14ac:dyDescent="0.3">
      <c r="A625" s="28"/>
      <c r="B625" s="28"/>
      <c r="C625" s="28" t="s">
        <v>2178</v>
      </c>
      <c r="D625" s="28"/>
      <c r="E625" s="12" t="s">
        <v>1511</v>
      </c>
      <c r="F625" s="12" t="s">
        <v>943</v>
      </c>
      <c r="G625" s="12" t="s">
        <v>1158</v>
      </c>
    </row>
    <row r="626" spans="1:7" x14ac:dyDescent="0.3">
      <c r="A626" s="28"/>
      <c r="B626" s="28"/>
      <c r="C626" s="28" t="s">
        <v>2178</v>
      </c>
      <c r="D626" s="28"/>
      <c r="E626" s="12" t="s">
        <v>1511</v>
      </c>
      <c r="F626" s="12" t="s">
        <v>943</v>
      </c>
      <c r="G626" s="12" t="s">
        <v>1169</v>
      </c>
    </row>
    <row r="627" spans="1:7" x14ac:dyDescent="0.3">
      <c r="A627" s="28"/>
      <c r="B627" s="28"/>
      <c r="C627" s="28" t="s">
        <v>2178</v>
      </c>
      <c r="D627" s="28"/>
      <c r="E627" s="12" t="s">
        <v>1221</v>
      </c>
      <c r="F627" s="12" t="s">
        <v>923</v>
      </c>
      <c r="G627" s="12" t="s">
        <v>1158</v>
      </c>
    </row>
    <row r="628" spans="1:7" x14ac:dyDescent="0.3">
      <c r="A628" s="28"/>
      <c r="B628" s="28"/>
      <c r="C628" s="28" t="s">
        <v>2178</v>
      </c>
      <c r="D628" s="28"/>
      <c r="E628" s="12" t="s">
        <v>1221</v>
      </c>
      <c r="F628" s="12" t="s">
        <v>923</v>
      </c>
      <c r="G628" s="12" t="s">
        <v>1169</v>
      </c>
    </row>
    <row r="629" spans="1:7" x14ac:dyDescent="0.3">
      <c r="A629" s="28"/>
      <c r="B629" s="28"/>
      <c r="C629" s="28" t="s">
        <v>2178</v>
      </c>
      <c r="D629" s="28"/>
      <c r="E629" s="12" t="s">
        <v>1211</v>
      </c>
      <c r="F629" s="12" t="s">
        <v>945</v>
      </c>
      <c r="G629" s="12" t="s">
        <v>1158</v>
      </c>
    </row>
    <row r="630" spans="1:7" x14ac:dyDescent="0.3">
      <c r="A630" s="28"/>
      <c r="B630" s="28"/>
      <c r="C630" s="28" t="s">
        <v>2178</v>
      </c>
      <c r="D630" s="28"/>
      <c r="E630" s="12" t="s">
        <v>1211</v>
      </c>
      <c r="F630" s="12" t="s">
        <v>945</v>
      </c>
      <c r="G630" s="12" t="s">
        <v>1169</v>
      </c>
    </row>
    <row r="631" spans="1:7" x14ac:dyDescent="0.3">
      <c r="A631" s="28"/>
      <c r="B631" s="28"/>
      <c r="C631" s="28" t="s">
        <v>2178</v>
      </c>
      <c r="D631" s="28"/>
      <c r="E631" s="12" t="s">
        <v>1211</v>
      </c>
      <c r="F631" s="12" t="s">
        <v>947</v>
      </c>
      <c r="G631" s="12" t="s">
        <v>1158</v>
      </c>
    </row>
    <row r="632" spans="1:7" x14ac:dyDescent="0.3">
      <c r="A632" s="28"/>
      <c r="B632" s="28"/>
      <c r="C632" s="28" t="s">
        <v>2178</v>
      </c>
      <c r="D632" s="28"/>
      <c r="E632" s="12" t="s">
        <v>1211</v>
      </c>
      <c r="F632" s="12" t="s">
        <v>947</v>
      </c>
      <c r="G632" s="12" t="s">
        <v>1169</v>
      </c>
    </row>
    <row r="633" spans="1:7" x14ac:dyDescent="0.3">
      <c r="A633" s="28" t="s">
        <v>1464</v>
      </c>
      <c r="B633" s="28"/>
      <c r="C633" s="28" t="s">
        <v>2178</v>
      </c>
      <c r="D633" s="28" t="s">
        <v>1630</v>
      </c>
      <c r="E633" s="21" t="s">
        <v>1758</v>
      </c>
      <c r="F633" s="21" t="s">
        <v>1758</v>
      </c>
      <c r="G633" s="12" t="s">
        <v>1169</v>
      </c>
    </row>
    <row r="634" spans="1:7" x14ac:dyDescent="0.3">
      <c r="A634" s="28" t="s">
        <v>1466</v>
      </c>
      <c r="B634" s="28"/>
      <c r="C634" s="28" t="s">
        <v>2178</v>
      </c>
      <c r="D634" s="28" t="s">
        <v>1630</v>
      </c>
      <c r="E634" s="21" t="s">
        <v>1758</v>
      </c>
      <c r="F634" s="21" t="s">
        <v>1758</v>
      </c>
      <c r="G634" s="12" t="s">
        <v>1169</v>
      </c>
    </row>
    <row r="635" spans="1:7" x14ac:dyDescent="0.3">
      <c r="A635" s="28" t="s">
        <v>1467</v>
      </c>
      <c r="B635" s="28"/>
      <c r="C635" s="28" t="s">
        <v>2178</v>
      </c>
      <c r="D635" s="28" t="s">
        <v>1630</v>
      </c>
      <c r="E635" s="21" t="s">
        <v>1758</v>
      </c>
      <c r="F635" s="21" t="s">
        <v>1758</v>
      </c>
      <c r="G635" s="12" t="s">
        <v>1169</v>
      </c>
    </row>
    <row r="636" spans="1:7" x14ac:dyDescent="0.3">
      <c r="A636" s="28" t="s">
        <v>1468</v>
      </c>
      <c r="B636" s="28"/>
      <c r="C636" s="28" t="s">
        <v>2178</v>
      </c>
      <c r="D636" s="28" t="s">
        <v>1630</v>
      </c>
      <c r="E636" s="21" t="s">
        <v>1758</v>
      </c>
      <c r="F636" s="21" t="s">
        <v>1758</v>
      </c>
      <c r="G636" s="12" t="s">
        <v>1169</v>
      </c>
    </row>
    <row r="637" spans="1:7" x14ac:dyDescent="0.3">
      <c r="A637" s="28" t="s">
        <v>1469</v>
      </c>
      <c r="B637" s="28"/>
      <c r="C637" s="28" t="s">
        <v>2178</v>
      </c>
      <c r="D637" s="28" t="s">
        <v>1630</v>
      </c>
      <c r="E637" s="21" t="s">
        <v>1758</v>
      </c>
      <c r="F637" s="21" t="s">
        <v>1758</v>
      </c>
      <c r="G637" s="12" t="s">
        <v>1169</v>
      </c>
    </row>
    <row r="638" spans="1:7" x14ac:dyDescent="0.3">
      <c r="A638" s="28" t="s">
        <v>1470</v>
      </c>
      <c r="B638" s="28"/>
      <c r="C638" s="28" t="s">
        <v>2178</v>
      </c>
      <c r="D638" s="28" t="s">
        <v>1630</v>
      </c>
      <c r="E638" s="21" t="s">
        <v>1758</v>
      </c>
      <c r="F638" s="21" t="s">
        <v>1758</v>
      </c>
      <c r="G638" s="12" t="s">
        <v>1169</v>
      </c>
    </row>
    <row r="639" spans="1:7" x14ac:dyDescent="0.3">
      <c r="A639" s="28" t="s">
        <v>1464</v>
      </c>
      <c r="B639" s="28"/>
      <c r="C639" s="28" t="s">
        <v>2178</v>
      </c>
      <c r="D639" s="28" t="s">
        <v>1630</v>
      </c>
      <c r="E639" s="21" t="s">
        <v>1758</v>
      </c>
      <c r="F639" s="12" t="s">
        <v>920</v>
      </c>
      <c r="G639" s="12" t="s">
        <v>1147</v>
      </c>
    </row>
    <row r="640" spans="1:7" x14ac:dyDescent="0.3">
      <c r="A640" s="28" t="s">
        <v>1466</v>
      </c>
      <c r="B640" s="28"/>
      <c r="C640" s="28" t="s">
        <v>2178</v>
      </c>
      <c r="D640" s="28" t="s">
        <v>1630</v>
      </c>
      <c r="E640" s="21" t="s">
        <v>1758</v>
      </c>
      <c r="F640" s="12" t="s">
        <v>920</v>
      </c>
      <c r="G640" s="12" t="s">
        <v>1147</v>
      </c>
    </row>
    <row r="641" spans="1:7" x14ac:dyDescent="0.3">
      <c r="A641" s="28" t="s">
        <v>1467</v>
      </c>
      <c r="B641" s="28"/>
      <c r="C641" s="28" t="s">
        <v>2178</v>
      </c>
      <c r="D641" s="28" t="s">
        <v>1630</v>
      </c>
      <c r="E641" s="21" t="s">
        <v>1758</v>
      </c>
      <c r="F641" s="12" t="s">
        <v>920</v>
      </c>
      <c r="G641" s="12" t="s">
        <v>1147</v>
      </c>
    </row>
    <row r="642" spans="1:7" x14ac:dyDescent="0.3">
      <c r="A642" s="28" t="s">
        <v>1468</v>
      </c>
      <c r="B642" s="28"/>
      <c r="C642" s="28" t="s">
        <v>2178</v>
      </c>
      <c r="D642" s="28" t="s">
        <v>1630</v>
      </c>
      <c r="E642" s="21" t="s">
        <v>1758</v>
      </c>
      <c r="F642" s="12" t="s">
        <v>920</v>
      </c>
      <c r="G642" s="12" t="s">
        <v>1147</v>
      </c>
    </row>
    <row r="643" spans="1:7" x14ac:dyDescent="0.3">
      <c r="A643" s="28" t="s">
        <v>1469</v>
      </c>
      <c r="B643" s="28"/>
      <c r="C643" s="28" t="s">
        <v>2178</v>
      </c>
      <c r="D643" s="28" t="s">
        <v>1630</v>
      </c>
      <c r="E643" s="21" t="s">
        <v>1758</v>
      </c>
      <c r="F643" s="12" t="s">
        <v>920</v>
      </c>
      <c r="G643" s="12" t="s">
        <v>1147</v>
      </c>
    </row>
    <row r="644" spans="1:7" x14ac:dyDescent="0.3">
      <c r="A644" s="28" t="s">
        <v>1470</v>
      </c>
      <c r="B644" s="28"/>
      <c r="C644" s="28" t="s">
        <v>2178</v>
      </c>
      <c r="D644" s="28" t="s">
        <v>1630</v>
      </c>
      <c r="E644" s="21" t="s">
        <v>1758</v>
      </c>
      <c r="F644" s="12" t="s">
        <v>920</v>
      </c>
      <c r="G644" s="12" t="s">
        <v>1147</v>
      </c>
    </row>
    <row r="645" spans="1:7" x14ac:dyDescent="0.3">
      <c r="A645" s="28" t="s">
        <v>1464</v>
      </c>
      <c r="B645" s="28"/>
      <c r="C645" s="28" t="s">
        <v>2178</v>
      </c>
      <c r="D645" s="28" t="s">
        <v>1630</v>
      </c>
      <c r="E645" s="21" t="s">
        <v>1758</v>
      </c>
      <c r="F645" s="12" t="s">
        <v>923</v>
      </c>
      <c r="G645" s="12" t="s">
        <v>1147</v>
      </c>
    </row>
    <row r="646" spans="1:7" x14ac:dyDescent="0.3">
      <c r="A646" s="28" t="s">
        <v>1466</v>
      </c>
      <c r="B646" s="28"/>
      <c r="C646" s="28" t="s">
        <v>2178</v>
      </c>
      <c r="D646" s="28" t="s">
        <v>1630</v>
      </c>
      <c r="E646" s="21" t="s">
        <v>1758</v>
      </c>
      <c r="F646" s="12" t="s">
        <v>923</v>
      </c>
      <c r="G646" s="12" t="s">
        <v>1147</v>
      </c>
    </row>
    <row r="647" spans="1:7" x14ac:dyDescent="0.3">
      <c r="A647" s="28" t="s">
        <v>1467</v>
      </c>
      <c r="B647" s="28"/>
      <c r="C647" s="28" t="s">
        <v>2178</v>
      </c>
      <c r="D647" s="28" t="s">
        <v>1630</v>
      </c>
      <c r="E647" s="21" t="s">
        <v>1758</v>
      </c>
      <c r="F647" s="12" t="s">
        <v>923</v>
      </c>
      <c r="G647" s="12" t="s">
        <v>1147</v>
      </c>
    </row>
    <row r="648" spans="1:7" x14ac:dyDescent="0.3">
      <c r="A648" s="28" t="s">
        <v>1468</v>
      </c>
      <c r="B648" s="28"/>
      <c r="C648" s="28" t="s">
        <v>2178</v>
      </c>
      <c r="D648" s="28" t="s">
        <v>1630</v>
      </c>
      <c r="E648" s="21" t="s">
        <v>1758</v>
      </c>
      <c r="F648" s="12" t="s">
        <v>923</v>
      </c>
      <c r="G648" s="12" t="s">
        <v>1147</v>
      </c>
    </row>
    <row r="649" spans="1:7" x14ac:dyDescent="0.3">
      <c r="A649" s="28" t="s">
        <v>1469</v>
      </c>
      <c r="B649" s="28"/>
      <c r="C649" s="28" t="s">
        <v>2178</v>
      </c>
      <c r="D649" s="28" t="s">
        <v>1630</v>
      </c>
      <c r="E649" s="21" t="s">
        <v>1758</v>
      </c>
      <c r="F649" s="12" t="s">
        <v>923</v>
      </c>
      <c r="G649" s="12" t="s">
        <v>1147</v>
      </c>
    </row>
    <row r="650" spans="1:7" x14ac:dyDescent="0.3">
      <c r="A650" s="28" t="s">
        <v>1470</v>
      </c>
      <c r="B650" s="28"/>
      <c r="C650" s="28" t="s">
        <v>2178</v>
      </c>
      <c r="D650" s="28" t="s">
        <v>1630</v>
      </c>
      <c r="E650" s="21" t="s">
        <v>1758</v>
      </c>
      <c r="F650" s="12" t="s">
        <v>923</v>
      </c>
      <c r="G650" s="12" t="s">
        <v>1147</v>
      </c>
    </row>
    <row r="651" spans="1:7" x14ac:dyDescent="0.3">
      <c r="A651" s="28" t="s">
        <v>1464</v>
      </c>
      <c r="B651" s="28"/>
      <c r="C651" s="28" t="s">
        <v>2178</v>
      </c>
      <c r="D651" s="28" t="s">
        <v>1630</v>
      </c>
      <c r="E651" s="21" t="s">
        <v>1758</v>
      </c>
      <c r="F651" s="12" t="s">
        <v>925</v>
      </c>
      <c r="G651" s="12" t="s">
        <v>1147</v>
      </c>
    </row>
    <row r="652" spans="1:7" x14ac:dyDescent="0.3">
      <c r="A652" s="28" t="s">
        <v>1466</v>
      </c>
      <c r="B652" s="28"/>
      <c r="C652" s="28" t="s">
        <v>2178</v>
      </c>
      <c r="D652" s="28" t="s">
        <v>1630</v>
      </c>
      <c r="E652" s="21" t="s">
        <v>1758</v>
      </c>
      <c r="F652" s="12" t="s">
        <v>925</v>
      </c>
      <c r="G652" s="12" t="s">
        <v>1147</v>
      </c>
    </row>
    <row r="653" spans="1:7" x14ac:dyDescent="0.3">
      <c r="A653" s="28" t="s">
        <v>1467</v>
      </c>
      <c r="B653" s="28"/>
      <c r="C653" s="28" t="s">
        <v>2178</v>
      </c>
      <c r="D653" s="28" t="s">
        <v>1630</v>
      </c>
      <c r="E653" s="21" t="s">
        <v>1758</v>
      </c>
      <c r="F653" s="12" t="s">
        <v>925</v>
      </c>
      <c r="G653" s="12" t="s">
        <v>1147</v>
      </c>
    </row>
    <row r="654" spans="1:7" x14ac:dyDescent="0.3">
      <c r="A654" s="28" t="s">
        <v>1468</v>
      </c>
      <c r="B654" s="28"/>
      <c r="C654" s="28" t="s">
        <v>2178</v>
      </c>
      <c r="D654" s="28" t="s">
        <v>1630</v>
      </c>
      <c r="E654" s="21" t="s">
        <v>1758</v>
      </c>
      <c r="F654" s="12" t="s">
        <v>925</v>
      </c>
      <c r="G654" s="12" t="s">
        <v>1147</v>
      </c>
    </row>
    <row r="655" spans="1:7" x14ac:dyDescent="0.3">
      <c r="A655" s="28" t="s">
        <v>1469</v>
      </c>
      <c r="B655" s="28"/>
      <c r="C655" s="28" t="s">
        <v>2178</v>
      </c>
      <c r="D655" s="28" t="s">
        <v>1630</v>
      </c>
      <c r="E655" s="21" t="s">
        <v>1758</v>
      </c>
      <c r="F655" s="12" t="s">
        <v>925</v>
      </c>
      <c r="G655" s="12" t="s">
        <v>1147</v>
      </c>
    </row>
    <row r="656" spans="1:7" x14ac:dyDescent="0.3">
      <c r="A656" s="28" t="s">
        <v>1470</v>
      </c>
      <c r="B656" s="28"/>
      <c r="C656" s="28" t="s">
        <v>2178</v>
      </c>
      <c r="D656" s="28" t="s">
        <v>1630</v>
      </c>
      <c r="E656" s="21" t="s">
        <v>1758</v>
      </c>
      <c r="F656" s="12" t="s">
        <v>925</v>
      </c>
      <c r="G656" s="12" t="s">
        <v>1147</v>
      </c>
    </row>
    <row r="657" spans="1:7" x14ac:dyDescent="0.3">
      <c r="A657" s="28" t="s">
        <v>1464</v>
      </c>
      <c r="B657" s="28"/>
      <c r="C657" s="28" t="s">
        <v>2178</v>
      </c>
      <c r="D657" s="28" t="s">
        <v>1630</v>
      </c>
      <c r="E657" s="21" t="s">
        <v>1758</v>
      </c>
      <c r="F657" s="12" t="s">
        <v>1503</v>
      </c>
      <c r="G657" s="12" t="s">
        <v>1147</v>
      </c>
    </row>
    <row r="658" spans="1:7" x14ac:dyDescent="0.3">
      <c r="A658" s="28" t="s">
        <v>1466</v>
      </c>
      <c r="B658" s="28"/>
      <c r="C658" s="28" t="s">
        <v>2178</v>
      </c>
      <c r="D658" s="28" t="s">
        <v>1630</v>
      </c>
      <c r="E658" s="21" t="s">
        <v>1758</v>
      </c>
      <c r="F658" s="12" t="s">
        <v>1503</v>
      </c>
      <c r="G658" s="12" t="s">
        <v>1147</v>
      </c>
    </row>
    <row r="659" spans="1:7" x14ac:dyDescent="0.3">
      <c r="A659" s="28" t="s">
        <v>1467</v>
      </c>
      <c r="B659" s="28"/>
      <c r="C659" s="28" t="s">
        <v>2178</v>
      </c>
      <c r="D659" s="28" t="s">
        <v>1630</v>
      </c>
      <c r="E659" s="21" t="s">
        <v>1758</v>
      </c>
      <c r="F659" s="12" t="s">
        <v>1503</v>
      </c>
      <c r="G659" s="12" t="s">
        <v>1147</v>
      </c>
    </row>
    <row r="660" spans="1:7" x14ac:dyDescent="0.3">
      <c r="A660" s="28" t="s">
        <v>1468</v>
      </c>
      <c r="B660" s="28"/>
      <c r="C660" s="28" t="s">
        <v>2178</v>
      </c>
      <c r="D660" s="28" t="s">
        <v>1630</v>
      </c>
      <c r="E660" s="21" t="s">
        <v>1758</v>
      </c>
      <c r="F660" s="12" t="s">
        <v>1503</v>
      </c>
      <c r="G660" s="12" t="s">
        <v>1147</v>
      </c>
    </row>
    <row r="661" spans="1:7" x14ac:dyDescent="0.3">
      <c r="A661" s="28" t="s">
        <v>1469</v>
      </c>
      <c r="B661" s="28"/>
      <c r="C661" s="28" t="s">
        <v>2178</v>
      </c>
      <c r="D661" s="28" t="s">
        <v>1630</v>
      </c>
      <c r="E661" s="21" t="s">
        <v>1758</v>
      </c>
      <c r="F661" s="12" t="s">
        <v>1503</v>
      </c>
      <c r="G661" s="12" t="s">
        <v>1147</v>
      </c>
    </row>
    <row r="662" spans="1:7" x14ac:dyDescent="0.3">
      <c r="A662" s="28" t="s">
        <v>1470</v>
      </c>
      <c r="B662" s="28"/>
      <c r="C662" s="28" t="s">
        <v>2178</v>
      </c>
      <c r="D662" s="28" t="s">
        <v>1630</v>
      </c>
      <c r="E662" s="21" t="s">
        <v>1758</v>
      </c>
      <c r="F662" s="12" t="s">
        <v>1503</v>
      </c>
      <c r="G662" s="12" t="s">
        <v>1147</v>
      </c>
    </row>
    <row r="663" spans="1:7" x14ac:dyDescent="0.3">
      <c r="A663" s="28" t="s">
        <v>1934</v>
      </c>
      <c r="B663" s="28"/>
      <c r="C663" s="28" t="s">
        <v>2178</v>
      </c>
      <c r="D663" s="28" t="s">
        <v>1630</v>
      </c>
      <c r="E663" s="21" t="s">
        <v>1758</v>
      </c>
      <c r="F663" s="21" t="s">
        <v>1758</v>
      </c>
      <c r="G663" s="12" t="s">
        <v>1169</v>
      </c>
    </row>
    <row r="664" spans="1:7" x14ac:dyDescent="0.3">
      <c r="A664" s="28" t="s">
        <v>1935</v>
      </c>
      <c r="B664" s="28"/>
      <c r="C664" s="28" t="s">
        <v>2178</v>
      </c>
      <c r="D664" s="28" t="s">
        <v>1630</v>
      </c>
      <c r="E664" s="21" t="s">
        <v>1758</v>
      </c>
      <c r="F664" s="21" t="s">
        <v>1758</v>
      </c>
      <c r="G664" s="12" t="s">
        <v>1169</v>
      </c>
    </row>
    <row r="665" spans="1:7" x14ac:dyDescent="0.3">
      <c r="A665" s="28" t="s">
        <v>1936</v>
      </c>
      <c r="B665" s="28"/>
      <c r="C665" s="28" t="s">
        <v>2178</v>
      </c>
      <c r="D665" s="28" t="s">
        <v>1630</v>
      </c>
      <c r="E665" s="21" t="s">
        <v>1758</v>
      </c>
      <c r="F665" s="21" t="s">
        <v>1758</v>
      </c>
      <c r="G665" s="12" t="s">
        <v>1169</v>
      </c>
    </row>
    <row r="666" spans="1:7" x14ac:dyDescent="0.3">
      <c r="A666" s="28" t="s">
        <v>1937</v>
      </c>
      <c r="B666" s="28"/>
      <c r="C666" s="28" t="s">
        <v>2178</v>
      </c>
      <c r="D666" s="28" t="s">
        <v>1630</v>
      </c>
      <c r="E666" s="21" t="s">
        <v>1758</v>
      </c>
      <c r="F666" s="21" t="s">
        <v>1758</v>
      </c>
      <c r="G666" s="12" t="s">
        <v>1169</v>
      </c>
    </row>
    <row r="667" spans="1:7" x14ac:dyDescent="0.3">
      <c r="A667" s="28" t="s">
        <v>1938</v>
      </c>
      <c r="B667" s="28"/>
      <c r="C667" s="28" t="s">
        <v>2178</v>
      </c>
      <c r="D667" s="28" t="s">
        <v>1630</v>
      </c>
      <c r="E667" s="21" t="s">
        <v>1758</v>
      </c>
      <c r="F667" s="21" t="s">
        <v>1758</v>
      </c>
      <c r="G667" s="12" t="s">
        <v>1169</v>
      </c>
    </row>
    <row r="668" spans="1:7" x14ac:dyDescent="0.3">
      <c r="A668" s="28" t="s">
        <v>1939</v>
      </c>
      <c r="B668" s="28"/>
      <c r="C668" s="28" t="s">
        <v>2178</v>
      </c>
      <c r="D668" s="28" t="s">
        <v>1630</v>
      </c>
      <c r="E668" s="21" t="s">
        <v>1758</v>
      </c>
      <c r="F668" s="21" t="s">
        <v>1758</v>
      </c>
      <c r="G668" s="12" t="s">
        <v>1169</v>
      </c>
    </row>
    <row r="669" spans="1:7" x14ac:dyDescent="0.3">
      <c r="A669" s="28" t="s">
        <v>1934</v>
      </c>
      <c r="B669" s="28"/>
      <c r="C669" s="28" t="s">
        <v>2178</v>
      </c>
      <c r="D669" s="28" t="s">
        <v>1630</v>
      </c>
      <c r="E669" s="21" t="s">
        <v>1758</v>
      </c>
      <c r="F669" s="12" t="s">
        <v>920</v>
      </c>
      <c r="G669" s="12" t="s">
        <v>1147</v>
      </c>
    </row>
    <row r="670" spans="1:7" x14ac:dyDescent="0.3">
      <c r="A670" s="28" t="s">
        <v>1935</v>
      </c>
      <c r="B670" s="28"/>
      <c r="C670" s="28" t="s">
        <v>2178</v>
      </c>
      <c r="D670" s="28" t="s">
        <v>1630</v>
      </c>
      <c r="E670" s="21" t="s">
        <v>1758</v>
      </c>
      <c r="F670" s="12" t="s">
        <v>920</v>
      </c>
      <c r="G670" s="12" t="s">
        <v>1147</v>
      </c>
    </row>
    <row r="671" spans="1:7" x14ac:dyDescent="0.3">
      <c r="A671" s="28" t="s">
        <v>1936</v>
      </c>
      <c r="B671" s="28"/>
      <c r="C671" s="28" t="s">
        <v>2178</v>
      </c>
      <c r="D671" s="28" t="s">
        <v>1630</v>
      </c>
      <c r="E671" s="21" t="s">
        <v>1758</v>
      </c>
      <c r="F671" s="12" t="s">
        <v>920</v>
      </c>
      <c r="G671" s="12" t="s">
        <v>1147</v>
      </c>
    </row>
    <row r="672" spans="1:7" x14ac:dyDescent="0.3">
      <c r="A672" s="28" t="s">
        <v>1937</v>
      </c>
      <c r="B672" s="28"/>
      <c r="C672" s="28" t="s">
        <v>2178</v>
      </c>
      <c r="D672" s="28" t="s">
        <v>1630</v>
      </c>
      <c r="E672" s="21" t="s">
        <v>1758</v>
      </c>
      <c r="F672" s="12" t="s">
        <v>920</v>
      </c>
      <c r="G672" s="12" t="s">
        <v>1147</v>
      </c>
    </row>
    <row r="673" spans="1:7" x14ac:dyDescent="0.3">
      <c r="A673" s="28" t="s">
        <v>1938</v>
      </c>
      <c r="B673" s="28"/>
      <c r="C673" s="28" t="s">
        <v>2178</v>
      </c>
      <c r="D673" s="28" t="s">
        <v>1630</v>
      </c>
      <c r="E673" s="21" t="s">
        <v>1758</v>
      </c>
      <c r="F673" s="12" t="s">
        <v>920</v>
      </c>
      <c r="G673" s="12" t="s">
        <v>1147</v>
      </c>
    </row>
    <row r="674" spans="1:7" x14ac:dyDescent="0.3">
      <c r="A674" s="28" t="s">
        <v>1939</v>
      </c>
      <c r="B674" s="28"/>
      <c r="C674" s="28" t="s">
        <v>2178</v>
      </c>
      <c r="D674" s="28" t="s">
        <v>1630</v>
      </c>
      <c r="E674" s="21" t="s">
        <v>1758</v>
      </c>
      <c r="F674" s="12" t="s">
        <v>920</v>
      </c>
      <c r="G674" s="12" t="s">
        <v>1147</v>
      </c>
    </row>
    <row r="675" spans="1:7" x14ac:dyDescent="0.3">
      <c r="A675" s="28" t="s">
        <v>1934</v>
      </c>
      <c r="B675" s="28"/>
      <c r="C675" s="28" t="s">
        <v>2178</v>
      </c>
      <c r="D675" s="28" t="s">
        <v>1630</v>
      </c>
      <c r="E675" s="21" t="s">
        <v>1758</v>
      </c>
      <c r="F675" s="12" t="s">
        <v>923</v>
      </c>
      <c r="G675" s="12" t="s">
        <v>1147</v>
      </c>
    </row>
    <row r="676" spans="1:7" x14ac:dyDescent="0.3">
      <c r="A676" s="28" t="s">
        <v>1935</v>
      </c>
      <c r="B676" s="28"/>
      <c r="C676" s="28" t="s">
        <v>2178</v>
      </c>
      <c r="D676" s="28" t="s">
        <v>1630</v>
      </c>
      <c r="E676" s="21" t="s">
        <v>1758</v>
      </c>
      <c r="F676" s="12" t="s">
        <v>923</v>
      </c>
      <c r="G676" s="12" t="s">
        <v>1147</v>
      </c>
    </row>
    <row r="677" spans="1:7" x14ac:dyDescent="0.3">
      <c r="A677" s="28" t="s">
        <v>1936</v>
      </c>
      <c r="B677" s="28"/>
      <c r="C677" s="28" t="s">
        <v>2178</v>
      </c>
      <c r="D677" s="28" t="s">
        <v>1630</v>
      </c>
      <c r="E677" s="21" t="s">
        <v>1758</v>
      </c>
      <c r="F677" s="12" t="s">
        <v>923</v>
      </c>
      <c r="G677" s="12" t="s">
        <v>1147</v>
      </c>
    </row>
    <row r="678" spans="1:7" x14ac:dyDescent="0.3">
      <c r="A678" s="28" t="s">
        <v>1937</v>
      </c>
      <c r="B678" s="28"/>
      <c r="C678" s="28" t="s">
        <v>2178</v>
      </c>
      <c r="D678" s="28" t="s">
        <v>1630</v>
      </c>
      <c r="E678" s="21" t="s">
        <v>1758</v>
      </c>
      <c r="F678" s="12" t="s">
        <v>923</v>
      </c>
      <c r="G678" s="12" t="s">
        <v>1147</v>
      </c>
    </row>
    <row r="679" spans="1:7" x14ac:dyDescent="0.3">
      <c r="A679" s="28" t="s">
        <v>1938</v>
      </c>
      <c r="B679" s="28"/>
      <c r="C679" s="28" t="s">
        <v>2178</v>
      </c>
      <c r="D679" s="28" t="s">
        <v>1630</v>
      </c>
      <c r="E679" s="21" t="s">
        <v>1758</v>
      </c>
      <c r="F679" s="12" t="s">
        <v>923</v>
      </c>
      <c r="G679" s="12" t="s">
        <v>1147</v>
      </c>
    </row>
    <row r="680" spans="1:7" x14ac:dyDescent="0.3">
      <c r="A680" s="28" t="s">
        <v>1939</v>
      </c>
      <c r="B680" s="28"/>
      <c r="C680" s="28" t="s">
        <v>2178</v>
      </c>
      <c r="D680" s="28" t="s">
        <v>1630</v>
      </c>
      <c r="E680" s="21" t="s">
        <v>1758</v>
      </c>
      <c r="F680" s="12" t="s">
        <v>923</v>
      </c>
      <c r="G680" s="12" t="s">
        <v>1147</v>
      </c>
    </row>
    <row r="681" spans="1:7" x14ac:dyDescent="0.3">
      <c r="A681" s="28" t="s">
        <v>1934</v>
      </c>
      <c r="B681" s="28"/>
      <c r="C681" s="28" t="s">
        <v>2178</v>
      </c>
      <c r="D681" s="28" t="s">
        <v>1630</v>
      </c>
      <c r="E681" s="21" t="s">
        <v>1758</v>
      </c>
      <c r="F681" s="12" t="s">
        <v>925</v>
      </c>
      <c r="G681" s="12" t="s">
        <v>1147</v>
      </c>
    </row>
    <row r="682" spans="1:7" x14ac:dyDescent="0.3">
      <c r="A682" s="28" t="s">
        <v>1935</v>
      </c>
      <c r="B682" s="28"/>
      <c r="C682" s="28" t="s">
        <v>2178</v>
      </c>
      <c r="D682" s="28" t="s">
        <v>1630</v>
      </c>
      <c r="E682" s="21" t="s">
        <v>1758</v>
      </c>
      <c r="F682" s="12" t="s">
        <v>925</v>
      </c>
      <c r="G682" s="12" t="s">
        <v>1147</v>
      </c>
    </row>
    <row r="683" spans="1:7" x14ac:dyDescent="0.3">
      <c r="A683" s="28" t="s">
        <v>1936</v>
      </c>
      <c r="B683" s="28"/>
      <c r="C683" s="28" t="s">
        <v>2178</v>
      </c>
      <c r="D683" s="28" t="s">
        <v>1630</v>
      </c>
      <c r="E683" s="21" t="s">
        <v>1758</v>
      </c>
      <c r="F683" s="12" t="s">
        <v>925</v>
      </c>
      <c r="G683" s="12" t="s">
        <v>1147</v>
      </c>
    </row>
    <row r="684" spans="1:7" x14ac:dyDescent="0.3">
      <c r="A684" s="28" t="s">
        <v>1937</v>
      </c>
      <c r="B684" s="28"/>
      <c r="C684" s="28" t="s">
        <v>2178</v>
      </c>
      <c r="D684" s="28" t="s">
        <v>1630</v>
      </c>
      <c r="E684" s="21" t="s">
        <v>1758</v>
      </c>
      <c r="F684" s="12" t="s">
        <v>925</v>
      </c>
      <c r="G684" s="12" t="s">
        <v>1147</v>
      </c>
    </row>
    <row r="685" spans="1:7" x14ac:dyDescent="0.3">
      <c r="A685" s="28" t="s">
        <v>1938</v>
      </c>
      <c r="B685" s="28"/>
      <c r="C685" s="28" t="s">
        <v>2178</v>
      </c>
      <c r="D685" s="28" t="s">
        <v>1630</v>
      </c>
      <c r="E685" s="21" t="s">
        <v>1758</v>
      </c>
      <c r="F685" s="12" t="s">
        <v>925</v>
      </c>
      <c r="G685" s="12" t="s">
        <v>1147</v>
      </c>
    </row>
    <row r="686" spans="1:7" x14ac:dyDescent="0.3">
      <c r="A686" s="28" t="s">
        <v>1939</v>
      </c>
      <c r="B686" s="28"/>
      <c r="C686" s="28" t="s">
        <v>2178</v>
      </c>
      <c r="D686" s="28" t="s">
        <v>1630</v>
      </c>
      <c r="E686" s="21" t="s">
        <v>1758</v>
      </c>
      <c r="F686" s="12" t="s">
        <v>925</v>
      </c>
      <c r="G686" s="12" t="s">
        <v>1147</v>
      </c>
    </row>
    <row r="687" spans="1:7" x14ac:dyDescent="0.3">
      <c r="A687" s="28" t="s">
        <v>1934</v>
      </c>
      <c r="B687" s="28"/>
      <c r="C687" s="28" t="s">
        <v>2178</v>
      </c>
      <c r="D687" s="28" t="s">
        <v>1630</v>
      </c>
      <c r="E687" s="21" t="s">
        <v>1758</v>
      </c>
      <c r="F687" s="12" t="s">
        <v>1503</v>
      </c>
      <c r="G687" s="12" t="s">
        <v>1147</v>
      </c>
    </row>
    <row r="688" spans="1:7" x14ac:dyDescent="0.3">
      <c r="A688" s="28" t="s">
        <v>1935</v>
      </c>
      <c r="B688" s="28"/>
      <c r="C688" s="28" t="s">
        <v>2178</v>
      </c>
      <c r="D688" s="28" t="s">
        <v>1630</v>
      </c>
      <c r="E688" s="21" t="s">
        <v>1758</v>
      </c>
      <c r="F688" s="12" t="s">
        <v>1503</v>
      </c>
      <c r="G688" s="12" t="s">
        <v>1147</v>
      </c>
    </row>
    <row r="689" spans="1:7" x14ac:dyDescent="0.3">
      <c r="A689" s="28" t="s">
        <v>1936</v>
      </c>
      <c r="B689" s="28"/>
      <c r="C689" s="28" t="s">
        <v>2178</v>
      </c>
      <c r="D689" s="28" t="s">
        <v>1630</v>
      </c>
      <c r="E689" s="21" t="s">
        <v>1758</v>
      </c>
      <c r="F689" s="12" t="s">
        <v>1503</v>
      </c>
      <c r="G689" s="12" t="s">
        <v>1147</v>
      </c>
    </row>
    <row r="690" spans="1:7" x14ac:dyDescent="0.3">
      <c r="A690" s="28" t="s">
        <v>1937</v>
      </c>
      <c r="B690" s="28"/>
      <c r="C690" s="28" t="s">
        <v>2178</v>
      </c>
      <c r="D690" s="28" t="s">
        <v>1630</v>
      </c>
      <c r="E690" s="21" t="s">
        <v>1758</v>
      </c>
      <c r="F690" s="12" t="s">
        <v>1503</v>
      </c>
      <c r="G690" s="12" t="s">
        <v>1147</v>
      </c>
    </row>
    <row r="691" spans="1:7" x14ac:dyDescent="0.3">
      <c r="A691" s="28" t="s">
        <v>1938</v>
      </c>
      <c r="B691" s="28"/>
      <c r="C691" s="28" t="s">
        <v>2178</v>
      </c>
      <c r="D691" s="28" t="s">
        <v>1630</v>
      </c>
      <c r="E691" s="21" t="s">
        <v>1758</v>
      </c>
      <c r="F691" s="12" t="s">
        <v>1503</v>
      </c>
      <c r="G691" s="12" t="s">
        <v>1147</v>
      </c>
    </row>
    <row r="692" spans="1:7" x14ac:dyDescent="0.3">
      <c r="A692" s="28" t="s">
        <v>1939</v>
      </c>
      <c r="B692" s="28"/>
      <c r="C692" s="28" t="s">
        <v>2178</v>
      </c>
      <c r="D692" s="28" t="s">
        <v>1630</v>
      </c>
      <c r="E692" s="21" t="s">
        <v>1758</v>
      </c>
      <c r="F692" s="12" t="s">
        <v>1503</v>
      </c>
      <c r="G692" s="12" t="s">
        <v>1147</v>
      </c>
    </row>
    <row r="693" spans="1:7" x14ac:dyDescent="0.3">
      <c r="A693" s="28"/>
      <c r="B693" s="28"/>
      <c r="C693" s="28" t="s">
        <v>2177</v>
      </c>
      <c r="D693" s="28"/>
      <c r="E693" s="12" t="s">
        <v>1003</v>
      </c>
      <c r="F693" s="12" t="s">
        <v>1003</v>
      </c>
      <c r="G693" s="12" t="s">
        <v>1169</v>
      </c>
    </row>
    <row r="694" spans="1:7" x14ac:dyDescent="0.3">
      <c r="A694" s="28"/>
      <c r="B694" s="28"/>
      <c r="C694" s="28" t="s">
        <v>2177</v>
      </c>
      <c r="D694" s="28"/>
      <c r="E694" s="12" t="s">
        <v>1003</v>
      </c>
      <c r="F694" s="12" t="s">
        <v>1524</v>
      </c>
      <c r="G694" s="12" t="s">
        <v>1147</v>
      </c>
    </row>
    <row r="695" spans="1:7" x14ac:dyDescent="0.3">
      <c r="A695" s="28"/>
      <c r="B695" s="28"/>
      <c r="C695" s="28" t="s">
        <v>2177</v>
      </c>
      <c r="D695" s="28"/>
      <c r="E695" s="12" t="s">
        <v>925</v>
      </c>
      <c r="F695" s="12" t="s">
        <v>949</v>
      </c>
      <c r="G695" s="12" t="s">
        <v>1147</v>
      </c>
    </row>
    <row r="696" spans="1:7" x14ac:dyDescent="0.3">
      <c r="A696" s="28"/>
      <c r="B696" s="28"/>
      <c r="C696" s="28" t="s">
        <v>2177</v>
      </c>
      <c r="D696" s="28"/>
      <c r="E696" s="12" t="s">
        <v>925</v>
      </c>
      <c r="F696" s="12" t="s">
        <v>951</v>
      </c>
      <c r="G696" s="12" t="s">
        <v>1147</v>
      </c>
    </row>
    <row r="697" spans="1:7" x14ac:dyDescent="0.3">
      <c r="A697" s="28"/>
      <c r="B697" s="28"/>
      <c r="C697" s="28" t="s">
        <v>2177</v>
      </c>
      <c r="D697" s="28"/>
      <c r="E697" s="12" t="s">
        <v>925</v>
      </c>
      <c r="F697" s="12" t="s">
        <v>953</v>
      </c>
      <c r="G697" s="12" t="s">
        <v>1147</v>
      </c>
    </row>
    <row r="698" spans="1:7" x14ac:dyDescent="0.3">
      <c r="A698" s="28"/>
      <c r="B698" s="28"/>
      <c r="C698" s="28" t="s">
        <v>2177</v>
      </c>
      <c r="D698" s="28"/>
      <c r="E698" s="12" t="s">
        <v>925</v>
      </c>
      <c r="F698" s="12" t="s">
        <v>955</v>
      </c>
      <c r="G698" s="12" t="s">
        <v>1147</v>
      </c>
    </row>
    <row r="699" spans="1:7" x14ac:dyDescent="0.3">
      <c r="A699" s="28"/>
      <c r="B699" s="28"/>
      <c r="C699" s="28" t="s">
        <v>2177</v>
      </c>
      <c r="D699" s="28"/>
      <c r="E699" s="12" t="s">
        <v>1563</v>
      </c>
      <c r="F699" s="12" t="s">
        <v>949</v>
      </c>
      <c r="G699" s="12" t="s">
        <v>1147</v>
      </c>
    </row>
    <row r="700" spans="1:7" x14ac:dyDescent="0.3">
      <c r="A700" s="28"/>
      <c r="B700" s="28"/>
      <c r="C700" s="28" t="s">
        <v>2177</v>
      </c>
      <c r="D700" s="28"/>
      <c r="E700" s="12" t="s">
        <v>1563</v>
      </c>
      <c r="F700" s="12" t="s">
        <v>951</v>
      </c>
      <c r="G700" s="12" t="s">
        <v>1147</v>
      </c>
    </row>
    <row r="701" spans="1:7" x14ac:dyDescent="0.3">
      <c r="A701" s="28"/>
      <c r="B701" s="28"/>
      <c r="C701" s="28" t="s">
        <v>2177</v>
      </c>
      <c r="D701" s="28"/>
      <c r="E701" s="12" t="s">
        <v>1563</v>
      </c>
      <c r="F701" s="12" t="s">
        <v>953</v>
      </c>
      <c r="G701" s="12" t="s">
        <v>1147</v>
      </c>
    </row>
    <row r="702" spans="1:7" x14ac:dyDescent="0.3">
      <c r="A702" s="28"/>
      <c r="B702" s="28"/>
      <c r="C702" s="28" t="s">
        <v>2177</v>
      </c>
      <c r="D702" s="28"/>
      <c r="E702" s="12" t="s">
        <v>1563</v>
      </c>
      <c r="F702" s="12" t="s">
        <v>955</v>
      </c>
      <c r="G702" s="12" t="s">
        <v>1147</v>
      </c>
    </row>
    <row r="703" spans="1:7" x14ac:dyDescent="0.3">
      <c r="A703" s="28"/>
      <c r="B703" s="28"/>
      <c r="C703" s="28" t="s">
        <v>2177</v>
      </c>
      <c r="D703" s="28"/>
      <c r="E703" s="12" t="s">
        <v>906</v>
      </c>
      <c r="F703" s="12" t="s">
        <v>906</v>
      </c>
      <c r="G703" s="12" t="s">
        <v>1147</v>
      </c>
    </row>
    <row r="704" spans="1:7" x14ac:dyDescent="0.3">
      <c r="A704" s="28"/>
      <c r="B704" s="28"/>
      <c r="C704" s="28" t="s">
        <v>2177</v>
      </c>
      <c r="D704" s="28"/>
      <c r="E704" s="12" t="s">
        <v>910</v>
      </c>
      <c r="F704" s="12" t="s">
        <v>910</v>
      </c>
      <c r="G704" s="12" t="s">
        <v>1147</v>
      </c>
    </row>
    <row r="705" spans="1:7" x14ac:dyDescent="0.3">
      <c r="A705" s="28"/>
      <c r="B705" s="28"/>
      <c r="C705" s="28" t="s">
        <v>2177</v>
      </c>
      <c r="D705" s="28"/>
      <c r="E705" s="12" t="s">
        <v>1209</v>
      </c>
      <c r="F705" s="12" t="s">
        <v>939</v>
      </c>
      <c r="G705" s="12" t="s">
        <v>1147</v>
      </c>
    </row>
    <row r="706" spans="1:7" x14ac:dyDescent="0.3">
      <c r="A706" s="28"/>
      <c r="B706" s="28"/>
      <c r="C706" s="28" t="s">
        <v>2177</v>
      </c>
      <c r="D706" s="28"/>
      <c r="E706" s="12" t="s">
        <v>1209</v>
      </c>
      <c r="F706" s="12" t="s">
        <v>1011</v>
      </c>
      <c r="G706" s="12" t="s">
        <v>1169</v>
      </c>
    </row>
    <row r="707" spans="1:7" x14ac:dyDescent="0.3">
      <c r="A707" s="28"/>
      <c r="B707" s="28"/>
      <c r="C707" s="28" t="s">
        <v>2177</v>
      </c>
      <c r="D707" s="28"/>
      <c r="E707" s="12" t="s">
        <v>1205</v>
      </c>
      <c r="F707" s="12" t="s">
        <v>935</v>
      </c>
      <c r="G707" s="12" t="s">
        <v>1147</v>
      </c>
    </row>
    <row r="708" spans="1:7" x14ac:dyDescent="0.3">
      <c r="A708" s="28"/>
      <c r="B708" s="28"/>
      <c r="C708" s="28" t="s">
        <v>2177</v>
      </c>
      <c r="D708" s="28"/>
      <c r="E708" s="12" t="s">
        <v>1205</v>
      </c>
      <c r="F708" s="12" t="s">
        <v>1009</v>
      </c>
      <c r="G708" s="12" t="s">
        <v>1169</v>
      </c>
    </row>
    <row r="709" spans="1:7" x14ac:dyDescent="0.3">
      <c r="A709" s="28" t="s">
        <v>1464</v>
      </c>
      <c r="B709" s="28"/>
      <c r="C709" s="28" t="s">
        <v>2177</v>
      </c>
      <c r="D709" s="28" t="s">
        <v>1630</v>
      </c>
      <c r="E709" s="21" t="s">
        <v>1761</v>
      </c>
      <c r="F709" s="21" t="s">
        <v>1761</v>
      </c>
      <c r="G709" s="12" t="s">
        <v>1147</v>
      </c>
    </row>
    <row r="710" spans="1:7" x14ac:dyDescent="0.3">
      <c r="A710" s="28" t="s">
        <v>1466</v>
      </c>
      <c r="B710" s="28"/>
      <c r="C710" s="28" t="s">
        <v>2177</v>
      </c>
      <c r="D710" s="28" t="s">
        <v>1630</v>
      </c>
      <c r="E710" s="21" t="s">
        <v>1761</v>
      </c>
      <c r="F710" s="21" t="s">
        <v>1761</v>
      </c>
      <c r="G710" s="12" t="s">
        <v>1147</v>
      </c>
    </row>
    <row r="711" spans="1:7" x14ac:dyDescent="0.3">
      <c r="A711" s="28" t="s">
        <v>1467</v>
      </c>
      <c r="B711" s="28"/>
      <c r="C711" s="28" t="s">
        <v>2177</v>
      </c>
      <c r="D711" s="28" t="s">
        <v>1630</v>
      </c>
      <c r="E711" s="21" t="s">
        <v>1761</v>
      </c>
      <c r="F711" s="21" t="s">
        <v>1761</v>
      </c>
      <c r="G711" s="12" t="s">
        <v>1147</v>
      </c>
    </row>
    <row r="712" spans="1:7" x14ac:dyDescent="0.3">
      <c r="A712" s="28" t="s">
        <v>1468</v>
      </c>
      <c r="B712" s="28"/>
      <c r="C712" s="28" t="s">
        <v>2177</v>
      </c>
      <c r="D712" s="28" t="s">
        <v>1630</v>
      </c>
      <c r="E712" s="21" t="s">
        <v>1761</v>
      </c>
      <c r="F712" s="21" t="s">
        <v>1761</v>
      </c>
      <c r="G712" s="12" t="s">
        <v>1147</v>
      </c>
    </row>
    <row r="713" spans="1:7" x14ac:dyDescent="0.3">
      <c r="A713" s="28" t="s">
        <v>1469</v>
      </c>
      <c r="B713" s="28"/>
      <c r="C713" s="28" t="s">
        <v>2177</v>
      </c>
      <c r="D713" s="28" t="s">
        <v>1630</v>
      </c>
      <c r="E713" s="21" t="s">
        <v>1761</v>
      </c>
      <c r="F713" s="21" t="s">
        <v>1761</v>
      </c>
      <c r="G713" s="12" t="s">
        <v>1147</v>
      </c>
    </row>
    <row r="714" spans="1:7" x14ac:dyDescent="0.3">
      <c r="A714" s="28" t="s">
        <v>1470</v>
      </c>
      <c r="B714" s="28"/>
      <c r="C714" s="28" t="s">
        <v>2177</v>
      </c>
      <c r="D714" s="28" t="s">
        <v>1630</v>
      </c>
      <c r="E714" s="21" t="s">
        <v>1761</v>
      </c>
      <c r="F714" s="21" t="s">
        <v>1761</v>
      </c>
      <c r="G714" s="12" t="s">
        <v>1147</v>
      </c>
    </row>
    <row r="715" spans="1:7" x14ac:dyDescent="0.3">
      <c r="A715" s="28" t="s">
        <v>1934</v>
      </c>
      <c r="B715" s="28"/>
      <c r="C715" s="28" t="s">
        <v>2177</v>
      </c>
      <c r="D715" s="28" t="s">
        <v>1630</v>
      </c>
      <c r="E715" s="21" t="s">
        <v>1761</v>
      </c>
      <c r="F715" s="21" t="s">
        <v>1761</v>
      </c>
      <c r="G715" s="12" t="s">
        <v>1147</v>
      </c>
    </row>
    <row r="716" spans="1:7" x14ac:dyDescent="0.3">
      <c r="A716" s="28" t="s">
        <v>1935</v>
      </c>
      <c r="B716" s="28"/>
      <c r="C716" s="28" t="s">
        <v>2177</v>
      </c>
      <c r="D716" s="28" t="s">
        <v>1630</v>
      </c>
      <c r="E716" s="21" t="s">
        <v>1761</v>
      </c>
      <c r="F716" s="21" t="s">
        <v>1761</v>
      </c>
      <c r="G716" s="12" t="s">
        <v>1147</v>
      </c>
    </row>
    <row r="717" spans="1:7" x14ac:dyDescent="0.3">
      <c r="A717" s="28" t="s">
        <v>1936</v>
      </c>
      <c r="B717" s="28"/>
      <c r="C717" s="28" t="s">
        <v>2177</v>
      </c>
      <c r="D717" s="28" t="s">
        <v>1630</v>
      </c>
      <c r="E717" s="21" t="s">
        <v>1761</v>
      </c>
      <c r="F717" s="21" t="s">
        <v>1761</v>
      </c>
      <c r="G717" s="12" t="s">
        <v>1147</v>
      </c>
    </row>
    <row r="718" spans="1:7" x14ac:dyDescent="0.3">
      <c r="A718" s="28" t="s">
        <v>1937</v>
      </c>
      <c r="B718" s="28"/>
      <c r="C718" s="28" t="s">
        <v>2177</v>
      </c>
      <c r="D718" s="28" t="s">
        <v>1630</v>
      </c>
      <c r="E718" s="21" t="s">
        <v>1761</v>
      </c>
      <c r="F718" s="21" t="s">
        <v>1761</v>
      </c>
      <c r="G718" s="12" t="s">
        <v>1147</v>
      </c>
    </row>
    <row r="719" spans="1:7" x14ac:dyDescent="0.3">
      <c r="A719" s="28" t="s">
        <v>1938</v>
      </c>
      <c r="B719" s="28"/>
      <c r="C719" s="28" t="s">
        <v>2177</v>
      </c>
      <c r="D719" s="28" t="s">
        <v>1630</v>
      </c>
      <c r="E719" s="21" t="s">
        <v>1761</v>
      </c>
      <c r="F719" s="21" t="s">
        <v>1761</v>
      </c>
      <c r="G719" s="12" t="s">
        <v>1147</v>
      </c>
    </row>
    <row r="720" spans="1:7" x14ac:dyDescent="0.3">
      <c r="A720" s="28" t="s">
        <v>1939</v>
      </c>
      <c r="B720" s="28"/>
      <c r="C720" s="28" t="s">
        <v>2177</v>
      </c>
      <c r="D720" s="28" t="s">
        <v>1630</v>
      </c>
      <c r="E720" s="21" t="s">
        <v>1761</v>
      </c>
      <c r="F720" s="21" t="s">
        <v>1761</v>
      </c>
      <c r="G720" s="12" t="s">
        <v>1147</v>
      </c>
    </row>
    <row r="721" spans="1:7" x14ac:dyDescent="0.3">
      <c r="A721" s="28"/>
      <c r="B721" s="28"/>
      <c r="C721" s="28" t="s">
        <v>2177</v>
      </c>
      <c r="D721" s="28"/>
      <c r="E721" s="12" t="s">
        <v>1017</v>
      </c>
      <c r="F721" s="12" t="s">
        <v>1017</v>
      </c>
      <c r="G721" s="12" t="s">
        <v>1147</v>
      </c>
    </row>
    <row r="722" spans="1:7" x14ac:dyDescent="0.3">
      <c r="A722" s="28"/>
      <c r="B722" s="28"/>
      <c r="C722" s="28" t="s">
        <v>2177</v>
      </c>
      <c r="D722" s="28"/>
      <c r="E722" s="12" t="s">
        <v>1019</v>
      </c>
      <c r="F722" s="12" t="s">
        <v>1019</v>
      </c>
      <c r="G722" s="12" t="s">
        <v>1169</v>
      </c>
    </row>
    <row r="723" spans="1:7" x14ac:dyDescent="0.3">
      <c r="A723" s="28"/>
      <c r="B723" s="28"/>
      <c r="C723" s="28" t="s">
        <v>2177</v>
      </c>
      <c r="D723" s="28"/>
      <c r="E723" s="12" t="s">
        <v>1019</v>
      </c>
      <c r="F723" s="12" t="s">
        <v>1524</v>
      </c>
      <c r="G723" s="12" t="s">
        <v>1147</v>
      </c>
    </row>
    <row r="724" spans="1:7" x14ac:dyDescent="0.3">
      <c r="A724" s="28"/>
      <c r="B724" s="28"/>
      <c r="C724" s="28" t="s">
        <v>2177</v>
      </c>
      <c r="D724" s="28"/>
      <c r="E724" s="12" t="s">
        <v>1314</v>
      </c>
      <c r="F724" s="12" t="s">
        <v>914</v>
      </c>
      <c r="G724" s="12" t="s">
        <v>1147</v>
      </c>
    </row>
    <row r="725" spans="1:7" x14ac:dyDescent="0.3">
      <c r="A725" s="28"/>
      <c r="B725" s="28"/>
      <c r="C725" s="28" t="s">
        <v>2177</v>
      </c>
      <c r="D725" s="28"/>
      <c r="E725" s="12" t="s">
        <v>1316</v>
      </c>
      <c r="F725" s="12" t="s">
        <v>914</v>
      </c>
      <c r="G725" s="12" t="s">
        <v>1147</v>
      </c>
    </row>
    <row r="726" spans="1:7" x14ac:dyDescent="0.3">
      <c r="A726" s="28"/>
      <c r="B726" s="28"/>
      <c r="C726" s="28" t="s">
        <v>2177</v>
      </c>
      <c r="D726" s="28"/>
      <c r="E726" s="12" t="s">
        <v>1524</v>
      </c>
      <c r="F726" s="12" t="s">
        <v>949</v>
      </c>
      <c r="G726" s="12" t="s">
        <v>1147</v>
      </c>
    </row>
    <row r="727" spans="1:7" x14ac:dyDescent="0.3">
      <c r="A727" s="28"/>
      <c r="B727" s="28"/>
      <c r="C727" s="28" t="s">
        <v>2177</v>
      </c>
      <c r="D727" s="28"/>
      <c r="E727" s="12" t="s">
        <v>1524</v>
      </c>
      <c r="F727" s="12" t="s">
        <v>951</v>
      </c>
      <c r="G727" s="12" t="s">
        <v>1147</v>
      </c>
    </row>
    <row r="728" spans="1:7" x14ac:dyDescent="0.3">
      <c r="A728" s="28"/>
      <c r="B728" s="28"/>
      <c r="C728" s="28" t="s">
        <v>2177</v>
      </c>
      <c r="D728" s="28"/>
      <c r="E728" s="12" t="s">
        <v>1524</v>
      </c>
      <c r="F728" s="12" t="s">
        <v>953</v>
      </c>
      <c r="G728" s="12" t="s">
        <v>1147</v>
      </c>
    </row>
    <row r="729" spans="1:7" x14ac:dyDescent="0.3">
      <c r="A729" s="28"/>
      <c r="B729" s="28"/>
      <c r="C729" s="28" t="s">
        <v>2177</v>
      </c>
      <c r="D729" s="28"/>
      <c r="E729" s="12" t="s">
        <v>1524</v>
      </c>
      <c r="F729" s="12" t="s">
        <v>955</v>
      </c>
      <c r="G729" s="12" t="s">
        <v>1147</v>
      </c>
    </row>
    <row r="730" spans="1:7" x14ac:dyDescent="0.3">
      <c r="A730" s="28"/>
      <c r="B730" s="28"/>
      <c r="C730" s="28" t="s">
        <v>2177</v>
      </c>
      <c r="D730" s="28"/>
      <c r="E730" s="12" t="s">
        <v>1260</v>
      </c>
      <c r="F730" s="12" t="s">
        <v>949</v>
      </c>
      <c r="G730" s="12" t="s">
        <v>1147</v>
      </c>
    </row>
    <row r="731" spans="1:7" x14ac:dyDescent="0.3">
      <c r="A731" s="28"/>
      <c r="B731" s="28"/>
      <c r="C731" s="28" t="s">
        <v>2177</v>
      </c>
      <c r="D731" s="28"/>
      <c r="E731" s="12" t="s">
        <v>1262</v>
      </c>
      <c r="F731" s="12" t="s">
        <v>951</v>
      </c>
      <c r="G731" s="12" t="s">
        <v>1147</v>
      </c>
    </row>
    <row r="732" spans="1:7" x14ac:dyDescent="0.3">
      <c r="A732" s="28"/>
      <c r="B732" s="28"/>
      <c r="C732" s="28" t="s">
        <v>2177</v>
      </c>
      <c r="D732" s="28"/>
      <c r="E732" s="12" t="s">
        <v>1264</v>
      </c>
      <c r="F732" s="12" t="s">
        <v>953</v>
      </c>
      <c r="G732" s="12" t="s">
        <v>1147</v>
      </c>
    </row>
    <row r="733" spans="1:7" x14ac:dyDescent="0.3">
      <c r="A733" s="28"/>
      <c r="B733" s="28"/>
      <c r="C733" s="28" t="s">
        <v>2177</v>
      </c>
      <c r="D733" s="28"/>
      <c r="E733" s="12" t="s">
        <v>1266</v>
      </c>
      <c r="F733" s="12" t="s">
        <v>955</v>
      </c>
      <c r="G733" s="12" t="s">
        <v>1147</v>
      </c>
    </row>
    <row r="734" spans="1:7" x14ac:dyDescent="0.3">
      <c r="A734" s="28"/>
      <c r="B734" s="28"/>
      <c r="C734" s="28" t="s">
        <v>2177</v>
      </c>
      <c r="D734" s="28"/>
      <c r="E734" s="12" t="s">
        <v>1284</v>
      </c>
      <c r="F734" s="12" t="s">
        <v>971</v>
      </c>
      <c r="G734" s="12" t="s">
        <v>1147</v>
      </c>
    </row>
    <row r="735" spans="1:7" x14ac:dyDescent="0.3">
      <c r="A735" s="28"/>
      <c r="B735" s="28"/>
      <c r="C735" s="28" t="s">
        <v>2177</v>
      </c>
      <c r="D735" s="28"/>
      <c r="E735" s="12" t="s">
        <v>1284</v>
      </c>
      <c r="F735" s="12" t="s">
        <v>1023</v>
      </c>
      <c r="G735" s="12" t="s">
        <v>1169</v>
      </c>
    </row>
    <row r="736" spans="1:7" x14ac:dyDescent="0.3">
      <c r="A736" s="28"/>
      <c r="B736" s="28"/>
      <c r="C736" s="28" t="s">
        <v>2177</v>
      </c>
      <c r="D736" s="28"/>
      <c r="E736" s="12" t="s">
        <v>1294</v>
      </c>
      <c r="F736" s="12" t="s">
        <v>912</v>
      </c>
      <c r="G736" s="12" t="s">
        <v>1147</v>
      </c>
    </row>
    <row r="737" spans="1:7" x14ac:dyDescent="0.3">
      <c r="A737" s="28"/>
      <c r="B737" s="28"/>
      <c r="C737" s="28" t="s">
        <v>2177</v>
      </c>
      <c r="D737" s="28"/>
      <c r="E737" s="12" t="s">
        <v>1833</v>
      </c>
      <c r="F737" s="12" t="s">
        <v>971</v>
      </c>
      <c r="G737" s="12" t="s">
        <v>1147</v>
      </c>
    </row>
    <row r="738" spans="1:7" x14ac:dyDescent="0.3">
      <c r="A738" s="28"/>
      <c r="B738" s="28"/>
      <c r="C738" s="28" t="s">
        <v>2177</v>
      </c>
      <c r="D738" s="28"/>
      <c r="E738" s="12" t="s">
        <v>1223</v>
      </c>
      <c r="F738" s="12" t="s">
        <v>925</v>
      </c>
      <c r="G738" s="12" t="s">
        <v>1158</v>
      </c>
    </row>
    <row r="739" spans="1:7" x14ac:dyDescent="0.3">
      <c r="A739" s="28"/>
      <c r="B739" s="28"/>
      <c r="C739" s="28" t="s">
        <v>2177</v>
      </c>
      <c r="D739" s="28"/>
      <c r="E739" s="12" t="s">
        <v>1223</v>
      </c>
      <c r="F739" s="12" t="s">
        <v>925</v>
      </c>
      <c r="G739" s="12" t="s">
        <v>1169</v>
      </c>
    </row>
    <row r="740" spans="1:7" x14ac:dyDescent="0.3">
      <c r="A740" s="28"/>
      <c r="B740" s="28"/>
      <c r="C740" s="28" t="s">
        <v>2177</v>
      </c>
      <c r="D740" s="28"/>
      <c r="E740" s="12" t="s">
        <v>1213</v>
      </c>
      <c r="F740" s="12" t="s">
        <v>949</v>
      </c>
      <c r="G740" s="12" t="s">
        <v>1158</v>
      </c>
    </row>
    <row r="741" spans="1:7" x14ac:dyDescent="0.3">
      <c r="A741" s="28"/>
      <c r="B741" s="28"/>
      <c r="C741" s="28" t="s">
        <v>2177</v>
      </c>
      <c r="D741" s="28"/>
      <c r="E741" s="12" t="s">
        <v>1213</v>
      </c>
      <c r="F741" s="12" t="s">
        <v>949</v>
      </c>
      <c r="G741" s="12" t="s">
        <v>1169</v>
      </c>
    </row>
    <row r="742" spans="1:7" x14ac:dyDescent="0.3">
      <c r="A742" s="28"/>
      <c r="B742" s="28"/>
      <c r="C742" s="28" t="s">
        <v>2177</v>
      </c>
      <c r="D742" s="28"/>
      <c r="E742" s="12" t="s">
        <v>1213</v>
      </c>
      <c r="F742" s="12" t="s">
        <v>951</v>
      </c>
      <c r="G742" s="12" t="s">
        <v>1158</v>
      </c>
    </row>
    <row r="743" spans="1:7" x14ac:dyDescent="0.3">
      <c r="A743" s="28"/>
      <c r="B743" s="28"/>
      <c r="C743" s="28" t="s">
        <v>2177</v>
      </c>
      <c r="D743" s="28"/>
      <c r="E743" s="12" t="s">
        <v>1213</v>
      </c>
      <c r="F743" s="12" t="s">
        <v>951</v>
      </c>
      <c r="G743" s="12" t="s">
        <v>1169</v>
      </c>
    </row>
    <row r="744" spans="1:7" x14ac:dyDescent="0.3">
      <c r="A744" s="28"/>
      <c r="B744" s="28"/>
      <c r="C744" s="28" t="s">
        <v>2177</v>
      </c>
      <c r="D744" s="28"/>
      <c r="E744" s="12" t="s">
        <v>1213</v>
      </c>
      <c r="F744" s="12" t="s">
        <v>953</v>
      </c>
      <c r="G744" s="12" t="s">
        <v>1158</v>
      </c>
    </row>
    <row r="745" spans="1:7" x14ac:dyDescent="0.3">
      <c r="A745" s="28"/>
      <c r="B745" s="28"/>
      <c r="C745" s="28" t="s">
        <v>2177</v>
      </c>
      <c r="D745" s="28"/>
      <c r="E745" s="12" t="s">
        <v>1213</v>
      </c>
      <c r="F745" s="12" t="s">
        <v>953</v>
      </c>
      <c r="G745" s="12" t="s">
        <v>1169</v>
      </c>
    </row>
    <row r="746" spans="1:7" x14ac:dyDescent="0.3">
      <c r="A746" s="28"/>
      <c r="B746" s="28"/>
      <c r="C746" s="28" t="s">
        <v>2177</v>
      </c>
      <c r="D746" s="28"/>
      <c r="E746" s="12" t="s">
        <v>1213</v>
      </c>
      <c r="F746" s="12" t="s">
        <v>955</v>
      </c>
      <c r="G746" s="12" t="s">
        <v>1158</v>
      </c>
    </row>
    <row r="747" spans="1:7" x14ac:dyDescent="0.3">
      <c r="A747" s="28"/>
      <c r="B747" s="28"/>
      <c r="C747" s="28" t="s">
        <v>2177</v>
      </c>
      <c r="D747" s="28"/>
      <c r="E747" s="12" t="s">
        <v>1213</v>
      </c>
      <c r="F747" s="12" t="s">
        <v>955</v>
      </c>
      <c r="G747" s="12" t="s">
        <v>1169</v>
      </c>
    </row>
    <row r="748" spans="1:7" x14ac:dyDescent="0.3">
      <c r="A748" s="28" t="s">
        <v>1464</v>
      </c>
      <c r="B748" s="28"/>
      <c r="C748" s="28" t="s">
        <v>2177</v>
      </c>
      <c r="D748" s="28" t="s">
        <v>1630</v>
      </c>
      <c r="E748" s="21" t="s">
        <v>1758</v>
      </c>
      <c r="F748" s="21" t="s">
        <v>1758</v>
      </c>
      <c r="G748" s="12" t="s">
        <v>1169</v>
      </c>
    </row>
    <row r="749" spans="1:7" x14ac:dyDescent="0.3">
      <c r="A749" s="28" t="s">
        <v>1466</v>
      </c>
      <c r="B749" s="28"/>
      <c r="C749" s="28" t="s">
        <v>2177</v>
      </c>
      <c r="D749" s="28" t="s">
        <v>1630</v>
      </c>
      <c r="E749" s="21" t="s">
        <v>1758</v>
      </c>
      <c r="F749" s="21" t="s">
        <v>1758</v>
      </c>
      <c r="G749" s="12" t="s">
        <v>1169</v>
      </c>
    </row>
    <row r="750" spans="1:7" x14ac:dyDescent="0.3">
      <c r="A750" s="28" t="s">
        <v>1467</v>
      </c>
      <c r="B750" s="28"/>
      <c r="C750" s="28" t="s">
        <v>2177</v>
      </c>
      <c r="D750" s="28" t="s">
        <v>1630</v>
      </c>
      <c r="E750" s="21" t="s">
        <v>1758</v>
      </c>
      <c r="F750" s="21" t="s">
        <v>1758</v>
      </c>
      <c r="G750" s="12" t="s">
        <v>1169</v>
      </c>
    </row>
    <row r="751" spans="1:7" x14ac:dyDescent="0.3">
      <c r="A751" s="28" t="s">
        <v>1468</v>
      </c>
      <c r="B751" s="28"/>
      <c r="C751" s="28" t="s">
        <v>2177</v>
      </c>
      <c r="D751" s="28" t="s">
        <v>1630</v>
      </c>
      <c r="E751" s="21" t="s">
        <v>1758</v>
      </c>
      <c r="F751" s="21" t="s">
        <v>1758</v>
      </c>
      <c r="G751" s="12" t="s">
        <v>1169</v>
      </c>
    </row>
    <row r="752" spans="1:7" x14ac:dyDescent="0.3">
      <c r="A752" s="28" t="s">
        <v>1469</v>
      </c>
      <c r="B752" s="28"/>
      <c r="C752" s="28" t="s">
        <v>2177</v>
      </c>
      <c r="D752" s="28" t="s">
        <v>1630</v>
      </c>
      <c r="E752" s="21" t="s">
        <v>1758</v>
      </c>
      <c r="F752" s="21" t="s">
        <v>1758</v>
      </c>
      <c r="G752" s="12" t="s">
        <v>1169</v>
      </c>
    </row>
    <row r="753" spans="1:7" x14ac:dyDescent="0.3">
      <c r="A753" s="28" t="s">
        <v>1470</v>
      </c>
      <c r="B753" s="28"/>
      <c r="C753" s="28" t="s">
        <v>2177</v>
      </c>
      <c r="D753" s="28" t="s">
        <v>1630</v>
      </c>
      <c r="E753" s="21" t="s">
        <v>1758</v>
      </c>
      <c r="F753" s="21" t="s">
        <v>1758</v>
      </c>
      <c r="G753" s="12" t="s">
        <v>1169</v>
      </c>
    </row>
    <row r="754" spans="1:7" x14ac:dyDescent="0.3">
      <c r="A754" s="28" t="s">
        <v>1464</v>
      </c>
      <c r="B754" s="28"/>
      <c r="C754" s="28" t="s">
        <v>2177</v>
      </c>
      <c r="D754" s="28" t="s">
        <v>1630</v>
      </c>
      <c r="E754" s="21" t="s">
        <v>1758</v>
      </c>
      <c r="F754" s="12" t="s">
        <v>920</v>
      </c>
      <c r="G754" s="12" t="s">
        <v>1147</v>
      </c>
    </row>
    <row r="755" spans="1:7" x14ac:dyDescent="0.3">
      <c r="A755" s="28" t="s">
        <v>1466</v>
      </c>
      <c r="B755" s="28"/>
      <c r="C755" s="28" t="s">
        <v>2177</v>
      </c>
      <c r="D755" s="28" t="s">
        <v>1630</v>
      </c>
      <c r="E755" s="21" t="s">
        <v>1758</v>
      </c>
      <c r="F755" s="12" t="s">
        <v>920</v>
      </c>
      <c r="G755" s="12" t="s">
        <v>1147</v>
      </c>
    </row>
    <row r="756" spans="1:7" x14ac:dyDescent="0.3">
      <c r="A756" s="28" t="s">
        <v>1467</v>
      </c>
      <c r="B756" s="28"/>
      <c r="C756" s="28" t="s">
        <v>2177</v>
      </c>
      <c r="D756" s="28" t="s">
        <v>1630</v>
      </c>
      <c r="E756" s="21" t="s">
        <v>1758</v>
      </c>
      <c r="F756" s="12" t="s">
        <v>920</v>
      </c>
      <c r="G756" s="12" t="s">
        <v>1147</v>
      </c>
    </row>
    <row r="757" spans="1:7" x14ac:dyDescent="0.3">
      <c r="A757" s="28" t="s">
        <v>1468</v>
      </c>
      <c r="B757" s="28"/>
      <c r="C757" s="28" t="s">
        <v>2177</v>
      </c>
      <c r="D757" s="28" t="s">
        <v>1630</v>
      </c>
      <c r="E757" s="21" t="s">
        <v>1758</v>
      </c>
      <c r="F757" s="12" t="s">
        <v>920</v>
      </c>
      <c r="G757" s="12" t="s">
        <v>1147</v>
      </c>
    </row>
    <row r="758" spans="1:7" x14ac:dyDescent="0.3">
      <c r="A758" s="28" t="s">
        <v>1469</v>
      </c>
      <c r="B758" s="28"/>
      <c r="C758" s="28" t="s">
        <v>2177</v>
      </c>
      <c r="D758" s="28" t="s">
        <v>1630</v>
      </c>
      <c r="E758" s="21" t="s">
        <v>1758</v>
      </c>
      <c r="F758" s="12" t="s">
        <v>920</v>
      </c>
      <c r="G758" s="12" t="s">
        <v>1147</v>
      </c>
    </row>
    <row r="759" spans="1:7" x14ac:dyDescent="0.3">
      <c r="A759" s="28" t="s">
        <v>1470</v>
      </c>
      <c r="B759" s="28"/>
      <c r="C759" s="28" t="s">
        <v>2177</v>
      </c>
      <c r="D759" s="28" t="s">
        <v>1630</v>
      </c>
      <c r="E759" s="21" t="s">
        <v>1758</v>
      </c>
      <c r="F759" s="12" t="s">
        <v>920</v>
      </c>
      <c r="G759" s="12" t="s">
        <v>1147</v>
      </c>
    </row>
    <row r="760" spans="1:7" x14ac:dyDescent="0.3">
      <c r="A760" s="28" t="s">
        <v>1464</v>
      </c>
      <c r="B760" s="28"/>
      <c r="C760" s="28" t="s">
        <v>2177</v>
      </c>
      <c r="D760" s="28" t="s">
        <v>1630</v>
      </c>
      <c r="E760" s="21" t="s">
        <v>1758</v>
      </c>
      <c r="F760" s="12" t="s">
        <v>923</v>
      </c>
      <c r="G760" s="12" t="s">
        <v>1147</v>
      </c>
    </row>
    <row r="761" spans="1:7" x14ac:dyDescent="0.3">
      <c r="A761" s="28" t="s">
        <v>1466</v>
      </c>
      <c r="B761" s="28"/>
      <c r="C761" s="28" t="s">
        <v>2177</v>
      </c>
      <c r="D761" s="28" t="s">
        <v>1630</v>
      </c>
      <c r="E761" s="21" t="s">
        <v>1758</v>
      </c>
      <c r="F761" s="12" t="s">
        <v>923</v>
      </c>
      <c r="G761" s="12" t="s">
        <v>1147</v>
      </c>
    </row>
    <row r="762" spans="1:7" x14ac:dyDescent="0.3">
      <c r="A762" s="28" t="s">
        <v>1467</v>
      </c>
      <c r="B762" s="28"/>
      <c r="C762" s="28" t="s">
        <v>2177</v>
      </c>
      <c r="D762" s="28" t="s">
        <v>1630</v>
      </c>
      <c r="E762" s="21" t="s">
        <v>1758</v>
      </c>
      <c r="F762" s="12" t="s">
        <v>923</v>
      </c>
      <c r="G762" s="12" t="s">
        <v>1147</v>
      </c>
    </row>
    <row r="763" spans="1:7" x14ac:dyDescent="0.3">
      <c r="A763" s="28" t="s">
        <v>1468</v>
      </c>
      <c r="B763" s="28"/>
      <c r="C763" s="28" t="s">
        <v>2177</v>
      </c>
      <c r="D763" s="28" t="s">
        <v>1630</v>
      </c>
      <c r="E763" s="21" t="s">
        <v>1758</v>
      </c>
      <c r="F763" s="12" t="s">
        <v>923</v>
      </c>
      <c r="G763" s="12" t="s">
        <v>1147</v>
      </c>
    </row>
    <row r="764" spans="1:7" x14ac:dyDescent="0.3">
      <c r="A764" s="28" t="s">
        <v>1469</v>
      </c>
      <c r="B764" s="28"/>
      <c r="C764" s="28" t="s">
        <v>2177</v>
      </c>
      <c r="D764" s="28" t="s">
        <v>1630</v>
      </c>
      <c r="E764" s="21" t="s">
        <v>1758</v>
      </c>
      <c r="F764" s="12" t="s">
        <v>923</v>
      </c>
      <c r="G764" s="12" t="s">
        <v>1147</v>
      </c>
    </row>
    <row r="765" spans="1:7" x14ac:dyDescent="0.3">
      <c r="A765" s="28" t="s">
        <v>1470</v>
      </c>
      <c r="B765" s="28"/>
      <c r="C765" s="28" t="s">
        <v>2177</v>
      </c>
      <c r="D765" s="28" t="s">
        <v>1630</v>
      </c>
      <c r="E765" s="21" t="s">
        <v>1758</v>
      </c>
      <c r="F765" s="12" t="s">
        <v>923</v>
      </c>
      <c r="G765" s="12" t="s">
        <v>1147</v>
      </c>
    </row>
    <row r="766" spans="1:7" x14ac:dyDescent="0.3">
      <c r="A766" s="28" t="s">
        <v>1464</v>
      </c>
      <c r="B766" s="28"/>
      <c r="C766" s="28" t="s">
        <v>2177</v>
      </c>
      <c r="D766" s="28" t="s">
        <v>1630</v>
      </c>
      <c r="E766" s="21" t="s">
        <v>1758</v>
      </c>
      <c r="F766" s="12" t="s">
        <v>925</v>
      </c>
      <c r="G766" s="12" t="s">
        <v>1147</v>
      </c>
    </row>
    <row r="767" spans="1:7" x14ac:dyDescent="0.3">
      <c r="A767" s="28" t="s">
        <v>1466</v>
      </c>
      <c r="B767" s="28"/>
      <c r="C767" s="28" t="s">
        <v>2177</v>
      </c>
      <c r="D767" s="28" t="s">
        <v>1630</v>
      </c>
      <c r="E767" s="21" t="s">
        <v>1758</v>
      </c>
      <c r="F767" s="12" t="s">
        <v>925</v>
      </c>
      <c r="G767" s="12" t="s">
        <v>1147</v>
      </c>
    </row>
    <row r="768" spans="1:7" x14ac:dyDescent="0.3">
      <c r="A768" s="28" t="s">
        <v>1467</v>
      </c>
      <c r="B768" s="28"/>
      <c r="C768" s="28" t="s">
        <v>2177</v>
      </c>
      <c r="D768" s="28" t="s">
        <v>1630</v>
      </c>
      <c r="E768" s="21" t="s">
        <v>1758</v>
      </c>
      <c r="F768" s="12" t="s">
        <v>925</v>
      </c>
      <c r="G768" s="12" t="s">
        <v>1147</v>
      </c>
    </row>
    <row r="769" spans="1:7" x14ac:dyDescent="0.3">
      <c r="A769" s="28" t="s">
        <v>1468</v>
      </c>
      <c r="B769" s="28"/>
      <c r="C769" s="28" t="s">
        <v>2177</v>
      </c>
      <c r="D769" s="28" t="s">
        <v>1630</v>
      </c>
      <c r="E769" s="21" t="s">
        <v>1758</v>
      </c>
      <c r="F769" s="12" t="s">
        <v>925</v>
      </c>
      <c r="G769" s="12" t="s">
        <v>1147</v>
      </c>
    </row>
    <row r="770" spans="1:7" x14ac:dyDescent="0.3">
      <c r="A770" s="28" t="s">
        <v>1469</v>
      </c>
      <c r="B770" s="28"/>
      <c r="C770" s="28" t="s">
        <v>2177</v>
      </c>
      <c r="D770" s="28" t="s">
        <v>1630</v>
      </c>
      <c r="E770" s="21" t="s">
        <v>1758</v>
      </c>
      <c r="F770" s="12" t="s">
        <v>925</v>
      </c>
      <c r="G770" s="12" t="s">
        <v>1147</v>
      </c>
    </row>
    <row r="771" spans="1:7" x14ac:dyDescent="0.3">
      <c r="A771" s="28" t="s">
        <v>1470</v>
      </c>
      <c r="B771" s="28"/>
      <c r="C771" s="28" t="s">
        <v>2177</v>
      </c>
      <c r="D771" s="28" t="s">
        <v>1630</v>
      </c>
      <c r="E771" s="21" t="s">
        <v>1758</v>
      </c>
      <c r="F771" s="12" t="s">
        <v>925</v>
      </c>
      <c r="G771" s="12" t="s">
        <v>1147</v>
      </c>
    </row>
    <row r="772" spans="1:7" x14ac:dyDescent="0.3">
      <c r="A772" s="28" t="s">
        <v>1464</v>
      </c>
      <c r="B772" s="28"/>
      <c r="C772" s="28" t="s">
        <v>2177</v>
      </c>
      <c r="D772" s="28" t="s">
        <v>1630</v>
      </c>
      <c r="E772" s="21" t="s">
        <v>1758</v>
      </c>
      <c r="F772" s="12" t="s">
        <v>1503</v>
      </c>
      <c r="G772" s="12" t="s">
        <v>1147</v>
      </c>
    </row>
    <row r="773" spans="1:7" x14ac:dyDescent="0.3">
      <c r="A773" s="28" t="s">
        <v>1466</v>
      </c>
      <c r="B773" s="28"/>
      <c r="C773" s="28" t="s">
        <v>2177</v>
      </c>
      <c r="D773" s="28" t="s">
        <v>1630</v>
      </c>
      <c r="E773" s="21" t="s">
        <v>1758</v>
      </c>
      <c r="F773" s="12" t="s">
        <v>1503</v>
      </c>
      <c r="G773" s="12" t="s">
        <v>1147</v>
      </c>
    </row>
    <row r="774" spans="1:7" x14ac:dyDescent="0.3">
      <c r="A774" s="28" t="s">
        <v>1467</v>
      </c>
      <c r="B774" s="28"/>
      <c r="C774" s="28" t="s">
        <v>2177</v>
      </c>
      <c r="D774" s="28" t="s">
        <v>1630</v>
      </c>
      <c r="E774" s="21" t="s">
        <v>1758</v>
      </c>
      <c r="F774" s="12" t="s">
        <v>1503</v>
      </c>
      <c r="G774" s="12" t="s">
        <v>1147</v>
      </c>
    </row>
    <row r="775" spans="1:7" x14ac:dyDescent="0.3">
      <c r="A775" s="28" t="s">
        <v>1468</v>
      </c>
      <c r="B775" s="28"/>
      <c r="C775" s="28" t="s">
        <v>2177</v>
      </c>
      <c r="D775" s="28" t="s">
        <v>1630</v>
      </c>
      <c r="E775" s="21" t="s">
        <v>1758</v>
      </c>
      <c r="F775" s="12" t="s">
        <v>1503</v>
      </c>
      <c r="G775" s="12" t="s">
        <v>1147</v>
      </c>
    </row>
    <row r="776" spans="1:7" x14ac:dyDescent="0.3">
      <c r="A776" s="28" t="s">
        <v>1469</v>
      </c>
      <c r="B776" s="28"/>
      <c r="C776" s="28" t="s">
        <v>2177</v>
      </c>
      <c r="D776" s="28" t="s">
        <v>1630</v>
      </c>
      <c r="E776" s="21" t="s">
        <v>1758</v>
      </c>
      <c r="F776" s="12" t="s">
        <v>1503</v>
      </c>
      <c r="G776" s="12" t="s">
        <v>1147</v>
      </c>
    </row>
    <row r="777" spans="1:7" x14ac:dyDescent="0.3">
      <c r="A777" s="28" t="s">
        <v>1470</v>
      </c>
      <c r="B777" s="28"/>
      <c r="C777" s="28" t="s">
        <v>2177</v>
      </c>
      <c r="D777" s="28" t="s">
        <v>1630</v>
      </c>
      <c r="E777" s="21" t="s">
        <v>1758</v>
      </c>
      <c r="F777" s="12" t="s">
        <v>1503</v>
      </c>
      <c r="G777" s="12" t="s">
        <v>1147</v>
      </c>
    </row>
    <row r="778" spans="1:7" x14ac:dyDescent="0.3">
      <c r="A778" s="28" t="s">
        <v>1934</v>
      </c>
      <c r="B778" s="28"/>
      <c r="C778" s="28" t="s">
        <v>2177</v>
      </c>
      <c r="D778" s="28" t="s">
        <v>1630</v>
      </c>
      <c r="E778" s="21" t="s">
        <v>1758</v>
      </c>
      <c r="F778" s="21" t="s">
        <v>1758</v>
      </c>
      <c r="G778" s="12" t="s">
        <v>1169</v>
      </c>
    </row>
    <row r="779" spans="1:7" x14ac:dyDescent="0.3">
      <c r="A779" s="28" t="s">
        <v>1935</v>
      </c>
      <c r="B779" s="28"/>
      <c r="C779" s="28" t="s">
        <v>2177</v>
      </c>
      <c r="D779" s="28" t="s">
        <v>1630</v>
      </c>
      <c r="E779" s="21" t="s">
        <v>1758</v>
      </c>
      <c r="F779" s="21" t="s">
        <v>1758</v>
      </c>
      <c r="G779" s="12" t="s">
        <v>1169</v>
      </c>
    </row>
    <row r="780" spans="1:7" x14ac:dyDescent="0.3">
      <c r="A780" s="28" t="s">
        <v>1936</v>
      </c>
      <c r="B780" s="28"/>
      <c r="C780" s="28" t="s">
        <v>2177</v>
      </c>
      <c r="D780" s="28" t="s">
        <v>1630</v>
      </c>
      <c r="E780" s="21" t="s">
        <v>1758</v>
      </c>
      <c r="F780" s="21" t="s">
        <v>1758</v>
      </c>
      <c r="G780" s="12" t="s">
        <v>1169</v>
      </c>
    </row>
    <row r="781" spans="1:7" x14ac:dyDescent="0.3">
      <c r="A781" s="28" t="s">
        <v>1937</v>
      </c>
      <c r="B781" s="28"/>
      <c r="C781" s="28" t="s">
        <v>2177</v>
      </c>
      <c r="D781" s="28" t="s">
        <v>1630</v>
      </c>
      <c r="E781" s="21" t="s">
        <v>1758</v>
      </c>
      <c r="F781" s="21" t="s">
        <v>1758</v>
      </c>
      <c r="G781" s="12" t="s">
        <v>1169</v>
      </c>
    </row>
    <row r="782" spans="1:7" x14ac:dyDescent="0.3">
      <c r="A782" s="28" t="s">
        <v>1938</v>
      </c>
      <c r="B782" s="28"/>
      <c r="C782" s="28" t="s">
        <v>2177</v>
      </c>
      <c r="D782" s="28" t="s">
        <v>1630</v>
      </c>
      <c r="E782" s="21" t="s">
        <v>1758</v>
      </c>
      <c r="F782" s="21" t="s">
        <v>1758</v>
      </c>
      <c r="G782" s="12" t="s">
        <v>1169</v>
      </c>
    </row>
    <row r="783" spans="1:7" x14ac:dyDescent="0.3">
      <c r="A783" s="28" t="s">
        <v>1939</v>
      </c>
      <c r="B783" s="28"/>
      <c r="C783" s="28" t="s">
        <v>2177</v>
      </c>
      <c r="D783" s="28" t="s">
        <v>1630</v>
      </c>
      <c r="E783" s="21" t="s">
        <v>1758</v>
      </c>
      <c r="F783" s="21" t="s">
        <v>1758</v>
      </c>
      <c r="G783" s="12" t="s">
        <v>1169</v>
      </c>
    </row>
    <row r="784" spans="1:7" x14ac:dyDescent="0.3">
      <c r="A784" s="28" t="s">
        <v>1934</v>
      </c>
      <c r="B784" s="28"/>
      <c r="C784" s="28" t="s">
        <v>2177</v>
      </c>
      <c r="D784" s="28" t="s">
        <v>1630</v>
      </c>
      <c r="E784" s="21" t="s">
        <v>1758</v>
      </c>
      <c r="F784" s="12" t="s">
        <v>920</v>
      </c>
      <c r="G784" s="12" t="s">
        <v>1147</v>
      </c>
    </row>
    <row r="785" spans="1:7" x14ac:dyDescent="0.3">
      <c r="A785" s="28" t="s">
        <v>1935</v>
      </c>
      <c r="B785" s="28"/>
      <c r="C785" s="28" t="s">
        <v>2177</v>
      </c>
      <c r="D785" s="28" t="s">
        <v>1630</v>
      </c>
      <c r="E785" s="21" t="s">
        <v>1758</v>
      </c>
      <c r="F785" s="12" t="s">
        <v>920</v>
      </c>
      <c r="G785" s="12" t="s">
        <v>1147</v>
      </c>
    </row>
    <row r="786" spans="1:7" x14ac:dyDescent="0.3">
      <c r="A786" s="28" t="s">
        <v>1936</v>
      </c>
      <c r="B786" s="28"/>
      <c r="C786" s="28" t="s">
        <v>2177</v>
      </c>
      <c r="D786" s="28" t="s">
        <v>1630</v>
      </c>
      <c r="E786" s="21" t="s">
        <v>1758</v>
      </c>
      <c r="F786" s="12" t="s">
        <v>920</v>
      </c>
      <c r="G786" s="12" t="s">
        <v>1147</v>
      </c>
    </row>
    <row r="787" spans="1:7" x14ac:dyDescent="0.3">
      <c r="A787" s="28" t="s">
        <v>1937</v>
      </c>
      <c r="B787" s="28"/>
      <c r="C787" s="28" t="s">
        <v>2177</v>
      </c>
      <c r="D787" s="28" t="s">
        <v>1630</v>
      </c>
      <c r="E787" s="21" t="s">
        <v>1758</v>
      </c>
      <c r="F787" s="12" t="s">
        <v>920</v>
      </c>
      <c r="G787" s="12" t="s">
        <v>1147</v>
      </c>
    </row>
    <row r="788" spans="1:7" x14ac:dyDescent="0.3">
      <c r="A788" s="28" t="s">
        <v>1938</v>
      </c>
      <c r="B788" s="28"/>
      <c r="C788" s="28" t="s">
        <v>2177</v>
      </c>
      <c r="D788" s="28" t="s">
        <v>1630</v>
      </c>
      <c r="E788" s="21" t="s">
        <v>1758</v>
      </c>
      <c r="F788" s="12" t="s">
        <v>920</v>
      </c>
      <c r="G788" s="12" t="s">
        <v>1147</v>
      </c>
    </row>
    <row r="789" spans="1:7" x14ac:dyDescent="0.3">
      <c r="A789" s="28" t="s">
        <v>1939</v>
      </c>
      <c r="B789" s="28"/>
      <c r="C789" s="28" t="s">
        <v>2177</v>
      </c>
      <c r="D789" s="28" t="s">
        <v>1630</v>
      </c>
      <c r="E789" s="21" t="s">
        <v>1758</v>
      </c>
      <c r="F789" s="12" t="s">
        <v>920</v>
      </c>
      <c r="G789" s="12" t="s">
        <v>1147</v>
      </c>
    </row>
    <row r="790" spans="1:7" x14ac:dyDescent="0.3">
      <c r="A790" s="28" t="s">
        <v>1934</v>
      </c>
      <c r="B790" s="28"/>
      <c r="C790" s="28" t="s">
        <v>2177</v>
      </c>
      <c r="D790" s="28" t="s">
        <v>1630</v>
      </c>
      <c r="E790" s="21" t="s">
        <v>1758</v>
      </c>
      <c r="F790" s="12" t="s">
        <v>923</v>
      </c>
      <c r="G790" s="12" t="s">
        <v>1147</v>
      </c>
    </row>
    <row r="791" spans="1:7" x14ac:dyDescent="0.3">
      <c r="A791" s="28" t="s">
        <v>1935</v>
      </c>
      <c r="B791" s="28"/>
      <c r="C791" s="28" t="s">
        <v>2177</v>
      </c>
      <c r="D791" s="28" t="s">
        <v>1630</v>
      </c>
      <c r="E791" s="21" t="s">
        <v>1758</v>
      </c>
      <c r="F791" s="12" t="s">
        <v>923</v>
      </c>
      <c r="G791" s="12" t="s">
        <v>1147</v>
      </c>
    </row>
    <row r="792" spans="1:7" x14ac:dyDescent="0.3">
      <c r="A792" s="28" t="s">
        <v>1936</v>
      </c>
      <c r="B792" s="28"/>
      <c r="C792" s="28" t="s">
        <v>2177</v>
      </c>
      <c r="D792" s="28" t="s">
        <v>1630</v>
      </c>
      <c r="E792" s="21" t="s">
        <v>1758</v>
      </c>
      <c r="F792" s="12" t="s">
        <v>923</v>
      </c>
      <c r="G792" s="12" t="s">
        <v>1147</v>
      </c>
    </row>
    <row r="793" spans="1:7" x14ac:dyDescent="0.3">
      <c r="A793" s="28" t="s">
        <v>1937</v>
      </c>
      <c r="B793" s="28"/>
      <c r="C793" s="28" t="s">
        <v>2177</v>
      </c>
      <c r="D793" s="28" t="s">
        <v>1630</v>
      </c>
      <c r="E793" s="21" t="s">
        <v>1758</v>
      </c>
      <c r="F793" s="12" t="s">
        <v>923</v>
      </c>
      <c r="G793" s="12" t="s">
        <v>1147</v>
      </c>
    </row>
    <row r="794" spans="1:7" x14ac:dyDescent="0.3">
      <c r="A794" s="28" t="s">
        <v>1938</v>
      </c>
      <c r="B794" s="28"/>
      <c r="C794" s="28" t="s">
        <v>2177</v>
      </c>
      <c r="D794" s="28" t="s">
        <v>1630</v>
      </c>
      <c r="E794" s="21" t="s">
        <v>1758</v>
      </c>
      <c r="F794" s="12" t="s">
        <v>923</v>
      </c>
      <c r="G794" s="12" t="s">
        <v>1147</v>
      </c>
    </row>
    <row r="795" spans="1:7" x14ac:dyDescent="0.3">
      <c r="A795" s="28" t="s">
        <v>1939</v>
      </c>
      <c r="B795" s="28"/>
      <c r="C795" s="28" t="s">
        <v>2177</v>
      </c>
      <c r="D795" s="28" t="s">
        <v>1630</v>
      </c>
      <c r="E795" s="21" t="s">
        <v>1758</v>
      </c>
      <c r="F795" s="12" t="s">
        <v>923</v>
      </c>
      <c r="G795" s="12" t="s">
        <v>1147</v>
      </c>
    </row>
    <row r="796" spans="1:7" x14ac:dyDescent="0.3">
      <c r="A796" s="28" t="s">
        <v>1934</v>
      </c>
      <c r="B796" s="28"/>
      <c r="C796" s="28" t="s">
        <v>2177</v>
      </c>
      <c r="D796" s="28" t="s">
        <v>1630</v>
      </c>
      <c r="E796" s="21" t="s">
        <v>1758</v>
      </c>
      <c r="F796" s="12" t="s">
        <v>925</v>
      </c>
      <c r="G796" s="12" t="s">
        <v>1147</v>
      </c>
    </row>
    <row r="797" spans="1:7" x14ac:dyDescent="0.3">
      <c r="A797" s="28" t="s">
        <v>1935</v>
      </c>
      <c r="B797" s="28"/>
      <c r="C797" s="28" t="s">
        <v>2177</v>
      </c>
      <c r="D797" s="28" t="s">
        <v>1630</v>
      </c>
      <c r="E797" s="21" t="s">
        <v>1758</v>
      </c>
      <c r="F797" s="12" t="s">
        <v>925</v>
      </c>
      <c r="G797" s="12" t="s">
        <v>1147</v>
      </c>
    </row>
    <row r="798" spans="1:7" x14ac:dyDescent="0.3">
      <c r="A798" s="28" t="s">
        <v>1936</v>
      </c>
      <c r="B798" s="28"/>
      <c r="C798" s="28" t="s">
        <v>2177</v>
      </c>
      <c r="D798" s="28" t="s">
        <v>1630</v>
      </c>
      <c r="E798" s="21" t="s">
        <v>1758</v>
      </c>
      <c r="F798" s="12" t="s">
        <v>925</v>
      </c>
      <c r="G798" s="12" t="s">
        <v>1147</v>
      </c>
    </row>
    <row r="799" spans="1:7" x14ac:dyDescent="0.3">
      <c r="A799" s="28" t="s">
        <v>1937</v>
      </c>
      <c r="B799" s="28"/>
      <c r="C799" s="28" t="s">
        <v>2177</v>
      </c>
      <c r="D799" s="28" t="s">
        <v>1630</v>
      </c>
      <c r="E799" s="21" t="s">
        <v>1758</v>
      </c>
      <c r="F799" s="12" t="s">
        <v>925</v>
      </c>
      <c r="G799" s="12" t="s">
        <v>1147</v>
      </c>
    </row>
    <row r="800" spans="1:7" x14ac:dyDescent="0.3">
      <c r="A800" s="28" t="s">
        <v>1938</v>
      </c>
      <c r="B800" s="28"/>
      <c r="C800" s="28" t="s">
        <v>2177</v>
      </c>
      <c r="D800" s="28" t="s">
        <v>1630</v>
      </c>
      <c r="E800" s="21" t="s">
        <v>1758</v>
      </c>
      <c r="F800" s="12" t="s">
        <v>925</v>
      </c>
      <c r="G800" s="12" t="s">
        <v>1147</v>
      </c>
    </row>
    <row r="801" spans="1:7" x14ac:dyDescent="0.3">
      <c r="A801" s="28" t="s">
        <v>1939</v>
      </c>
      <c r="B801" s="28"/>
      <c r="C801" s="28" t="s">
        <v>2177</v>
      </c>
      <c r="D801" s="28" t="s">
        <v>1630</v>
      </c>
      <c r="E801" s="21" t="s">
        <v>1758</v>
      </c>
      <c r="F801" s="12" t="s">
        <v>925</v>
      </c>
      <c r="G801" s="12" t="s">
        <v>1147</v>
      </c>
    </row>
    <row r="802" spans="1:7" x14ac:dyDescent="0.3">
      <c r="A802" s="28" t="s">
        <v>1934</v>
      </c>
      <c r="B802" s="28"/>
      <c r="C802" s="28" t="s">
        <v>2177</v>
      </c>
      <c r="D802" s="28" t="s">
        <v>1630</v>
      </c>
      <c r="E802" s="21" t="s">
        <v>1758</v>
      </c>
      <c r="F802" s="12" t="s">
        <v>1503</v>
      </c>
      <c r="G802" s="12" t="s">
        <v>1147</v>
      </c>
    </row>
    <row r="803" spans="1:7" x14ac:dyDescent="0.3">
      <c r="A803" s="28" t="s">
        <v>1935</v>
      </c>
      <c r="B803" s="28"/>
      <c r="C803" s="28" t="s">
        <v>2177</v>
      </c>
      <c r="D803" s="28" t="s">
        <v>1630</v>
      </c>
      <c r="E803" s="21" t="s">
        <v>1758</v>
      </c>
      <c r="F803" s="12" t="s">
        <v>1503</v>
      </c>
      <c r="G803" s="12" t="s">
        <v>1147</v>
      </c>
    </row>
    <row r="804" spans="1:7" x14ac:dyDescent="0.3">
      <c r="A804" s="28" t="s">
        <v>1936</v>
      </c>
      <c r="B804" s="28"/>
      <c r="C804" s="28" t="s">
        <v>2177</v>
      </c>
      <c r="D804" s="28" t="s">
        <v>1630</v>
      </c>
      <c r="E804" s="21" t="s">
        <v>1758</v>
      </c>
      <c r="F804" s="12" t="s">
        <v>1503</v>
      </c>
      <c r="G804" s="12" t="s">
        <v>1147</v>
      </c>
    </row>
    <row r="805" spans="1:7" x14ac:dyDescent="0.3">
      <c r="A805" s="28" t="s">
        <v>1937</v>
      </c>
      <c r="B805" s="28"/>
      <c r="C805" s="28" t="s">
        <v>2177</v>
      </c>
      <c r="D805" s="28" t="s">
        <v>1630</v>
      </c>
      <c r="E805" s="21" t="s">
        <v>1758</v>
      </c>
      <c r="F805" s="12" t="s">
        <v>1503</v>
      </c>
      <c r="G805" s="12" t="s">
        <v>1147</v>
      </c>
    </row>
    <row r="806" spans="1:7" x14ac:dyDescent="0.3">
      <c r="A806" s="28" t="s">
        <v>1938</v>
      </c>
      <c r="B806" s="28"/>
      <c r="C806" s="28" t="s">
        <v>2177</v>
      </c>
      <c r="D806" s="28" t="s">
        <v>1630</v>
      </c>
      <c r="E806" s="21" t="s">
        <v>1758</v>
      </c>
      <c r="F806" s="12" t="s">
        <v>1503</v>
      </c>
      <c r="G806" s="12" t="s">
        <v>1147</v>
      </c>
    </row>
    <row r="807" spans="1:7" x14ac:dyDescent="0.3">
      <c r="A807" s="28" t="s">
        <v>1939</v>
      </c>
      <c r="B807" s="28"/>
      <c r="C807" s="28" t="s">
        <v>2177</v>
      </c>
      <c r="D807" s="28" t="s">
        <v>1630</v>
      </c>
      <c r="E807" s="21" t="s">
        <v>1758</v>
      </c>
      <c r="F807" s="12" t="s">
        <v>1503</v>
      </c>
      <c r="G807" s="12" t="s">
        <v>1147</v>
      </c>
    </row>
    <row r="808" spans="1:7" x14ac:dyDescent="0.3">
      <c r="A808" s="28" t="s">
        <v>1464</v>
      </c>
      <c r="B808" s="28"/>
      <c r="C808" s="28" t="s">
        <v>2180</v>
      </c>
      <c r="D808" s="28" t="s">
        <v>1630</v>
      </c>
      <c r="E808" s="21" t="s">
        <v>1758</v>
      </c>
      <c r="F808" s="21" t="s">
        <v>1758</v>
      </c>
      <c r="G808" s="12" t="s">
        <v>1169</v>
      </c>
    </row>
    <row r="809" spans="1:7" x14ac:dyDescent="0.3">
      <c r="A809" s="28" t="s">
        <v>1466</v>
      </c>
      <c r="B809" s="28"/>
      <c r="C809" s="28" t="s">
        <v>2180</v>
      </c>
      <c r="D809" s="28" t="s">
        <v>1630</v>
      </c>
      <c r="E809" s="21" t="s">
        <v>1758</v>
      </c>
      <c r="F809" s="21" t="s">
        <v>1758</v>
      </c>
      <c r="G809" s="12" t="s">
        <v>1169</v>
      </c>
    </row>
    <row r="810" spans="1:7" x14ac:dyDescent="0.3">
      <c r="A810" s="28" t="s">
        <v>1467</v>
      </c>
      <c r="B810" s="28"/>
      <c r="C810" s="28" t="s">
        <v>2180</v>
      </c>
      <c r="D810" s="28" t="s">
        <v>1630</v>
      </c>
      <c r="E810" s="21" t="s">
        <v>1758</v>
      </c>
      <c r="F810" s="21" t="s">
        <v>1758</v>
      </c>
      <c r="G810" s="12" t="s">
        <v>1169</v>
      </c>
    </row>
    <row r="811" spans="1:7" x14ac:dyDescent="0.3">
      <c r="A811" s="28" t="s">
        <v>1468</v>
      </c>
      <c r="B811" s="28"/>
      <c r="C811" s="28" t="s">
        <v>2180</v>
      </c>
      <c r="D811" s="28" t="s">
        <v>1630</v>
      </c>
      <c r="E811" s="21" t="s">
        <v>1758</v>
      </c>
      <c r="F811" s="21" t="s">
        <v>1758</v>
      </c>
      <c r="G811" s="12" t="s">
        <v>1169</v>
      </c>
    </row>
    <row r="812" spans="1:7" x14ac:dyDescent="0.3">
      <c r="A812" s="28" t="s">
        <v>1469</v>
      </c>
      <c r="B812" s="28"/>
      <c r="C812" s="28" t="s">
        <v>2180</v>
      </c>
      <c r="D812" s="28" t="s">
        <v>1630</v>
      </c>
      <c r="E812" s="21" t="s">
        <v>1758</v>
      </c>
      <c r="F812" s="21" t="s">
        <v>1758</v>
      </c>
      <c r="G812" s="12" t="s">
        <v>1169</v>
      </c>
    </row>
    <row r="813" spans="1:7" x14ac:dyDescent="0.3">
      <c r="A813" s="28" t="s">
        <v>1470</v>
      </c>
      <c r="B813" s="28"/>
      <c r="C813" s="28" t="s">
        <v>2180</v>
      </c>
      <c r="D813" s="28" t="s">
        <v>1630</v>
      </c>
      <c r="E813" s="21" t="s">
        <v>1758</v>
      </c>
      <c r="F813" s="21" t="s">
        <v>1758</v>
      </c>
      <c r="G813" s="12" t="s">
        <v>1169</v>
      </c>
    </row>
    <row r="814" spans="1:7" x14ac:dyDescent="0.3">
      <c r="A814" s="28" t="s">
        <v>1464</v>
      </c>
      <c r="B814" s="28"/>
      <c r="C814" s="28" t="s">
        <v>2180</v>
      </c>
      <c r="D814" s="28" t="s">
        <v>1630</v>
      </c>
      <c r="E814" s="21" t="s">
        <v>1758</v>
      </c>
      <c r="F814" s="12" t="s">
        <v>920</v>
      </c>
      <c r="G814" s="12" t="s">
        <v>1147</v>
      </c>
    </row>
    <row r="815" spans="1:7" x14ac:dyDescent="0.3">
      <c r="A815" s="28" t="s">
        <v>1466</v>
      </c>
      <c r="B815" s="28"/>
      <c r="C815" s="28" t="s">
        <v>2180</v>
      </c>
      <c r="D815" s="28" t="s">
        <v>1630</v>
      </c>
      <c r="E815" s="21" t="s">
        <v>1758</v>
      </c>
      <c r="F815" s="12" t="s">
        <v>920</v>
      </c>
      <c r="G815" s="12" t="s">
        <v>1147</v>
      </c>
    </row>
    <row r="816" spans="1:7" x14ac:dyDescent="0.3">
      <c r="A816" s="28" t="s">
        <v>1467</v>
      </c>
      <c r="B816" s="28"/>
      <c r="C816" s="28" t="s">
        <v>2180</v>
      </c>
      <c r="D816" s="28" t="s">
        <v>1630</v>
      </c>
      <c r="E816" s="21" t="s">
        <v>1758</v>
      </c>
      <c r="F816" s="12" t="s">
        <v>920</v>
      </c>
      <c r="G816" s="12" t="s">
        <v>1147</v>
      </c>
    </row>
    <row r="817" spans="1:7" x14ac:dyDescent="0.3">
      <c r="A817" s="28" t="s">
        <v>1468</v>
      </c>
      <c r="B817" s="28"/>
      <c r="C817" s="28" t="s">
        <v>2180</v>
      </c>
      <c r="D817" s="28" t="s">
        <v>1630</v>
      </c>
      <c r="E817" s="21" t="s">
        <v>1758</v>
      </c>
      <c r="F817" s="12" t="s">
        <v>920</v>
      </c>
      <c r="G817" s="12" t="s">
        <v>1147</v>
      </c>
    </row>
    <row r="818" spans="1:7" x14ac:dyDescent="0.3">
      <c r="A818" s="28" t="s">
        <v>1469</v>
      </c>
      <c r="B818" s="28"/>
      <c r="C818" s="28" t="s">
        <v>2180</v>
      </c>
      <c r="D818" s="28" t="s">
        <v>1630</v>
      </c>
      <c r="E818" s="21" t="s">
        <v>1758</v>
      </c>
      <c r="F818" s="12" t="s">
        <v>920</v>
      </c>
      <c r="G818" s="12" t="s">
        <v>1147</v>
      </c>
    </row>
    <row r="819" spans="1:7" x14ac:dyDescent="0.3">
      <c r="A819" s="28" t="s">
        <v>1470</v>
      </c>
      <c r="B819" s="28"/>
      <c r="C819" s="28" t="s">
        <v>2180</v>
      </c>
      <c r="D819" s="28" t="s">
        <v>1630</v>
      </c>
      <c r="E819" s="21" t="s">
        <v>1758</v>
      </c>
      <c r="F819" s="12" t="s">
        <v>920</v>
      </c>
      <c r="G819" s="12" t="s">
        <v>1147</v>
      </c>
    </row>
    <row r="820" spans="1:7" x14ac:dyDescent="0.3">
      <c r="A820" s="28" t="s">
        <v>1464</v>
      </c>
      <c r="B820" s="28"/>
      <c r="C820" s="28" t="s">
        <v>2180</v>
      </c>
      <c r="D820" s="28" t="s">
        <v>1630</v>
      </c>
      <c r="E820" s="21" t="s">
        <v>1758</v>
      </c>
      <c r="F820" s="12" t="s">
        <v>923</v>
      </c>
      <c r="G820" s="12" t="s">
        <v>1147</v>
      </c>
    </row>
    <row r="821" spans="1:7" x14ac:dyDescent="0.3">
      <c r="A821" s="28" t="s">
        <v>1466</v>
      </c>
      <c r="B821" s="28"/>
      <c r="C821" s="28" t="s">
        <v>2180</v>
      </c>
      <c r="D821" s="28" t="s">
        <v>1630</v>
      </c>
      <c r="E821" s="21" t="s">
        <v>1758</v>
      </c>
      <c r="F821" s="12" t="s">
        <v>923</v>
      </c>
      <c r="G821" s="12" t="s">
        <v>1147</v>
      </c>
    </row>
    <row r="822" spans="1:7" x14ac:dyDescent="0.3">
      <c r="A822" s="28" t="s">
        <v>1467</v>
      </c>
      <c r="B822" s="28"/>
      <c r="C822" s="28" t="s">
        <v>2180</v>
      </c>
      <c r="D822" s="28" t="s">
        <v>1630</v>
      </c>
      <c r="E822" s="21" t="s">
        <v>1758</v>
      </c>
      <c r="F822" s="12" t="s">
        <v>923</v>
      </c>
      <c r="G822" s="12" t="s">
        <v>1147</v>
      </c>
    </row>
    <row r="823" spans="1:7" x14ac:dyDescent="0.3">
      <c r="A823" s="28" t="s">
        <v>1468</v>
      </c>
      <c r="B823" s="28"/>
      <c r="C823" s="28" t="s">
        <v>2180</v>
      </c>
      <c r="D823" s="28" t="s">
        <v>1630</v>
      </c>
      <c r="E823" s="21" t="s">
        <v>1758</v>
      </c>
      <c r="F823" s="12" t="s">
        <v>923</v>
      </c>
      <c r="G823" s="12" t="s">
        <v>1147</v>
      </c>
    </row>
    <row r="824" spans="1:7" x14ac:dyDescent="0.3">
      <c r="A824" s="28" t="s">
        <v>1469</v>
      </c>
      <c r="B824" s="28"/>
      <c r="C824" s="28" t="s">
        <v>2180</v>
      </c>
      <c r="D824" s="28" t="s">
        <v>1630</v>
      </c>
      <c r="E824" s="21" t="s">
        <v>1758</v>
      </c>
      <c r="F824" s="12" t="s">
        <v>923</v>
      </c>
      <c r="G824" s="12" t="s">
        <v>1147</v>
      </c>
    </row>
    <row r="825" spans="1:7" x14ac:dyDescent="0.3">
      <c r="A825" s="28" t="s">
        <v>1470</v>
      </c>
      <c r="B825" s="28"/>
      <c r="C825" s="28" t="s">
        <v>2180</v>
      </c>
      <c r="D825" s="28" t="s">
        <v>1630</v>
      </c>
      <c r="E825" s="21" t="s">
        <v>1758</v>
      </c>
      <c r="F825" s="12" t="s">
        <v>923</v>
      </c>
      <c r="G825" s="12" t="s">
        <v>1147</v>
      </c>
    </row>
    <row r="826" spans="1:7" x14ac:dyDescent="0.3">
      <c r="A826" s="28" t="s">
        <v>1464</v>
      </c>
      <c r="B826" s="28"/>
      <c r="C826" s="28" t="s">
        <v>2180</v>
      </c>
      <c r="D826" s="28" t="s">
        <v>1630</v>
      </c>
      <c r="E826" s="21" t="s">
        <v>1758</v>
      </c>
      <c r="F826" s="12" t="s">
        <v>925</v>
      </c>
      <c r="G826" s="12" t="s">
        <v>1147</v>
      </c>
    </row>
    <row r="827" spans="1:7" x14ac:dyDescent="0.3">
      <c r="A827" s="28" t="s">
        <v>1466</v>
      </c>
      <c r="B827" s="28"/>
      <c r="C827" s="28" t="s">
        <v>2180</v>
      </c>
      <c r="D827" s="28" t="s">
        <v>1630</v>
      </c>
      <c r="E827" s="21" t="s">
        <v>1758</v>
      </c>
      <c r="F827" s="12" t="s">
        <v>925</v>
      </c>
      <c r="G827" s="12" t="s">
        <v>1147</v>
      </c>
    </row>
    <row r="828" spans="1:7" x14ac:dyDescent="0.3">
      <c r="A828" s="28" t="s">
        <v>1467</v>
      </c>
      <c r="B828" s="28"/>
      <c r="C828" s="28" t="s">
        <v>2180</v>
      </c>
      <c r="D828" s="28" t="s">
        <v>1630</v>
      </c>
      <c r="E828" s="21" t="s">
        <v>1758</v>
      </c>
      <c r="F828" s="12" t="s">
        <v>925</v>
      </c>
      <c r="G828" s="12" t="s">
        <v>1147</v>
      </c>
    </row>
    <row r="829" spans="1:7" x14ac:dyDescent="0.3">
      <c r="A829" s="28" t="s">
        <v>1468</v>
      </c>
      <c r="B829" s="28"/>
      <c r="C829" s="28" t="s">
        <v>2180</v>
      </c>
      <c r="D829" s="28" t="s">
        <v>1630</v>
      </c>
      <c r="E829" s="21" t="s">
        <v>1758</v>
      </c>
      <c r="F829" s="12" t="s">
        <v>925</v>
      </c>
      <c r="G829" s="12" t="s">
        <v>1147</v>
      </c>
    </row>
    <row r="830" spans="1:7" x14ac:dyDescent="0.3">
      <c r="A830" s="28" t="s">
        <v>1469</v>
      </c>
      <c r="B830" s="28"/>
      <c r="C830" s="28" t="s">
        <v>2180</v>
      </c>
      <c r="D830" s="28" t="s">
        <v>1630</v>
      </c>
      <c r="E830" s="21" t="s">
        <v>1758</v>
      </c>
      <c r="F830" s="12" t="s">
        <v>925</v>
      </c>
      <c r="G830" s="12" t="s">
        <v>1147</v>
      </c>
    </row>
    <row r="831" spans="1:7" x14ac:dyDescent="0.3">
      <c r="A831" s="28" t="s">
        <v>1470</v>
      </c>
      <c r="B831" s="28"/>
      <c r="C831" s="28" t="s">
        <v>2180</v>
      </c>
      <c r="D831" s="28" t="s">
        <v>1630</v>
      </c>
      <c r="E831" s="21" t="s">
        <v>1758</v>
      </c>
      <c r="F831" s="12" t="s">
        <v>925</v>
      </c>
      <c r="G831" s="12" t="s">
        <v>1147</v>
      </c>
    </row>
    <row r="832" spans="1:7" x14ac:dyDescent="0.3">
      <c r="A832" s="28" t="s">
        <v>1464</v>
      </c>
      <c r="B832" s="28"/>
      <c r="C832" s="28" t="s">
        <v>2180</v>
      </c>
      <c r="D832" s="28" t="s">
        <v>1630</v>
      </c>
      <c r="E832" s="21" t="s">
        <v>1758</v>
      </c>
      <c r="F832" s="12" t="s">
        <v>1503</v>
      </c>
      <c r="G832" s="12" t="s">
        <v>1147</v>
      </c>
    </row>
    <row r="833" spans="1:7" x14ac:dyDescent="0.3">
      <c r="A833" s="28" t="s">
        <v>1466</v>
      </c>
      <c r="B833" s="28"/>
      <c r="C833" s="28" t="s">
        <v>2180</v>
      </c>
      <c r="D833" s="28" t="s">
        <v>1630</v>
      </c>
      <c r="E833" s="21" t="s">
        <v>1758</v>
      </c>
      <c r="F833" s="12" t="s">
        <v>1503</v>
      </c>
      <c r="G833" s="12" t="s">
        <v>1147</v>
      </c>
    </row>
    <row r="834" spans="1:7" x14ac:dyDescent="0.3">
      <c r="A834" s="28" t="s">
        <v>1467</v>
      </c>
      <c r="B834" s="28"/>
      <c r="C834" s="28" t="s">
        <v>2180</v>
      </c>
      <c r="D834" s="28" t="s">
        <v>1630</v>
      </c>
      <c r="E834" s="21" t="s">
        <v>1758</v>
      </c>
      <c r="F834" s="12" t="s">
        <v>1503</v>
      </c>
      <c r="G834" s="12" t="s">
        <v>1147</v>
      </c>
    </row>
    <row r="835" spans="1:7" x14ac:dyDescent="0.3">
      <c r="A835" s="28" t="s">
        <v>1468</v>
      </c>
      <c r="B835" s="28"/>
      <c r="C835" s="28" t="s">
        <v>2180</v>
      </c>
      <c r="D835" s="28" t="s">
        <v>1630</v>
      </c>
      <c r="E835" s="21" t="s">
        <v>1758</v>
      </c>
      <c r="F835" s="12" t="s">
        <v>1503</v>
      </c>
      <c r="G835" s="12" t="s">
        <v>1147</v>
      </c>
    </row>
    <row r="836" spans="1:7" x14ac:dyDescent="0.3">
      <c r="A836" s="28" t="s">
        <v>1469</v>
      </c>
      <c r="B836" s="28"/>
      <c r="C836" s="28" t="s">
        <v>2180</v>
      </c>
      <c r="D836" s="28" t="s">
        <v>1630</v>
      </c>
      <c r="E836" s="21" t="s">
        <v>1758</v>
      </c>
      <c r="F836" s="12" t="s">
        <v>1503</v>
      </c>
      <c r="G836" s="12" t="s">
        <v>1147</v>
      </c>
    </row>
    <row r="837" spans="1:7" x14ac:dyDescent="0.3">
      <c r="A837" s="28" t="s">
        <v>1470</v>
      </c>
      <c r="B837" s="28"/>
      <c r="C837" s="28" t="s">
        <v>2180</v>
      </c>
      <c r="D837" s="28" t="s">
        <v>1630</v>
      </c>
      <c r="E837" s="21" t="s">
        <v>1758</v>
      </c>
      <c r="F837" s="12" t="s">
        <v>1503</v>
      </c>
      <c r="G837" s="12" t="s">
        <v>1147</v>
      </c>
    </row>
    <row r="838" spans="1:7" x14ac:dyDescent="0.3">
      <c r="A838" s="28" t="s">
        <v>1934</v>
      </c>
      <c r="B838" s="28"/>
      <c r="C838" s="28" t="s">
        <v>2180</v>
      </c>
      <c r="D838" s="28" t="s">
        <v>1630</v>
      </c>
      <c r="E838" s="21" t="s">
        <v>1758</v>
      </c>
      <c r="F838" s="21" t="s">
        <v>1758</v>
      </c>
      <c r="G838" s="12" t="s">
        <v>1169</v>
      </c>
    </row>
    <row r="839" spans="1:7" x14ac:dyDescent="0.3">
      <c r="A839" s="28" t="s">
        <v>1935</v>
      </c>
      <c r="B839" s="28"/>
      <c r="C839" s="28" t="s">
        <v>2180</v>
      </c>
      <c r="D839" s="28" t="s">
        <v>1630</v>
      </c>
      <c r="E839" s="21" t="s">
        <v>1758</v>
      </c>
      <c r="F839" s="21" t="s">
        <v>1758</v>
      </c>
      <c r="G839" s="12" t="s">
        <v>1169</v>
      </c>
    </row>
    <row r="840" spans="1:7" x14ac:dyDescent="0.3">
      <c r="A840" s="28" t="s">
        <v>1936</v>
      </c>
      <c r="B840" s="28"/>
      <c r="C840" s="28" t="s">
        <v>2180</v>
      </c>
      <c r="D840" s="28" t="s">
        <v>1630</v>
      </c>
      <c r="E840" s="21" t="s">
        <v>1758</v>
      </c>
      <c r="F840" s="21" t="s">
        <v>1758</v>
      </c>
      <c r="G840" s="12" t="s">
        <v>1169</v>
      </c>
    </row>
    <row r="841" spans="1:7" x14ac:dyDescent="0.3">
      <c r="A841" s="28" t="s">
        <v>1937</v>
      </c>
      <c r="B841" s="28"/>
      <c r="C841" s="28" t="s">
        <v>2180</v>
      </c>
      <c r="D841" s="28" t="s">
        <v>1630</v>
      </c>
      <c r="E841" s="21" t="s">
        <v>1758</v>
      </c>
      <c r="F841" s="21" t="s">
        <v>1758</v>
      </c>
      <c r="G841" s="12" t="s">
        <v>1169</v>
      </c>
    </row>
    <row r="842" spans="1:7" x14ac:dyDescent="0.3">
      <c r="A842" s="28" t="s">
        <v>1938</v>
      </c>
      <c r="B842" s="28"/>
      <c r="C842" s="28" t="s">
        <v>2180</v>
      </c>
      <c r="D842" s="28" t="s">
        <v>1630</v>
      </c>
      <c r="E842" s="21" t="s">
        <v>1758</v>
      </c>
      <c r="F842" s="21" t="s">
        <v>1758</v>
      </c>
      <c r="G842" s="12" t="s">
        <v>1169</v>
      </c>
    </row>
    <row r="843" spans="1:7" x14ac:dyDescent="0.3">
      <c r="A843" s="28" t="s">
        <v>1939</v>
      </c>
      <c r="B843" s="28"/>
      <c r="C843" s="28" t="s">
        <v>2180</v>
      </c>
      <c r="D843" s="28" t="s">
        <v>1630</v>
      </c>
      <c r="E843" s="21" t="s">
        <v>1758</v>
      </c>
      <c r="F843" s="21" t="s">
        <v>1758</v>
      </c>
      <c r="G843" s="12" t="s">
        <v>1169</v>
      </c>
    </row>
    <row r="844" spans="1:7" x14ac:dyDescent="0.3">
      <c r="A844" s="28" t="s">
        <v>1934</v>
      </c>
      <c r="B844" s="28"/>
      <c r="C844" s="28" t="s">
        <v>2180</v>
      </c>
      <c r="D844" s="28" t="s">
        <v>1630</v>
      </c>
      <c r="E844" s="21" t="s">
        <v>1758</v>
      </c>
      <c r="F844" s="12" t="s">
        <v>920</v>
      </c>
      <c r="G844" s="12" t="s">
        <v>1147</v>
      </c>
    </row>
    <row r="845" spans="1:7" x14ac:dyDescent="0.3">
      <c r="A845" s="28" t="s">
        <v>1935</v>
      </c>
      <c r="B845" s="28"/>
      <c r="C845" s="28" t="s">
        <v>2180</v>
      </c>
      <c r="D845" s="28" t="s">
        <v>1630</v>
      </c>
      <c r="E845" s="21" t="s">
        <v>1758</v>
      </c>
      <c r="F845" s="12" t="s">
        <v>920</v>
      </c>
      <c r="G845" s="12" t="s">
        <v>1147</v>
      </c>
    </row>
    <row r="846" spans="1:7" x14ac:dyDescent="0.3">
      <c r="A846" s="28" t="s">
        <v>1936</v>
      </c>
      <c r="B846" s="28"/>
      <c r="C846" s="28" t="s">
        <v>2180</v>
      </c>
      <c r="D846" s="28" t="s">
        <v>1630</v>
      </c>
      <c r="E846" s="21" t="s">
        <v>1758</v>
      </c>
      <c r="F846" s="12" t="s">
        <v>920</v>
      </c>
      <c r="G846" s="12" t="s">
        <v>1147</v>
      </c>
    </row>
    <row r="847" spans="1:7" x14ac:dyDescent="0.3">
      <c r="A847" s="28" t="s">
        <v>1937</v>
      </c>
      <c r="B847" s="28"/>
      <c r="C847" s="28" t="s">
        <v>2180</v>
      </c>
      <c r="D847" s="28" t="s">
        <v>1630</v>
      </c>
      <c r="E847" s="21" t="s">
        <v>1758</v>
      </c>
      <c r="F847" s="12" t="s">
        <v>920</v>
      </c>
      <c r="G847" s="12" t="s">
        <v>1147</v>
      </c>
    </row>
    <row r="848" spans="1:7" x14ac:dyDescent="0.3">
      <c r="A848" s="28" t="s">
        <v>1938</v>
      </c>
      <c r="B848" s="28"/>
      <c r="C848" s="28" t="s">
        <v>2180</v>
      </c>
      <c r="D848" s="28" t="s">
        <v>1630</v>
      </c>
      <c r="E848" s="21" t="s">
        <v>1758</v>
      </c>
      <c r="F848" s="12" t="s">
        <v>920</v>
      </c>
      <c r="G848" s="12" t="s">
        <v>1147</v>
      </c>
    </row>
    <row r="849" spans="1:7" x14ac:dyDescent="0.3">
      <c r="A849" s="28" t="s">
        <v>1939</v>
      </c>
      <c r="B849" s="28"/>
      <c r="C849" s="28" t="s">
        <v>2180</v>
      </c>
      <c r="D849" s="28" t="s">
        <v>1630</v>
      </c>
      <c r="E849" s="21" t="s">
        <v>1758</v>
      </c>
      <c r="F849" s="12" t="s">
        <v>920</v>
      </c>
      <c r="G849" s="12" t="s">
        <v>1147</v>
      </c>
    </row>
    <row r="850" spans="1:7" x14ac:dyDescent="0.3">
      <c r="A850" s="28" t="s">
        <v>1934</v>
      </c>
      <c r="B850" s="28"/>
      <c r="C850" s="28" t="s">
        <v>2180</v>
      </c>
      <c r="D850" s="28" t="s">
        <v>1630</v>
      </c>
      <c r="E850" s="21" t="s">
        <v>1758</v>
      </c>
      <c r="F850" s="12" t="s">
        <v>923</v>
      </c>
      <c r="G850" s="12" t="s">
        <v>1147</v>
      </c>
    </row>
    <row r="851" spans="1:7" x14ac:dyDescent="0.3">
      <c r="A851" s="28" t="s">
        <v>1935</v>
      </c>
      <c r="B851" s="28"/>
      <c r="C851" s="28" t="s">
        <v>2180</v>
      </c>
      <c r="D851" s="28" t="s">
        <v>1630</v>
      </c>
      <c r="E851" s="21" t="s">
        <v>1758</v>
      </c>
      <c r="F851" s="12" t="s">
        <v>923</v>
      </c>
      <c r="G851" s="12" t="s">
        <v>1147</v>
      </c>
    </row>
    <row r="852" spans="1:7" x14ac:dyDescent="0.3">
      <c r="A852" s="28" t="s">
        <v>1936</v>
      </c>
      <c r="B852" s="28"/>
      <c r="C852" s="28" t="s">
        <v>2180</v>
      </c>
      <c r="D852" s="28" t="s">
        <v>1630</v>
      </c>
      <c r="E852" s="21" t="s">
        <v>1758</v>
      </c>
      <c r="F852" s="12" t="s">
        <v>923</v>
      </c>
      <c r="G852" s="12" t="s">
        <v>1147</v>
      </c>
    </row>
    <row r="853" spans="1:7" x14ac:dyDescent="0.3">
      <c r="A853" s="28" t="s">
        <v>1937</v>
      </c>
      <c r="B853" s="28"/>
      <c r="C853" s="28" t="s">
        <v>2180</v>
      </c>
      <c r="D853" s="28" t="s">
        <v>1630</v>
      </c>
      <c r="E853" s="21" t="s">
        <v>1758</v>
      </c>
      <c r="F853" s="12" t="s">
        <v>923</v>
      </c>
      <c r="G853" s="12" t="s">
        <v>1147</v>
      </c>
    </row>
    <row r="854" spans="1:7" x14ac:dyDescent="0.3">
      <c r="A854" s="28" t="s">
        <v>1938</v>
      </c>
      <c r="B854" s="28"/>
      <c r="C854" s="28" t="s">
        <v>2180</v>
      </c>
      <c r="D854" s="28" t="s">
        <v>1630</v>
      </c>
      <c r="E854" s="21" t="s">
        <v>1758</v>
      </c>
      <c r="F854" s="12" t="s">
        <v>923</v>
      </c>
      <c r="G854" s="12" t="s">
        <v>1147</v>
      </c>
    </row>
    <row r="855" spans="1:7" x14ac:dyDescent="0.3">
      <c r="A855" s="28" t="s">
        <v>1939</v>
      </c>
      <c r="B855" s="28"/>
      <c r="C855" s="28" t="s">
        <v>2180</v>
      </c>
      <c r="D855" s="28" t="s">
        <v>1630</v>
      </c>
      <c r="E855" s="21" t="s">
        <v>1758</v>
      </c>
      <c r="F855" s="12" t="s">
        <v>923</v>
      </c>
      <c r="G855" s="12" t="s">
        <v>1147</v>
      </c>
    </row>
    <row r="856" spans="1:7" x14ac:dyDescent="0.3">
      <c r="A856" s="28" t="s">
        <v>1934</v>
      </c>
      <c r="B856" s="28"/>
      <c r="C856" s="28" t="s">
        <v>2180</v>
      </c>
      <c r="D856" s="28" t="s">
        <v>1630</v>
      </c>
      <c r="E856" s="21" t="s">
        <v>1758</v>
      </c>
      <c r="F856" s="12" t="s">
        <v>925</v>
      </c>
      <c r="G856" s="12" t="s">
        <v>1147</v>
      </c>
    </row>
    <row r="857" spans="1:7" x14ac:dyDescent="0.3">
      <c r="A857" s="28" t="s">
        <v>1935</v>
      </c>
      <c r="B857" s="28"/>
      <c r="C857" s="28" t="s">
        <v>2180</v>
      </c>
      <c r="D857" s="28" t="s">
        <v>1630</v>
      </c>
      <c r="E857" s="21" t="s">
        <v>1758</v>
      </c>
      <c r="F857" s="12" t="s">
        <v>925</v>
      </c>
      <c r="G857" s="12" t="s">
        <v>1147</v>
      </c>
    </row>
    <row r="858" spans="1:7" x14ac:dyDescent="0.3">
      <c r="A858" s="28" t="s">
        <v>1936</v>
      </c>
      <c r="B858" s="28"/>
      <c r="C858" s="28" t="s">
        <v>2180</v>
      </c>
      <c r="D858" s="28" t="s">
        <v>1630</v>
      </c>
      <c r="E858" s="21" t="s">
        <v>1758</v>
      </c>
      <c r="F858" s="12" t="s">
        <v>925</v>
      </c>
      <c r="G858" s="12" t="s">
        <v>1147</v>
      </c>
    </row>
    <row r="859" spans="1:7" x14ac:dyDescent="0.3">
      <c r="A859" s="28" t="s">
        <v>1937</v>
      </c>
      <c r="B859" s="28"/>
      <c r="C859" s="28" t="s">
        <v>2180</v>
      </c>
      <c r="D859" s="28" t="s">
        <v>1630</v>
      </c>
      <c r="E859" s="21" t="s">
        <v>1758</v>
      </c>
      <c r="F859" s="12" t="s">
        <v>925</v>
      </c>
      <c r="G859" s="12" t="s">
        <v>1147</v>
      </c>
    </row>
    <row r="860" spans="1:7" x14ac:dyDescent="0.3">
      <c r="A860" s="28" t="s">
        <v>1938</v>
      </c>
      <c r="B860" s="28"/>
      <c r="C860" s="28" t="s">
        <v>2180</v>
      </c>
      <c r="D860" s="28" t="s">
        <v>1630</v>
      </c>
      <c r="E860" s="21" t="s">
        <v>1758</v>
      </c>
      <c r="F860" s="12" t="s">
        <v>925</v>
      </c>
      <c r="G860" s="12" t="s">
        <v>1147</v>
      </c>
    </row>
    <row r="861" spans="1:7" x14ac:dyDescent="0.3">
      <c r="A861" s="28" t="s">
        <v>1939</v>
      </c>
      <c r="B861" s="28"/>
      <c r="C861" s="28" t="s">
        <v>2180</v>
      </c>
      <c r="D861" s="28" t="s">
        <v>1630</v>
      </c>
      <c r="E861" s="21" t="s">
        <v>1758</v>
      </c>
      <c r="F861" s="12" t="s">
        <v>925</v>
      </c>
      <c r="G861" s="12" t="s">
        <v>1147</v>
      </c>
    </row>
    <row r="862" spans="1:7" x14ac:dyDescent="0.3">
      <c r="A862" s="28" t="s">
        <v>1934</v>
      </c>
      <c r="B862" s="28"/>
      <c r="C862" s="28" t="s">
        <v>2180</v>
      </c>
      <c r="D862" s="28" t="s">
        <v>1630</v>
      </c>
      <c r="E862" s="21" t="s">
        <v>1758</v>
      </c>
      <c r="F862" s="12" t="s">
        <v>1503</v>
      </c>
      <c r="G862" s="12" t="s">
        <v>1147</v>
      </c>
    </row>
    <row r="863" spans="1:7" x14ac:dyDescent="0.3">
      <c r="A863" s="28" t="s">
        <v>1935</v>
      </c>
      <c r="B863" s="28"/>
      <c r="C863" s="28" t="s">
        <v>2180</v>
      </c>
      <c r="D863" s="28" t="s">
        <v>1630</v>
      </c>
      <c r="E863" s="21" t="s">
        <v>1758</v>
      </c>
      <c r="F863" s="12" t="s">
        <v>1503</v>
      </c>
      <c r="G863" s="12" t="s">
        <v>1147</v>
      </c>
    </row>
    <row r="864" spans="1:7" x14ac:dyDescent="0.3">
      <c r="A864" s="28" t="s">
        <v>1936</v>
      </c>
      <c r="B864" s="28"/>
      <c r="C864" s="28" t="s">
        <v>2180</v>
      </c>
      <c r="D864" s="28" t="s">
        <v>1630</v>
      </c>
      <c r="E864" s="21" t="s">
        <v>1758</v>
      </c>
      <c r="F864" s="12" t="s">
        <v>1503</v>
      </c>
      <c r="G864" s="12" t="s">
        <v>1147</v>
      </c>
    </row>
    <row r="865" spans="1:7" x14ac:dyDescent="0.3">
      <c r="A865" s="28" t="s">
        <v>1937</v>
      </c>
      <c r="B865" s="28"/>
      <c r="C865" s="28" t="s">
        <v>2180</v>
      </c>
      <c r="D865" s="28" t="s">
        <v>1630</v>
      </c>
      <c r="E865" s="21" t="s">
        <v>1758</v>
      </c>
      <c r="F865" s="12" t="s">
        <v>1503</v>
      </c>
      <c r="G865" s="12" t="s">
        <v>1147</v>
      </c>
    </row>
    <row r="866" spans="1:7" x14ac:dyDescent="0.3">
      <c r="A866" s="28" t="s">
        <v>1938</v>
      </c>
      <c r="B866" s="28"/>
      <c r="C866" s="28" t="s">
        <v>2180</v>
      </c>
      <c r="D866" s="28" t="s">
        <v>1630</v>
      </c>
      <c r="E866" s="21" t="s">
        <v>1758</v>
      </c>
      <c r="F866" s="12" t="s">
        <v>1503</v>
      </c>
      <c r="G866" s="12" t="s">
        <v>1147</v>
      </c>
    </row>
    <row r="867" spans="1:7" x14ac:dyDescent="0.3">
      <c r="A867" s="28" t="s">
        <v>1939</v>
      </c>
      <c r="B867" s="28"/>
      <c r="C867" s="28" t="s">
        <v>2180</v>
      </c>
      <c r="D867" s="28" t="s">
        <v>1630</v>
      </c>
      <c r="E867" s="21" t="s">
        <v>1758</v>
      </c>
      <c r="F867" s="12" t="s">
        <v>1503</v>
      </c>
      <c r="G867" s="12" t="s">
        <v>1147</v>
      </c>
    </row>
    <row r="868" spans="1:7" x14ac:dyDescent="0.3">
      <c r="A868" s="28" t="s">
        <v>1464</v>
      </c>
      <c r="B868" s="28"/>
      <c r="C868" s="28" t="s">
        <v>2180</v>
      </c>
      <c r="D868" s="28" t="s">
        <v>1481</v>
      </c>
      <c r="E868" s="12" t="s">
        <v>1759</v>
      </c>
      <c r="F868" s="12" t="s">
        <v>1759</v>
      </c>
      <c r="G868" s="12" t="s">
        <v>1169</v>
      </c>
    </row>
    <row r="869" spans="1:7" x14ac:dyDescent="0.3">
      <c r="A869" s="28" t="s">
        <v>1466</v>
      </c>
      <c r="B869" s="28"/>
      <c r="C869" s="28" t="s">
        <v>2180</v>
      </c>
      <c r="D869" s="28" t="s">
        <v>1481</v>
      </c>
      <c r="E869" s="12" t="s">
        <v>1759</v>
      </c>
      <c r="F869" s="12" t="s">
        <v>1759</v>
      </c>
      <c r="G869" s="12" t="s">
        <v>1169</v>
      </c>
    </row>
    <row r="870" spans="1:7" x14ac:dyDescent="0.3">
      <c r="A870" s="28" t="s">
        <v>1467</v>
      </c>
      <c r="B870" s="28"/>
      <c r="C870" s="28" t="s">
        <v>2180</v>
      </c>
      <c r="D870" s="28" t="s">
        <v>1481</v>
      </c>
      <c r="E870" s="12" t="s">
        <v>1759</v>
      </c>
      <c r="F870" s="12" t="s">
        <v>1759</v>
      </c>
      <c r="G870" s="12" t="s">
        <v>1169</v>
      </c>
    </row>
    <row r="871" spans="1:7" x14ac:dyDescent="0.3">
      <c r="A871" s="28" t="s">
        <v>1468</v>
      </c>
      <c r="B871" s="28"/>
      <c r="C871" s="28" t="s">
        <v>2180</v>
      </c>
      <c r="D871" s="28" t="s">
        <v>1481</v>
      </c>
      <c r="E871" s="12" t="s">
        <v>1759</v>
      </c>
      <c r="F871" s="12" t="s">
        <v>1759</v>
      </c>
      <c r="G871" s="12" t="s">
        <v>1169</v>
      </c>
    </row>
    <row r="872" spans="1:7" x14ac:dyDescent="0.3">
      <c r="A872" s="28" t="s">
        <v>1469</v>
      </c>
      <c r="B872" s="28"/>
      <c r="C872" s="28" t="s">
        <v>2180</v>
      </c>
      <c r="D872" s="28" t="s">
        <v>1481</v>
      </c>
      <c r="E872" s="12" t="s">
        <v>1759</v>
      </c>
      <c r="F872" s="12" t="s">
        <v>1759</v>
      </c>
      <c r="G872" s="12" t="s">
        <v>1169</v>
      </c>
    </row>
    <row r="873" spans="1:7" x14ac:dyDescent="0.3">
      <c r="A873" s="28" t="s">
        <v>1470</v>
      </c>
      <c r="B873" s="28"/>
      <c r="C873" s="28" t="s">
        <v>2180</v>
      </c>
      <c r="D873" s="28" t="s">
        <v>1481</v>
      </c>
      <c r="E873" s="12" t="s">
        <v>1759</v>
      </c>
      <c r="F873" s="12" t="s">
        <v>1759</v>
      </c>
      <c r="G873" s="12" t="s">
        <v>1169</v>
      </c>
    </row>
    <row r="874" spans="1:7" x14ac:dyDescent="0.3">
      <c r="A874" s="28" t="s">
        <v>1464</v>
      </c>
      <c r="B874" s="28"/>
      <c r="C874" s="28" t="s">
        <v>2180</v>
      </c>
      <c r="D874" s="28" t="s">
        <v>1481</v>
      </c>
      <c r="E874" s="12" t="s">
        <v>1759</v>
      </c>
      <c r="F874" s="12" t="s">
        <v>927</v>
      </c>
      <c r="G874" s="12" t="s">
        <v>1147</v>
      </c>
    </row>
    <row r="875" spans="1:7" x14ac:dyDescent="0.3">
      <c r="A875" s="28" t="s">
        <v>1466</v>
      </c>
      <c r="B875" s="28"/>
      <c r="C875" s="28" t="s">
        <v>2180</v>
      </c>
      <c r="D875" s="28" t="s">
        <v>1481</v>
      </c>
      <c r="E875" s="12" t="s">
        <v>1759</v>
      </c>
      <c r="F875" s="12" t="s">
        <v>927</v>
      </c>
      <c r="G875" s="12" t="s">
        <v>1147</v>
      </c>
    </row>
    <row r="876" spans="1:7" x14ac:dyDescent="0.3">
      <c r="A876" s="28" t="s">
        <v>1467</v>
      </c>
      <c r="B876" s="28"/>
      <c r="C876" s="28" t="s">
        <v>2180</v>
      </c>
      <c r="D876" s="28" t="s">
        <v>1481</v>
      </c>
      <c r="E876" s="12" t="s">
        <v>1759</v>
      </c>
      <c r="F876" s="12" t="s">
        <v>927</v>
      </c>
      <c r="G876" s="12" t="s">
        <v>1147</v>
      </c>
    </row>
    <row r="877" spans="1:7" x14ac:dyDescent="0.3">
      <c r="A877" s="28" t="s">
        <v>1468</v>
      </c>
      <c r="B877" s="28"/>
      <c r="C877" s="28" t="s">
        <v>2180</v>
      </c>
      <c r="D877" s="28" t="s">
        <v>1481</v>
      </c>
      <c r="E877" s="12" t="s">
        <v>1759</v>
      </c>
      <c r="F877" s="12" t="s">
        <v>927</v>
      </c>
      <c r="G877" s="12" t="s">
        <v>1147</v>
      </c>
    </row>
    <row r="878" spans="1:7" x14ac:dyDescent="0.3">
      <c r="A878" s="28" t="s">
        <v>1469</v>
      </c>
      <c r="B878" s="28"/>
      <c r="C878" s="28" t="s">
        <v>2180</v>
      </c>
      <c r="D878" s="28" t="s">
        <v>1481</v>
      </c>
      <c r="E878" s="12" t="s">
        <v>1759</v>
      </c>
      <c r="F878" s="12" t="s">
        <v>927</v>
      </c>
      <c r="G878" s="12" t="s">
        <v>1147</v>
      </c>
    </row>
    <row r="879" spans="1:7" x14ac:dyDescent="0.3">
      <c r="A879" s="28" t="s">
        <v>1470</v>
      </c>
      <c r="B879" s="28"/>
      <c r="C879" s="28" t="s">
        <v>2180</v>
      </c>
      <c r="D879" s="28" t="s">
        <v>1481</v>
      </c>
      <c r="E879" s="12" t="s">
        <v>1759</v>
      </c>
      <c r="F879" s="12" t="s">
        <v>927</v>
      </c>
      <c r="G879" s="12" t="s">
        <v>1147</v>
      </c>
    </row>
    <row r="880" spans="1:7" x14ac:dyDescent="0.3">
      <c r="A880" s="28" t="s">
        <v>1464</v>
      </c>
      <c r="B880" s="28"/>
      <c r="C880" s="28" t="s">
        <v>2180</v>
      </c>
      <c r="D880" s="28" t="s">
        <v>1481</v>
      </c>
      <c r="E880" s="12" t="s">
        <v>1759</v>
      </c>
      <c r="F880" s="12" t="s">
        <v>1504</v>
      </c>
      <c r="G880" s="12" t="s">
        <v>1147</v>
      </c>
    </row>
    <row r="881" spans="1:7" x14ac:dyDescent="0.3">
      <c r="A881" s="28" t="s">
        <v>1466</v>
      </c>
      <c r="B881" s="28"/>
      <c r="C881" s="28" t="s">
        <v>2180</v>
      </c>
      <c r="D881" s="28" t="s">
        <v>1481</v>
      </c>
      <c r="E881" s="12" t="s">
        <v>1759</v>
      </c>
      <c r="F881" s="12" t="s">
        <v>1504</v>
      </c>
      <c r="G881" s="12" t="s">
        <v>1147</v>
      </c>
    </row>
    <row r="882" spans="1:7" x14ac:dyDescent="0.3">
      <c r="A882" s="28" t="s">
        <v>1467</v>
      </c>
      <c r="B882" s="28"/>
      <c r="C882" s="28" t="s">
        <v>2180</v>
      </c>
      <c r="D882" s="28" t="s">
        <v>1481</v>
      </c>
      <c r="E882" s="12" t="s">
        <v>1759</v>
      </c>
      <c r="F882" s="12" t="s">
        <v>1504</v>
      </c>
      <c r="G882" s="12" t="s">
        <v>1147</v>
      </c>
    </row>
    <row r="883" spans="1:7" x14ac:dyDescent="0.3">
      <c r="A883" s="28" t="s">
        <v>1468</v>
      </c>
      <c r="B883" s="28"/>
      <c r="C883" s="28" t="s">
        <v>2180</v>
      </c>
      <c r="D883" s="28" t="s">
        <v>1481</v>
      </c>
      <c r="E883" s="12" t="s">
        <v>1759</v>
      </c>
      <c r="F883" s="12" t="s">
        <v>1504</v>
      </c>
      <c r="G883" s="12" t="s">
        <v>1147</v>
      </c>
    </row>
    <row r="884" spans="1:7" x14ac:dyDescent="0.3">
      <c r="A884" s="28" t="s">
        <v>1469</v>
      </c>
      <c r="B884" s="28"/>
      <c r="C884" s="28" t="s">
        <v>2180</v>
      </c>
      <c r="D884" s="28" t="s">
        <v>1481</v>
      </c>
      <c r="E884" s="12" t="s">
        <v>1759</v>
      </c>
      <c r="F884" s="12" t="s">
        <v>1504</v>
      </c>
      <c r="G884" s="12" t="s">
        <v>1147</v>
      </c>
    </row>
    <row r="885" spans="1:7" x14ac:dyDescent="0.3">
      <c r="A885" s="28" t="s">
        <v>1470</v>
      </c>
      <c r="B885" s="28"/>
      <c r="C885" s="28" t="s">
        <v>2180</v>
      </c>
      <c r="D885" s="28" t="s">
        <v>1481</v>
      </c>
      <c r="E885" s="12" t="s">
        <v>1759</v>
      </c>
      <c r="F885" s="12" t="s">
        <v>1504</v>
      </c>
      <c r="G885" s="12" t="s">
        <v>1147</v>
      </c>
    </row>
    <row r="886" spans="1:7" x14ac:dyDescent="0.3">
      <c r="A886" s="28" t="s">
        <v>1934</v>
      </c>
      <c r="B886" s="28"/>
      <c r="C886" s="28" t="s">
        <v>2180</v>
      </c>
      <c r="D886" s="28" t="s">
        <v>1481</v>
      </c>
      <c r="E886" s="12" t="s">
        <v>1759</v>
      </c>
      <c r="F886" s="47" t="s">
        <v>1759</v>
      </c>
      <c r="G886" s="12" t="s">
        <v>1169</v>
      </c>
    </row>
    <row r="887" spans="1:7" x14ac:dyDescent="0.3">
      <c r="A887" s="28" t="s">
        <v>1935</v>
      </c>
      <c r="B887" s="28"/>
      <c r="C887" s="28" t="s">
        <v>2180</v>
      </c>
      <c r="D887" s="28" t="s">
        <v>1481</v>
      </c>
      <c r="E887" s="12" t="s">
        <v>1759</v>
      </c>
      <c r="F887" s="47" t="s">
        <v>1759</v>
      </c>
      <c r="G887" s="12" t="s">
        <v>1169</v>
      </c>
    </row>
    <row r="888" spans="1:7" x14ac:dyDescent="0.3">
      <c r="A888" s="28" t="s">
        <v>1936</v>
      </c>
      <c r="B888" s="28"/>
      <c r="C888" s="28" t="s">
        <v>2180</v>
      </c>
      <c r="D888" s="28" t="s">
        <v>1481</v>
      </c>
      <c r="E888" s="12" t="s">
        <v>1759</v>
      </c>
      <c r="F888" s="47" t="s">
        <v>1759</v>
      </c>
      <c r="G888" s="12" t="s">
        <v>1169</v>
      </c>
    </row>
    <row r="889" spans="1:7" x14ac:dyDescent="0.3">
      <c r="A889" s="28" t="s">
        <v>1937</v>
      </c>
      <c r="B889" s="28"/>
      <c r="C889" s="28" t="s">
        <v>2180</v>
      </c>
      <c r="D889" s="28" t="s">
        <v>1481</v>
      </c>
      <c r="E889" s="12" t="s">
        <v>1759</v>
      </c>
      <c r="F889" s="47" t="s">
        <v>1759</v>
      </c>
      <c r="G889" s="12" t="s">
        <v>1169</v>
      </c>
    </row>
    <row r="890" spans="1:7" x14ac:dyDescent="0.3">
      <c r="A890" s="28" t="s">
        <v>1938</v>
      </c>
      <c r="B890" s="28"/>
      <c r="C890" s="28" t="s">
        <v>2180</v>
      </c>
      <c r="D890" s="28" t="s">
        <v>1481</v>
      </c>
      <c r="E890" s="12" t="s">
        <v>1759</v>
      </c>
      <c r="F890" s="12" t="s">
        <v>1759</v>
      </c>
      <c r="G890" s="12" t="s">
        <v>1169</v>
      </c>
    </row>
    <row r="891" spans="1:7" x14ac:dyDescent="0.3">
      <c r="A891" s="28" t="s">
        <v>1939</v>
      </c>
      <c r="B891" s="28"/>
      <c r="C891" s="28" t="s">
        <v>2180</v>
      </c>
      <c r="D891" s="28" t="s">
        <v>1481</v>
      </c>
      <c r="E891" s="12" t="s">
        <v>1759</v>
      </c>
      <c r="F891" s="12" t="s">
        <v>1759</v>
      </c>
      <c r="G891" s="12" t="s">
        <v>1169</v>
      </c>
    </row>
    <row r="892" spans="1:7" x14ac:dyDescent="0.3">
      <c r="A892" s="28" t="s">
        <v>1934</v>
      </c>
      <c r="B892" s="28"/>
      <c r="C892" s="28" t="s">
        <v>2180</v>
      </c>
      <c r="D892" s="28" t="s">
        <v>1481</v>
      </c>
      <c r="E892" s="12" t="s">
        <v>1759</v>
      </c>
      <c r="F892" s="12" t="s">
        <v>927</v>
      </c>
      <c r="G892" s="12" t="s">
        <v>1147</v>
      </c>
    </row>
    <row r="893" spans="1:7" x14ac:dyDescent="0.3">
      <c r="A893" s="28" t="s">
        <v>1935</v>
      </c>
      <c r="B893" s="28"/>
      <c r="C893" s="28" t="s">
        <v>2180</v>
      </c>
      <c r="D893" s="28" t="s">
        <v>1481</v>
      </c>
      <c r="E893" s="12" t="s">
        <v>1759</v>
      </c>
      <c r="F893" s="12" t="s">
        <v>927</v>
      </c>
      <c r="G893" s="12" t="s">
        <v>1147</v>
      </c>
    </row>
    <row r="894" spans="1:7" x14ac:dyDescent="0.3">
      <c r="A894" s="28" t="s">
        <v>1936</v>
      </c>
      <c r="B894" s="28"/>
      <c r="C894" s="28" t="s">
        <v>2180</v>
      </c>
      <c r="D894" s="28" t="s">
        <v>1481</v>
      </c>
      <c r="E894" s="12" t="s">
        <v>1759</v>
      </c>
      <c r="F894" s="12" t="s">
        <v>927</v>
      </c>
      <c r="G894" s="12" t="s">
        <v>1147</v>
      </c>
    </row>
    <row r="895" spans="1:7" x14ac:dyDescent="0.3">
      <c r="A895" s="28" t="s">
        <v>1937</v>
      </c>
      <c r="B895" s="28"/>
      <c r="C895" s="28" t="s">
        <v>2180</v>
      </c>
      <c r="D895" s="28" t="s">
        <v>1481</v>
      </c>
      <c r="E895" s="12" t="s">
        <v>1759</v>
      </c>
      <c r="F895" s="12" t="s">
        <v>927</v>
      </c>
      <c r="G895" s="12" t="s">
        <v>1147</v>
      </c>
    </row>
    <row r="896" spans="1:7" x14ac:dyDescent="0.3">
      <c r="A896" s="28" t="s">
        <v>1938</v>
      </c>
      <c r="B896" s="28"/>
      <c r="C896" s="28" t="s">
        <v>2180</v>
      </c>
      <c r="D896" s="28" t="s">
        <v>1481</v>
      </c>
      <c r="E896" s="12" t="s">
        <v>1759</v>
      </c>
      <c r="F896" s="12" t="s">
        <v>927</v>
      </c>
      <c r="G896" s="12" t="s">
        <v>1147</v>
      </c>
    </row>
    <row r="897" spans="1:7" x14ac:dyDescent="0.3">
      <c r="A897" s="28" t="s">
        <v>1939</v>
      </c>
      <c r="B897" s="28"/>
      <c r="C897" s="28" t="s">
        <v>2180</v>
      </c>
      <c r="D897" s="28" t="s">
        <v>1481</v>
      </c>
      <c r="E897" s="12" t="s">
        <v>1759</v>
      </c>
      <c r="F897" s="12" t="s">
        <v>927</v>
      </c>
      <c r="G897" s="12" t="s">
        <v>1147</v>
      </c>
    </row>
    <row r="898" spans="1:7" x14ac:dyDescent="0.3">
      <c r="A898" s="28" t="s">
        <v>1934</v>
      </c>
      <c r="B898" s="28"/>
      <c r="C898" s="28" t="s">
        <v>2180</v>
      </c>
      <c r="D898" s="28" t="s">
        <v>1481</v>
      </c>
      <c r="E898" s="12" t="s">
        <v>1759</v>
      </c>
      <c r="F898" s="12" t="s">
        <v>1504</v>
      </c>
      <c r="G898" s="12" t="s">
        <v>1147</v>
      </c>
    </row>
    <row r="899" spans="1:7" x14ac:dyDescent="0.3">
      <c r="A899" s="28" t="s">
        <v>1935</v>
      </c>
      <c r="B899" s="28"/>
      <c r="C899" s="28" t="s">
        <v>2180</v>
      </c>
      <c r="D899" s="28" t="s">
        <v>1481</v>
      </c>
      <c r="E899" s="12" t="s">
        <v>1759</v>
      </c>
      <c r="F899" s="12" t="s">
        <v>1504</v>
      </c>
      <c r="G899" s="12" t="s">
        <v>1147</v>
      </c>
    </row>
    <row r="900" spans="1:7" x14ac:dyDescent="0.3">
      <c r="A900" s="28" t="s">
        <v>1936</v>
      </c>
      <c r="B900" s="28"/>
      <c r="C900" s="28" t="s">
        <v>2180</v>
      </c>
      <c r="D900" s="28" t="s">
        <v>1481</v>
      </c>
      <c r="E900" s="12" t="s">
        <v>1759</v>
      </c>
      <c r="F900" s="12" t="s">
        <v>1504</v>
      </c>
      <c r="G900" s="12" t="s">
        <v>1147</v>
      </c>
    </row>
    <row r="901" spans="1:7" x14ac:dyDescent="0.3">
      <c r="A901" s="28" t="s">
        <v>1937</v>
      </c>
      <c r="B901" s="28"/>
      <c r="C901" s="28" t="s">
        <v>2180</v>
      </c>
      <c r="D901" s="28" t="s">
        <v>1481</v>
      </c>
      <c r="E901" s="12" t="s">
        <v>1759</v>
      </c>
      <c r="F901" s="12" t="s">
        <v>1504</v>
      </c>
      <c r="G901" s="12" t="s">
        <v>1147</v>
      </c>
    </row>
    <row r="902" spans="1:7" x14ac:dyDescent="0.3">
      <c r="A902" s="28" t="s">
        <v>1938</v>
      </c>
      <c r="B902" s="28"/>
      <c r="C902" s="28" t="s">
        <v>2180</v>
      </c>
      <c r="D902" s="28" t="s">
        <v>1481</v>
      </c>
      <c r="E902" s="12" t="s">
        <v>1759</v>
      </c>
      <c r="F902" s="12" t="s">
        <v>1504</v>
      </c>
      <c r="G902" s="12" t="s">
        <v>1147</v>
      </c>
    </row>
    <row r="903" spans="1:7" x14ac:dyDescent="0.3">
      <c r="A903" s="28" t="s">
        <v>1939</v>
      </c>
      <c r="B903" s="28"/>
      <c r="C903" s="28" t="s">
        <v>2180</v>
      </c>
      <c r="D903" s="28" t="s">
        <v>1481</v>
      </c>
      <c r="E903" s="12" t="s">
        <v>1759</v>
      </c>
      <c r="F903" s="12" t="s">
        <v>1504</v>
      </c>
      <c r="G903" s="12" t="s">
        <v>1147</v>
      </c>
    </row>
    <row r="904" spans="1:7" x14ac:dyDescent="0.3">
      <c r="A904" s="28"/>
      <c r="B904" s="28"/>
      <c r="C904" s="28" t="s">
        <v>2180</v>
      </c>
      <c r="D904" s="28"/>
      <c r="E904" s="12" t="s">
        <v>1003</v>
      </c>
      <c r="F904" s="12" t="s">
        <v>1003</v>
      </c>
      <c r="G904" s="12" t="s">
        <v>1169</v>
      </c>
    </row>
    <row r="905" spans="1:7" x14ac:dyDescent="0.3">
      <c r="A905" s="28"/>
      <c r="B905" s="28"/>
      <c r="C905" s="28" t="s">
        <v>2180</v>
      </c>
      <c r="D905" s="28"/>
      <c r="E905" s="12" t="s">
        <v>1003</v>
      </c>
      <c r="F905" s="12" t="s">
        <v>1524</v>
      </c>
      <c r="G905" s="12" t="s">
        <v>1147</v>
      </c>
    </row>
    <row r="906" spans="1:7" x14ac:dyDescent="0.3">
      <c r="A906" s="28"/>
      <c r="B906" s="28"/>
      <c r="C906" s="28" t="s">
        <v>2180</v>
      </c>
      <c r="D906" s="28"/>
      <c r="E906" s="12" t="s">
        <v>1005</v>
      </c>
      <c r="F906" s="12" t="s">
        <v>1005</v>
      </c>
      <c r="G906" s="12" t="s">
        <v>1169</v>
      </c>
    </row>
    <row r="907" spans="1:7" x14ac:dyDescent="0.3">
      <c r="A907" s="28"/>
      <c r="B907" s="28"/>
      <c r="C907" s="28" t="s">
        <v>2180</v>
      </c>
      <c r="D907" s="28"/>
      <c r="E907" s="12" t="s">
        <v>1005</v>
      </c>
      <c r="F907" s="12" t="s">
        <v>1525</v>
      </c>
      <c r="G907" s="12" t="s">
        <v>1147</v>
      </c>
    </row>
    <row r="908" spans="1:7" x14ac:dyDescent="0.3">
      <c r="A908" s="28"/>
      <c r="B908" s="28"/>
      <c r="C908" s="28" t="s">
        <v>2180</v>
      </c>
      <c r="D908" s="28"/>
      <c r="E908" s="12" t="s">
        <v>925</v>
      </c>
      <c r="F908" s="12" t="s">
        <v>953</v>
      </c>
      <c r="G908" s="12" t="s">
        <v>1147</v>
      </c>
    </row>
    <row r="909" spans="1:7" x14ac:dyDescent="0.3">
      <c r="A909" s="28"/>
      <c r="B909" s="28"/>
      <c r="C909" s="28" t="s">
        <v>2180</v>
      </c>
      <c r="D909" s="28"/>
      <c r="E909" s="12" t="s">
        <v>925</v>
      </c>
      <c r="F909" s="12" t="s">
        <v>955</v>
      </c>
      <c r="G909" s="12" t="s">
        <v>1147</v>
      </c>
    </row>
    <row r="910" spans="1:7" x14ac:dyDescent="0.3">
      <c r="A910" s="28"/>
      <c r="B910" s="28"/>
      <c r="C910" s="28" t="s">
        <v>2180</v>
      </c>
      <c r="D910" s="28"/>
      <c r="E910" s="12" t="s">
        <v>927</v>
      </c>
      <c r="F910" s="12" t="s">
        <v>957</v>
      </c>
      <c r="G910" s="12" t="s">
        <v>1147</v>
      </c>
    </row>
    <row r="911" spans="1:7" x14ac:dyDescent="0.3">
      <c r="A911" s="28"/>
      <c r="B911" s="28"/>
      <c r="C911" s="28" t="s">
        <v>2180</v>
      </c>
      <c r="D911" s="28"/>
      <c r="E911" s="12" t="s">
        <v>927</v>
      </c>
      <c r="F911" s="12" t="s">
        <v>959</v>
      </c>
      <c r="G911" s="12" t="s">
        <v>1147</v>
      </c>
    </row>
    <row r="912" spans="1:7" x14ac:dyDescent="0.3">
      <c r="A912" s="28"/>
      <c r="B912" s="28"/>
      <c r="C912" s="28" t="s">
        <v>2180</v>
      </c>
      <c r="D912" s="28"/>
      <c r="E912" s="12" t="s">
        <v>1563</v>
      </c>
      <c r="F912" s="12" t="s">
        <v>953</v>
      </c>
      <c r="G912" s="12" t="s">
        <v>1147</v>
      </c>
    </row>
    <row r="913" spans="1:7" x14ac:dyDescent="0.3">
      <c r="A913" s="28"/>
      <c r="B913" s="28"/>
      <c r="C913" s="28" t="s">
        <v>2180</v>
      </c>
      <c r="D913" s="28"/>
      <c r="E913" s="12" t="s">
        <v>1563</v>
      </c>
      <c r="F913" s="12" t="s">
        <v>955</v>
      </c>
      <c r="G913" s="12" t="s">
        <v>1147</v>
      </c>
    </row>
    <row r="914" spans="1:7" x14ac:dyDescent="0.3">
      <c r="A914" s="28"/>
      <c r="B914" s="28"/>
      <c r="C914" s="28" t="s">
        <v>2180</v>
      </c>
      <c r="D914" s="28"/>
      <c r="E914" s="12" t="s">
        <v>906</v>
      </c>
      <c r="F914" s="12" t="s">
        <v>906</v>
      </c>
      <c r="G914" s="12" t="s">
        <v>1147</v>
      </c>
    </row>
    <row r="915" spans="1:7" x14ac:dyDescent="0.3">
      <c r="A915" s="28"/>
      <c r="B915" s="28"/>
      <c r="C915" s="28" t="s">
        <v>2180</v>
      </c>
      <c r="D915" s="28"/>
      <c r="E915" s="12" t="s">
        <v>910</v>
      </c>
      <c r="F915" s="12" t="s">
        <v>910</v>
      </c>
      <c r="G915" s="12" t="s">
        <v>1147</v>
      </c>
    </row>
    <row r="916" spans="1:7" x14ac:dyDescent="0.3">
      <c r="A916" s="28"/>
      <c r="B916" s="28"/>
      <c r="C916" s="28" t="s">
        <v>2180</v>
      </c>
      <c r="D916" s="28"/>
      <c r="E916" s="12" t="s">
        <v>1209</v>
      </c>
      <c r="F916" s="12" t="s">
        <v>939</v>
      </c>
      <c r="G916" s="12" t="s">
        <v>1147</v>
      </c>
    </row>
    <row r="917" spans="1:7" x14ac:dyDescent="0.3">
      <c r="A917" s="28"/>
      <c r="B917" s="28"/>
      <c r="C917" s="28" t="s">
        <v>2180</v>
      </c>
      <c r="D917" s="28"/>
      <c r="E917" s="12" t="s">
        <v>1209</v>
      </c>
      <c r="F917" s="12" t="s">
        <v>1011</v>
      </c>
      <c r="G917" s="12" t="s">
        <v>1169</v>
      </c>
    </row>
    <row r="918" spans="1:7" x14ac:dyDescent="0.3">
      <c r="A918" s="28"/>
      <c r="B918" s="28"/>
      <c r="C918" s="28" t="s">
        <v>2180</v>
      </c>
      <c r="D918" s="28"/>
      <c r="E918" s="12" t="s">
        <v>1205</v>
      </c>
      <c r="F918" s="12" t="s">
        <v>935</v>
      </c>
      <c r="G918" s="12" t="s">
        <v>1147</v>
      </c>
    </row>
    <row r="919" spans="1:7" x14ac:dyDescent="0.3">
      <c r="A919" s="28"/>
      <c r="B919" s="28"/>
      <c r="C919" s="28" t="s">
        <v>2180</v>
      </c>
      <c r="D919" s="28"/>
      <c r="E919" s="12" t="s">
        <v>1205</v>
      </c>
      <c r="F919" s="12" t="s">
        <v>1009</v>
      </c>
      <c r="G919" s="12" t="s">
        <v>1169</v>
      </c>
    </row>
    <row r="920" spans="1:7" x14ac:dyDescent="0.3">
      <c r="A920" s="28" t="s">
        <v>1464</v>
      </c>
      <c r="B920" s="28"/>
      <c r="C920" s="28" t="s">
        <v>2180</v>
      </c>
      <c r="D920" s="28" t="s">
        <v>1630</v>
      </c>
      <c r="E920" s="21" t="s">
        <v>1761</v>
      </c>
      <c r="F920" s="21" t="s">
        <v>1761</v>
      </c>
      <c r="G920" s="12" t="s">
        <v>1147</v>
      </c>
    </row>
    <row r="921" spans="1:7" x14ac:dyDescent="0.3">
      <c r="A921" s="28" t="s">
        <v>1466</v>
      </c>
      <c r="B921" s="28"/>
      <c r="C921" s="28" t="s">
        <v>2180</v>
      </c>
      <c r="D921" s="28" t="s">
        <v>1630</v>
      </c>
      <c r="E921" s="21" t="s">
        <v>1761</v>
      </c>
      <c r="F921" s="21" t="s">
        <v>1761</v>
      </c>
      <c r="G921" s="12" t="s">
        <v>1147</v>
      </c>
    </row>
    <row r="922" spans="1:7" x14ac:dyDescent="0.3">
      <c r="A922" s="28" t="s">
        <v>1467</v>
      </c>
      <c r="B922" s="28"/>
      <c r="C922" s="28" t="s">
        <v>2180</v>
      </c>
      <c r="D922" s="28" t="s">
        <v>1630</v>
      </c>
      <c r="E922" s="21" t="s">
        <v>1761</v>
      </c>
      <c r="F922" s="21" t="s">
        <v>1761</v>
      </c>
      <c r="G922" s="12" t="s">
        <v>1147</v>
      </c>
    </row>
    <row r="923" spans="1:7" x14ac:dyDescent="0.3">
      <c r="A923" s="28" t="s">
        <v>1468</v>
      </c>
      <c r="B923" s="28"/>
      <c r="C923" s="28" t="s">
        <v>2180</v>
      </c>
      <c r="D923" s="28" t="s">
        <v>1630</v>
      </c>
      <c r="E923" s="21" t="s">
        <v>1761</v>
      </c>
      <c r="F923" s="21" t="s">
        <v>1761</v>
      </c>
      <c r="G923" s="12" t="s">
        <v>1147</v>
      </c>
    </row>
    <row r="924" spans="1:7" x14ac:dyDescent="0.3">
      <c r="A924" s="28" t="s">
        <v>1469</v>
      </c>
      <c r="B924" s="28"/>
      <c r="C924" s="28" t="s">
        <v>2180</v>
      </c>
      <c r="D924" s="28" t="s">
        <v>1630</v>
      </c>
      <c r="E924" s="21" t="s">
        <v>1761</v>
      </c>
      <c r="F924" s="21" t="s">
        <v>1761</v>
      </c>
      <c r="G924" s="12" t="s">
        <v>1147</v>
      </c>
    </row>
    <row r="925" spans="1:7" x14ac:dyDescent="0.3">
      <c r="A925" s="28" t="s">
        <v>1470</v>
      </c>
      <c r="B925" s="28"/>
      <c r="C925" s="28" t="s">
        <v>2180</v>
      </c>
      <c r="D925" s="28" t="s">
        <v>1630</v>
      </c>
      <c r="E925" s="21" t="s">
        <v>1761</v>
      </c>
      <c r="F925" s="21" t="s">
        <v>1761</v>
      </c>
      <c r="G925" s="12" t="s">
        <v>1147</v>
      </c>
    </row>
    <row r="926" spans="1:7" x14ac:dyDescent="0.3">
      <c r="A926" s="28" t="s">
        <v>1464</v>
      </c>
      <c r="B926" s="28"/>
      <c r="C926" s="28" t="s">
        <v>2180</v>
      </c>
      <c r="D926" s="28" t="s">
        <v>1631</v>
      </c>
      <c r="E926" s="21" t="s">
        <v>1761</v>
      </c>
      <c r="F926" s="21" t="s">
        <v>1761</v>
      </c>
      <c r="G926" s="12" t="s">
        <v>1147</v>
      </c>
    </row>
    <row r="927" spans="1:7" x14ac:dyDescent="0.3">
      <c r="A927" s="28" t="s">
        <v>1466</v>
      </c>
      <c r="B927" s="28"/>
      <c r="C927" s="28" t="s">
        <v>2180</v>
      </c>
      <c r="D927" s="28" t="s">
        <v>1631</v>
      </c>
      <c r="E927" s="21" t="s">
        <v>1761</v>
      </c>
      <c r="F927" s="21" t="s">
        <v>1761</v>
      </c>
      <c r="G927" s="12" t="s">
        <v>1147</v>
      </c>
    </row>
    <row r="928" spans="1:7" x14ac:dyDescent="0.3">
      <c r="A928" s="28" t="s">
        <v>1467</v>
      </c>
      <c r="B928" s="28"/>
      <c r="C928" s="28" t="s">
        <v>2180</v>
      </c>
      <c r="D928" s="28" t="s">
        <v>1631</v>
      </c>
      <c r="E928" s="21" t="s">
        <v>1761</v>
      </c>
      <c r="F928" s="21" t="s">
        <v>1761</v>
      </c>
      <c r="G928" s="12" t="s">
        <v>1147</v>
      </c>
    </row>
    <row r="929" spans="1:7" x14ac:dyDescent="0.3">
      <c r="A929" s="28" t="s">
        <v>1468</v>
      </c>
      <c r="B929" s="28"/>
      <c r="C929" s="28" t="s">
        <v>2180</v>
      </c>
      <c r="D929" s="28" t="s">
        <v>1631</v>
      </c>
      <c r="E929" s="21" t="s">
        <v>1761</v>
      </c>
      <c r="F929" s="21" t="s">
        <v>1761</v>
      </c>
      <c r="G929" s="12" t="s">
        <v>1147</v>
      </c>
    </row>
    <row r="930" spans="1:7" x14ac:dyDescent="0.3">
      <c r="A930" s="28" t="s">
        <v>1469</v>
      </c>
      <c r="B930" s="28"/>
      <c r="C930" s="28" t="s">
        <v>2180</v>
      </c>
      <c r="D930" s="28" t="s">
        <v>1631</v>
      </c>
      <c r="E930" s="21" t="s">
        <v>1761</v>
      </c>
      <c r="F930" s="21" t="s">
        <v>1761</v>
      </c>
      <c r="G930" s="12" t="s">
        <v>1147</v>
      </c>
    </row>
    <row r="931" spans="1:7" x14ac:dyDescent="0.3">
      <c r="A931" s="28" t="s">
        <v>1470</v>
      </c>
      <c r="B931" s="28"/>
      <c r="C931" s="28" t="s">
        <v>2180</v>
      </c>
      <c r="D931" s="28" t="s">
        <v>1631</v>
      </c>
      <c r="E931" s="21" t="s">
        <v>1761</v>
      </c>
      <c r="F931" s="21" t="s">
        <v>1761</v>
      </c>
      <c r="G931" s="12" t="s">
        <v>1147</v>
      </c>
    </row>
    <row r="932" spans="1:7" x14ac:dyDescent="0.3">
      <c r="A932" s="28" t="s">
        <v>1934</v>
      </c>
      <c r="B932" s="28"/>
      <c r="C932" s="28" t="s">
        <v>2180</v>
      </c>
      <c r="D932" s="28" t="s">
        <v>1630</v>
      </c>
      <c r="E932" s="21" t="s">
        <v>1761</v>
      </c>
      <c r="F932" s="21" t="s">
        <v>1761</v>
      </c>
      <c r="G932" s="12" t="s">
        <v>1147</v>
      </c>
    </row>
    <row r="933" spans="1:7" x14ac:dyDescent="0.3">
      <c r="A933" s="28" t="s">
        <v>1935</v>
      </c>
      <c r="B933" s="28"/>
      <c r="C933" s="28" t="s">
        <v>2180</v>
      </c>
      <c r="D933" s="28" t="s">
        <v>1630</v>
      </c>
      <c r="E933" s="21" t="s">
        <v>1761</v>
      </c>
      <c r="F933" s="21" t="s">
        <v>1761</v>
      </c>
      <c r="G933" s="12" t="s">
        <v>1147</v>
      </c>
    </row>
    <row r="934" spans="1:7" x14ac:dyDescent="0.3">
      <c r="A934" s="28" t="s">
        <v>1936</v>
      </c>
      <c r="B934" s="28"/>
      <c r="C934" s="28" t="s">
        <v>2180</v>
      </c>
      <c r="D934" s="28" t="s">
        <v>1630</v>
      </c>
      <c r="E934" s="21" t="s">
        <v>1761</v>
      </c>
      <c r="F934" s="21" t="s">
        <v>1761</v>
      </c>
      <c r="G934" s="12" t="s">
        <v>1147</v>
      </c>
    </row>
    <row r="935" spans="1:7" x14ac:dyDescent="0.3">
      <c r="A935" s="28" t="s">
        <v>1937</v>
      </c>
      <c r="B935" s="28"/>
      <c r="C935" s="28" t="s">
        <v>2180</v>
      </c>
      <c r="D935" s="28" t="s">
        <v>1630</v>
      </c>
      <c r="E935" s="21" t="s">
        <v>1761</v>
      </c>
      <c r="F935" s="21" t="s">
        <v>1761</v>
      </c>
      <c r="G935" s="12" t="s">
        <v>1147</v>
      </c>
    </row>
    <row r="936" spans="1:7" x14ac:dyDescent="0.3">
      <c r="A936" s="28" t="s">
        <v>1938</v>
      </c>
      <c r="B936" s="28"/>
      <c r="C936" s="28" t="s">
        <v>2180</v>
      </c>
      <c r="D936" s="28" t="s">
        <v>1630</v>
      </c>
      <c r="E936" s="21" t="s">
        <v>1761</v>
      </c>
      <c r="F936" s="21" t="s">
        <v>1761</v>
      </c>
      <c r="G936" s="12" t="s">
        <v>1147</v>
      </c>
    </row>
    <row r="937" spans="1:7" x14ac:dyDescent="0.3">
      <c r="A937" s="28" t="s">
        <v>1939</v>
      </c>
      <c r="B937" s="28"/>
      <c r="C937" s="28" t="s">
        <v>2180</v>
      </c>
      <c r="D937" s="28" t="s">
        <v>1630</v>
      </c>
      <c r="E937" s="21" t="s">
        <v>1761</v>
      </c>
      <c r="F937" s="21" t="s">
        <v>1761</v>
      </c>
      <c r="G937" s="12" t="s">
        <v>1147</v>
      </c>
    </row>
    <row r="938" spans="1:7" x14ac:dyDescent="0.3">
      <c r="A938" s="28" t="s">
        <v>1934</v>
      </c>
      <c r="B938" s="28"/>
      <c r="C938" s="28" t="s">
        <v>2180</v>
      </c>
      <c r="D938" s="28" t="s">
        <v>1631</v>
      </c>
      <c r="E938" s="21" t="s">
        <v>1761</v>
      </c>
      <c r="F938" s="21" t="s">
        <v>1761</v>
      </c>
      <c r="G938" s="12" t="s">
        <v>1147</v>
      </c>
    </row>
    <row r="939" spans="1:7" x14ac:dyDescent="0.3">
      <c r="A939" s="28" t="s">
        <v>1935</v>
      </c>
      <c r="B939" s="28"/>
      <c r="C939" s="28" t="s">
        <v>2180</v>
      </c>
      <c r="D939" s="28" t="s">
        <v>1631</v>
      </c>
      <c r="E939" s="21" t="s">
        <v>1761</v>
      </c>
      <c r="F939" s="21" t="s">
        <v>1761</v>
      </c>
      <c r="G939" s="12" t="s">
        <v>1147</v>
      </c>
    </row>
    <row r="940" spans="1:7" x14ac:dyDescent="0.3">
      <c r="A940" s="28" t="s">
        <v>1936</v>
      </c>
      <c r="B940" s="28"/>
      <c r="C940" s="28" t="s">
        <v>2180</v>
      </c>
      <c r="D940" s="28" t="s">
        <v>1631</v>
      </c>
      <c r="E940" s="21" t="s">
        <v>1761</v>
      </c>
      <c r="F940" s="21" t="s">
        <v>1761</v>
      </c>
      <c r="G940" s="12" t="s">
        <v>1147</v>
      </c>
    </row>
    <row r="941" spans="1:7" x14ac:dyDescent="0.3">
      <c r="A941" s="28" t="s">
        <v>1937</v>
      </c>
      <c r="B941" s="28"/>
      <c r="C941" s="28" t="s">
        <v>2180</v>
      </c>
      <c r="D941" s="28" t="s">
        <v>1631</v>
      </c>
      <c r="E941" s="21" t="s">
        <v>1761</v>
      </c>
      <c r="F941" s="21" t="s">
        <v>1761</v>
      </c>
      <c r="G941" s="12" t="s">
        <v>1147</v>
      </c>
    </row>
    <row r="942" spans="1:7" x14ac:dyDescent="0.3">
      <c r="A942" s="28" t="s">
        <v>1938</v>
      </c>
      <c r="B942" s="28"/>
      <c r="C942" s="28" t="s">
        <v>2180</v>
      </c>
      <c r="D942" s="28" t="s">
        <v>1631</v>
      </c>
      <c r="E942" s="21" t="s">
        <v>1761</v>
      </c>
      <c r="F942" s="21" t="s">
        <v>1761</v>
      </c>
      <c r="G942" s="12" t="s">
        <v>1147</v>
      </c>
    </row>
    <row r="943" spans="1:7" x14ac:dyDescent="0.3">
      <c r="A943" s="28" t="s">
        <v>1939</v>
      </c>
      <c r="B943" s="28"/>
      <c r="C943" s="28" t="s">
        <v>2180</v>
      </c>
      <c r="D943" s="28" t="s">
        <v>1631</v>
      </c>
      <c r="E943" s="21" t="s">
        <v>1761</v>
      </c>
      <c r="F943" s="21" t="s">
        <v>1761</v>
      </c>
      <c r="G943" s="12" t="s">
        <v>1147</v>
      </c>
    </row>
    <row r="944" spans="1:7" x14ac:dyDescent="0.3">
      <c r="A944" s="28"/>
      <c r="B944" s="28"/>
      <c r="C944" s="28" t="s">
        <v>2180</v>
      </c>
      <c r="D944" s="28"/>
      <c r="E944" s="12" t="s">
        <v>1017</v>
      </c>
      <c r="F944" s="12" t="s">
        <v>1017</v>
      </c>
      <c r="G944" s="12" t="s">
        <v>1147</v>
      </c>
    </row>
    <row r="945" spans="1:7" x14ac:dyDescent="0.3">
      <c r="A945" s="28"/>
      <c r="B945" s="28"/>
      <c r="C945" s="28" t="s">
        <v>2180</v>
      </c>
      <c r="D945" s="28"/>
      <c r="E945" s="12" t="s">
        <v>1019</v>
      </c>
      <c r="F945" s="12" t="s">
        <v>1019</v>
      </c>
      <c r="G945" s="12" t="s">
        <v>1169</v>
      </c>
    </row>
    <row r="946" spans="1:7" x14ac:dyDescent="0.3">
      <c r="A946" s="28"/>
      <c r="B946" s="28"/>
      <c r="C946" s="28" t="s">
        <v>2180</v>
      </c>
      <c r="D946" s="28"/>
      <c r="E946" s="12" t="s">
        <v>1019</v>
      </c>
      <c r="F946" s="12" t="s">
        <v>1524</v>
      </c>
      <c r="G946" s="12" t="s">
        <v>1147</v>
      </c>
    </row>
    <row r="947" spans="1:7" x14ac:dyDescent="0.3">
      <c r="A947" s="28"/>
      <c r="B947" s="28"/>
      <c r="C947" s="28" t="s">
        <v>2180</v>
      </c>
      <c r="D947" s="28"/>
      <c r="E947" s="12" t="s">
        <v>1314</v>
      </c>
      <c r="F947" s="12" t="s">
        <v>914</v>
      </c>
      <c r="G947" s="12" t="s">
        <v>1147</v>
      </c>
    </row>
    <row r="948" spans="1:7" x14ac:dyDescent="0.3">
      <c r="A948" s="28"/>
      <c r="B948" s="28"/>
      <c r="C948" s="28" t="s">
        <v>2180</v>
      </c>
      <c r="D948" s="28"/>
      <c r="E948" s="12" t="s">
        <v>1316</v>
      </c>
      <c r="F948" s="12" t="s">
        <v>914</v>
      </c>
      <c r="G948" s="12" t="s">
        <v>1147</v>
      </c>
    </row>
    <row r="949" spans="1:7" x14ac:dyDescent="0.3">
      <c r="A949" s="28"/>
      <c r="B949" s="28"/>
      <c r="C949" s="28" t="s">
        <v>2180</v>
      </c>
      <c r="D949" s="28"/>
      <c r="E949" s="12" t="s">
        <v>1318</v>
      </c>
      <c r="F949" s="12" t="s">
        <v>916</v>
      </c>
      <c r="G949" s="12" t="s">
        <v>1147</v>
      </c>
    </row>
    <row r="950" spans="1:7" x14ac:dyDescent="0.3">
      <c r="A950" s="28"/>
      <c r="B950" s="28"/>
      <c r="C950" s="28" t="s">
        <v>2180</v>
      </c>
      <c r="D950" s="28"/>
      <c r="E950" s="12" t="s">
        <v>1320</v>
      </c>
      <c r="F950" s="12" t="s">
        <v>916</v>
      </c>
      <c r="G950" s="12" t="s">
        <v>1147</v>
      </c>
    </row>
    <row r="951" spans="1:7" x14ac:dyDescent="0.3">
      <c r="A951" s="28"/>
      <c r="B951" s="28"/>
      <c r="C951" s="28" t="s">
        <v>2180</v>
      </c>
      <c r="D951" s="28"/>
      <c r="E951" s="12" t="s">
        <v>1524</v>
      </c>
      <c r="F951" s="12" t="s">
        <v>953</v>
      </c>
      <c r="G951" s="12" t="s">
        <v>1147</v>
      </c>
    </row>
    <row r="952" spans="1:7" x14ac:dyDescent="0.3">
      <c r="A952" s="28"/>
      <c r="B952" s="28"/>
      <c r="C952" s="28" t="s">
        <v>2180</v>
      </c>
      <c r="D952" s="28"/>
      <c r="E952" s="12" t="s">
        <v>1524</v>
      </c>
      <c r="F952" s="12" t="s">
        <v>955</v>
      </c>
      <c r="G952" s="12" t="s">
        <v>1147</v>
      </c>
    </row>
    <row r="953" spans="1:7" x14ac:dyDescent="0.3">
      <c r="A953" s="28"/>
      <c r="B953" s="28"/>
      <c r="C953" s="28" t="s">
        <v>2180</v>
      </c>
      <c r="D953" s="28"/>
      <c r="E953" s="12" t="s">
        <v>1525</v>
      </c>
      <c r="F953" s="12" t="s">
        <v>957</v>
      </c>
      <c r="G953" s="12" t="s">
        <v>1147</v>
      </c>
    </row>
    <row r="954" spans="1:7" x14ac:dyDescent="0.3">
      <c r="A954" s="28"/>
      <c r="B954" s="28"/>
      <c r="C954" s="28" t="s">
        <v>2180</v>
      </c>
      <c r="D954" s="28"/>
      <c r="E954" s="12" t="s">
        <v>1525</v>
      </c>
      <c r="F954" s="12" t="s">
        <v>959</v>
      </c>
      <c r="G954" s="12" t="s">
        <v>1147</v>
      </c>
    </row>
    <row r="955" spans="1:7" x14ac:dyDescent="0.3">
      <c r="A955" s="28"/>
      <c r="B955" s="28"/>
      <c r="C955" s="28" t="s">
        <v>2180</v>
      </c>
      <c r="D955" s="28"/>
      <c r="E955" s="12" t="s">
        <v>1264</v>
      </c>
      <c r="F955" s="12" t="s">
        <v>953</v>
      </c>
      <c r="G955" s="12" t="s">
        <v>1147</v>
      </c>
    </row>
    <row r="956" spans="1:7" x14ac:dyDescent="0.3">
      <c r="A956" s="28"/>
      <c r="B956" s="28"/>
      <c r="C956" s="28" t="s">
        <v>2180</v>
      </c>
      <c r="D956" s="28"/>
      <c r="E956" s="12" t="s">
        <v>1266</v>
      </c>
      <c r="F956" s="12" t="s">
        <v>955</v>
      </c>
      <c r="G956" s="12" t="s">
        <v>1147</v>
      </c>
    </row>
    <row r="957" spans="1:7" x14ac:dyDescent="0.3">
      <c r="A957" s="28"/>
      <c r="B957" s="28"/>
      <c r="C957" s="28" t="s">
        <v>2180</v>
      </c>
      <c r="D957" s="28"/>
      <c r="E957" s="12" t="s">
        <v>1268</v>
      </c>
      <c r="F957" s="12" t="s">
        <v>957</v>
      </c>
      <c r="G957" s="12" t="s">
        <v>1147</v>
      </c>
    </row>
    <row r="958" spans="1:7" x14ac:dyDescent="0.3">
      <c r="A958" s="28"/>
      <c r="B958" s="28"/>
      <c r="C958" s="28" t="s">
        <v>2180</v>
      </c>
      <c r="D958" s="28"/>
      <c r="E958" s="12" t="s">
        <v>1270</v>
      </c>
      <c r="F958" s="12" t="s">
        <v>959</v>
      </c>
      <c r="G958" s="12" t="s">
        <v>1147</v>
      </c>
    </row>
    <row r="959" spans="1:7" x14ac:dyDescent="0.3">
      <c r="A959" s="28"/>
      <c r="B959" s="28"/>
      <c r="C959" s="28" t="s">
        <v>2180</v>
      </c>
      <c r="D959" s="28"/>
      <c r="E959" s="12" t="s">
        <v>1284</v>
      </c>
      <c r="F959" s="12" t="s">
        <v>971</v>
      </c>
      <c r="G959" s="12" t="s">
        <v>1147</v>
      </c>
    </row>
    <row r="960" spans="1:7" x14ac:dyDescent="0.3">
      <c r="A960" s="28"/>
      <c r="B960" s="28"/>
      <c r="C960" s="28" t="s">
        <v>2180</v>
      </c>
      <c r="D960" s="28"/>
      <c r="E960" s="12" t="s">
        <v>1284</v>
      </c>
      <c r="F960" s="12" t="s">
        <v>1023</v>
      </c>
      <c r="G960" s="12" t="s">
        <v>1169</v>
      </c>
    </row>
    <row r="961" spans="1:7" x14ac:dyDescent="0.3">
      <c r="A961" s="28"/>
      <c r="B961" s="28"/>
      <c r="C961" s="28" t="s">
        <v>2180</v>
      </c>
      <c r="D961" s="28"/>
      <c r="E961" s="12" t="s">
        <v>1286</v>
      </c>
      <c r="F961" s="12" t="s">
        <v>973</v>
      </c>
      <c r="G961" s="12" t="s">
        <v>1147</v>
      </c>
    </row>
    <row r="962" spans="1:7" x14ac:dyDescent="0.3">
      <c r="A962" s="28"/>
      <c r="B962" s="28"/>
      <c r="C962" s="28" t="s">
        <v>2180</v>
      </c>
      <c r="D962" s="28"/>
      <c r="E962" s="12" t="s">
        <v>1286</v>
      </c>
      <c r="F962" s="12" t="s">
        <v>1025</v>
      </c>
      <c r="G962" s="12" t="s">
        <v>1169</v>
      </c>
    </row>
    <row r="963" spans="1:7" x14ac:dyDescent="0.3">
      <c r="A963" s="28"/>
      <c r="B963" s="28"/>
      <c r="C963" s="28" t="s">
        <v>2180</v>
      </c>
      <c r="D963" s="28"/>
      <c r="E963" s="12" t="s">
        <v>1294</v>
      </c>
      <c r="F963" s="12" t="s">
        <v>912</v>
      </c>
      <c r="G963" s="12" t="s">
        <v>1147</v>
      </c>
    </row>
    <row r="964" spans="1:7" x14ac:dyDescent="0.3">
      <c r="A964" s="28"/>
      <c r="B964" s="28"/>
      <c r="C964" s="28" t="s">
        <v>2180</v>
      </c>
      <c r="D964" s="28"/>
      <c r="E964" s="12" t="s">
        <v>1833</v>
      </c>
      <c r="F964" s="12" t="s">
        <v>971</v>
      </c>
      <c r="G964" s="12" t="s">
        <v>1147</v>
      </c>
    </row>
    <row r="965" spans="1:7" x14ac:dyDescent="0.3">
      <c r="A965" s="28"/>
      <c r="B965" s="28"/>
      <c r="C965" s="28" t="s">
        <v>2180</v>
      </c>
      <c r="D965" s="28"/>
      <c r="E965" s="12" t="s">
        <v>1837</v>
      </c>
      <c r="F965" s="12" t="s">
        <v>973</v>
      </c>
      <c r="G965" s="12" t="s">
        <v>1147</v>
      </c>
    </row>
    <row r="966" spans="1:7" x14ac:dyDescent="0.3">
      <c r="A966" s="28"/>
      <c r="B966" s="28"/>
      <c r="C966" s="28" t="s">
        <v>2180</v>
      </c>
      <c r="D966" s="28"/>
      <c r="E966" s="12" t="s">
        <v>1223</v>
      </c>
      <c r="F966" s="12" t="s">
        <v>925</v>
      </c>
      <c r="G966" s="12" t="s">
        <v>1158</v>
      </c>
    </row>
    <row r="967" spans="1:7" x14ac:dyDescent="0.3">
      <c r="A967" s="28"/>
      <c r="B967" s="28"/>
      <c r="C967" s="28" t="s">
        <v>2180</v>
      </c>
      <c r="D967" s="28"/>
      <c r="E967" s="12" t="s">
        <v>1223</v>
      </c>
      <c r="F967" s="12" t="s">
        <v>925</v>
      </c>
      <c r="G967" s="12" t="s">
        <v>1169</v>
      </c>
    </row>
    <row r="968" spans="1:7" x14ac:dyDescent="0.3">
      <c r="A968" s="28"/>
      <c r="B968" s="28"/>
      <c r="C968" s="28" t="s">
        <v>2180</v>
      </c>
      <c r="D968" s="28"/>
      <c r="E968" s="12" t="s">
        <v>1213</v>
      </c>
      <c r="F968" s="12" t="s">
        <v>953</v>
      </c>
      <c r="G968" s="12" t="s">
        <v>1158</v>
      </c>
    </row>
    <row r="969" spans="1:7" x14ac:dyDescent="0.3">
      <c r="A969" s="28"/>
      <c r="B969" s="28"/>
      <c r="C969" s="28" t="s">
        <v>2180</v>
      </c>
      <c r="D969" s="28"/>
      <c r="E969" s="12" t="s">
        <v>1213</v>
      </c>
      <c r="F969" s="12" t="s">
        <v>953</v>
      </c>
      <c r="G969" s="12" t="s">
        <v>1169</v>
      </c>
    </row>
    <row r="970" spans="1:7" x14ac:dyDescent="0.3">
      <c r="A970" s="28"/>
      <c r="B970" s="28"/>
      <c r="C970" s="28" t="s">
        <v>2180</v>
      </c>
      <c r="D970" s="28"/>
      <c r="E970" s="12" t="s">
        <v>1213</v>
      </c>
      <c r="F970" s="12" t="s">
        <v>955</v>
      </c>
      <c r="G970" s="12" t="s">
        <v>1158</v>
      </c>
    </row>
    <row r="971" spans="1:7" x14ac:dyDescent="0.3">
      <c r="A971" s="28"/>
      <c r="B971" s="28"/>
      <c r="C971" s="28" t="s">
        <v>2180</v>
      </c>
      <c r="D971" s="28"/>
      <c r="E971" s="12" t="s">
        <v>1213</v>
      </c>
      <c r="F971" s="12" t="s">
        <v>955</v>
      </c>
      <c r="G971" s="12" t="s">
        <v>1169</v>
      </c>
    </row>
    <row r="972" spans="1:7" x14ac:dyDescent="0.3">
      <c r="A972" s="28"/>
      <c r="B972" s="28"/>
      <c r="C972" s="28" t="s">
        <v>2180</v>
      </c>
      <c r="D972" s="28"/>
      <c r="E972" s="12" t="s">
        <v>1225</v>
      </c>
      <c r="F972" s="12" t="s">
        <v>927</v>
      </c>
      <c r="G972" s="12" t="s">
        <v>1158</v>
      </c>
    </row>
    <row r="973" spans="1:7" x14ac:dyDescent="0.3">
      <c r="A973" s="28"/>
      <c r="B973" s="28"/>
      <c r="C973" s="28" t="s">
        <v>2180</v>
      </c>
      <c r="D973" s="28"/>
      <c r="E973" s="12" t="s">
        <v>1225</v>
      </c>
      <c r="F973" s="12" t="s">
        <v>927</v>
      </c>
      <c r="G973" s="12" t="s">
        <v>1169</v>
      </c>
    </row>
    <row r="974" spans="1:7" x14ac:dyDescent="0.3">
      <c r="A974" s="28"/>
      <c r="B974" s="28"/>
      <c r="C974" s="28" t="s">
        <v>2180</v>
      </c>
      <c r="D974" s="28"/>
      <c r="E974" s="12" t="s">
        <v>1215</v>
      </c>
      <c r="F974" s="12" t="s">
        <v>957</v>
      </c>
      <c r="G974" s="12" t="s">
        <v>1158</v>
      </c>
    </row>
    <row r="975" spans="1:7" x14ac:dyDescent="0.3">
      <c r="A975" s="28"/>
      <c r="B975" s="28"/>
      <c r="C975" s="28" t="s">
        <v>2180</v>
      </c>
      <c r="D975" s="28"/>
      <c r="E975" s="12" t="s">
        <v>1215</v>
      </c>
      <c r="F975" s="12" t="s">
        <v>957</v>
      </c>
      <c r="G975" s="12" t="s">
        <v>1169</v>
      </c>
    </row>
    <row r="976" spans="1:7" x14ac:dyDescent="0.3">
      <c r="A976" s="28"/>
      <c r="B976" s="28"/>
      <c r="C976" s="28" t="s">
        <v>2180</v>
      </c>
      <c r="D976" s="28"/>
      <c r="E976" s="12" t="s">
        <v>1215</v>
      </c>
      <c r="F976" s="12" t="s">
        <v>959</v>
      </c>
      <c r="G976" s="12" t="s">
        <v>1158</v>
      </c>
    </row>
    <row r="977" spans="1:7" x14ac:dyDescent="0.3">
      <c r="A977" s="28"/>
      <c r="B977" s="28"/>
      <c r="C977" s="28" t="s">
        <v>2180</v>
      </c>
      <c r="D977" s="28"/>
      <c r="E977" s="12" t="s">
        <v>1215</v>
      </c>
      <c r="F977" s="12" t="s">
        <v>959</v>
      </c>
      <c r="G977" s="12" t="s">
        <v>1169</v>
      </c>
    </row>
    <row r="978" spans="1:7" x14ac:dyDescent="0.3">
      <c r="A978" s="28"/>
      <c r="B978" s="28"/>
      <c r="C978" s="28" t="s">
        <v>2181</v>
      </c>
      <c r="D978" s="28"/>
      <c r="E978" s="12" t="s">
        <v>1517</v>
      </c>
      <c r="F978" s="12" t="s">
        <v>1517</v>
      </c>
      <c r="G978" s="12" t="s">
        <v>1169</v>
      </c>
    </row>
    <row r="979" spans="1:7" x14ac:dyDescent="0.3">
      <c r="A979" s="28"/>
      <c r="B979" s="28"/>
      <c r="C979" s="28" t="s">
        <v>2181</v>
      </c>
      <c r="D979" s="28"/>
      <c r="E979" s="12" t="s">
        <v>1517</v>
      </c>
      <c r="F979" s="12" t="s">
        <v>1522</v>
      </c>
      <c r="G979" s="12" t="s">
        <v>1147</v>
      </c>
    </row>
    <row r="980" spans="1:7" x14ac:dyDescent="0.3">
      <c r="A980" s="28"/>
      <c r="B980" s="28"/>
      <c r="C980" s="28" t="s">
        <v>2181</v>
      </c>
      <c r="D980" s="28"/>
      <c r="E980" s="21" t="s">
        <v>2084</v>
      </c>
      <c r="F980" s="21" t="s">
        <v>941</v>
      </c>
      <c r="G980" s="12" t="s">
        <v>1147</v>
      </c>
    </row>
    <row r="981" spans="1:7" x14ac:dyDescent="0.3">
      <c r="A981" s="28"/>
      <c r="B981" s="28"/>
      <c r="C981" s="28" t="s">
        <v>2181</v>
      </c>
      <c r="D981" s="28"/>
      <c r="E981" s="12" t="s">
        <v>1522</v>
      </c>
      <c r="F981" s="12" t="s">
        <v>941</v>
      </c>
      <c r="G981" s="12" t="s">
        <v>1147</v>
      </c>
    </row>
    <row r="982" spans="1:7" x14ac:dyDescent="0.3">
      <c r="A982" s="28"/>
      <c r="B982" s="28"/>
      <c r="C982" s="28" t="s">
        <v>2181</v>
      </c>
      <c r="D982" s="28"/>
      <c r="E982" s="12" t="s">
        <v>1282</v>
      </c>
      <c r="F982" s="12" t="s">
        <v>941</v>
      </c>
      <c r="G982" s="12" t="s">
        <v>1147</v>
      </c>
    </row>
    <row r="983" spans="1:7" x14ac:dyDescent="0.3">
      <c r="A983" s="28"/>
      <c r="B983" s="28"/>
      <c r="C983" s="28" t="s">
        <v>2181</v>
      </c>
      <c r="D983" s="28"/>
      <c r="E983" s="12" t="s">
        <v>2083</v>
      </c>
      <c r="F983" s="21" t="s">
        <v>1028</v>
      </c>
      <c r="G983" s="12" t="s">
        <v>1169</v>
      </c>
    </row>
    <row r="984" spans="1:7" x14ac:dyDescent="0.3">
      <c r="A984" s="28"/>
      <c r="B984" s="28"/>
      <c r="C984" s="28" t="s">
        <v>2181</v>
      </c>
      <c r="D984" s="28"/>
      <c r="E984" s="12" t="s">
        <v>2083</v>
      </c>
      <c r="F984" s="12" t="s">
        <v>2084</v>
      </c>
      <c r="G984" s="12" t="s">
        <v>1147</v>
      </c>
    </row>
    <row r="985" spans="1:7" x14ac:dyDescent="0.3">
      <c r="A985" s="28" t="s">
        <v>1464</v>
      </c>
      <c r="B985" s="28"/>
      <c r="C985" s="28" t="s">
        <v>858</v>
      </c>
      <c r="D985" s="28" t="s">
        <v>1630</v>
      </c>
      <c r="E985" s="21" t="s">
        <v>1758</v>
      </c>
      <c r="F985" s="21" t="s">
        <v>1758</v>
      </c>
      <c r="G985" s="12" t="s">
        <v>1169</v>
      </c>
    </row>
    <row r="986" spans="1:7" x14ac:dyDescent="0.3">
      <c r="A986" s="28" t="s">
        <v>1466</v>
      </c>
      <c r="B986" s="28"/>
      <c r="C986" s="28" t="s">
        <v>858</v>
      </c>
      <c r="D986" s="28" t="s">
        <v>1630</v>
      </c>
      <c r="E986" s="21" t="s">
        <v>1758</v>
      </c>
      <c r="F986" s="21" t="s">
        <v>1758</v>
      </c>
      <c r="G986" s="12" t="s">
        <v>1169</v>
      </c>
    </row>
    <row r="987" spans="1:7" x14ac:dyDescent="0.3">
      <c r="A987" s="28" t="s">
        <v>1467</v>
      </c>
      <c r="B987" s="28"/>
      <c r="C987" s="28" t="s">
        <v>858</v>
      </c>
      <c r="D987" s="28" t="s">
        <v>1630</v>
      </c>
      <c r="E987" s="21" t="s">
        <v>1758</v>
      </c>
      <c r="F987" s="21" t="s">
        <v>1758</v>
      </c>
      <c r="G987" s="12" t="s">
        <v>1169</v>
      </c>
    </row>
    <row r="988" spans="1:7" x14ac:dyDescent="0.3">
      <c r="A988" s="28" t="s">
        <v>1468</v>
      </c>
      <c r="B988" s="28"/>
      <c r="C988" s="28" t="s">
        <v>858</v>
      </c>
      <c r="D988" s="28" t="s">
        <v>1630</v>
      </c>
      <c r="E988" s="21" t="s">
        <v>1758</v>
      </c>
      <c r="F988" s="21" t="s">
        <v>1758</v>
      </c>
      <c r="G988" s="12" t="s">
        <v>1169</v>
      </c>
    </row>
    <row r="989" spans="1:7" x14ac:dyDescent="0.3">
      <c r="A989" s="28" t="s">
        <v>1469</v>
      </c>
      <c r="B989" s="28"/>
      <c r="C989" s="28" t="s">
        <v>858</v>
      </c>
      <c r="D989" s="28" t="s">
        <v>1630</v>
      </c>
      <c r="E989" s="21" t="s">
        <v>1758</v>
      </c>
      <c r="F989" s="21" t="s">
        <v>1758</v>
      </c>
      <c r="G989" s="12" t="s">
        <v>1169</v>
      </c>
    </row>
    <row r="990" spans="1:7" x14ac:dyDescent="0.3">
      <c r="A990" s="28" t="s">
        <v>1470</v>
      </c>
      <c r="B990" s="28"/>
      <c r="C990" s="28" t="s">
        <v>858</v>
      </c>
      <c r="D990" s="28" t="s">
        <v>1630</v>
      </c>
      <c r="E990" s="21" t="s">
        <v>1758</v>
      </c>
      <c r="F990" s="21" t="s">
        <v>1758</v>
      </c>
      <c r="G990" s="12" t="s">
        <v>1169</v>
      </c>
    </row>
    <row r="991" spans="1:7" x14ac:dyDescent="0.3">
      <c r="A991" s="28" t="s">
        <v>1464</v>
      </c>
      <c r="B991" s="28"/>
      <c r="C991" s="28" t="s">
        <v>858</v>
      </c>
      <c r="D991" s="28" t="s">
        <v>1630</v>
      </c>
      <c r="E991" s="21" t="s">
        <v>1758</v>
      </c>
      <c r="F991" s="12" t="s">
        <v>920</v>
      </c>
      <c r="G991" s="12" t="s">
        <v>1147</v>
      </c>
    </row>
    <row r="992" spans="1:7" x14ac:dyDescent="0.3">
      <c r="A992" s="28" t="s">
        <v>1466</v>
      </c>
      <c r="B992" s="28"/>
      <c r="C992" s="28" t="s">
        <v>858</v>
      </c>
      <c r="D992" s="28" t="s">
        <v>1630</v>
      </c>
      <c r="E992" s="21" t="s">
        <v>1758</v>
      </c>
      <c r="F992" s="12" t="s">
        <v>920</v>
      </c>
      <c r="G992" s="12" t="s">
        <v>1147</v>
      </c>
    </row>
    <row r="993" spans="1:7" x14ac:dyDescent="0.3">
      <c r="A993" s="28" t="s">
        <v>1467</v>
      </c>
      <c r="B993" s="28"/>
      <c r="C993" s="28" t="s">
        <v>858</v>
      </c>
      <c r="D993" s="28" t="s">
        <v>1630</v>
      </c>
      <c r="E993" s="21" t="s">
        <v>1758</v>
      </c>
      <c r="F993" s="12" t="s">
        <v>920</v>
      </c>
      <c r="G993" s="12" t="s">
        <v>1147</v>
      </c>
    </row>
    <row r="994" spans="1:7" x14ac:dyDescent="0.3">
      <c r="A994" s="28" t="s">
        <v>1468</v>
      </c>
      <c r="B994" s="28"/>
      <c r="C994" s="28" t="s">
        <v>858</v>
      </c>
      <c r="D994" s="28" t="s">
        <v>1630</v>
      </c>
      <c r="E994" s="21" t="s">
        <v>1758</v>
      </c>
      <c r="F994" s="12" t="s">
        <v>920</v>
      </c>
      <c r="G994" s="12" t="s">
        <v>1147</v>
      </c>
    </row>
    <row r="995" spans="1:7" x14ac:dyDescent="0.3">
      <c r="A995" s="28" t="s">
        <v>1469</v>
      </c>
      <c r="B995" s="28"/>
      <c r="C995" s="28" t="s">
        <v>858</v>
      </c>
      <c r="D995" s="28" t="s">
        <v>1630</v>
      </c>
      <c r="E995" s="21" t="s">
        <v>1758</v>
      </c>
      <c r="F995" s="12" t="s">
        <v>920</v>
      </c>
      <c r="G995" s="12" t="s">
        <v>1147</v>
      </c>
    </row>
    <row r="996" spans="1:7" x14ac:dyDescent="0.3">
      <c r="A996" s="28" t="s">
        <v>1470</v>
      </c>
      <c r="B996" s="28"/>
      <c r="C996" s="28" t="s">
        <v>858</v>
      </c>
      <c r="D996" s="28" t="s">
        <v>1630</v>
      </c>
      <c r="E996" s="21" t="s">
        <v>1758</v>
      </c>
      <c r="F996" s="12" t="s">
        <v>920</v>
      </c>
      <c r="G996" s="12" t="s">
        <v>1147</v>
      </c>
    </row>
    <row r="997" spans="1:7" x14ac:dyDescent="0.3">
      <c r="A997" s="28" t="s">
        <v>1464</v>
      </c>
      <c r="B997" s="28"/>
      <c r="C997" s="28" t="s">
        <v>858</v>
      </c>
      <c r="D997" s="28" t="s">
        <v>1630</v>
      </c>
      <c r="E997" s="21" t="s">
        <v>1758</v>
      </c>
      <c r="F997" s="12" t="s">
        <v>923</v>
      </c>
      <c r="G997" s="12" t="s">
        <v>1147</v>
      </c>
    </row>
    <row r="998" spans="1:7" x14ac:dyDescent="0.3">
      <c r="A998" s="28" t="s">
        <v>1466</v>
      </c>
      <c r="B998" s="28"/>
      <c r="C998" s="28" t="s">
        <v>858</v>
      </c>
      <c r="D998" s="28" t="s">
        <v>1630</v>
      </c>
      <c r="E998" s="21" t="s">
        <v>1758</v>
      </c>
      <c r="F998" s="12" t="s">
        <v>923</v>
      </c>
      <c r="G998" s="12" t="s">
        <v>1147</v>
      </c>
    </row>
    <row r="999" spans="1:7" x14ac:dyDescent="0.3">
      <c r="A999" s="28" t="s">
        <v>1467</v>
      </c>
      <c r="B999" s="28"/>
      <c r="C999" s="28" t="s">
        <v>858</v>
      </c>
      <c r="D999" s="28" t="s">
        <v>1630</v>
      </c>
      <c r="E999" s="21" t="s">
        <v>1758</v>
      </c>
      <c r="F999" s="12" t="s">
        <v>923</v>
      </c>
      <c r="G999" s="12" t="s">
        <v>1147</v>
      </c>
    </row>
    <row r="1000" spans="1:7" x14ac:dyDescent="0.3">
      <c r="A1000" s="28" t="s">
        <v>1468</v>
      </c>
      <c r="B1000" s="28"/>
      <c r="C1000" s="28" t="s">
        <v>858</v>
      </c>
      <c r="D1000" s="28" t="s">
        <v>1630</v>
      </c>
      <c r="E1000" s="21" t="s">
        <v>1758</v>
      </c>
      <c r="F1000" s="12" t="s">
        <v>923</v>
      </c>
      <c r="G1000" s="12" t="s">
        <v>1147</v>
      </c>
    </row>
    <row r="1001" spans="1:7" x14ac:dyDescent="0.3">
      <c r="A1001" s="28" t="s">
        <v>1469</v>
      </c>
      <c r="B1001" s="28"/>
      <c r="C1001" s="28" t="s">
        <v>858</v>
      </c>
      <c r="D1001" s="28" t="s">
        <v>1630</v>
      </c>
      <c r="E1001" s="21" t="s">
        <v>1758</v>
      </c>
      <c r="F1001" s="12" t="s">
        <v>923</v>
      </c>
      <c r="G1001" s="12" t="s">
        <v>1147</v>
      </c>
    </row>
    <row r="1002" spans="1:7" x14ac:dyDescent="0.3">
      <c r="A1002" s="28" t="s">
        <v>1470</v>
      </c>
      <c r="B1002" s="28"/>
      <c r="C1002" s="28" t="s">
        <v>858</v>
      </c>
      <c r="D1002" s="28" t="s">
        <v>1630</v>
      </c>
      <c r="E1002" s="21" t="s">
        <v>1758</v>
      </c>
      <c r="F1002" s="12" t="s">
        <v>923</v>
      </c>
      <c r="G1002" s="12" t="s">
        <v>1147</v>
      </c>
    </row>
    <row r="1003" spans="1:7" x14ac:dyDescent="0.3">
      <c r="A1003" s="28" t="s">
        <v>1464</v>
      </c>
      <c r="B1003" s="28"/>
      <c r="C1003" s="28" t="s">
        <v>858</v>
      </c>
      <c r="D1003" s="28" t="s">
        <v>1630</v>
      </c>
      <c r="E1003" s="21" t="s">
        <v>1758</v>
      </c>
      <c r="F1003" s="12" t="s">
        <v>925</v>
      </c>
      <c r="G1003" s="12" t="s">
        <v>1147</v>
      </c>
    </row>
    <row r="1004" spans="1:7" x14ac:dyDescent="0.3">
      <c r="A1004" s="28" t="s">
        <v>1466</v>
      </c>
      <c r="B1004" s="28"/>
      <c r="C1004" s="28" t="s">
        <v>858</v>
      </c>
      <c r="D1004" s="28" t="s">
        <v>1630</v>
      </c>
      <c r="E1004" s="21" t="s">
        <v>1758</v>
      </c>
      <c r="F1004" s="12" t="s">
        <v>925</v>
      </c>
      <c r="G1004" s="12" t="s">
        <v>1147</v>
      </c>
    </row>
    <row r="1005" spans="1:7" x14ac:dyDescent="0.3">
      <c r="A1005" s="28" t="s">
        <v>1467</v>
      </c>
      <c r="B1005" s="28"/>
      <c r="C1005" s="28" t="s">
        <v>858</v>
      </c>
      <c r="D1005" s="28" t="s">
        <v>1630</v>
      </c>
      <c r="E1005" s="21" t="s">
        <v>1758</v>
      </c>
      <c r="F1005" s="12" t="s">
        <v>925</v>
      </c>
      <c r="G1005" s="12" t="s">
        <v>1147</v>
      </c>
    </row>
    <row r="1006" spans="1:7" x14ac:dyDescent="0.3">
      <c r="A1006" s="28" t="s">
        <v>1468</v>
      </c>
      <c r="B1006" s="28"/>
      <c r="C1006" s="28" t="s">
        <v>858</v>
      </c>
      <c r="D1006" s="28" t="s">
        <v>1630</v>
      </c>
      <c r="E1006" s="21" t="s">
        <v>1758</v>
      </c>
      <c r="F1006" s="12" t="s">
        <v>925</v>
      </c>
      <c r="G1006" s="12" t="s">
        <v>1147</v>
      </c>
    </row>
    <row r="1007" spans="1:7" x14ac:dyDescent="0.3">
      <c r="A1007" s="28" t="s">
        <v>1469</v>
      </c>
      <c r="B1007" s="28"/>
      <c r="C1007" s="28" t="s">
        <v>858</v>
      </c>
      <c r="D1007" s="28" t="s">
        <v>1630</v>
      </c>
      <c r="E1007" s="21" t="s">
        <v>1758</v>
      </c>
      <c r="F1007" s="12" t="s">
        <v>925</v>
      </c>
      <c r="G1007" s="12" t="s">
        <v>1147</v>
      </c>
    </row>
    <row r="1008" spans="1:7" x14ac:dyDescent="0.3">
      <c r="A1008" s="28" t="s">
        <v>1470</v>
      </c>
      <c r="B1008" s="28"/>
      <c r="C1008" s="28" t="s">
        <v>858</v>
      </c>
      <c r="D1008" s="28" t="s">
        <v>1630</v>
      </c>
      <c r="E1008" s="21" t="s">
        <v>1758</v>
      </c>
      <c r="F1008" s="12" t="s">
        <v>925</v>
      </c>
      <c r="G1008" s="12" t="s">
        <v>1147</v>
      </c>
    </row>
    <row r="1009" spans="1:7" x14ac:dyDescent="0.3">
      <c r="A1009" s="28" t="s">
        <v>1464</v>
      </c>
      <c r="B1009" s="28"/>
      <c r="C1009" s="28" t="s">
        <v>858</v>
      </c>
      <c r="D1009" s="28" t="s">
        <v>1630</v>
      </c>
      <c r="E1009" s="21" t="s">
        <v>1758</v>
      </c>
      <c r="F1009" s="12" t="s">
        <v>1503</v>
      </c>
      <c r="G1009" s="12" t="s">
        <v>1147</v>
      </c>
    </row>
    <row r="1010" spans="1:7" x14ac:dyDescent="0.3">
      <c r="A1010" s="28" t="s">
        <v>1466</v>
      </c>
      <c r="B1010" s="28"/>
      <c r="C1010" s="28" t="s">
        <v>858</v>
      </c>
      <c r="D1010" s="28" t="s">
        <v>1630</v>
      </c>
      <c r="E1010" s="21" t="s">
        <v>1758</v>
      </c>
      <c r="F1010" s="12" t="s">
        <v>1503</v>
      </c>
      <c r="G1010" s="12" t="s">
        <v>1147</v>
      </c>
    </row>
    <row r="1011" spans="1:7" x14ac:dyDescent="0.3">
      <c r="A1011" s="28" t="s">
        <v>1467</v>
      </c>
      <c r="B1011" s="28"/>
      <c r="C1011" s="28" t="s">
        <v>858</v>
      </c>
      <c r="D1011" s="28" t="s">
        <v>1630</v>
      </c>
      <c r="E1011" s="21" t="s">
        <v>1758</v>
      </c>
      <c r="F1011" s="12" t="s">
        <v>1503</v>
      </c>
      <c r="G1011" s="12" t="s">
        <v>1147</v>
      </c>
    </row>
    <row r="1012" spans="1:7" x14ac:dyDescent="0.3">
      <c r="A1012" s="28" t="s">
        <v>1468</v>
      </c>
      <c r="B1012" s="28"/>
      <c r="C1012" s="28" t="s">
        <v>858</v>
      </c>
      <c r="D1012" s="28" t="s">
        <v>1630</v>
      </c>
      <c r="E1012" s="21" t="s">
        <v>1758</v>
      </c>
      <c r="F1012" s="12" t="s">
        <v>1503</v>
      </c>
      <c r="G1012" s="12" t="s">
        <v>1147</v>
      </c>
    </row>
    <row r="1013" spans="1:7" x14ac:dyDescent="0.3">
      <c r="A1013" s="28" t="s">
        <v>1469</v>
      </c>
      <c r="B1013" s="28"/>
      <c r="C1013" s="28" t="s">
        <v>858</v>
      </c>
      <c r="D1013" s="28" t="s">
        <v>1630</v>
      </c>
      <c r="E1013" s="21" t="s">
        <v>1758</v>
      </c>
      <c r="F1013" s="12" t="s">
        <v>1503</v>
      </c>
      <c r="G1013" s="12" t="s">
        <v>1147</v>
      </c>
    </row>
    <row r="1014" spans="1:7" x14ac:dyDescent="0.3">
      <c r="A1014" s="28" t="s">
        <v>1470</v>
      </c>
      <c r="B1014" s="28"/>
      <c r="C1014" s="28" t="s">
        <v>858</v>
      </c>
      <c r="D1014" s="28" t="s">
        <v>1630</v>
      </c>
      <c r="E1014" s="21" t="s">
        <v>1758</v>
      </c>
      <c r="F1014" s="12" t="s">
        <v>1503</v>
      </c>
      <c r="G1014" s="12" t="s">
        <v>1147</v>
      </c>
    </row>
    <row r="1015" spans="1:7" x14ac:dyDescent="0.3">
      <c r="A1015" s="28" t="s">
        <v>1934</v>
      </c>
      <c r="B1015" s="28"/>
      <c r="C1015" s="28" t="s">
        <v>858</v>
      </c>
      <c r="D1015" s="28" t="s">
        <v>1630</v>
      </c>
      <c r="E1015" s="21" t="s">
        <v>1758</v>
      </c>
      <c r="F1015" s="21" t="s">
        <v>1758</v>
      </c>
      <c r="G1015" s="12" t="s">
        <v>1169</v>
      </c>
    </row>
    <row r="1016" spans="1:7" x14ac:dyDescent="0.3">
      <c r="A1016" s="28" t="s">
        <v>1935</v>
      </c>
      <c r="B1016" s="28"/>
      <c r="C1016" s="28" t="s">
        <v>858</v>
      </c>
      <c r="D1016" s="28" t="s">
        <v>1630</v>
      </c>
      <c r="E1016" s="21" t="s">
        <v>1758</v>
      </c>
      <c r="F1016" s="21" t="s">
        <v>1758</v>
      </c>
      <c r="G1016" s="12" t="s">
        <v>1169</v>
      </c>
    </row>
    <row r="1017" spans="1:7" x14ac:dyDescent="0.3">
      <c r="A1017" s="28" t="s">
        <v>1936</v>
      </c>
      <c r="B1017" s="28"/>
      <c r="C1017" s="28" t="s">
        <v>858</v>
      </c>
      <c r="D1017" s="28" t="s">
        <v>1630</v>
      </c>
      <c r="E1017" s="21" t="s">
        <v>1758</v>
      </c>
      <c r="F1017" s="21" t="s">
        <v>1758</v>
      </c>
      <c r="G1017" s="12" t="s">
        <v>1169</v>
      </c>
    </row>
    <row r="1018" spans="1:7" x14ac:dyDescent="0.3">
      <c r="A1018" s="28" t="s">
        <v>1937</v>
      </c>
      <c r="B1018" s="28"/>
      <c r="C1018" s="28" t="s">
        <v>858</v>
      </c>
      <c r="D1018" s="28" t="s">
        <v>1630</v>
      </c>
      <c r="E1018" s="21" t="s">
        <v>1758</v>
      </c>
      <c r="F1018" s="21" t="s">
        <v>1758</v>
      </c>
      <c r="G1018" s="12" t="s">
        <v>1169</v>
      </c>
    </row>
    <row r="1019" spans="1:7" x14ac:dyDescent="0.3">
      <c r="A1019" s="28" t="s">
        <v>1938</v>
      </c>
      <c r="B1019" s="28"/>
      <c r="C1019" s="28" t="s">
        <v>858</v>
      </c>
      <c r="D1019" s="28" t="s">
        <v>1630</v>
      </c>
      <c r="E1019" s="21" t="s">
        <v>1758</v>
      </c>
      <c r="F1019" s="21" t="s">
        <v>1758</v>
      </c>
      <c r="G1019" s="12" t="s">
        <v>1169</v>
      </c>
    </row>
    <row r="1020" spans="1:7" x14ac:dyDescent="0.3">
      <c r="A1020" s="28" t="s">
        <v>1939</v>
      </c>
      <c r="B1020" s="28"/>
      <c r="C1020" s="28" t="s">
        <v>858</v>
      </c>
      <c r="D1020" s="28" t="s">
        <v>1630</v>
      </c>
      <c r="E1020" s="21" t="s">
        <v>1758</v>
      </c>
      <c r="F1020" s="21" t="s">
        <v>1758</v>
      </c>
      <c r="G1020" s="12" t="s">
        <v>1169</v>
      </c>
    </row>
    <row r="1021" spans="1:7" x14ac:dyDescent="0.3">
      <c r="A1021" s="28" t="s">
        <v>1934</v>
      </c>
      <c r="B1021" s="28"/>
      <c r="C1021" s="28" t="s">
        <v>858</v>
      </c>
      <c r="D1021" s="28" t="s">
        <v>1630</v>
      </c>
      <c r="E1021" s="21" t="s">
        <v>1758</v>
      </c>
      <c r="F1021" s="12" t="s">
        <v>920</v>
      </c>
      <c r="G1021" s="12" t="s">
        <v>1147</v>
      </c>
    </row>
    <row r="1022" spans="1:7" x14ac:dyDescent="0.3">
      <c r="A1022" s="28" t="s">
        <v>1935</v>
      </c>
      <c r="B1022" s="28"/>
      <c r="C1022" s="28" t="s">
        <v>858</v>
      </c>
      <c r="D1022" s="28" t="s">
        <v>1630</v>
      </c>
      <c r="E1022" s="21" t="s">
        <v>1758</v>
      </c>
      <c r="F1022" s="12" t="s">
        <v>920</v>
      </c>
      <c r="G1022" s="12" t="s">
        <v>1147</v>
      </c>
    </row>
    <row r="1023" spans="1:7" x14ac:dyDescent="0.3">
      <c r="A1023" s="28" t="s">
        <v>1936</v>
      </c>
      <c r="B1023" s="28"/>
      <c r="C1023" s="28" t="s">
        <v>858</v>
      </c>
      <c r="D1023" s="28" t="s">
        <v>1630</v>
      </c>
      <c r="E1023" s="21" t="s">
        <v>1758</v>
      </c>
      <c r="F1023" s="12" t="s">
        <v>920</v>
      </c>
      <c r="G1023" s="12" t="s">
        <v>1147</v>
      </c>
    </row>
    <row r="1024" spans="1:7" x14ac:dyDescent="0.3">
      <c r="A1024" s="28" t="s">
        <v>1937</v>
      </c>
      <c r="B1024" s="28"/>
      <c r="C1024" s="28" t="s">
        <v>858</v>
      </c>
      <c r="D1024" s="28" t="s">
        <v>1630</v>
      </c>
      <c r="E1024" s="21" t="s">
        <v>1758</v>
      </c>
      <c r="F1024" s="12" t="s">
        <v>920</v>
      </c>
      <c r="G1024" s="12" t="s">
        <v>1147</v>
      </c>
    </row>
    <row r="1025" spans="1:7" x14ac:dyDescent="0.3">
      <c r="A1025" s="28" t="s">
        <v>1938</v>
      </c>
      <c r="B1025" s="28"/>
      <c r="C1025" s="28" t="s">
        <v>858</v>
      </c>
      <c r="D1025" s="28" t="s">
        <v>1630</v>
      </c>
      <c r="E1025" s="21" t="s">
        <v>1758</v>
      </c>
      <c r="F1025" s="12" t="s">
        <v>920</v>
      </c>
      <c r="G1025" s="12" t="s">
        <v>1147</v>
      </c>
    </row>
    <row r="1026" spans="1:7" x14ac:dyDescent="0.3">
      <c r="A1026" s="28" t="s">
        <v>1939</v>
      </c>
      <c r="B1026" s="28"/>
      <c r="C1026" s="28" t="s">
        <v>858</v>
      </c>
      <c r="D1026" s="28" t="s">
        <v>1630</v>
      </c>
      <c r="E1026" s="21" t="s">
        <v>1758</v>
      </c>
      <c r="F1026" s="12" t="s">
        <v>920</v>
      </c>
      <c r="G1026" s="12" t="s">
        <v>1147</v>
      </c>
    </row>
    <row r="1027" spans="1:7" x14ac:dyDescent="0.3">
      <c r="A1027" s="28" t="s">
        <v>1934</v>
      </c>
      <c r="B1027" s="28"/>
      <c r="C1027" s="28" t="s">
        <v>858</v>
      </c>
      <c r="D1027" s="28" t="s">
        <v>1630</v>
      </c>
      <c r="E1027" s="21" t="s">
        <v>1758</v>
      </c>
      <c r="F1027" s="12" t="s">
        <v>923</v>
      </c>
      <c r="G1027" s="12" t="s">
        <v>1147</v>
      </c>
    </row>
    <row r="1028" spans="1:7" x14ac:dyDescent="0.3">
      <c r="A1028" s="28" t="s">
        <v>1935</v>
      </c>
      <c r="B1028" s="28"/>
      <c r="C1028" s="28" t="s">
        <v>858</v>
      </c>
      <c r="D1028" s="28" t="s">
        <v>1630</v>
      </c>
      <c r="E1028" s="21" t="s">
        <v>1758</v>
      </c>
      <c r="F1028" s="12" t="s">
        <v>923</v>
      </c>
      <c r="G1028" s="12" t="s">
        <v>1147</v>
      </c>
    </row>
    <row r="1029" spans="1:7" x14ac:dyDescent="0.3">
      <c r="A1029" s="28" t="s">
        <v>1936</v>
      </c>
      <c r="B1029" s="28"/>
      <c r="C1029" s="28" t="s">
        <v>858</v>
      </c>
      <c r="D1029" s="28" t="s">
        <v>1630</v>
      </c>
      <c r="E1029" s="21" t="s">
        <v>1758</v>
      </c>
      <c r="F1029" s="12" t="s">
        <v>923</v>
      </c>
      <c r="G1029" s="12" t="s">
        <v>1147</v>
      </c>
    </row>
    <row r="1030" spans="1:7" x14ac:dyDescent="0.3">
      <c r="A1030" s="28" t="s">
        <v>1937</v>
      </c>
      <c r="B1030" s="28"/>
      <c r="C1030" s="28" t="s">
        <v>858</v>
      </c>
      <c r="D1030" s="28" t="s">
        <v>1630</v>
      </c>
      <c r="E1030" s="21" t="s">
        <v>1758</v>
      </c>
      <c r="F1030" s="12" t="s">
        <v>923</v>
      </c>
      <c r="G1030" s="12" t="s">
        <v>1147</v>
      </c>
    </row>
    <row r="1031" spans="1:7" x14ac:dyDescent="0.3">
      <c r="A1031" s="28" t="s">
        <v>1938</v>
      </c>
      <c r="B1031" s="28"/>
      <c r="C1031" s="28" t="s">
        <v>858</v>
      </c>
      <c r="D1031" s="28" t="s">
        <v>1630</v>
      </c>
      <c r="E1031" s="21" t="s">
        <v>1758</v>
      </c>
      <c r="F1031" s="12" t="s">
        <v>923</v>
      </c>
      <c r="G1031" s="12" t="s">
        <v>1147</v>
      </c>
    </row>
    <row r="1032" spans="1:7" x14ac:dyDescent="0.3">
      <c r="A1032" s="28" t="s">
        <v>1939</v>
      </c>
      <c r="B1032" s="28"/>
      <c r="C1032" s="28" t="s">
        <v>858</v>
      </c>
      <c r="D1032" s="28" t="s">
        <v>1630</v>
      </c>
      <c r="E1032" s="21" t="s">
        <v>1758</v>
      </c>
      <c r="F1032" s="12" t="s">
        <v>923</v>
      </c>
      <c r="G1032" s="12" t="s">
        <v>1147</v>
      </c>
    </row>
    <row r="1033" spans="1:7" x14ac:dyDescent="0.3">
      <c r="A1033" s="28" t="s">
        <v>1934</v>
      </c>
      <c r="B1033" s="28"/>
      <c r="C1033" s="28" t="s">
        <v>858</v>
      </c>
      <c r="D1033" s="28" t="s">
        <v>1630</v>
      </c>
      <c r="E1033" s="21" t="s">
        <v>1758</v>
      </c>
      <c r="F1033" s="12" t="s">
        <v>925</v>
      </c>
      <c r="G1033" s="12" t="s">
        <v>1147</v>
      </c>
    </row>
    <row r="1034" spans="1:7" x14ac:dyDescent="0.3">
      <c r="A1034" s="28" t="s">
        <v>1935</v>
      </c>
      <c r="B1034" s="28"/>
      <c r="C1034" s="28" t="s">
        <v>858</v>
      </c>
      <c r="D1034" s="28" t="s">
        <v>1630</v>
      </c>
      <c r="E1034" s="21" t="s">
        <v>1758</v>
      </c>
      <c r="F1034" s="12" t="s">
        <v>925</v>
      </c>
      <c r="G1034" s="12" t="s">
        <v>1147</v>
      </c>
    </row>
    <row r="1035" spans="1:7" x14ac:dyDescent="0.3">
      <c r="A1035" s="28" t="s">
        <v>1936</v>
      </c>
      <c r="B1035" s="28"/>
      <c r="C1035" s="28" t="s">
        <v>858</v>
      </c>
      <c r="D1035" s="28" t="s">
        <v>1630</v>
      </c>
      <c r="E1035" s="21" t="s">
        <v>1758</v>
      </c>
      <c r="F1035" s="12" t="s">
        <v>925</v>
      </c>
      <c r="G1035" s="12" t="s">
        <v>1147</v>
      </c>
    </row>
    <row r="1036" spans="1:7" x14ac:dyDescent="0.3">
      <c r="A1036" s="28" t="s">
        <v>1937</v>
      </c>
      <c r="B1036" s="28"/>
      <c r="C1036" s="28" t="s">
        <v>858</v>
      </c>
      <c r="D1036" s="28" t="s">
        <v>1630</v>
      </c>
      <c r="E1036" s="21" t="s">
        <v>1758</v>
      </c>
      <c r="F1036" s="12" t="s">
        <v>925</v>
      </c>
      <c r="G1036" s="12" t="s">
        <v>1147</v>
      </c>
    </row>
    <row r="1037" spans="1:7" x14ac:dyDescent="0.3">
      <c r="A1037" s="28" t="s">
        <v>1938</v>
      </c>
      <c r="B1037" s="28"/>
      <c r="C1037" s="28" t="s">
        <v>858</v>
      </c>
      <c r="D1037" s="28" t="s">
        <v>1630</v>
      </c>
      <c r="E1037" s="21" t="s">
        <v>1758</v>
      </c>
      <c r="F1037" s="12" t="s">
        <v>925</v>
      </c>
      <c r="G1037" s="12" t="s">
        <v>1147</v>
      </c>
    </row>
    <row r="1038" spans="1:7" x14ac:dyDescent="0.3">
      <c r="A1038" s="28" t="s">
        <v>1939</v>
      </c>
      <c r="B1038" s="28"/>
      <c r="C1038" s="28" t="s">
        <v>858</v>
      </c>
      <c r="D1038" s="28" t="s">
        <v>1630</v>
      </c>
      <c r="E1038" s="21" t="s">
        <v>1758</v>
      </c>
      <c r="F1038" s="12" t="s">
        <v>925</v>
      </c>
      <c r="G1038" s="12" t="s">
        <v>1147</v>
      </c>
    </row>
    <row r="1039" spans="1:7" x14ac:dyDescent="0.3">
      <c r="A1039" s="28" t="s">
        <v>1934</v>
      </c>
      <c r="B1039" s="28"/>
      <c r="C1039" s="28" t="s">
        <v>858</v>
      </c>
      <c r="D1039" s="28" t="s">
        <v>1630</v>
      </c>
      <c r="E1039" s="21" t="s">
        <v>1758</v>
      </c>
      <c r="F1039" s="12" t="s">
        <v>1503</v>
      </c>
      <c r="G1039" s="12" t="s">
        <v>1147</v>
      </c>
    </row>
    <row r="1040" spans="1:7" x14ac:dyDescent="0.3">
      <c r="A1040" s="28" t="s">
        <v>1935</v>
      </c>
      <c r="B1040" s="28"/>
      <c r="C1040" s="28" t="s">
        <v>858</v>
      </c>
      <c r="D1040" s="28" t="s">
        <v>1630</v>
      </c>
      <c r="E1040" s="21" t="s">
        <v>1758</v>
      </c>
      <c r="F1040" s="12" t="s">
        <v>1503</v>
      </c>
      <c r="G1040" s="12" t="s">
        <v>1147</v>
      </c>
    </row>
    <row r="1041" spans="1:7" x14ac:dyDescent="0.3">
      <c r="A1041" s="28" t="s">
        <v>1936</v>
      </c>
      <c r="B1041" s="28"/>
      <c r="C1041" s="28" t="s">
        <v>858</v>
      </c>
      <c r="D1041" s="28" t="s">
        <v>1630</v>
      </c>
      <c r="E1041" s="21" t="s">
        <v>1758</v>
      </c>
      <c r="F1041" s="12" t="s">
        <v>1503</v>
      </c>
      <c r="G1041" s="12" t="s">
        <v>1147</v>
      </c>
    </row>
    <row r="1042" spans="1:7" x14ac:dyDescent="0.3">
      <c r="A1042" s="28" t="s">
        <v>1937</v>
      </c>
      <c r="B1042" s="28"/>
      <c r="C1042" s="28" t="s">
        <v>858</v>
      </c>
      <c r="D1042" s="28" t="s">
        <v>1630</v>
      </c>
      <c r="E1042" s="21" t="s">
        <v>1758</v>
      </c>
      <c r="F1042" s="12" t="s">
        <v>1503</v>
      </c>
      <c r="G1042" s="12" t="s">
        <v>1147</v>
      </c>
    </row>
    <row r="1043" spans="1:7" x14ac:dyDescent="0.3">
      <c r="A1043" s="28" t="s">
        <v>1938</v>
      </c>
      <c r="B1043" s="28"/>
      <c r="C1043" s="28" t="s">
        <v>858</v>
      </c>
      <c r="D1043" s="28" t="s">
        <v>1630</v>
      </c>
      <c r="E1043" s="21" t="s">
        <v>1758</v>
      </c>
      <c r="F1043" s="12" t="s">
        <v>1503</v>
      </c>
      <c r="G1043" s="12" t="s">
        <v>1147</v>
      </c>
    </row>
    <row r="1044" spans="1:7" x14ac:dyDescent="0.3">
      <c r="A1044" s="28" t="s">
        <v>1939</v>
      </c>
      <c r="B1044" s="28"/>
      <c r="C1044" s="28" t="s">
        <v>858</v>
      </c>
      <c r="D1044" s="28" t="s">
        <v>1630</v>
      </c>
      <c r="E1044" s="21" t="s">
        <v>1758</v>
      </c>
      <c r="F1044" s="12" t="s">
        <v>1503</v>
      </c>
      <c r="G1044" s="12" t="s">
        <v>1147</v>
      </c>
    </row>
    <row r="1045" spans="1:7" x14ac:dyDescent="0.3">
      <c r="A1045" s="28"/>
      <c r="B1045" s="28"/>
      <c r="C1045" s="28" t="s">
        <v>858</v>
      </c>
      <c r="D1045" s="28"/>
      <c r="E1045" s="12" t="s">
        <v>1517</v>
      </c>
      <c r="F1045" s="12" t="s">
        <v>1517</v>
      </c>
      <c r="G1045" s="12" t="s">
        <v>1169</v>
      </c>
    </row>
    <row r="1046" spans="1:7" x14ac:dyDescent="0.3">
      <c r="A1046" s="28"/>
      <c r="B1046" s="28"/>
      <c r="C1046" s="28" t="s">
        <v>858</v>
      </c>
      <c r="D1046" s="28"/>
      <c r="E1046" s="12" t="s">
        <v>1517</v>
      </c>
      <c r="F1046" s="12" t="s">
        <v>1522</v>
      </c>
      <c r="G1046" s="12" t="s">
        <v>1147</v>
      </c>
    </row>
    <row r="1047" spans="1:7" x14ac:dyDescent="0.3">
      <c r="A1047" s="28"/>
      <c r="B1047" s="28"/>
      <c r="C1047" s="28" t="s">
        <v>858</v>
      </c>
      <c r="D1047" s="28"/>
      <c r="E1047" s="12" t="s">
        <v>1003</v>
      </c>
      <c r="F1047" s="12" t="s">
        <v>1003</v>
      </c>
      <c r="G1047" s="12" t="s">
        <v>1169</v>
      </c>
    </row>
    <row r="1048" spans="1:7" x14ac:dyDescent="0.3">
      <c r="A1048" s="28"/>
      <c r="B1048" s="28"/>
      <c r="C1048" s="28" t="s">
        <v>858</v>
      </c>
      <c r="D1048" s="28"/>
      <c r="E1048" s="12" t="s">
        <v>1003</v>
      </c>
      <c r="F1048" s="12" t="s">
        <v>1528</v>
      </c>
      <c r="G1048" s="12" t="s">
        <v>1147</v>
      </c>
    </row>
    <row r="1049" spans="1:7" x14ac:dyDescent="0.3">
      <c r="A1049" s="28"/>
      <c r="B1049" s="28"/>
      <c r="C1049" s="28" t="s">
        <v>858</v>
      </c>
      <c r="D1049" s="28"/>
      <c r="E1049" s="12" t="s">
        <v>1003</v>
      </c>
      <c r="F1049" s="12" t="s">
        <v>1523</v>
      </c>
      <c r="G1049" s="12" t="s">
        <v>1147</v>
      </c>
    </row>
    <row r="1050" spans="1:7" x14ac:dyDescent="0.3">
      <c r="A1050" s="28"/>
      <c r="B1050" s="28"/>
      <c r="C1050" s="28" t="s">
        <v>858</v>
      </c>
      <c r="D1050" s="28"/>
      <c r="E1050" s="12" t="s">
        <v>1003</v>
      </c>
      <c r="F1050" s="12" t="s">
        <v>1524</v>
      </c>
      <c r="G1050" s="12" t="s">
        <v>1147</v>
      </c>
    </row>
    <row r="1051" spans="1:7" x14ac:dyDescent="0.3">
      <c r="A1051" s="28"/>
      <c r="B1051" s="28"/>
      <c r="C1051" s="28" t="s">
        <v>858</v>
      </c>
      <c r="D1051" s="28"/>
      <c r="E1051" s="21" t="s">
        <v>2084</v>
      </c>
      <c r="F1051" s="21" t="s">
        <v>941</v>
      </c>
      <c r="G1051" s="12" t="s">
        <v>1147</v>
      </c>
    </row>
    <row r="1052" spans="1:7" x14ac:dyDescent="0.3">
      <c r="A1052" s="28"/>
      <c r="B1052" s="28"/>
      <c r="C1052" s="28" t="s">
        <v>858</v>
      </c>
      <c r="D1052" s="28"/>
      <c r="E1052" s="12" t="s">
        <v>920</v>
      </c>
      <c r="F1052" s="12" t="s">
        <v>943</v>
      </c>
      <c r="G1052" s="12" t="s">
        <v>1147</v>
      </c>
    </row>
    <row r="1053" spans="1:7" x14ac:dyDescent="0.3">
      <c r="A1053" s="28"/>
      <c r="B1053" s="28"/>
      <c r="C1053" s="28" t="s">
        <v>858</v>
      </c>
      <c r="D1053" s="28"/>
      <c r="E1053" s="12" t="s">
        <v>923</v>
      </c>
      <c r="F1053" s="12" t="s">
        <v>945</v>
      </c>
      <c r="G1053" s="12" t="s">
        <v>1147</v>
      </c>
    </row>
    <row r="1054" spans="1:7" x14ac:dyDescent="0.3">
      <c r="A1054" s="28"/>
      <c r="B1054" s="28"/>
      <c r="C1054" s="28" t="s">
        <v>858</v>
      </c>
      <c r="D1054" s="28"/>
      <c r="E1054" s="12" t="s">
        <v>923</v>
      </c>
      <c r="F1054" s="12" t="s">
        <v>947</v>
      </c>
      <c r="G1054" s="12" t="s">
        <v>1147</v>
      </c>
    </row>
    <row r="1055" spans="1:7" x14ac:dyDescent="0.3">
      <c r="A1055" s="28"/>
      <c r="B1055" s="28"/>
      <c r="C1055" s="28" t="s">
        <v>858</v>
      </c>
      <c r="D1055" s="28"/>
      <c r="E1055" s="12" t="s">
        <v>925</v>
      </c>
      <c r="F1055" s="12" t="s">
        <v>949</v>
      </c>
      <c r="G1055" s="12" t="s">
        <v>1147</v>
      </c>
    </row>
    <row r="1056" spans="1:7" x14ac:dyDescent="0.3">
      <c r="A1056" s="28"/>
      <c r="B1056" s="28"/>
      <c r="C1056" s="28" t="s">
        <v>858</v>
      </c>
      <c r="D1056" s="28"/>
      <c r="E1056" s="12" t="s">
        <v>925</v>
      </c>
      <c r="F1056" s="12" t="s">
        <v>951</v>
      </c>
      <c r="G1056" s="12" t="s">
        <v>1147</v>
      </c>
    </row>
    <row r="1057" spans="1:7" x14ac:dyDescent="0.3">
      <c r="A1057" s="28"/>
      <c r="B1057" s="28"/>
      <c r="C1057" s="28" t="s">
        <v>858</v>
      </c>
      <c r="D1057" s="28"/>
      <c r="E1057" s="12" t="s">
        <v>925</v>
      </c>
      <c r="F1057" s="12" t="s">
        <v>953</v>
      </c>
      <c r="G1057" s="12" t="s">
        <v>1147</v>
      </c>
    </row>
    <row r="1058" spans="1:7" x14ac:dyDescent="0.3">
      <c r="A1058" s="28"/>
      <c r="B1058" s="28"/>
      <c r="C1058" s="28" t="s">
        <v>858</v>
      </c>
      <c r="D1058" s="28"/>
      <c r="E1058" s="12" t="s">
        <v>925</v>
      </c>
      <c r="F1058" s="12" t="s">
        <v>955</v>
      </c>
      <c r="G1058" s="12" t="s">
        <v>1147</v>
      </c>
    </row>
    <row r="1059" spans="1:7" x14ac:dyDescent="0.3">
      <c r="A1059" s="28"/>
      <c r="B1059" s="28"/>
      <c r="C1059" s="28" t="s">
        <v>858</v>
      </c>
      <c r="D1059" s="28"/>
      <c r="E1059" s="12" t="s">
        <v>1563</v>
      </c>
      <c r="F1059" s="12" t="s">
        <v>943</v>
      </c>
      <c r="G1059" s="12" t="s">
        <v>1147</v>
      </c>
    </row>
    <row r="1060" spans="1:7" x14ac:dyDescent="0.3">
      <c r="A1060" s="28"/>
      <c r="B1060" s="28"/>
      <c r="C1060" s="28" t="s">
        <v>858</v>
      </c>
      <c r="D1060" s="28"/>
      <c r="E1060" s="12" t="s">
        <v>1563</v>
      </c>
      <c r="F1060" s="12" t="s">
        <v>945</v>
      </c>
      <c r="G1060" s="12" t="s">
        <v>1147</v>
      </c>
    </row>
    <row r="1061" spans="1:7" x14ac:dyDescent="0.3">
      <c r="A1061" s="28"/>
      <c r="B1061" s="28"/>
      <c r="C1061" s="28" t="s">
        <v>858</v>
      </c>
      <c r="D1061" s="28"/>
      <c r="E1061" s="12" t="s">
        <v>1563</v>
      </c>
      <c r="F1061" s="12" t="s">
        <v>947</v>
      </c>
      <c r="G1061" s="12" t="s">
        <v>1147</v>
      </c>
    </row>
    <row r="1062" spans="1:7" x14ac:dyDescent="0.3">
      <c r="A1062" s="28"/>
      <c r="B1062" s="28"/>
      <c r="C1062" s="28" t="s">
        <v>858</v>
      </c>
      <c r="D1062" s="28"/>
      <c r="E1062" s="12" t="s">
        <v>1563</v>
      </c>
      <c r="F1062" s="12" t="s">
        <v>949</v>
      </c>
      <c r="G1062" s="12" t="s">
        <v>1147</v>
      </c>
    </row>
    <row r="1063" spans="1:7" x14ac:dyDescent="0.3">
      <c r="A1063" s="28"/>
      <c r="B1063" s="28"/>
      <c r="C1063" s="28" t="s">
        <v>858</v>
      </c>
      <c r="D1063" s="28"/>
      <c r="E1063" s="12" t="s">
        <v>1563</v>
      </c>
      <c r="F1063" s="12" t="s">
        <v>951</v>
      </c>
      <c r="G1063" s="12" t="s">
        <v>1147</v>
      </c>
    </row>
    <row r="1064" spans="1:7" x14ac:dyDescent="0.3">
      <c r="A1064" s="28"/>
      <c r="B1064" s="28"/>
      <c r="C1064" s="28" t="s">
        <v>858</v>
      </c>
      <c r="D1064" s="28"/>
      <c r="E1064" s="12" t="s">
        <v>1563</v>
      </c>
      <c r="F1064" s="12" t="s">
        <v>953</v>
      </c>
      <c r="G1064" s="12" t="s">
        <v>1147</v>
      </c>
    </row>
    <row r="1065" spans="1:7" x14ac:dyDescent="0.3">
      <c r="A1065" s="28"/>
      <c r="B1065" s="28"/>
      <c r="C1065" s="28" t="s">
        <v>858</v>
      </c>
      <c r="D1065" s="28"/>
      <c r="E1065" s="12" t="s">
        <v>1563</v>
      </c>
      <c r="F1065" s="12" t="s">
        <v>955</v>
      </c>
      <c r="G1065" s="12" t="s">
        <v>1147</v>
      </c>
    </row>
    <row r="1066" spans="1:7" x14ac:dyDescent="0.3">
      <c r="A1066" s="28"/>
      <c r="B1066" s="28"/>
      <c r="C1066" s="28" t="s">
        <v>858</v>
      </c>
      <c r="D1066" s="28"/>
      <c r="E1066" s="12" t="s">
        <v>906</v>
      </c>
      <c r="F1066" s="12" t="s">
        <v>906</v>
      </c>
      <c r="G1066" s="12" t="s">
        <v>1147</v>
      </c>
    </row>
    <row r="1067" spans="1:7" x14ac:dyDescent="0.3">
      <c r="A1067" s="28"/>
      <c r="B1067" s="28"/>
      <c r="C1067" s="28" t="s">
        <v>858</v>
      </c>
      <c r="D1067" s="28"/>
      <c r="E1067" s="12" t="s">
        <v>910</v>
      </c>
      <c r="F1067" s="12" t="s">
        <v>910</v>
      </c>
      <c r="G1067" s="12" t="s">
        <v>1147</v>
      </c>
    </row>
    <row r="1068" spans="1:7" x14ac:dyDescent="0.3">
      <c r="A1068" s="28"/>
      <c r="B1068" s="28"/>
      <c r="C1068" s="28" t="s">
        <v>858</v>
      </c>
      <c r="D1068" s="28"/>
      <c r="E1068" s="12" t="s">
        <v>1209</v>
      </c>
      <c r="F1068" s="12" t="s">
        <v>939</v>
      </c>
      <c r="G1068" s="12" t="s">
        <v>1147</v>
      </c>
    </row>
    <row r="1069" spans="1:7" x14ac:dyDescent="0.3">
      <c r="A1069" s="28"/>
      <c r="B1069" s="28"/>
      <c r="C1069" s="28" t="s">
        <v>858</v>
      </c>
      <c r="D1069" s="28"/>
      <c r="E1069" s="12" t="s">
        <v>1209</v>
      </c>
      <c r="F1069" s="12" t="s">
        <v>1011</v>
      </c>
      <c r="G1069" s="12" t="s">
        <v>1169</v>
      </c>
    </row>
    <row r="1070" spans="1:7" x14ac:dyDescent="0.3">
      <c r="A1070" s="28"/>
      <c r="B1070" s="28"/>
      <c r="C1070" s="28" t="s">
        <v>858</v>
      </c>
      <c r="D1070" s="28"/>
      <c r="E1070" s="12" t="s">
        <v>1205</v>
      </c>
      <c r="F1070" s="12" t="s">
        <v>935</v>
      </c>
      <c r="G1070" s="12" t="s">
        <v>1147</v>
      </c>
    </row>
    <row r="1071" spans="1:7" x14ac:dyDescent="0.3">
      <c r="A1071" s="28"/>
      <c r="B1071" s="28"/>
      <c r="C1071" s="28" t="s">
        <v>858</v>
      </c>
      <c r="D1071" s="28"/>
      <c r="E1071" s="12" t="s">
        <v>1205</v>
      </c>
      <c r="F1071" s="12" t="s">
        <v>1009</v>
      </c>
      <c r="G1071" s="12" t="s">
        <v>1169</v>
      </c>
    </row>
    <row r="1072" spans="1:7" x14ac:dyDescent="0.3">
      <c r="A1072" s="28" t="s">
        <v>1464</v>
      </c>
      <c r="B1072" s="28"/>
      <c r="C1072" s="28" t="s">
        <v>858</v>
      </c>
      <c r="D1072" s="28" t="s">
        <v>1630</v>
      </c>
      <c r="E1072" s="21" t="s">
        <v>1761</v>
      </c>
      <c r="F1072" s="21" t="s">
        <v>1761</v>
      </c>
      <c r="G1072" s="12" t="s">
        <v>1147</v>
      </c>
    </row>
    <row r="1073" spans="1:7" x14ac:dyDescent="0.3">
      <c r="A1073" s="28" t="s">
        <v>1466</v>
      </c>
      <c r="B1073" s="28"/>
      <c r="C1073" s="28" t="s">
        <v>858</v>
      </c>
      <c r="D1073" s="28" t="s">
        <v>1630</v>
      </c>
      <c r="E1073" s="21" t="s">
        <v>1761</v>
      </c>
      <c r="F1073" s="21" t="s">
        <v>1761</v>
      </c>
      <c r="G1073" s="12" t="s">
        <v>1147</v>
      </c>
    </row>
    <row r="1074" spans="1:7" x14ac:dyDescent="0.3">
      <c r="A1074" s="28" t="s">
        <v>1467</v>
      </c>
      <c r="B1074" s="28"/>
      <c r="C1074" s="28" t="s">
        <v>858</v>
      </c>
      <c r="D1074" s="28" t="s">
        <v>1630</v>
      </c>
      <c r="E1074" s="21" t="s">
        <v>1761</v>
      </c>
      <c r="F1074" s="21" t="s">
        <v>1761</v>
      </c>
      <c r="G1074" s="12" t="s">
        <v>1147</v>
      </c>
    </row>
    <row r="1075" spans="1:7" x14ac:dyDescent="0.3">
      <c r="A1075" s="28" t="s">
        <v>1468</v>
      </c>
      <c r="B1075" s="28"/>
      <c r="C1075" s="28" t="s">
        <v>858</v>
      </c>
      <c r="D1075" s="28" t="s">
        <v>1630</v>
      </c>
      <c r="E1075" s="21" t="s">
        <v>1761</v>
      </c>
      <c r="F1075" s="21" t="s">
        <v>1761</v>
      </c>
      <c r="G1075" s="12" t="s">
        <v>1147</v>
      </c>
    </row>
    <row r="1076" spans="1:7" x14ac:dyDescent="0.3">
      <c r="A1076" s="28" t="s">
        <v>1469</v>
      </c>
      <c r="B1076" s="28"/>
      <c r="C1076" s="28" t="s">
        <v>858</v>
      </c>
      <c r="D1076" s="28" t="s">
        <v>1630</v>
      </c>
      <c r="E1076" s="21" t="s">
        <v>1761</v>
      </c>
      <c r="F1076" s="21" t="s">
        <v>1761</v>
      </c>
      <c r="G1076" s="12" t="s">
        <v>1147</v>
      </c>
    </row>
    <row r="1077" spans="1:7" x14ac:dyDescent="0.3">
      <c r="A1077" s="28" t="s">
        <v>1470</v>
      </c>
      <c r="B1077" s="28"/>
      <c r="C1077" s="28" t="s">
        <v>858</v>
      </c>
      <c r="D1077" s="28" t="s">
        <v>1630</v>
      </c>
      <c r="E1077" s="21" t="s">
        <v>1761</v>
      </c>
      <c r="F1077" s="21" t="s">
        <v>1761</v>
      </c>
      <c r="G1077" s="12" t="s">
        <v>1147</v>
      </c>
    </row>
    <row r="1078" spans="1:7" x14ac:dyDescent="0.3">
      <c r="A1078" s="28" t="s">
        <v>1934</v>
      </c>
      <c r="B1078" s="28"/>
      <c r="C1078" s="28" t="s">
        <v>858</v>
      </c>
      <c r="D1078" s="28" t="s">
        <v>1630</v>
      </c>
      <c r="E1078" s="21" t="s">
        <v>1761</v>
      </c>
      <c r="F1078" s="21" t="s">
        <v>1761</v>
      </c>
      <c r="G1078" s="12" t="s">
        <v>1147</v>
      </c>
    </row>
    <row r="1079" spans="1:7" x14ac:dyDescent="0.3">
      <c r="A1079" s="28" t="s">
        <v>1935</v>
      </c>
      <c r="B1079" s="28"/>
      <c r="C1079" s="28" t="s">
        <v>858</v>
      </c>
      <c r="D1079" s="28" t="s">
        <v>1630</v>
      </c>
      <c r="E1079" s="21" t="s">
        <v>1761</v>
      </c>
      <c r="F1079" s="21" t="s">
        <v>1761</v>
      </c>
      <c r="G1079" s="12" t="s">
        <v>1147</v>
      </c>
    </row>
    <row r="1080" spans="1:7" x14ac:dyDescent="0.3">
      <c r="A1080" s="28" t="s">
        <v>1936</v>
      </c>
      <c r="B1080" s="28"/>
      <c r="C1080" s="28" t="s">
        <v>858</v>
      </c>
      <c r="D1080" s="28" t="s">
        <v>1630</v>
      </c>
      <c r="E1080" s="21" t="s">
        <v>1761</v>
      </c>
      <c r="F1080" s="21" t="s">
        <v>1761</v>
      </c>
      <c r="G1080" s="12" t="s">
        <v>1147</v>
      </c>
    </row>
    <row r="1081" spans="1:7" x14ac:dyDescent="0.3">
      <c r="A1081" s="28" t="s">
        <v>1937</v>
      </c>
      <c r="B1081" s="28"/>
      <c r="C1081" s="28" t="s">
        <v>858</v>
      </c>
      <c r="D1081" s="28" t="s">
        <v>1630</v>
      </c>
      <c r="E1081" s="21" t="s">
        <v>1761</v>
      </c>
      <c r="F1081" s="21" t="s">
        <v>1761</v>
      </c>
      <c r="G1081" s="12" t="s">
        <v>1147</v>
      </c>
    </row>
    <row r="1082" spans="1:7" x14ac:dyDescent="0.3">
      <c r="A1082" s="28" t="s">
        <v>1938</v>
      </c>
      <c r="B1082" s="28"/>
      <c r="C1082" s="28" t="s">
        <v>858</v>
      </c>
      <c r="D1082" s="28" t="s">
        <v>1630</v>
      </c>
      <c r="E1082" s="21" t="s">
        <v>1761</v>
      </c>
      <c r="F1082" s="21" t="s">
        <v>1761</v>
      </c>
      <c r="G1082" s="12" t="s">
        <v>1147</v>
      </c>
    </row>
    <row r="1083" spans="1:7" x14ac:dyDescent="0.3">
      <c r="A1083" s="28" t="s">
        <v>1939</v>
      </c>
      <c r="B1083" s="28"/>
      <c r="C1083" s="28" t="s">
        <v>858</v>
      </c>
      <c r="D1083" s="28" t="s">
        <v>1630</v>
      </c>
      <c r="E1083" s="21" t="s">
        <v>1761</v>
      </c>
      <c r="F1083" s="21" t="s">
        <v>1761</v>
      </c>
      <c r="G1083" s="12" t="s">
        <v>1147</v>
      </c>
    </row>
    <row r="1084" spans="1:7" x14ac:dyDescent="0.3">
      <c r="A1084" s="28"/>
      <c r="B1084" s="28"/>
      <c r="C1084" s="28" t="s">
        <v>858</v>
      </c>
      <c r="D1084" s="28"/>
      <c r="E1084" s="12" t="s">
        <v>1017</v>
      </c>
      <c r="F1084" s="12" t="s">
        <v>1017</v>
      </c>
      <c r="G1084" s="12" t="s">
        <v>1147</v>
      </c>
    </row>
    <row r="1085" spans="1:7" x14ac:dyDescent="0.3">
      <c r="A1085" s="28"/>
      <c r="B1085" s="28"/>
      <c r="C1085" s="28" t="s">
        <v>858</v>
      </c>
      <c r="D1085" s="28"/>
      <c r="E1085" s="12" t="s">
        <v>1019</v>
      </c>
      <c r="F1085" s="12" t="s">
        <v>1019</v>
      </c>
      <c r="G1085" s="12" t="s">
        <v>1169</v>
      </c>
    </row>
    <row r="1086" spans="1:7" x14ac:dyDescent="0.3">
      <c r="A1086" s="28"/>
      <c r="B1086" s="28"/>
      <c r="C1086" s="28" t="s">
        <v>858</v>
      </c>
      <c r="D1086" s="28"/>
      <c r="E1086" s="12" t="s">
        <v>1019</v>
      </c>
      <c r="F1086" s="12" t="s">
        <v>1523</v>
      </c>
      <c r="G1086" s="12" t="s">
        <v>1147</v>
      </c>
    </row>
    <row r="1087" spans="1:7" x14ac:dyDescent="0.3">
      <c r="A1087" s="28"/>
      <c r="B1087" s="28"/>
      <c r="C1087" s="28" t="s">
        <v>858</v>
      </c>
      <c r="D1087" s="28"/>
      <c r="E1087" s="12" t="s">
        <v>1019</v>
      </c>
      <c r="F1087" s="12" t="s">
        <v>1524</v>
      </c>
      <c r="G1087" s="12" t="s">
        <v>1147</v>
      </c>
    </row>
    <row r="1088" spans="1:7" x14ac:dyDescent="0.3">
      <c r="A1088" s="28"/>
      <c r="B1088" s="28"/>
      <c r="C1088" s="28" t="s">
        <v>858</v>
      </c>
      <c r="D1088" s="28"/>
      <c r="E1088" s="12" t="s">
        <v>1314</v>
      </c>
      <c r="F1088" s="12" t="s">
        <v>914</v>
      </c>
      <c r="G1088" s="12" t="s">
        <v>1147</v>
      </c>
    </row>
    <row r="1089" spans="1:7" x14ac:dyDescent="0.3">
      <c r="A1089" s="28"/>
      <c r="B1089" s="28"/>
      <c r="C1089" s="28" t="s">
        <v>858</v>
      </c>
      <c r="D1089" s="28"/>
      <c r="E1089" s="12" t="s">
        <v>1316</v>
      </c>
      <c r="F1089" s="12" t="s">
        <v>914</v>
      </c>
      <c r="G1089" s="12" t="s">
        <v>1147</v>
      </c>
    </row>
    <row r="1090" spans="1:7" x14ac:dyDescent="0.3">
      <c r="A1090" s="28"/>
      <c r="B1090" s="28"/>
      <c r="C1090" s="28" t="s">
        <v>858</v>
      </c>
      <c r="D1090" s="28"/>
      <c r="E1090" s="12" t="s">
        <v>1528</v>
      </c>
      <c r="F1090" s="12" t="s">
        <v>943</v>
      </c>
      <c r="G1090" s="12" t="s">
        <v>1147</v>
      </c>
    </row>
    <row r="1091" spans="1:7" x14ac:dyDescent="0.3">
      <c r="A1091" s="28"/>
      <c r="B1091" s="28"/>
      <c r="C1091" s="28" t="s">
        <v>858</v>
      </c>
      <c r="D1091" s="28"/>
      <c r="E1091" s="12" t="s">
        <v>1523</v>
      </c>
      <c r="F1091" s="12" t="s">
        <v>945</v>
      </c>
      <c r="G1091" s="12" t="s">
        <v>1147</v>
      </c>
    </row>
    <row r="1092" spans="1:7" x14ac:dyDescent="0.3">
      <c r="A1092" s="28"/>
      <c r="B1092" s="28"/>
      <c r="C1092" s="28" t="s">
        <v>858</v>
      </c>
      <c r="D1092" s="28"/>
      <c r="E1092" s="12" t="s">
        <v>1523</v>
      </c>
      <c r="F1092" s="12" t="s">
        <v>947</v>
      </c>
      <c r="G1092" s="12" t="s">
        <v>1147</v>
      </c>
    </row>
    <row r="1093" spans="1:7" x14ac:dyDescent="0.3">
      <c r="A1093" s="28"/>
      <c r="B1093" s="28"/>
      <c r="C1093" s="28" t="s">
        <v>858</v>
      </c>
      <c r="D1093" s="28"/>
      <c r="E1093" s="12" t="s">
        <v>1524</v>
      </c>
      <c r="F1093" s="12" t="s">
        <v>949</v>
      </c>
      <c r="G1093" s="12" t="s">
        <v>1147</v>
      </c>
    </row>
    <row r="1094" spans="1:7" x14ac:dyDescent="0.3">
      <c r="A1094" s="28"/>
      <c r="B1094" s="28"/>
      <c r="C1094" s="28" t="s">
        <v>858</v>
      </c>
      <c r="D1094" s="28"/>
      <c r="E1094" s="12" t="s">
        <v>1524</v>
      </c>
      <c r="F1094" s="12" t="s">
        <v>951</v>
      </c>
      <c r="G1094" s="12" t="s">
        <v>1147</v>
      </c>
    </row>
    <row r="1095" spans="1:7" x14ac:dyDescent="0.3">
      <c r="A1095" s="28"/>
      <c r="B1095" s="28"/>
      <c r="C1095" s="28" t="s">
        <v>858</v>
      </c>
      <c r="D1095" s="28"/>
      <c r="E1095" s="12" t="s">
        <v>1524</v>
      </c>
      <c r="F1095" s="12" t="s">
        <v>953</v>
      </c>
      <c r="G1095" s="12" t="s">
        <v>1147</v>
      </c>
    </row>
    <row r="1096" spans="1:7" x14ac:dyDescent="0.3">
      <c r="A1096" s="28"/>
      <c r="B1096" s="28"/>
      <c r="C1096" s="28" t="s">
        <v>858</v>
      </c>
      <c r="D1096" s="28"/>
      <c r="E1096" s="12" t="s">
        <v>1524</v>
      </c>
      <c r="F1096" s="12" t="s">
        <v>955</v>
      </c>
      <c r="G1096" s="12" t="s">
        <v>1147</v>
      </c>
    </row>
    <row r="1097" spans="1:7" x14ac:dyDescent="0.3">
      <c r="A1097" s="28"/>
      <c r="B1097" s="28"/>
      <c r="C1097" s="28" t="s">
        <v>858</v>
      </c>
      <c r="D1097" s="28"/>
      <c r="E1097" s="12" t="s">
        <v>1522</v>
      </c>
      <c r="F1097" s="12" t="s">
        <v>941</v>
      </c>
      <c r="G1097" s="12" t="s">
        <v>1147</v>
      </c>
    </row>
    <row r="1098" spans="1:7" x14ac:dyDescent="0.3">
      <c r="A1098" s="28"/>
      <c r="B1098" s="28"/>
      <c r="C1098" s="28" t="s">
        <v>858</v>
      </c>
      <c r="D1098" s="28"/>
      <c r="E1098" s="12" t="s">
        <v>1254</v>
      </c>
      <c r="F1098" s="12" t="s">
        <v>943</v>
      </c>
      <c r="G1098" s="12" t="s">
        <v>1147</v>
      </c>
    </row>
    <row r="1099" spans="1:7" x14ac:dyDescent="0.3">
      <c r="A1099" s="28"/>
      <c r="B1099" s="28"/>
      <c r="C1099" s="28" t="s">
        <v>858</v>
      </c>
      <c r="D1099" s="28"/>
      <c r="E1099" s="12" t="s">
        <v>1256</v>
      </c>
      <c r="F1099" s="12" t="s">
        <v>945</v>
      </c>
      <c r="G1099" s="12" t="s">
        <v>1147</v>
      </c>
    </row>
    <row r="1100" spans="1:7" x14ac:dyDescent="0.3">
      <c r="A1100" s="28"/>
      <c r="B1100" s="28"/>
      <c r="C1100" s="28" t="s">
        <v>858</v>
      </c>
      <c r="D1100" s="28"/>
      <c r="E1100" s="12" t="s">
        <v>1258</v>
      </c>
      <c r="F1100" s="12" t="s">
        <v>947</v>
      </c>
      <c r="G1100" s="12" t="s">
        <v>1147</v>
      </c>
    </row>
    <row r="1101" spans="1:7" x14ac:dyDescent="0.3">
      <c r="A1101" s="28"/>
      <c r="B1101" s="28"/>
      <c r="C1101" s="28" t="s">
        <v>858</v>
      </c>
      <c r="D1101" s="28"/>
      <c r="E1101" s="12" t="s">
        <v>1260</v>
      </c>
      <c r="F1101" s="12" t="s">
        <v>949</v>
      </c>
      <c r="G1101" s="12" t="s">
        <v>1147</v>
      </c>
    </row>
    <row r="1102" spans="1:7" x14ac:dyDescent="0.3">
      <c r="A1102" s="28"/>
      <c r="B1102" s="28"/>
      <c r="C1102" s="28" t="s">
        <v>858</v>
      </c>
      <c r="D1102" s="28"/>
      <c r="E1102" s="12" t="s">
        <v>1262</v>
      </c>
      <c r="F1102" s="12" t="s">
        <v>951</v>
      </c>
      <c r="G1102" s="12" t="s">
        <v>1147</v>
      </c>
    </row>
    <row r="1103" spans="1:7" x14ac:dyDescent="0.3">
      <c r="A1103" s="28"/>
      <c r="B1103" s="28"/>
      <c r="C1103" s="28" t="s">
        <v>858</v>
      </c>
      <c r="D1103" s="28"/>
      <c r="E1103" s="12" t="s">
        <v>1264</v>
      </c>
      <c r="F1103" s="12" t="s">
        <v>953</v>
      </c>
      <c r="G1103" s="12" t="s">
        <v>1147</v>
      </c>
    </row>
    <row r="1104" spans="1:7" x14ac:dyDescent="0.3">
      <c r="A1104" s="28"/>
      <c r="B1104" s="28"/>
      <c r="C1104" s="28" t="s">
        <v>858</v>
      </c>
      <c r="D1104" s="28"/>
      <c r="E1104" s="12" t="s">
        <v>1266</v>
      </c>
      <c r="F1104" s="12" t="s">
        <v>955</v>
      </c>
      <c r="G1104" s="12" t="s">
        <v>1147</v>
      </c>
    </row>
    <row r="1105" spans="1:7" x14ac:dyDescent="0.3">
      <c r="A1105" s="28"/>
      <c r="B1105" s="28"/>
      <c r="C1105" s="28" t="s">
        <v>858</v>
      </c>
      <c r="D1105" s="28"/>
      <c r="E1105" s="12" t="s">
        <v>1282</v>
      </c>
      <c r="F1105" s="12" t="s">
        <v>941</v>
      </c>
      <c r="G1105" s="12" t="s">
        <v>1147</v>
      </c>
    </row>
    <row r="1106" spans="1:7" x14ac:dyDescent="0.3">
      <c r="A1106" s="28"/>
      <c r="B1106" s="28"/>
      <c r="C1106" s="28" t="s">
        <v>858</v>
      </c>
      <c r="D1106" s="28"/>
      <c r="E1106" s="12" t="s">
        <v>1284</v>
      </c>
      <c r="F1106" s="12" t="s">
        <v>971</v>
      </c>
      <c r="G1106" s="12" t="s">
        <v>1147</v>
      </c>
    </row>
    <row r="1107" spans="1:7" x14ac:dyDescent="0.3">
      <c r="A1107" s="28"/>
      <c r="B1107" s="28"/>
      <c r="C1107" s="28" t="s">
        <v>858</v>
      </c>
      <c r="D1107" s="28"/>
      <c r="E1107" s="12" t="s">
        <v>1284</v>
      </c>
      <c r="F1107" s="12" t="s">
        <v>1023</v>
      </c>
      <c r="G1107" s="12" t="s">
        <v>1169</v>
      </c>
    </row>
    <row r="1108" spans="1:7" x14ac:dyDescent="0.3">
      <c r="A1108" s="28"/>
      <c r="B1108" s="28"/>
      <c r="C1108" s="28" t="s">
        <v>858</v>
      </c>
      <c r="D1108" s="28"/>
      <c r="E1108" s="12" t="s">
        <v>1294</v>
      </c>
      <c r="F1108" s="12" t="s">
        <v>912</v>
      </c>
      <c r="G1108" s="12" t="s">
        <v>1147</v>
      </c>
    </row>
    <row r="1109" spans="1:7" x14ac:dyDescent="0.3">
      <c r="A1109" s="28"/>
      <c r="B1109" s="28"/>
      <c r="C1109" s="28" t="s">
        <v>858</v>
      </c>
      <c r="D1109" s="28"/>
      <c r="E1109" s="12" t="s">
        <v>1833</v>
      </c>
      <c r="F1109" s="12" t="s">
        <v>971</v>
      </c>
      <c r="G1109" s="12" t="s">
        <v>1147</v>
      </c>
    </row>
    <row r="1110" spans="1:7" x14ac:dyDescent="0.3">
      <c r="A1110" s="28"/>
      <c r="B1110" s="28"/>
      <c r="C1110" s="28" t="s">
        <v>858</v>
      </c>
      <c r="D1110" s="28"/>
      <c r="E1110" s="12" t="s">
        <v>1296</v>
      </c>
      <c r="F1110" s="12" t="s">
        <v>1554</v>
      </c>
      <c r="G1110" s="12" t="s">
        <v>1147</v>
      </c>
    </row>
    <row r="1111" spans="1:7" x14ac:dyDescent="0.3">
      <c r="A1111" s="28"/>
      <c r="B1111" s="28"/>
      <c r="C1111" s="28" t="s">
        <v>858</v>
      </c>
      <c r="D1111" s="28"/>
      <c r="E1111" s="12" t="s">
        <v>1296</v>
      </c>
      <c r="F1111" s="12" t="s">
        <v>1556</v>
      </c>
      <c r="G1111" s="12" t="s">
        <v>1147</v>
      </c>
    </row>
    <row r="1112" spans="1:7" x14ac:dyDescent="0.3">
      <c r="A1112" s="28"/>
      <c r="B1112" s="28"/>
      <c r="C1112" s="28" t="s">
        <v>858</v>
      </c>
      <c r="D1112" s="28"/>
      <c r="E1112" s="12" t="s">
        <v>1296</v>
      </c>
      <c r="F1112" s="12" t="s">
        <v>1575</v>
      </c>
      <c r="G1112" s="12" t="s">
        <v>1169</v>
      </c>
    </row>
    <row r="1113" spans="1:7" x14ac:dyDescent="0.3">
      <c r="A1113" s="28"/>
      <c r="B1113" s="28"/>
      <c r="C1113" s="28" t="s">
        <v>858</v>
      </c>
      <c r="D1113" s="28"/>
      <c r="E1113" s="12" t="s">
        <v>1558</v>
      </c>
      <c r="F1113" s="12" t="s">
        <v>1623</v>
      </c>
      <c r="G1113" s="12" t="s">
        <v>1147</v>
      </c>
    </row>
    <row r="1114" spans="1:7" x14ac:dyDescent="0.3">
      <c r="A1114" s="28"/>
      <c r="B1114" s="28"/>
      <c r="C1114" s="28" t="s">
        <v>858</v>
      </c>
      <c r="D1114" s="28"/>
      <c r="E1114" s="12" t="s">
        <v>1558</v>
      </c>
      <c r="F1114" s="12" t="s">
        <v>1560</v>
      </c>
      <c r="G1114" s="12" t="s">
        <v>1147</v>
      </c>
    </row>
    <row r="1115" spans="1:7" x14ac:dyDescent="0.3">
      <c r="A1115" s="28"/>
      <c r="B1115" s="28"/>
      <c r="C1115" s="28" t="s">
        <v>858</v>
      </c>
      <c r="D1115" s="28"/>
      <c r="E1115" s="12" t="s">
        <v>2050</v>
      </c>
      <c r="F1115" s="12" t="s">
        <v>1558</v>
      </c>
      <c r="G1115" s="12" t="s">
        <v>1147</v>
      </c>
    </row>
    <row r="1116" spans="1:7" x14ac:dyDescent="0.3">
      <c r="A1116" s="28"/>
      <c r="B1116" s="28"/>
      <c r="C1116" s="28" t="s">
        <v>858</v>
      </c>
      <c r="D1116" s="28"/>
      <c r="E1116" s="12" t="s">
        <v>1560</v>
      </c>
      <c r="F1116" s="12" t="s">
        <v>1554</v>
      </c>
      <c r="G1116" s="12" t="s">
        <v>1147</v>
      </c>
    </row>
    <row r="1117" spans="1:7" x14ac:dyDescent="0.3">
      <c r="A1117" s="28"/>
      <c r="B1117" s="28"/>
      <c r="C1117" s="28" t="s">
        <v>858</v>
      </c>
      <c r="D1117" s="28"/>
      <c r="E1117" s="12" t="s">
        <v>1560</v>
      </c>
      <c r="F1117" s="12" t="s">
        <v>1556</v>
      </c>
      <c r="G1117" s="12" t="s">
        <v>1147</v>
      </c>
    </row>
    <row r="1118" spans="1:7" x14ac:dyDescent="0.3">
      <c r="A1118" s="28"/>
      <c r="B1118" s="28"/>
      <c r="C1118" s="28" t="s">
        <v>858</v>
      </c>
      <c r="D1118" s="28"/>
      <c r="E1118" s="12" t="s">
        <v>1560</v>
      </c>
      <c r="F1118" s="12" t="s">
        <v>1573</v>
      </c>
      <c r="G1118" s="12" t="s">
        <v>1169</v>
      </c>
    </row>
    <row r="1119" spans="1:7" x14ac:dyDescent="0.3">
      <c r="A1119" s="28"/>
      <c r="B1119" s="28"/>
      <c r="C1119" s="28" t="s">
        <v>858</v>
      </c>
      <c r="D1119" s="28"/>
      <c r="E1119" s="12" t="s">
        <v>2052</v>
      </c>
      <c r="F1119" s="12" t="s">
        <v>1560</v>
      </c>
      <c r="G1119" s="12" t="s">
        <v>1147</v>
      </c>
    </row>
    <row r="1120" spans="1:7" x14ac:dyDescent="0.3">
      <c r="A1120" s="28"/>
      <c r="B1120" s="28"/>
      <c r="C1120" s="28" t="s">
        <v>858</v>
      </c>
      <c r="D1120" s="28"/>
      <c r="E1120" s="12" t="s">
        <v>2036</v>
      </c>
      <c r="F1120" s="12" t="s">
        <v>1575</v>
      </c>
      <c r="G1120" s="12" t="s">
        <v>1147</v>
      </c>
    </row>
    <row r="1121" spans="1:7" x14ac:dyDescent="0.3">
      <c r="A1121" s="28"/>
      <c r="B1121" s="28"/>
      <c r="C1121" s="28" t="s">
        <v>858</v>
      </c>
      <c r="D1121" s="28"/>
      <c r="E1121" s="12" t="s">
        <v>1580</v>
      </c>
      <c r="F1121" s="12" t="s">
        <v>1621</v>
      </c>
      <c r="G1121" s="12" t="s">
        <v>1147</v>
      </c>
    </row>
    <row r="1122" spans="1:7" x14ac:dyDescent="0.3">
      <c r="A1122" s="28"/>
      <c r="B1122" s="28"/>
      <c r="C1122" s="28" t="s">
        <v>858</v>
      </c>
      <c r="D1122" s="28"/>
      <c r="E1122" s="12" t="s">
        <v>1580</v>
      </c>
      <c r="F1122" s="12" t="s">
        <v>1575</v>
      </c>
      <c r="G1122" s="12" t="s">
        <v>1169</v>
      </c>
    </row>
    <row r="1123" spans="1:7" x14ac:dyDescent="0.3">
      <c r="A1123" s="28"/>
      <c r="B1123" s="28"/>
      <c r="C1123" s="28" t="s">
        <v>858</v>
      </c>
      <c r="D1123" s="28"/>
      <c r="E1123" s="12" t="s">
        <v>1513</v>
      </c>
      <c r="F1123" s="12" t="s">
        <v>920</v>
      </c>
      <c r="G1123" s="12" t="s">
        <v>1158</v>
      </c>
    </row>
    <row r="1124" spans="1:7" x14ac:dyDescent="0.3">
      <c r="A1124" s="28"/>
      <c r="B1124" s="28"/>
      <c r="C1124" s="28" t="s">
        <v>858</v>
      </c>
      <c r="D1124" s="28"/>
      <c r="E1124" s="12" t="s">
        <v>1513</v>
      </c>
      <c r="F1124" s="12" t="s">
        <v>920</v>
      </c>
      <c r="G1124" s="12" t="s">
        <v>1169</v>
      </c>
    </row>
    <row r="1125" spans="1:7" x14ac:dyDescent="0.3">
      <c r="A1125" s="28"/>
      <c r="B1125" s="28"/>
      <c r="C1125" s="28" t="s">
        <v>858</v>
      </c>
      <c r="D1125" s="28"/>
      <c r="E1125" s="12" t="s">
        <v>1511</v>
      </c>
      <c r="F1125" s="12" t="s">
        <v>943</v>
      </c>
      <c r="G1125" s="12" t="s">
        <v>1158</v>
      </c>
    </row>
    <row r="1126" spans="1:7" x14ac:dyDescent="0.3">
      <c r="A1126" s="28"/>
      <c r="B1126" s="28"/>
      <c r="C1126" s="28" t="s">
        <v>858</v>
      </c>
      <c r="D1126" s="28"/>
      <c r="E1126" s="12" t="s">
        <v>1511</v>
      </c>
      <c r="F1126" s="12" t="s">
        <v>943</v>
      </c>
      <c r="G1126" s="12" t="s">
        <v>1169</v>
      </c>
    </row>
    <row r="1127" spans="1:7" x14ac:dyDescent="0.3">
      <c r="A1127" s="28"/>
      <c r="B1127" s="28"/>
      <c r="C1127" s="28" t="s">
        <v>858</v>
      </c>
      <c r="D1127" s="28"/>
      <c r="E1127" s="12" t="s">
        <v>1221</v>
      </c>
      <c r="F1127" s="12" t="s">
        <v>923</v>
      </c>
      <c r="G1127" s="12" t="s">
        <v>1158</v>
      </c>
    </row>
    <row r="1128" spans="1:7" x14ac:dyDescent="0.3">
      <c r="A1128" s="28"/>
      <c r="B1128" s="28"/>
      <c r="C1128" s="28" t="s">
        <v>858</v>
      </c>
      <c r="D1128" s="28"/>
      <c r="E1128" s="12" t="s">
        <v>1221</v>
      </c>
      <c r="F1128" s="12" t="s">
        <v>923</v>
      </c>
      <c r="G1128" s="12" t="s">
        <v>1169</v>
      </c>
    </row>
    <row r="1129" spans="1:7" x14ac:dyDescent="0.3">
      <c r="A1129" s="28"/>
      <c r="B1129" s="28"/>
      <c r="C1129" s="28" t="s">
        <v>858</v>
      </c>
      <c r="D1129" s="28"/>
      <c r="E1129" s="12" t="s">
        <v>1211</v>
      </c>
      <c r="F1129" s="12" t="s">
        <v>945</v>
      </c>
      <c r="G1129" s="12" t="s">
        <v>1158</v>
      </c>
    </row>
    <row r="1130" spans="1:7" x14ac:dyDescent="0.3">
      <c r="A1130" s="28"/>
      <c r="B1130" s="28"/>
      <c r="C1130" s="28" t="s">
        <v>858</v>
      </c>
      <c r="D1130" s="28"/>
      <c r="E1130" s="12" t="s">
        <v>1211</v>
      </c>
      <c r="F1130" s="12" t="s">
        <v>945</v>
      </c>
      <c r="G1130" s="12" t="s">
        <v>1169</v>
      </c>
    </row>
    <row r="1131" spans="1:7" x14ac:dyDescent="0.3">
      <c r="A1131" s="28"/>
      <c r="B1131" s="28"/>
      <c r="C1131" s="28" t="s">
        <v>858</v>
      </c>
      <c r="D1131" s="28"/>
      <c r="E1131" s="12" t="s">
        <v>1211</v>
      </c>
      <c r="F1131" s="12" t="s">
        <v>947</v>
      </c>
      <c r="G1131" s="12" t="s">
        <v>1158</v>
      </c>
    </row>
    <row r="1132" spans="1:7" x14ac:dyDescent="0.3">
      <c r="A1132" s="28"/>
      <c r="B1132" s="28"/>
      <c r="C1132" s="28" t="s">
        <v>858</v>
      </c>
      <c r="D1132" s="28"/>
      <c r="E1132" s="12" t="s">
        <v>1211</v>
      </c>
      <c r="F1132" s="12" t="s">
        <v>947</v>
      </c>
      <c r="G1132" s="12" t="s">
        <v>1169</v>
      </c>
    </row>
    <row r="1133" spans="1:7" x14ac:dyDescent="0.3">
      <c r="A1133" s="28"/>
      <c r="B1133" s="28"/>
      <c r="C1133" s="28" t="s">
        <v>858</v>
      </c>
      <c r="D1133" s="28"/>
      <c r="E1133" s="12" t="s">
        <v>1223</v>
      </c>
      <c r="F1133" s="12" t="s">
        <v>925</v>
      </c>
      <c r="G1133" s="12" t="s">
        <v>1158</v>
      </c>
    </row>
    <row r="1134" spans="1:7" x14ac:dyDescent="0.3">
      <c r="A1134" s="28"/>
      <c r="B1134" s="28"/>
      <c r="C1134" s="28" t="s">
        <v>858</v>
      </c>
      <c r="D1134" s="28"/>
      <c r="E1134" s="12" t="s">
        <v>1223</v>
      </c>
      <c r="F1134" s="12" t="s">
        <v>925</v>
      </c>
      <c r="G1134" s="12" t="s">
        <v>1169</v>
      </c>
    </row>
    <row r="1135" spans="1:7" x14ac:dyDescent="0.3">
      <c r="A1135" s="28"/>
      <c r="B1135" s="28"/>
      <c r="C1135" s="28" t="s">
        <v>858</v>
      </c>
      <c r="D1135" s="28"/>
      <c r="E1135" s="12" t="s">
        <v>1213</v>
      </c>
      <c r="F1135" s="12" t="s">
        <v>949</v>
      </c>
      <c r="G1135" s="12" t="s">
        <v>1158</v>
      </c>
    </row>
    <row r="1136" spans="1:7" x14ac:dyDescent="0.3">
      <c r="A1136" s="28"/>
      <c r="B1136" s="28"/>
      <c r="C1136" s="28" t="s">
        <v>858</v>
      </c>
      <c r="D1136" s="28"/>
      <c r="E1136" s="12" t="s">
        <v>1213</v>
      </c>
      <c r="F1136" s="12" t="s">
        <v>949</v>
      </c>
      <c r="G1136" s="12" t="s">
        <v>1169</v>
      </c>
    </row>
    <row r="1137" spans="1:7" x14ac:dyDescent="0.3">
      <c r="A1137" s="28"/>
      <c r="B1137" s="28"/>
      <c r="C1137" s="28" t="s">
        <v>858</v>
      </c>
      <c r="D1137" s="28"/>
      <c r="E1137" s="12" t="s">
        <v>1213</v>
      </c>
      <c r="F1137" s="12" t="s">
        <v>951</v>
      </c>
      <c r="G1137" s="12" t="s">
        <v>1158</v>
      </c>
    </row>
    <row r="1138" spans="1:7" x14ac:dyDescent="0.3">
      <c r="A1138" s="28"/>
      <c r="B1138" s="28"/>
      <c r="C1138" s="28" t="s">
        <v>858</v>
      </c>
      <c r="D1138" s="28"/>
      <c r="E1138" s="12" t="s">
        <v>1213</v>
      </c>
      <c r="F1138" s="12" t="s">
        <v>951</v>
      </c>
      <c r="G1138" s="12" t="s">
        <v>1169</v>
      </c>
    </row>
    <row r="1139" spans="1:7" x14ac:dyDescent="0.3">
      <c r="A1139" s="28"/>
      <c r="B1139" s="28"/>
      <c r="C1139" s="28" t="s">
        <v>858</v>
      </c>
      <c r="D1139" s="28"/>
      <c r="E1139" s="12" t="s">
        <v>1213</v>
      </c>
      <c r="F1139" s="12" t="s">
        <v>953</v>
      </c>
      <c r="G1139" s="12" t="s">
        <v>1158</v>
      </c>
    </row>
    <row r="1140" spans="1:7" x14ac:dyDescent="0.3">
      <c r="A1140" s="28"/>
      <c r="B1140" s="28"/>
      <c r="C1140" s="28" t="s">
        <v>858</v>
      </c>
      <c r="D1140" s="28"/>
      <c r="E1140" s="12" t="s">
        <v>1213</v>
      </c>
      <c r="F1140" s="12" t="s">
        <v>953</v>
      </c>
      <c r="G1140" s="12" t="s">
        <v>1169</v>
      </c>
    </row>
    <row r="1141" spans="1:7" x14ac:dyDescent="0.3">
      <c r="A1141" s="28"/>
      <c r="B1141" s="28"/>
      <c r="C1141" s="28" t="s">
        <v>858</v>
      </c>
      <c r="D1141" s="28"/>
      <c r="E1141" s="12" t="s">
        <v>1213</v>
      </c>
      <c r="F1141" s="12" t="s">
        <v>955</v>
      </c>
      <c r="G1141" s="12" t="s">
        <v>1158</v>
      </c>
    </row>
    <row r="1142" spans="1:7" x14ac:dyDescent="0.3">
      <c r="A1142" s="28"/>
      <c r="B1142" s="28"/>
      <c r="C1142" s="28" t="s">
        <v>858</v>
      </c>
      <c r="D1142" s="28"/>
      <c r="E1142" s="12" t="s">
        <v>1213</v>
      </c>
      <c r="F1142" s="12" t="s">
        <v>955</v>
      </c>
      <c r="G1142" s="12" t="s">
        <v>1169</v>
      </c>
    </row>
    <row r="1143" spans="1:7" x14ac:dyDescent="0.3">
      <c r="A1143" s="28" t="s">
        <v>1464</v>
      </c>
      <c r="B1143" s="28"/>
      <c r="C1143" s="28" t="s">
        <v>859</v>
      </c>
      <c r="D1143" s="28" t="s">
        <v>1481</v>
      </c>
      <c r="E1143" s="12" t="s">
        <v>1759</v>
      </c>
      <c r="F1143" s="12" t="s">
        <v>1759</v>
      </c>
      <c r="G1143" s="12" t="s">
        <v>1169</v>
      </c>
    </row>
    <row r="1144" spans="1:7" x14ac:dyDescent="0.3">
      <c r="A1144" s="28" t="s">
        <v>1466</v>
      </c>
      <c r="B1144" s="28"/>
      <c r="C1144" s="28" t="s">
        <v>859</v>
      </c>
      <c r="D1144" s="28" t="s">
        <v>1481</v>
      </c>
      <c r="E1144" s="12" t="s">
        <v>1759</v>
      </c>
      <c r="F1144" s="12" t="s">
        <v>1759</v>
      </c>
      <c r="G1144" s="12" t="s">
        <v>1169</v>
      </c>
    </row>
    <row r="1145" spans="1:7" x14ac:dyDescent="0.3">
      <c r="A1145" s="28" t="s">
        <v>1467</v>
      </c>
      <c r="B1145" s="28"/>
      <c r="C1145" s="28" t="s">
        <v>859</v>
      </c>
      <c r="D1145" s="28" t="s">
        <v>1481</v>
      </c>
      <c r="E1145" s="12" t="s">
        <v>1759</v>
      </c>
      <c r="F1145" s="12" t="s">
        <v>1759</v>
      </c>
      <c r="G1145" s="12" t="s">
        <v>1169</v>
      </c>
    </row>
    <row r="1146" spans="1:7" x14ac:dyDescent="0.3">
      <c r="A1146" s="28" t="s">
        <v>1468</v>
      </c>
      <c r="B1146" s="28"/>
      <c r="C1146" s="28" t="s">
        <v>859</v>
      </c>
      <c r="D1146" s="28" t="s">
        <v>1481</v>
      </c>
      <c r="E1146" s="12" t="s">
        <v>1759</v>
      </c>
      <c r="F1146" s="12" t="s">
        <v>1759</v>
      </c>
      <c r="G1146" s="12" t="s">
        <v>1169</v>
      </c>
    </row>
    <row r="1147" spans="1:7" x14ac:dyDescent="0.3">
      <c r="A1147" s="28" t="s">
        <v>1469</v>
      </c>
      <c r="B1147" s="28"/>
      <c r="C1147" s="28" t="s">
        <v>859</v>
      </c>
      <c r="D1147" s="28" t="s">
        <v>1481</v>
      </c>
      <c r="E1147" s="12" t="s">
        <v>1759</v>
      </c>
      <c r="F1147" s="12" t="s">
        <v>1759</v>
      </c>
      <c r="G1147" s="12" t="s">
        <v>1169</v>
      </c>
    </row>
    <row r="1148" spans="1:7" x14ac:dyDescent="0.3">
      <c r="A1148" s="28" t="s">
        <v>1470</v>
      </c>
      <c r="B1148" s="28"/>
      <c r="C1148" s="28" t="s">
        <v>859</v>
      </c>
      <c r="D1148" s="28" t="s">
        <v>1481</v>
      </c>
      <c r="E1148" s="12" t="s">
        <v>1759</v>
      </c>
      <c r="F1148" s="12" t="s">
        <v>1759</v>
      </c>
      <c r="G1148" s="12" t="s">
        <v>1169</v>
      </c>
    </row>
    <row r="1149" spans="1:7" x14ac:dyDescent="0.3">
      <c r="A1149" s="28" t="s">
        <v>1464</v>
      </c>
      <c r="B1149" s="28"/>
      <c r="C1149" s="28" t="s">
        <v>859</v>
      </c>
      <c r="D1149" s="28" t="s">
        <v>1481</v>
      </c>
      <c r="E1149" s="12" t="s">
        <v>1759</v>
      </c>
      <c r="F1149" s="12" t="s">
        <v>927</v>
      </c>
      <c r="G1149" s="12" t="s">
        <v>1147</v>
      </c>
    </row>
    <row r="1150" spans="1:7" x14ac:dyDescent="0.3">
      <c r="A1150" s="28" t="s">
        <v>1466</v>
      </c>
      <c r="B1150" s="28"/>
      <c r="C1150" s="28" t="s">
        <v>859</v>
      </c>
      <c r="D1150" s="28" t="s">
        <v>1481</v>
      </c>
      <c r="E1150" s="12" t="s">
        <v>1759</v>
      </c>
      <c r="F1150" s="12" t="s">
        <v>927</v>
      </c>
      <c r="G1150" s="12" t="s">
        <v>1147</v>
      </c>
    </row>
    <row r="1151" spans="1:7" x14ac:dyDescent="0.3">
      <c r="A1151" s="28" t="s">
        <v>1467</v>
      </c>
      <c r="B1151" s="28"/>
      <c r="C1151" s="28" t="s">
        <v>859</v>
      </c>
      <c r="D1151" s="28" t="s">
        <v>1481</v>
      </c>
      <c r="E1151" s="12" t="s">
        <v>1759</v>
      </c>
      <c r="F1151" s="12" t="s">
        <v>927</v>
      </c>
      <c r="G1151" s="12" t="s">
        <v>1147</v>
      </c>
    </row>
    <row r="1152" spans="1:7" x14ac:dyDescent="0.3">
      <c r="A1152" s="28" t="s">
        <v>1468</v>
      </c>
      <c r="B1152" s="28"/>
      <c r="C1152" s="28" t="s">
        <v>859</v>
      </c>
      <c r="D1152" s="28" t="s">
        <v>1481</v>
      </c>
      <c r="E1152" s="12" t="s">
        <v>1759</v>
      </c>
      <c r="F1152" s="12" t="s">
        <v>927</v>
      </c>
      <c r="G1152" s="12" t="s">
        <v>1147</v>
      </c>
    </row>
    <row r="1153" spans="1:7" x14ac:dyDescent="0.3">
      <c r="A1153" s="28" t="s">
        <v>1469</v>
      </c>
      <c r="B1153" s="28"/>
      <c r="C1153" s="28" t="s">
        <v>859</v>
      </c>
      <c r="D1153" s="28" t="s">
        <v>1481</v>
      </c>
      <c r="E1153" s="12" t="s">
        <v>1759</v>
      </c>
      <c r="F1153" s="12" t="s">
        <v>927</v>
      </c>
      <c r="G1153" s="12" t="s">
        <v>1147</v>
      </c>
    </row>
    <row r="1154" spans="1:7" x14ac:dyDescent="0.3">
      <c r="A1154" s="28" t="s">
        <v>1470</v>
      </c>
      <c r="B1154" s="28"/>
      <c r="C1154" s="28" t="s">
        <v>859</v>
      </c>
      <c r="D1154" s="28" t="s">
        <v>1481</v>
      </c>
      <c r="E1154" s="12" t="s">
        <v>1759</v>
      </c>
      <c r="F1154" s="12" t="s">
        <v>927</v>
      </c>
      <c r="G1154" s="12" t="s">
        <v>1147</v>
      </c>
    </row>
    <row r="1155" spans="1:7" x14ac:dyDescent="0.3">
      <c r="A1155" s="28" t="s">
        <v>1464</v>
      </c>
      <c r="B1155" s="28"/>
      <c r="C1155" s="28" t="s">
        <v>859</v>
      </c>
      <c r="D1155" s="28" t="s">
        <v>1481</v>
      </c>
      <c r="E1155" s="12" t="s">
        <v>1759</v>
      </c>
      <c r="F1155" s="12" t="s">
        <v>1504</v>
      </c>
      <c r="G1155" s="12" t="s">
        <v>1147</v>
      </c>
    </row>
    <row r="1156" spans="1:7" x14ac:dyDescent="0.3">
      <c r="A1156" s="28" t="s">
        <v>1466</v>
      </c>
      <c r="B1156" s="28"/>
      <c r="C1156" s="28" t="s">
        <v>859</v>
      </c>
      <c r="D1156" s="28" t="s">
        <v>1481</v>
      </c>
      <c r="E1156" s="12" t="s">
        <v>1759</v>
      </c>
      <c r="F1156" s="12" t="s">
        <v>1504</v>
      </c>
      <c r="G1156" s="12" t="s">
        <v>1147</v>
      </c>
    </row>
    <row r="1157" spans="1:7" x14ac:dyDescent="0.3">
      <c r="A1157" s="28" t="s">
        <v>1467</v>
      </c>
      <c r="B1157" s="28"/>
      <c r="C1157" s="28" t="s">
        <v>859</v>
      </c>
      <c r="D1157" s="28" t="s">
        <v>1481</v>
      </c>
      <c r="E1157" s="12" t="s">
        <v>1759</v>
      </c>
      <c r="F1157" s="12" t="s">
        <v>1504</v>
      </c>
      <c r="G1157" s="12" t="s">
        <v>1147</v>
      </c>
    </row>
    <row r="1158" spans="1:7" x14ac:dyDescent="0.3">
      <c r="A1158" s="28" t="s">
        <v>1468</v>
      </c>
      <c r="B1158" s="28"/>
      <c r="C1158" s="28" t="s">
        <v>859</v>
      </c>
      <c r="D1158" s="28" t="s">
        <v>1481</v>
      </c>
      <c r="E1158" s="12" t="s">
        <v>1759</v>
      </c>
      <c r="F1158" s="12" t="s">
        <v>1504</v>
      </c>
      <c r="G1158" s="12" t="s">
        <v>1147</v>
      </c>
    </row>
    <row r="1159" spans="1:7" x14ac:dyDescent="0.3">
      <c r="A1159" s="28" t="s">
        <v>1469</v>
      </c>
      <c r="B1159" s="28"/>
      <c r="C1159" s="28" t="s">
        <v>859</v>
      </c>
      <c r="D1159" s="28" t="s">
        <v>1481</v>
      </c>
      <c r="E1159" s="12" t="s">
        <v>1759</v>
      </c>
      <c r="F1159" s="12" t="s">
        <v>1504</v>
      </c>
      <c r="G1159" s="12" t="s">
        <v>1147</v>
      </c>
    </row>
    <row r="1160" spans="1:7" x14ac:dyDescent="0.3">
      <c r="A1160" s="28" t="s">
        <v>1470</v>
      </c>
      <c r="B1160" s="28"/>
      <c r="C1160" s="28" t="s">
        <v>859</v>
      </c>
      <c r="D1160" s="28" t="s">
        <v>1481</v>
      </c>
      <c r="E1160" s="12" t="s">
        <v>1759</v>
      </c>
      <c r="F1160" s="12" t="s">
        <v>1504</v>
      </c>
      <c r="G1160" s="12" t="s">
        <v>1147</v>
      </c>
    </row>
    <row r="1161" spans="1:7" x14ac:dyDescent="0.3">
      <c r="A1161" s="28" t="s">
        <v>1934</v>
      </c>
      <c r="B1161" s="28"/>
      <c r="C1161" s="28" t="s">
        <v>859</v>
      </c>
      <c r="D1161" s="28" t="s">
        <v>1481</v>
      </c>
      <c r="E1161" s="12" t="s">
        <v>1759</v>
      </c>
      <c r="F1161" s="12" t="s">
        <v>1759</v>
      </c>
      <c r="G1161" s="12" t="s">
        <v>1169</v>
      </c>
    </row>
    <row r="1162" spans="1:7" x14ac:dyDescent="0.3">
      <c r="A1162" s="28" t="s">
        <v>1935</v>
      </c>
      <c r="B1162" s="28"/>
      <c r="C1162" s="28" t="s">
        <v>859</v>
      </c>
      <c r="D1162" s="28" t="s">
        <v>1481</v>
      </c>
      <c r="E1162" s="12" t="s">
        <v>1759</v>
      </c>
      <c r="F1162" s="12" t="s">
        <v>1759</v>
      </c>
      <c r="G1162" s="12" t="s">
        <v>1169</v>
      </c>
    </row>
    <row r="1163" spans="1:7" x14ac:dyDescent="0.3">
      <c r="A1163" s="28" t="s">
        <v>1936</v>
      </c>
      <c r="B1163" s="28"/>
      <c r="C1163" s="28" t="s">
        <v>859</v>
      </c>
      <c r="D1163" s="28" t="s">
        <v>1481</v>
      </c>
      <c r="E1163" s="12" t="s">
        <v>1759</v>
      </c>
      <c r="F1163" s="12" t="s">
        <v>1759</v>
      </c>
      <c r="G1163" s="12" t="s">
        <v>1169</v>
      </c>
    </row>
    <row r="1164" spans="1:7" x14ac:dyDescent="0.3">
      <c r="A1164" s="28" t="s">
        <v>1937</v>
      </c>
      <c r="B1164" s="28"/>
      <c r="C1164" s="28" t="s">
        <v>859</v>
      </c>
      <c r="D1164" s="28" t="s">
        <v>1481</v>
      </c>
      <c r="E1164" s="12" t="s">
        <v>1759</v>
      </c>
      <c r="F1164" s="12" t="s">
        <v>1759</v>
      </c>
      <c r="G1164" s="12" t="s">
        <v>1169</v>
      </c>
    </row>
    <row r="1165" spans="1:7" x14ac:dyDescent="0.3">
      <c r="A1165" s="28" t="s">
        <v>1938</v>
      </c>
      <c r="B1165" s="28"/>
      <c r="C1165" s="28" t="s">
        <v>859</v>
      </c>
      <c r="D1165" s="28" t="s">
        <v>1481</v>
      </c>
      <c r="E1165" s="12" t="s">
        <v>1759</v>
      </c>
      <c r="F1165" s="12" t="s">
        <v>1759</v>
      </c>
      <c r="G1165" s="12" t="s">
        <v>1169</v>
      </c>
    </row>
    <row r="1166" spans="1:7" x14ac:dyDescent="0.3">
      <c r="A1166" s="28" t="s">
        <v>1939</v>
      </c>
      <c r="B1166" s="28"/>
      <c r="C1166" s="28" t="s">
        <v>859</v>
      </c>
      <c r="D1166" s="28" t="s">
        <v>1481</v>
      </c>
      <c r="E1166" s="12" t="s">
        <v>1759</v>
      </c>
      <c r="F1166" s="12" t="s">
        <v>1759</v>
      </c>
      <c r="G1166" s="12" t="s">
        <v>1169</v>
      </c>
    </row>
    <row r="1167" spans="1:7" x14ac:dyDescent="0.3">
      <c r="A1167" s="28" t="s">
        <v>1934</v>
      </c>
      <c r="B1167" s="28"/>
      <c r="C1167" s="28" t="s">
        <v>859</v>
      </c>
      <c r="D1167" s="28" t="s">
        <v>1481</v>
      </c>
      <c r="E1167" s="12" t="s">
        <v>1759</v>
      </c>
      <c r="F1167" s="12" t="s">
        <v>927</v>
      </c>
      <c r="G1167" s="12" t="s">
        <v>1147</v>
      </c>
    </row>
    <row r="1168" spans="1:7" x14ac:dyDescent="0.3">
      <c r="A1168" s="28" t="s">
        <v>1935</v>
      </c>
      <c r="B1168" s="28"/>
      <c r="C1168" s="28" t="s">
        <v>859</v>
      </c>
      <c r="D1168" s="28" t="s">
        <v>1481</v>
      </c>
      <c r="E1168" s="12" t="s">
        <v>1759</v>
      </c>
      <c r="F1168" s="12" t="s">
        <v>927</v>
      </c>
      <c r="G1168" s="12" t="s">
        <v>1147</v>
      </c>
    </row>
    <row r="1169" spans="1:7" x14ac:dyDescent="0.3">
      <c r="A1169" s="28" t="s">
        <v>1936</v>
      </c>
      <c r="B1169" s="28"/>
      <c r="C1169" s="28" t="s">
        <v>859</v>
      </c>
      <c r="D1169" s="28" t="s">
        <v>1481</v>
      </c>
      <c r="E1169" s="12" t="s">
        <v>1759</v>
      </c>
      <c r="F1169" s="12" t="s">
        <v>927</v>
      </c>
      <c r="G1169" s="12" t="s">
        <v>1147</v>
      </c>
    </row>
    <row r="1170" spans="1:7" x14ac:dyDescent="0.3">
      <c r="A1170" s="28" t="s">
        <v>1937</v>
      </c>
      <c r="B1170" s="28"/>
      <c r="C1170" s="28" t="s">
        <v>859</v>
      </c>
      <c r="D1170" s="28" t="s">
        <v>1481</v>
      </c>
      <c r="E1170" s="12" t="s">
        <v>1759</v>
      </c>
      <c r="F1170" s="12" t="s">
        <v>927</v>
      </c>
      <c r="G1170" s="12" t="s">
        <v>1147</v>
      </c>
    </row>
    <row r="1171" spans="1:7" x14ac:dyDescent="0.3">
      <c r="A1171" s="28" t="s">
        <v>1938</v>
      </c>
      <c r="B1171" s="28"/>
      <c r="C1171" s="28" t="s">
        <v>859</v>
      </c>
      <c r="D1171" s="28" t="s">
        <v>1481</v>
      </c>
      <c r="E1171" s="12" t="s">
        <v>1759</v>
      </c>
      <c r="F1171" s="12" t="s">
        <v>927</v>
      </c>
      <c r="G1171" s="12" t="s">
        <v>1147</v>
      </c>
    </row>
    <row r="1172" spans="1:7" x14ac:dyDescent="0.3">
      <c r="A1172" s="28" t="s">
        <v>1939</v>
      </c>
      <c r="B1172" s="28"/>
      <c r="C1172" s="28" t="s">
        <v>859</v>
      </c>
      <c r="D1172" s="28" t="s">
        <v>1481</v>
      </c>
      <c r="E1172" s="12" t="s">
        <v>1759</v>
      </c>
      <c r="F1172" s="12" t="s">
        <v>927</v>
      </c>
      <c r="G1172" s="12" t="s">
        <v>1147</v>
      </c>
    </row>
    <row r="1173" spans="1:7" x14ac:dyDescent="0.3">
      <c r="A1173" s="28" t="s">
        <v>1934</v>
      </c>
      <c r="B1173" s="28"/>
      <c r="C1173" s="28" t="s">
        <v>859</v>
      </c>
      <c r="D1173" s="28" t="s">
        <v>1481</v>
      </c>
      <c r="E1173" s="12" t="s">
        <v>1759</v>
      </c>
      <c r="F1173" s="12" t="s">
        <v>1504</v>
      </c>
      <c r="G1173" s="12" t="s">
        <v>1147</v>
      </c>
    </row>
    <row r="1174" spans="1:7" x14ac:dyDescent="0.3">
      <c r="A1174" s="28" t="s">
        <v>1935</v>
      </c>
      <c r="B1174" s="28"/>
      <c r="C1174" s="28" t="s">
        <v>859</v>
      </c>
      <c r="D1174" s="28" t="s">
        <v>1481</v>
      </c>
      <c r="E1174" s="12" t="s">
        <v>1759</v>
      </c>
      <c r="F1174" s="12" t="s">
        <v>1504</v>
      </c>
      <c r="G1174" s="12" t="s">
        <v>1147</v>
      </c>
    </row>
    <row r="1175" spans="1:7" x14ac:dyDescent="0.3">
      <c r="A1175" s="28" t="s">
        <v>1936</v>
      </c>
      <c r="B1175" s="28"/>
      <c r="C1175" s="28" t="s">
        <v>859</v>
      </c>
      <c r="D1175" s="28" t="s">
        <v>1481</v>
      </c>
      <c r="E1175" s="12" t="s">
        <v>1759</v>
      </c>
      <c r="F1175" s="12" t="s">
        <v>1504</v>
      </c>
      <c r="G1175" s="12" t="s">
        <v>1147</v>
      </c>
    </row>
    <row r="1176" spans="1:7" x14ac:dyDescent="0.3">
      <c r="A1176" s="28" t="s">
        <v>1937</v>
      </c>
      <c r="B1176" s="28"/>
      <c r="C1176" s="28" t="s">
        <v>859</v>
      </c>
      <c r="D1176" s="28" t="s">
        <v>1481</v>
      </c>
      <c r="E1176" s="12" t="s">
        <v>1759</v>
      </c>
      <c r="F1176" s="12" t="s">
        <v>1504</v>
      </c>
      <c r="G1176" s="12" t="s">
        <v>1147</v>
      </c>
    </row>
    <row r="1177" spans="1:7" x14ac:dyDescent="0.3">
      <c r="A1177" s="28" t="s">
        <v>1938</v>
      </c>
      <c r="B1177" s="28"/>
      <c r="C1177" s="28" t="s">
        <v>859</v>
      </c>
      <c r="D1177" s="28" t="s">
        <v>1481</v>
      </c>
      <c r="E1177" s="12" t="s">
        <v>1759</v>
      </c>
      <c r="F1177" s="12" t="s">
        <v>1504</v>
      </c>
      <c r="G1177" s="12" t="s">
        <v>1147</v>
      </c>
    </row>
    <row r="1178" spans="1:7" x14ac:dyDescent="0.3">
      <c r="A1178" s="28" t="s">
        <v>1939</v>
      </c>
      <c r="B1178" s="28"/>
      <c r="C1178" s="28" t="s">
        <v>859</v>
      </c>
      <c r="D1178" s="28" t="s">
        <v>1481</v>
      </c>
      <c r="E1178" s="12" t="s">
        <v>1759</v>
      </c>
      <c r="F1178" s="12" t="s">
        <v>1504</v>
      </c>
      <c r="G1178" s="12" t="s">
        <v>1147</v>
      </c>
    </row>
    <row r="1179" spans="1:7" x14ac:dyDescent="0.3">
      <c r="A1179" s="28" t="s">
        <v>1464</v>
      </c>
      <c r="B1179" s="28"/>
      <c r="C1179" s="28" t="s">
        <v>859</v>
      </c>
      <c r="D1179" s="28" t="s">
        <v>1594</v>
      </c>
      <c r="E1179" s="12" t="s">
        <v>1760</v>
      </c>
      <c r="F1179" s="21" t="s">
        <v>1760</v>
      </c>
      <c r="G1179" s="12" t="s">
        <v>1169</v>
      </c>
    </row>
    <row r="1180" spans="1:7" x14ac:dyDescent="0.3">
      <c r="A1180" s="28" t="s">
        <v>1466</v>
      </c>
      <c r="B1180" s="28"/>
      <c r="C1180" s="28" t="s">
        <v>859</v>
      </c>
      <c r="D1180" s="28" t="s">
        <v>1594</v>
      </c>
      <c r="E1180" s="12" t="s">
        <v>1760</v>
      </c>
      <c r="F1180" s="21" t="s">
        <v>1760</v>
      </c>
      <c r="G1180" s="12" t="s">
        <v>1169</v>
      </c>
    </row>
    <row r="1181" spans="1:7" x14ac:dyDescent="0.3">
      <c r="A1181" s="28" t="s">
        <v>1467</v>
      </c>
      <c r="B1181" s="28"/>
      <c r="C1181" s="28" t="s">
        <v>859</v>
      </c>
      <c r="D1181" s="28" t="s">
        <v>1594</v>
      </c>
      <c r="E1181" s="12" t="s">
        <v>1760</v>
      </c>
      <c r="F1181" s="21" t="s">
        <v>1760</v>
      </c>
      <c r="G1181" s="12" t="s">
        <v>1169</v>
      </c>
    </row>
    <row r="1182" spans="1:7" x14ac:dyDescent="0.3">
      <c r="A1182" s="28" t="s">
        <v>1468</v>
      </c>
      <c r="B1182" s="28"/>
      <c r="C1182" s="28" t="s">
        <v>859</v>
      </c>
      <c r="D1182" s="28" t="s">
        <v>1594</v>
      </c>
      <c r="E1182" s="12" t="s">
        <v>1760</v>
      </c>
      <c r="F1182" s="21" t="s">
        <v>1760</v>
      </c>
      <c r="G1182" s="12" t="s">
        <v>1169</v>
      </c>
    </row>
    <row r="1183" spans="1:7" x14ac:dyDescent="0.3">
      <c r="A1183" s="28" t="s">
        <v>1469</v>
      </c>
      <c r="B1183" s="28"/>
      <c r="C1183" s="28" t="s">
        <v>859</v>
      </c>
      <c r="D1183" s="28" t="s">
        <v>1594</v>
      </c>
      <c r="E1183" s="12" t="s">
        <v>1760</v>
      </c>
      <c r="F1183" s="21" t="s">
        <v>1760</v>
      </c>
      <c r="G1183" s="12" t="s">
        <v>1169</v>
      </c>
    </row>
    <row r="1184" spans="1:7" x14ac:dyDescent="0.3">
      <c r="A1184" s="28" t="s">
        <v>1470</v>
      </c>
      <c r="B1184" s="28"/>
      <c r="C1184" s="28" t="s">
        <v>859</v>
      </c>
      <c r="D1184" s="28" t="s">
        <v>1594</v>
      </c>
      <c r="E1184" s="12" t="s">
        <v>1760</v>
      </c>
      <c r="F1184" s="21" t="s">
        <v>1760</v>
      </c>
      <c r="G1184" s="12" t="s">
        <v>1169</v>
      </c>
    </row>
    <row r="1185" spans="1:7" x14ac:dyDescent="0.3">
      <c r="A1185" s="28" t="s">
        <v>1464</v>
      </c>
      <c r="B1185" s="28"/>
      <c r="C1185" s="28" t="s">
        <v>859</v>
      </c>
      <c r="D1185" s="28" t="s">
        <v>1594</v>
      </c>
      <c r="E1185" s="12" t="s">
        <v>1760</v>
      </c>
      <c r="F1185" s="12" t="s">
        <v>929</v>
      </c>
      <c r="G1185" s="12" t="s">
        <v>1147</v>
      </c>
    </row>
    <row r="1186" spans="1:7" x14ac:dyDescent="0.3">
      <c r="A1186" s="28" t="s">
        <v>1466</v>
      </c>
      <c r="B1186" s="28"/>
      <c r="C1186" s="28" t="s">
        <v>859</v>
      </c>
      <c r="D1186" s="28" t="s">
        <v>1594</v>
      </c>
      <c r="E1186" s="12" t="s">
        <v>1760</v>
      </c>
      <c r="F1186" s="12" t="s">
        <v>929</v>
      </c>
      <c r="G1186" s="12" t="s">
        <v>1147</v>
      </c>
    </row>
    <row r="1187" spans="1:7" x14ac:dyDescent="0.3">
      <c r="A1187" s="28" t="s">
        <v>1467</v>
      </c>
      <c r="B1187" s="28"/>
      <c r="C1187" s="28" t="s">
        <v>859</v>
      </c>
      <c r="D1187" s="28" t="s">
        <v>1594</v>
      </c>
      <c r="E1187" s="12" t="s">
        <v>1760</v>
      </c>
      <c r="F1187" s="12" t="s">
        <v>929</v>
      </c>
      <c r="G1187" s="12" t="s">
        <v>1147</v>
      </c>
    </row>
    <row r="1188" spans="1:7" x14ac:dyDescent="0.3">
      <c r="A1188" s="28" t="s">
        <v>1468</v>
      </c>
      <c r="B1188" s="28"/>
      <c r="C1188" s="28" t="s">
        <v>859</v>
      </c>
      <c r="D1188" s="28" t="s">
        <v>1594</v>
      </c>
      <c r="E1188" s="12" t="s">
        <v>1760</v>
      </c>
      <c r="F1188" s="12" t="s">
        <v>929</v>
      </c>
      <c r="G1188" s="12" t="s">
        <v>1147</v>
      </c>
    </row>
    <row r="1189" spans="1:7" x14ac:dyDescent="0.3">
      <c r="A1189" s="28" t="s">
        <v>1469</v>
      </c>
      <c r="B1189" s="28"/>
      <c r="C1189" s="28" t="s">
        <v>859</v>
      </c>
      <c r="D1189" s="28" t="s">
        <v>1594</v>
      </c>
      <c r="E1189" s="12" t="s">
        <v>1760</v>
      </c>
      <c r="F1189" s="12" t="s">
        <v>929</v>
      </c>
      <c r="G1189" s="12" t="s">
        <v>1147</v>
      </c>
    </row>
    <row r="1190" spans="1:7" x14ac:dyDescent="0.3">
      <c r="A1190" s="28" t="s">
        <v>1470</v>
      </c>
      <c r="B1190" s="28"/>
      <c r="C1190" s="28" t="s">
        <v>859</v>
      </c>
      <c r="D1190" s="28" t="s">
        <v>1594</v>
      </c>
      <c r="E1190" s="12" t="s">
        <v>1760</v>
      </c>
      <c r="F1190" s="12" t="s">
        <v>929</v>
      </c>
      <c r="G1190" s="12" t="s">
        <v>1147</v>
      </c>
    </row>
    <row r="1191" spans="1:7" x14ac:dyDescent="0.3">
      <c r="A1191" s="28" t="s">
        <v>1464</v>
      </c>
      <c r="B1191" s="28"/>
      <c r="C1191" s="28" t="s">
        <v>859</v>
      </c>
      <c r="D1191" s="28" t="s">
        <v>1594</v>
      </c>
      <c r="E1191" s="12" t="s">
        <v>1760</v>
      </c>
      <c r="F1191" s="12" t="s">
        <v>1505</v>
      </c>
      <c r="G1191" s="12" t="s">
        <v>1147</v>
      </c>
    </row>
    <row r="1192" spans="1:7" x14ac:dyDescent="0.3">
      <c r="A1192" s="28" t="s">
        <v>1466</v>
      </c>
      <c r="B1192" s="28"/>
      <c r="C1192" s="28" t="s">
        <v>859</v>
      </c>
      <c r="D1192" s="28" t="s">
        <v>1594</v>
      </c>
      <c r="E1192" s="12" t="s">
        <v>1760</v>
      </c>
      <c r="F1192" s="12" t="s">
        <v>1505</v>
      </c>
      <c r="G1192" s="12" t="s">
        <v>1147</v>
      </c>
    </row>
    <row r="1193" spans="1:7" x14ac:dyDescent="0.3">
      <c r="A1193" s="28" t="s">
        <v>1467</v>
      </c>
      <c r="B1193" s="28"/>
      <c r="C1193" s="28" t="s">
        <v>859</v>
      </c>
      <c r="D1193" s="28" t="s">
        <v>1594</v>
      </c>
      <c r="E1193" s="12" t="s">
        <v>1760</v>
      </c>
      <c r="F1193" s="12" t="s">
        <v>1505</v>
      </c>
      <c r="G1193" s="12" t="s">
        <v>1147</v>
      </c>
    </row>
    <row r="1194" spans="1:7" x14ac:dyDescent="0.3">
      <c r="A1194" s="28" t="s">
        <v>1468</v>
      </c>
      <c r="B1194" s="28"/>
      <c r="C1194" s="28" t="s">
        <v>859</v>
      </c>
      <c r="D1194" s="28" t="s">
        <v>1594</v>
      </c>
      <c r="E1194" s="12" t="s">
        <v>1760</v>
      </c>
      <c r="F1194" s="12" t="s">
        <v>1505</v>
      </c>
      <c r="G1194" s="12" t="s">
        <v>1147</v>
      </c>
    </row>
    <row r="1195" spans="1:7" x14ac:dyDescent="0.3">
      <c r="A1195" s="28" t="s">
        <v>1469</v>
      </c>
      <c r="B1195" s="28"/>
      <c r="C1195" s="28" t="s">
        <v>859</v>
      </c>
      <c r="D1195" s="28" t="s">
        <v>1594</v>
      </c>
      <c r="E1195" s="12" t="s">
        <v>1760</v>
      </c>
      <c r="F1195" s="12" t="s">
        <v>1505</v>
      </c>
      <c r="G1195" s="12" t="s">
        <v>1147</v>
      </c>
    </row>
    <row r="1196" spans="1:7" x14ac:dyDescent="0.3">
      <c r="A1196" s="28" t="s">
        <v>1470</v>
      </c>
      <c r="B1196" s="28"/>
      <c r="C1196" s="28" t="s">
        <v>859</v>
      </c>
      <c r="D1196" s="28" t="s">
        <v>1594</v>
      </c>
      <c r="E1196" s="12" t="s">
        <v>1760</v>
      </c>
      <c r="F1196" s="12" t="s">
        <v>1505</v>
      </c>
      <c r="G1196" s="12" t="s">
        <v>1147</v>
      </c>
    </row>
    <row r="1197" spans="1:7" x14ac:dyDescent="0.3">
      <c r="A1197" s="28" t="s">
        <v>1934</v>
      </c>
      <c r="B1197" s="28"/>
      <c r="C1197" s="28" t="s">
        <v>859</v>
      </c>
      <c r="D1197" s="28" t="s">
        <v>1594</v>
      </c>
      <c r="E1197" s="12" t="s">
        <v>1760</v>
      </c>
      <c r="F1197" s="21" t="s">
        <v>1760</v>
      </c>
      <c r="G1197" s="12" t="s">
        <v>1169</v>
      </c>
    </row>
    <row r="1198" spans="1:7" x14ac:dyDescent="0.3">
      <c r="A1198" s="28" t="s">
        <v>1935</v>
      </c>
      <c r="B1198" s="28"/>
      <c r="C1198" s="28" t="s">
        <v>859</v>
      </c>
      <c r="D1198" s="28" t="s">
        <v>1594</v>
      </c>
      <c r="E1198" s="12" t="s">
        <v>1760</v>
      </c>
      <c r="F1198" s="21" t="s">
        <v>1760</v>
      </c>
      <c r="G1198" s="12" t="s">
        <v>1169</v>
      </c>
    </row>
    <row r="1199" spans="1:7" x14ac:dyDescent="0.3">
      <c r="A1199" s="28" t="s">
        <v>1936</v>
      </c>
      <c r="B1199" s="28"/>
      <c r="C1199" s="28" t="s">
        <v>859</v>
      </c>
      <c r="D1199" s="28" t="s">
        <v>1594</v>
      </c>
      <c r="E1199" s="12" t="s">
        <v>1760</v>
      </c>
      <c r="F1199" s="21" t="s">
        <v>1760</v>
      </c>
      <c r="G1199" s="12" t="s">
        <v>1169</v>
      </c>
    </row>
    <row r="1200" spans="1:7" x14ac:dyDescent="0.3">
      <c r="A1200" s="28" t="s">
        <v>1937</v>
      </c>
      <c r="B1200" s="28"/>
      <c r="C1200" s="28" t="s">
        <v>859</v>
      </c>
      <c r="D1200" s="28" t="s">
        <v>1594</v>
      </c>
      <c r="E1200" s="12" t="s">
        <v>1760</v>
      </c>
      <c r="F1200" s="21" t="s">
        <v>1760</v>
      </c>
      <c r="G1200" s="12" t="s">
        <v>1169</v>
      </c>
    </row>
    <row r="1201" spans="1:7" x14ac:dyDescent="0.3">
      <c r="A1201" s="28" t="s">
        <v>1938</v>
      </c>
      <c r="B1201" s="28"/>
      <c r="C1201" s="28" t="s">
        <v>859</v>
      </c>
      <c r="D1201" s="28" t="s">
        <v>1594</v>
      </c>
      <c r="E1201" s="12" t="s">
        <v>1760</v>
      </c>
      <c r="F1201" s="21" t="s">
        <v>1760</v>
      </c>
      <c r="G1201" s="12" t="s">
        <v>1169</v>
      </c>
    </row>
    <row r="1202" spans="1:7" x14ac:dyDescent="0.3">
      <c r="A1202" s="28" t="s">
        <v>1939</v>
      </c>
      <c r="B1202" s="28"/>
      <c r="C1202" s="28" t="s">
        <v>859</v>
      </c>
      <c r="D1202" s="28" t="s">
        <v>1594</v>
      </c>
      <c r="E1202" s="12" t="s">
        <v>1760</v>
      </c>
      <c r="F1202" s="21" t="s">
        <v>1760</v>
      </c>
      <c r="G1202" s="12" t="s">
        <v>1169</v>
      </c>
    </row>
    <row r="1203" spans="1:7" x14ac:dyDescent="0.3">
      <c r="A1203" s="28" t="s">
        <v>1934</v>
      </c>
      <c r="B1203" s="28"/>
      <c r="C1203" s="28" t="s">
        <v>859</v>
      </c>
      <c r="D1203" s="28" t="s">
        <v>1594</v>
      </c>
      <c r="E1203" s="12" t="s">
        <v>1760</v>
      </c>
      <c r="F1203" s="12" t="s">
        <v>929</v>
      </c>
      <c r="G1203" s="12" t="s">
        <v>1147</v>
      </c>
    </row>
    <row r="1204" spans="1:7" x14ac:dyDescent="0.3">
      <c r="A1204" s="28" t="s">
        <v>1935</v>
      </c>
      <c r="B1204" s="28"/>
      <c r="C1204" s="28" t="s">
        <v>859</v>
      </c>
      <c r="D1204" s="28" t="s">
        <v>1594</v>
      </c>
      <c r="E1204" s="12" t="s">
        <v>1760</v>
      </c>
      <c r="F1204" s="12" t="s">
        <v>929</v>
      </c>
      <c r="G1204" s="12" t="s">
        <v>1147</v>
      </c>
    </row>
    <row r="1205" spans="1:7" x14ac:dyDescent="0.3">
      <c r="A1205" s="28" t="s">
        <v>1936</v>
      </c>
      <c r="B1205" s="28"/>
      <c r="C1205" s="28" t="s">
        <v>859</v>
      </c>
      <c r="D1205" s="28" t="s">
        <v>1594</v>
      </c>
      <c r="E1205" s="12" t="s">
        <v>1760</v>
      </c>
      <c r="F1205" s="12" t="s">
        <v>929</v>
      </c>
      <c r="G1205" s="12" t="s">
        <v>1147</v>
      </c>
    </row>
    <row r="1206" spans="1:7" x14ac:dyDescent="0.3">
      <c r="A1206" s="28" t="s">
        <v>1937</v>
      </c>
      <c r="B1206" s="28"/>
      <c r="C1206" s="28" t="s">
        <v>859</v>
      </c>
      <c r="D1206" s="28" t="s">
        <v>1594</v>
      </c>
      <c r="E1206" s="12" t="s">
        <v>1760</v>
      </c>
      <c r="F1206" s="12" t="s">
        <v>929</v>
      </c>
      <c r="G1206" s="12" t="s">
        <v>1147</v>
      </c>
    </row>
    <row r="1207" spans="1:7" x14ac:dyDescent="0.3">
      <c r="A1207" s="28" t="s">
        <v>1938</v>
      </c>
      <c r="B1207" s="28"/>
      <c r="C1207" s="28" t="s">
        <v>859</v>
      </c>
      <c r="D1207" s="28" t="s">
        <v>1594</v>
      </c>
      <c r="E1207" s="12" t="s">
        <v>1760</v>
      </c>
      <c r="F1207" s="12" t="s">
        <v>929</v>
      </c>
      <c r="G1207" s="12" t="s">
        <v>1147</v>
      </c>
    </row>
    <row r="1208" spans="1:7" x14ac:dyDescent="0.3">
      <c r="A1208" s="28" t="s">
        <v>1939</v>
      </c>
      <c r="B1208" s="28"/>
      <c r="C1208" s="28" t="s">
        <v>859</v>
      </c>
      <c r="D1208" s="28" t="s">
        <v>1594</v>
      </c>
      <c r="E1208" s="12" t="s">
        <v>1760</v>
      </c>
      <c r="F1208" s="12" t="s">
        <v>929</v>
      </c>
      <c r="G1208" s="12" t="s">
        <v>1147</v>
      </c>
    </row>
    <row r="1209" spans="1:7" x14ac:dyDescent="0.3">
      <c r="A1209" s="28" t="s">
        <v>1934</v>
      </c>
      <c r="B1209" s="28"/>
      <c r="C1209" s="28" t="s">
        <v>859</v>
      </c>
      <c r="D1209" s="28" t="s">
        <v>1594</v>
      </c>
      <c r="E1209" s="12" t="s">
        <v>1760</v>
      </c>
      <c r="F1209" s="12" t="s">
        <v>1505</v>
      </c>
      <c r="G1209" s="12" t="s">
        <v>1147</v>
      </c>
    </row>
    <row r="1210" spans="1:7" x14ac:dyDescent="0.3">
      <c r="A1210" s="28" t="s">
        <v>1935</v>
      </c>
      <c r="B1210" s="28"/>
      <c r="C1210" s="28" t="s">
        <v>859</v>
      </c>
      <c r="D1210" s="28" t="s">
        <v>1594</v>
      </c>
      <c r="E1210" s="12" t="s">
        <v>1760</v>
      </c>
      <c r="F1210" s="12" t="s">
        <v>1505</v>
      </c>
      <c r="G1210" s="12" t="s">
        <v>1147</v>
      </c>
    </row>
    <row r="1211" spans="1:7" x14ac:dyDescent="0.3">
      <c r="A1211" s="28" t="s">
        <v>1936</v>
      </c>
      <c r="B1211" s="28"/>
      <c r="C1211" s="28" t="s">
        <v>859</v>
      </c>
      <c r="D1211" s="28" t="s">
        <v>1594</v>
      </c>
      <c r="E1211" s="12" t="s">
        <v>1760</v>
      </c>
      <c r="F1211" s="12" t="s">
        <v>1505</v>
      </c>
      <c r="G1211" s="12" t="s">
        <v>1147</v>
      </c>
    </row>
    <row r="1212" spans="1:7" x14ac:dyDescent="0.3">
      <c r="A1212" s="28" t="s">
        <v>1937</v>
      </c>
      <c r="B1212" s="28"/>
      <c r="C1212" s="28" t="s">
        <v>859</v>
      </c>
      <c r="D1212" s="28" t="s">
        <v>1594</v>
      </c>
      <c r="E1212" s="12" t="s">
        <v>1760</v>
      </c>
      <c r="F1212" s="12" t="s">
        <v>1505</v>
      </c>
      <c r="G1212" s="12" t="s">
        <v>1147</v>
      </c>
    </row>
    <row r="1213" spans="1:7" x14ac:dyDescent="0.3">
      <c r="A1213" s="28" t="s">
        <v>1938</v>
      </c>
      <c r="B1213" s="28"/>
      <c r="C1213" s="28" t="s">
        <v>859</v>
      </c>
      <c r="D1213" s="28" t="s">
        <v>1594</v>
      </c>
      <c r="E1213" s="12" t="s">
        <v>1760</v>
      </c>
      <c r="F1213" s="12" t="s">
        <v>1505</v>
      </c>
      <c r="G1213" s="12" t="s">
        <v>1147</v>
      </c>
    </row>
    <row r="1214" spans="1:7" x14ac:dyDescent="0.3">
      <c r="A1214" s="28" t="s">
        <v>1939</v>
      </c>
      <c r="B1214" s="28"/>
      <c r="C1214" s="28" t="s">
        <v>859</v>
      </c>
      <c r="D1214" s="28" t="s">
        <v>1594</v>
      </c>
      <c r="E1214" s="12" t="s">
        <v>1760</v>
      </c>
      <c r="F1214" s="12" t="s">
        <v>1505</v>
      </c>
      <c r="G1214" s="12" t="s">
        <v>1147</v>
      </c>
    </row>
    <row r="1215" spans="1:7" x14ac:dyDescent="0.3">
      <c r="A1215" s="28"/>
      <c r="B1215" s="28"/>
      <c r="C1215" s="28" t="s">
        <v>859</v>
      </c>
      <c r="D1215" s="28"/>
      <c r="E1215" s="12" t="s">
        <v>1001</v>
      </c>
      <c r="F1215" s="12" t="s">
        <v>1001</v>
      </c>
      <c r="G1215" s="12" t="s">
        <v>1169</v>
      </c>
    </row>
    <row r="1216" spans="1:7" x14ac:dyDescent="0.3">
      <c r="A1216" s="28"/>
      <c r="B1216" s="28"/>
      <c r="C1216" s="28" t="s">
        <v>859</v>
      </c>
      <c r="D1216" s="28"/>
      <c r="E1216" s="12" t="s">
        <v>1001</v>
      </c>
      <c r="F1216" s="12" t="s">
        <v>1527</v>
      </c>
      <c r="G1216" s="12" t="s">
        <v>1147</v>
      </c>
    </row>
    <row r="1217" spans="1:7" x14ac:dyDescent="0.3">
      <c r="A1217" s="28"/>
      <c r="B1217" s="28"/>
      <c r="C1217" s="28" t="s">
        <v>859</v>
      </c>
      <c r="D1217" s="28"/>
      <c r="E1217" s="12" t="s">
        <v>1005</v>
      </c>
      <c r="F1217" s="12" t="s">
        <v>1005</v>
      </c>
      <c r="G1217" s="12" t="s">
        <v>1169</v>
      </c>
    </row>
    <row r="1218" spans="1:7" x14ac:dyDescent="0.3">
      <c r="A1218" s="28"/>
      <c r="B1218" s="28"/>
      <c r="C1218" s="28" t="s">
        <v>859</v>
      </c>
      <c r="D1218" s="28"/>
      <c r="E1218" s="12" t="s">
        <v>1005</v>
      </c>
      <c r="F1218" s="12" t="s">
        <v>1525</v>
      </c>
      <c r="G1218" s="12" t="s">
        <v>1147</v>
      </c>
    </row>
    <row r="1219" spans="1:7" x14ac:dyDescent="0.3">
      <c r="A1219" s="28"/>
      <c r="B1219" s="28"/>
      <c r="C1219" s="28" t="s">
        <v>859</v>
      </c>
      <c r="D1219" s="28"/>
      <c r="E1219" s="12" t="s">
        <v>1005</v>
      </c>
      <c r="F1219" s="12" t="s">
        <v>1526</v>
      </c>
      <c r="G1219" s="12" t="s">
        <v>1147</v>
      </c>
    </row>
    <row r="1220" spans="1:7" x14ac:dyDescent="0.3">
      <c r="A1220" s="28"/>
      <c r="B1220" s="28"/>
      <c r="C1220" s="28" t="s">
        <v>859</v>
      </c>
      <c r="D1220" s="28"/>
      <c r="E1220" s="12" t="s">
        <v>2093</v>
      </c>
      <c r="F1220" s="1" t="s">
        <v>1586</v>
      </c>
      <c r="G1220" s="12" t="s">
        <v>1147</v>
      </c>
    </row>
    <row r="1221" spans="1:7" x14ac:dyDescent="0.3">
      <c r="A1221" s="28"/>
      <c r="B1221" s="28"/>
      <c r="C1221" s="28" t="s">
        <v>859</v>
      </c>
      <c r="D1221" s="28"/>
      <c r="E1221" s="12" t="s">
        <v>2093</v>
      </c>
      <c r="F1221" s="12" t="s">
        <v>904</v>
      </c>
      <c r="G1221" s="12" t="s">
        <v>1147</v>
      </c>
    </row>
    <row r="1222" spans="1:7" x14ac:dyDescent="0.3">
      <c r="A1222" s="28"/>
      <c r="B1222" s="28"/>
      <c r="C1222" s="28" t="s">
        <v>859</v>
      </c>
      <c r="D1222" s="28"/>
      <c r="E1222" s="12" t="s">
        <v>2093</v>
      </c>
      <c r="F1222" s="1" t="s">
        <v>2047</v>
      </c>
      <c r="G1222" s="12" t="s">
        <v>1147</v>
      </c>
    </row>
    <row r="1223" spans="1:7" x14ac:dyDescent="0.3">
      <c r="A1223" s="28"/>
      <c r="B1223" s="28"/>
      <c r="C1223" s="28" t="s">
        <v>859</v>
      </c>
      <c r="D1223" s="28"/>
      <c r="E1223" s="21" t="s">
        <v>2001</v>
      </c>
      <c r="F1223" s="12" t="s">
        <v>967</v>
      </c>
      <c r="G1223" s="12" t="s">
        <v>1147</v>
      </c>
    </row>
    <row r="1224" spans="1:7" x14ac:dyDescent="0.3">
      <c r="A1224" s="28"/>
      <c r="B1224" s="28"/>
      <c r="C1224" s="28" t="s">
        <v>859</v>
      </c>
      <c r="D1224" s="28"/>
      <c r="E1224" s="21" t="s">
        <v>2001</v>
      </c>
      <c r="F1224" s="12" t="s">
        <v>969</v>
      </c>
      <c r="G1224" s="12" t="s">
        <v>1147</v>
      </c>
    </row>
    <row r="1225" spans="1:7" x14ac:dyDescent="0.3">
      <c r="A1225" s="28"/>
      <c r="B1225" s="28"/>
      <c r="C1225" s="28" t="s">
        <v>859</v>
      </c>
      <c r="D1225" s="28"/>
      <c r="E1225" s="21" t="s">
        <v>2001</v>
      </c>
      <c r="F1225" s="12" t="s">
        <v>1501</v>
      </c>
      <c r="G1225" s="12" t="s">
        <v>1147</v>
      </c>
    </row>
    <row r="1226" spans="1:7" x14ac:dyDescent="0.3">
      <c r="A1226" s="28"/>
      <c r="B1226" s="28"/>
      <c r="C1226" s="28" t="s">
        <v>859</v>
      </c>
      <c r="D1226" s="28"/>
      <c r="E1226" s="12" t="s">
        <v>927</v>
      </c>
      <c r="F1226" s="12" t="s">
        <v>957</v>
      </c>
      <c r="G1226" s="12" t="s">
        <v>1147</v>
      </c>
    </row>
    <row r="1227" spans="1:7" x14ac:dyDescent="0.3">
      <c r="A1227" s="28"/>
      <c r="B1227" s="28"/>
      <c r="C1227" s="28" t="s">
        <v>859</v>
      </c>
      <c r="D1227" s="28"/>
      <c r="E1227" s="12" t="s">
        <v>927</v>
      </c>
      <c r="F1227" s="12" t="s">
        <v>959</v>
      </c>
      <c r="G1227" s="12" t="s">
        <v>1147</v>
      </c>
    </row>
    <row r="1228" spans="1:7" x14ac:dyDescent="0.3">
      <c r="A1228" s="28"/>
      <c r="B1228" s="28"/>
      <c r="C1228" s="28" t="s">
        <v>859</v>
      </c>
      <c r="D1228" s="28"/>
      <c r="E1228" s="12" t="s">
        <v>927</v>
      </c>
      <c r="F1228" s="12" t="s">
        <v>961</v>
      </c>
      <c r="G1228" s="12" t="s">
        <v>1147</v>
      </c>
    </row>
    <row r="1229" spans="1:7" x14ac:dyDescent="0.3">
      <c r="A1229" s="28"/>
      <c r="B1229" s="28"/>
      <c r="C1229" s="28" t="s">
        <v>859</v>
      </c>
      <c r="D1229" s="28"/>
      <c r="E1229" s="12" t="s">
        <v>929</v>
      </c>
      <c r="F1229" s="12" t="s">
        <v>963</v>
      </c>
      <c r="G1229" s="12" t="s">
        <v>1147</v>
      </c>
    </row>
    <row r="1230" spans="1:7" x14ac:dyDescent="0.3">
      <c r="A1230" s="28"/>
      <c r="B1230" s="28"/>
      <c r="C1230" s="28" t="s">
        <v>859</v>
      </c>
      <c r="D1230" s="28"/>
      <c r="E1230" s="12" t="s">
        <v>929</v>
      </c>
      <c r="F1230" s="12" t="s">
        <v>965</v>
      </c>
      <c r="G1230" s="12" t="s">
        <v>1147</v>
      </c>
    </row>
    <row r="1231" spans="1:7" x14ac:dyDescent="0.3">
      <c r="A1231" s="28"/>
      <c r="B1231" s="28"/>
      <c r="C1231" s="28" t="s">
        <v>859</v>
      </c>
      <c r="D1231" s="28"/>
      <c r="E1231" s="12" t="s">
        <v>931</v>
      </c>
      <c r="F1231" s="12" t="s">
        <v>967</v>
      </c>
      <c r="G1231" s="12" t="s">
        <v>1147</v>
      </c>
    </row>
    <row r="1232" spans="1:7" x14ac:dyDescent="0.3">
      <c r="A1232" s="28"/>
      <c r="B1232" s="28"/>
      <c r="C1232" s="28" t="s">
        <v>859</v>
      </c>
      <c r="D1232" s="28"/>
      <c r="E1232" s="12" t="s">
        <v>931</v>
      </c>
      <c r="F1232" s="12" t="s">
        <v>969</v>
      </c>
      <c r="G1232" s="12" t="s">
        <v>1147</v>
      </c>
    </row>
    <row r="1233" spans="1:7" x14ac:dyDescent="0.3">
      <c r="A1233" s="28"/>
      <c r="B1233" s="28"/>
      <c r="C1233" s="28" t="s">
        <v>859</v>
      </c>
      <c r="D1233" s="28"/>
      <c r="E1233" s="12" t="s">
        <v>931</v>
      </c>
      <c r="F1233" s="12" t="s">
        <v>1501</v>
      </c>
      <c r="G1233" s="12" t="s">
        <v>1147</v>
      </c>
    </row>
    <row r="1234" spans="1:7" x14ac:dyDescent="0.3">
      <c r="A1234" s="28"/>
      <c r="B1234" s="28"/>
      <c r="C1234" s="28" t="s">
        <v>859</v>
      </c>
      <c r="D1234" s="28"/>
      <c r="E1234" s="21" t="s">
        <v>1586</v>
      </c>
      <c r="F1234" s="21" t="s">
        <v>1586</v>
      </c>
      <c r="G1234" s="12" t="s">
        <v>1147</v>
      </c>
    </row>
    <row r="1235" spans="1:7" x14ac:dyDescent="0.3">
      <c r="A1235" s="28"/>
      <c r="B1235" s="28"/>
      <c r="C1235" s="28" t="s">
        <v>859</v>
      </c>
      <c r="D1235" s="28"/>
      <c r="E1235" s="12" t="s">
        <v>904</v>
      </c>
      <c r="F1235" s="12" t="s">
        <v>904</v>
      </c>
      <c r="G1235" s="12" t="s">
        <v>1147</v>
      </c>
    </row>
    <row r="1236" spans="1:7" x14ac:dyDescent="0.3">
      <c r="A1236" s="28"/>
      <c r="B1236" s="28"/>
      <c r="C1236" s="28" t="s">
        <v>859</v>
      </c>
      <c r="D1236" s="28"/>
      <c r="E1236" s="12" t="s">
        <v>908</v>
      </c>
      <c r="F1236" s="12" t="s">
        <v>908</v>
      </c>
      <c r="G1236" s="12" t="s">
        <v>1147</v>
      </c>
    </row>
    <row r="1237" spans="1:7" x14ac:dyDescent="0.3">
      <c r="A1237" s="28"/>
      <c r="B1237" s="28"/>
      <c r="C1237" s="28" t="s">
        <v>859</v>
      </c>
      <c r="D1237" s="28"/>
      <c r="E1237" s="12" t="s">
        <v>906</v>
      </c>
      <c r="F1237" s="12" t="s">
        <v>906</v>
      </c>
      <c r="G1237" s="12" t="s">
        <v>1147</v>
      </c>
    </row>
    <row r="1238" spans="1:7" x14ac:dyDescent="0.3">
      <c r="A1238" s="28"/>
      <c r="B1238" s="28"/>
      <c r="C1238" s="28" t="s">
        <v>859</v>
      </c>
      <c r="D1238" s="28"/>
      <c r="E1238" s="12" t="s">
        <v>910</v>
      </c>
      <c r="F1238" s="12" t="s">
        <v>910</v>
      </c>
      <c r="G1238" s="12" t="s">
        <v>1147</v>
      </c>
    </row>
    <row r="1239" spans="1:7" x14ac:dyDescent="0.3">
      <c r="A1239" s="28"/>
      <c r="B1239" s="28"/>
      <c r="C1239" s="28" t="s">
        <v>859</v>
      </c>
      <c r="D1239" s="28"/>
      <c r="E1239" s="21" t="s">
        <v>2047</v>
      </c>
      <c r="F1239" s="21" t="s">
        <v>2047</v>
      </c>
      <c r="G1239" s="12" t="s">
        <v>1147</v>
      </c>
    </row>
    <row r="1240" spans="1:7" x14ac:dyDescent="0.3">
      <c r="A1240" s="28"/>
      <c r="B1240" s="28"/>
      <c r="C1240" s="28" t="s">
        <v>859</v>
      </c>
      <c r="D1240" s="28"/>
      <c r="E1240" s="12" t="s">
        <v>1207</v>
      </c>
      <c r="F1240" s="12" t="s">
        <v>937</v>
      </c>
      <c r="G1240" s="12" t="s">
        <v>1147</v>
      </c>
    </row>
    <row r="1241" spans="1:7" x14ac:dyDescent="0.3">
      <c r="A1241" s="28"/>
      <c r="B1241" s="28"/>
      <c r="C1241" s="28" t="s">
        <v>859</v>
      </c>
      <c r="D1241" s="28"/>
      <c r="E1241" s="12" t="s">
        <v>1207</v>
      </c>
      <c r="F1241" s="12" t="s">
        <v>1011</v>
      </c>
      <c r="G1241" s="12" t="s">
        <v>1169</v>
      </c>
    </row>
    <row r="1242" spans="1:7" x14ac:dyDescent="0.3">
      <c r="A1242" s="28"/>
      <c r="B1242" s="28"/>
      <c r="C1242" s="28" t="s">
        <v>859</v>
      </c>
      <c r="D1242" s="28"/>
      <c r="E1242" s="12" t="s">
        <v>1203</v>
      </c>
      <c r="F1242" s="12" t="s">
        <v>933</v>
      </c>
      <c r="G1242" s="12" t="s">
        <v>1147</v>
      </c>
    </row>
    <row r="1243" spans="1:7" x14ac:dyDescent="0.3">
      <c r="A1243" s="28"/>
      <c r="B1243" s="28"/>
      <c r="C1243" s="28" t="s">
        <v>859</v>
      </c>
      <c r="D1243" s="28"/>
      <c r="E1243" s="12" t="s">
        <v>1203</v>
      </c>
      <c r="F1243" s="12" t="s">
        <v>1009</v>
      </c>
      <c r="G1243" s="12" t="s">
        <v>1169</v>
      </c>
    </row>
    <row r="1244" spans="1:7" x14ac:dyDescent="0.3">
      <c r="A1244" s="28"/>
      <c r="B1244" s="28"/>
      <c r="C1244" s="28" t="s">
        <v>859</v>
      </c>
      <c r="D1244" s="28"/>
      <c r="E1244" s="12" t="s">
        <v>1209</v>
      </c>
      <c r="F1244" s="12" t="s">
        <v>939</v>
      </c>
      <c r="G1244" s="12" t="s">
        <v>1147</v>
      </c>
    </row>
    <row r="1245" spans="1:7" x14ac:dyDescent="0.3">
      <c r="A1245" s="28"/>
      <c r="B1245" s="28"/>
      <c r="C1245" s="28" t="s">
        <v>859</v>
      </c>
      <c r="D1245" s="28"/>
      <c r="E1245" s="12" t="s">
        <v>1209</v>
      </c>
      <c r="F1245" s="12" t="s">
        <v>1011</v>
      </c>
      <c r="G1245" s="12" t="s">
        <v>1169</v>
      </c>
    </row>
    <row r="1246" spans="1:7" x14ac:dyDescent="0.3">
      <c r="A1246" s="28"/>
      <c r="B1246" s="28"/>
      <c r="C1246" s="28" t="s">
        <v>859</v>
      </c>
      <c r="D1246" s="28"/>
      <c r="E1246" s="12" t="s">
        <v>1205</v>
      </c>
      <c r="F1246" s="12" t="s">
        <v>935</v>
      </c>
      <c r="G1246" s="12" t="s">
        <v>1147</v>
      </c>
    </row>
    <row r="1247" spans="1:7" x14ac:dyDescent="0.3">
      <c r="A1247" s="28"/>
      <c r="B1247" s="28"/>
      <c r="C1247" s="28" t="s">
        <v>859</v>
      </c>
      <c r="D1247" s="28"/>
      <c r="E1247" s="12" t="s">
        <v>1205</v>
      </c>
      <c r="F1247" s="12" t="s">
        <v>1009</v>
      </c>
      <c r="G1247" s="12" t="s">
        <v>1169</v>
      </c>
    </row>
    <row r="1248" spans="1:7" x14ac:dyDescent="0.3">
      <c r="A1248" s="28" t="s">
        <v>1464</v>
      </c>
      <c r="B1248" s="28"/>
      <c r="C1248" s="28" t="s">
        <v>859</v>
      </c>
      <c r="D1248" s="28" t="s">
        <v>1631</v>
      </c>
      <c r="E1248" s="21" t="s">
        <v>1761</v>
      </c>
      <c r="F1248" s="21" t="s">
        <v>1761</v>
      </c>
      <c r="G1248" s="12" t="s">
        <v>1147</v>
      </c>
    </row>
    <row r="1249" spans="1:7" x14ac:dyDescent="0.3">
      <c r="A1249" s="28" t="s">
        <v>1466</v>
      </c>
      <c r="B1249" s="28"/>
      <c r="C1249" s="28" t="s">
        <v>859</v>
      </c>
      <c r="D1249" s="28" t="s">
        <v>1631</v>
      </c>
      <c r="E1249" s="21" t="s">
        <v>1761</v>
      </c>
      <c r="F1249" s="21" t="s">
        <v>1761</v>
      </c>
      <c r="G1249" s="12" t="s">
        <v>1147</v>
      </c>
    </row>
    <row r="1250" spans="1:7" x14ac:dyDescent="0.3">
      <c r="A1250" s="28" t="s">
        <v>1467</v>
      </c>
      <c r="B1250" s="28"/>
      <c r="C1250" s="28" t="s">
        <v>859</v>
      </c>
      <c r="D1250" s="28" t="s">
        <v>1631</v>
      </c>
      <c r="E1250" s="21" t="s">
        <v>1761</v>
      </c>
      <c r="F1250" s="21" t="s">
        <v>1761</v>
      </c>
      <c r="G1250" s="12" t="s">
        <v>1147</v>
      </c>
    </row>
    <row r="1251" spans="1:7" x14ac:dyDescent="0.3">
      <c r="A1251" s="28" t="s">
        <v>1468</v>
      </c>
      <c r="B1251" s="28"/>
      <c r="C1251" s="28" t="s">
        <v>859</v>
      </c>
      <c r="D1251" s="28" t="s">
        <v>1631</v>
      </c>
      <c r="E1251" s="21" t="s">
        <v>1761</v>
      </c>
      <c r="F1251" s="21" t="s">
        <v>1761</v>
      </c>
      <c r="G1251" s="12" t="s">
        <v>1147</v>
      </c>
    </row>
    <row r="1252" spans="1:7" x14ac:dyDescent="0.3">
      <c r="A1252" s="28" t="s">
        <v>1469</v>
      </c>
      <c r="B1252" s="28"/>
      <c r="C1252" s="28" t="s">
        <v>859</v>
      </c>
      <c r="D1252" s="28" t="s">
        <v>1631</v>
      </c>
      <c r="E1252" s="21" t="s">
        <v>1761</v>
      </c>
      <c r="F1252" s="21" t="s">
        <v>1761</v>
      </c>
      <c r="G1252" s="12" t="s">
        <v>1147</v>
      </c>
    </row>
    <row r="1253" spans="1:7" x14ac:dyDescent="0.3">
      <c r="A1253" s="28" t="s">
        <v>1470</v>
      </c>
      <c r="B1253" s="28"/>
      <c r="C1253" s="28" t="s">
        <v>859</v>
      </c>
      <c r="D1253" s="28" t="s">
        <v>1631</v>
      </c>
      <c r="E1253" s="21" t="s">
        <v>1761</v>
      </c>
      <c r="F1253" s="21" t="s">
        <v>1761</v>
      </c>
      <c r="G1253" s="12" t="s">
        <v>1147</v>
      </c>
    </row>
    <row r="1254" spans="1:7" x14ac:dyDescent="0.3">
      <c r="A1254" s="28" t="s">
        <v>1934</v>
      </c>
      <c r="B1254" s="28"/>
      <c r="C1254" s="28" t="s">
        <v>859</v>
      </c>
      <c r="D1254" s="28" t="s">
        <v>1631</v>
      </c>
      <c r="E1254" s="21" t="s">
        <v>1761</v>
      </c>
      <c r="F1254" s="21" t="s">
        <v>1761</v>
      </c>
      <c r="G1254" s="12" t="s">
        <v>1147</v>
      </c>
    </row>
    <row r="1255" spans="1:7" x14ac:dyDescent="0.3">
      <c r="A1255" s="28" t="s">
        <v>1935</v>
      </c>
      <c r="B1255" s="28"/>
      <c r="C1255" s="28" t="s">
        <v>859</v>
      </c>
      <c r="D1255" s="28" t="s">
        <v>1631</v>
      </c>
      <c r="E1255" s="21" t="s">
        <v>1761</v>
      </c>
      <c r="F1255" s="21" t="s">
        <v>1761</v>
      </c>
      <c r="G1255" s="12" t="s">
        <v>1147</v>
      </c>
    </row>
    <row r="1256" spans="1:7" x14ac:dyDescent="0.3">
      <c r="A1256" s="28" t="s">
        <v>1936</v>
      </c>
      <c r="B1256" s="28"/>
      <c r="C1256" s="28" t="s">
        <v>859</v>
      </c>
      <c r="D1256" s="28" t="s">
        <v>1631</v>
      </c>
      <c r="E1256" s="21" t="s">
        <v>1761</v>
      </c>
      <c r="F1256" s="21" t="s">
        <v>1761</v>
      </c>
      <c r="G1256" s="12" t="s">
        <v>1147</v>
      </c>
    </row>
    <row r="1257" spans="1:7" x14ac:dyDescent="0.3">
      <c r="A1257" s="28" t="s">
        <v>1937</v>
      </c>
      <c r="B1257" s="28"/>
      <c r="C1257" s="28" t="s">
        <v>859</v>
      </c>
      <c r="D1257" s="28" t="s">
        <v>1631</v>
      </c>
      <c r="E1257" s="21" t="s">
        <v>1761</v>
      </c>
      <c r="F1257" s="21" t="s">
        <v>1761</v>
      </c>
      <c r="G1257" s="12" t="s">
        <v>1147</v>
      </c>
    </row>
    <row r="1258" spans="1:7" x14ac:dyDescent="0.3">
      <c r="A1258" s="28" t="s">
        <v>1938</v>
      </c>
      <c r="B1258" s="28"/>
      <c r="C1258" s="28" t="s">
        <v>859</v>
      </c>
      <c r="D1258" s="28" t="s">
        <v>1631</v>
      </c>
      <c r="E1258" s="21" t="s">
        <v>1761</v>
      </c>
      <c r="F1258" s="21" t="s">
        <v>1761</v>
      </c>
      <c r="G1258" s="12" t="s">
        <v>1147</v>
      </c>
    </row>
    <row r="1259" spans="1:7" x14ac:dyDescent="0.3">
      <c r="A1259" s="28" t="s">
        <v>1939</v>
      </c>
      <c r="B1259" s="28"/>
      <c r="C1259" s="28" t="s">
        <v>859</v>
      </c>
      <c r="D1259" s="28" t="s">
        <v>1631</v>
      </c>
      <c r="E1259" s="21" t="s">
        <v>1761</v>
      </c>
      <c r="F1259" s="21" t="s">
        <v>1761</v>
      </c>
      <c r="G1259" s="12" t="s">
        <v>1147</v>
      </c>
    </row>
    <row r="1260" spans="1:7" x14ac:dyDescent="0.3">
      <c r="A1260" s="28"/>
      <c r="B1260" s="132" t="s">
        <v>878</v>
      </c>
      <c r="C1260" s="28" t="s">
        <v>859</v>
      </c>
      <c r="D1260" s="28"/>
      <c r="E1260" s="12" t="s">
        <v>2019</v>
      </c>
      <c r="F1260" s="12" t="s">
        <v>2001</v>
      </c>
      <c r="G1260" s="12" t="s">
        <v>1147</v>
      </c>
    </row>
    <row r="1261" spans="1:7" x14ac:dyDescent="0.3">
      <c r="A1261" s="28"/>
      <c r="B1261" s="132" t="s">
        <v>878</v>
      </c>
      <c r="C1261" s="28" t="s">
        <v>859</v>
      </c>
      <c r="D1261" s="28"/>
      <c r="E1261" s="12" t="s">
        <v>2019</v>
      </c>
      <c r="F1261" s="12" t="s">
        <v>2017</v>
      </c>
      <c r="G1261" s="12" t="s">
        <v>1169</v>
      </c>
    </row>
    <row r="1262" spans="1:7" x14ac:dyDescent="0.3">
      <c r="A1262" s="28"/>
      <c r="B1262" s="132" t="s">
        <v>878</v>
      </c>
      <c r="C1262" s="28" t="s">
        <v>859</v>
      </c>
      <c r="D1262" s="28"/>
      <c r="E1262" s="12" t="s">
        <v>2021</v>
      </c>
      <c r="F1262" s="12" t="s">
        <v>2001</v>
      </c>
      <c r="G1262" s="12" t="s">
        <v>1147</v>
      </c>
    </row>
    <row r="1263" spans="1:7" x14ac:dyDescent="0.3">
      <c r="A1263" s="28"/>
      <c r="B1263" s="132" t="s">
        <v>878</v>
      </c>
      <c r="C1263" s="28" t="s">
        <v>859</v>
      </c>
      <c r="D1263" s="28"/>
      <c r="E1263" s="12" t="s">
        <v>2021</v>
      </c>
      <c r="F1263" s="12" t="s">
        <v>2018</v>
      </c>
      <c r="G1263" s="12" t="s">
        <v>1169</v>
      </c>
    </row>
    <row r="1264" spans="1:7" x14ac:dyDescent="0.3">
      <c r="A1264" s="28"/>
      <c r="B1264" s="132" t="s">
        <v>1014</v>
      </c>
      <c r="C1264" s="28" t="s">
        <v>859</v>
      </c>
      <c r="D1264" s="28"/>
      <c r="E1264" s="12" t="s">
        <v>2023</v>
      </c>
      <c r="F1264" s="12" t="s">
        <v>2001</v>
      </c>
      <c r="G1264" s="12" t="s">
        <v>1147</v>
      </c>
    </row>
    <row r="1265" spans="1:7" x14ac:dyDescent="0.3">
      <c r="A1265" s="28"/>
      <c r="B1265" s="132" t="s">
        <v>1014</v>
      </c>
      <c r="C1265" s="28" t="s">
        <v>859</v>
      </c>
      <c r="D1265" s="28"/>
      <c r="E1265" s="12" t="s">
        <v>2023</v>
      </c>
      <c r="F1265" s="12" t="s">
        <v>2004</v>
      </c>
      <c r="G1265" s="12" t="s">
        <v>1169</v>
      </c>
    </row>
    <row r="1266" spans="1:7" x14ac:dyDescent="0.3">
      <c r="A1266" s="28"/>
      <c r="B1266" s="132" t="s">
        <v>1014</v>
      </c>
      <c r="C1266" s="28" t="s">
        <v>859</v>
      </c>
      <c r="D1266" s="28"/>
      <c r="E1266" s="12" t="s">
        <v>2025</v>
      </c>
      <c r="F1266" s="12" t="s">
        <v>2001</v>
      </c>
      <c r="G1266" s="12" t="s">
        <v>1147</v>
      </c>
    </row>
    <row r="1267" spans="1:7" x14ac:dyDescent="0.3">
      <c r="A1267" s="28"/>
      <c r="B1267" s="132" t="s">
        <v>1014</v>
      </c>
      <c r="C1267" s="28" t="s">
        <v>859</v>
      </c>
      <c r="D1267" s="28"/>
      <c r="E1267" s="12" t="s">
        <v>2025</v>
      </c>
      <c r="F1267" s="12" t="s">
        <v>2011</v>
      </c>
      <c r="G1267" s="12" t="s">
        <v>1169</v>
      </c>
    </row>
    <row r="1268" spans="1:7" x14ac:dyDescent="0.3">
      <c r="A1268" s="28"/>
      <c r="B1268" s="132" t="s">
        <v>1015</v>
      </c>
      <c r="C1268" s="28" t="s">
        <v>859</v>
      </c>
      <c r="D1268" s="28"/>
      <c r="E1268" s="12" t="s">
        <v>2027</v>
      </c>
      <c r="F1268" s="12" t="s">
        <v>2001</v>
      </c>
      <c r="G1268" s="12" t="s">
        <v>1147</v>
      </c>
    </row>
    <row r="1269" spans="1:7" x14ac:dyDescent="0.3">
      <c r="A1269" s="28"/>
      <c r="B1269" s="132" t="s">
        <v>1015</v>
      </c>
      <c r="C1269" s="28" t="s">
        <v>859</v>
      </c>
      <c r="D1269" s="28"/>
      <c r="E1269" s="12" t="s">
        <v>2027</v>
      </c>
      <c r="F1269" s="12" t="s">
        <v>2006</v>
      </c>
      <c r="G1269" s="12" t="s">
        <v>1169</v>
      </c>
    </row>
    <row r="1270" spans="1:7" x14ac:dyDescent="0.3">
      <c r="A1270" s="28"/>
      <c r="B1270" s="132" t="s">
        <v>1015</v>
      </c>
      <c r="C1270" s="28" t="s">
        <v>859</v>
      </c>
      <c r="D1270" s="28"/>
      <c r="E1270" s="12" t="s">
        <v>2029</v>
      </c>
      <c r="F1270" s="12" t="s">
        <v>2001</v>
      </c>
      <c r="G1270" s="12" t="s">
        <v>1147</v>
      </c>
    </row>
    <row r="1271" spans="1:7" x14ac:dyDescent="0.3">
      <c r="A1271" s="28"/>
      <c r="B1271" s="132" t="s">
        <v>1015</v>
      </c>
      <c r="C1271" s="28" t="s">
        <v>859</v>
      </c>
      <c r="D1271" s="28"/>
      <c r="E1271" s="12" t="s">
        <v>2029</v>
      </c>
      <c r="F1271" s="12" t="s">
        <v>2013</v>
      </c>
      <c r="G1271" s="12" t="s">
        <v>1169</v>
      </c>
    </row>
    <row r="1272" spans="1:7" x14ac:dyDescent="0.3">
      <c r="A1272" s="28"/>
      <c r="B1272" s="132" t="s">
        <v>1016</v>
      </c>
      <c r="C1272" s="28" t="s">
        <v>859</v>
      </c>
      <c r="D1272" s="28"/>
      <c r="E1272" s="12" t="s">
        <v>2031</v>
      </c>
      <c r="F1272" s="12" t="s">
        <v>2001</v>
      </c>
      <c r="G1272" s="12" t="s">
        <v>1147</v>
      </c>
    </row>
    <row r="1273" spans="1:7" x14ac:dyDescent="0.3">
      <c r="A1273" s="28"/>
      <c r="B1273" s="132" t="s">
        <v>1016</v>
      </c>
      <c r="C1273" s="28" t="s">
        <v>859</v>
      </c>
      <c r="D1273" s="28"/>
      <c r="E1273" s="12" t="s">
        <v>2031</v>
      </c>
      <c r="F1273" s="12" t="s">
        <v>2008</v>
      </c>
      <c r="G1273" s="12" t="s">
        <v>1169</v>
      </c>
    </row>
    <row r="1274" spans="1:7" x14ac:dyDescent="0.3">
      <c r="A1274" s="28"/>
      <c r="B1274" s="132" t="s">
        <v>1016</v>
      </c>
      <c r="C1274" s="28" t="s">
        <v>859</v>
      </c>
      <c r="D1274" s="28"/>
      <c r="E1274" s="12" t="s">
        <v>2033</v>
      </c>
      <c r="F1274" s="12" t="s">
        <v>2001</v>
      </c>
      <c r="G1274" s="12" t="s">
        <v>1147</v>
      </c>
    </row>
    <row r="1275" spans="1:7" x14ac:dyDescent="0.3">
      <c r="A1275" s="28"/>
      <c r="B1275" s="132" t="s">
        <v>1016</v>
      </c>
      <c r="C1275" s="28" t="s">
        <v>859</v>
      </c>
      <c r="D1275" s="28"/>
      <c r="E1275" s="12" t="s">
        <v>2033</v>
      </c>
      <c r="F1275" s="12" t="s">
        <v>2015</v>
      </c>
      <c r="G1275" s="12" t="s">
        <v>1169</v>
      </c>
    </row>
    <row r="1276" spans="1:7" x14ac:dyDescent="0.3">
      <c r="A1276" s="28"/>
      <c r="B1276" s="28"/>
      <c r="C1276" s="28" t="s">
        <v>859</v>
      </c>
      <c r="D1276" s="28"/>
      <c r="E1276" s="12" t="s">
        <v>1318</v>
      </c>
      <c r="F1276" s="12" t="s">
        <v>916</v>
      </c>
      <c r="G1276" s="12" t="s">
        <v>1147</v>
      </c>
    </row>
    <row r="1277" spans="1:7" x14ac:dyDescent="0.3">
      <c r="A1277" s="28"/>
      <c r="B1277" s="28"/>
      <c r="C1277" s="28" t="s">
        <v>859</v>
      </c>
      <c r="D1277" s="28"/>
      <c r="E1277" s="12" t="s">
        <v>1320</v>
      </c>
      <c r="F1277" s="12" t="s">
        <v>916</v>
      </c>
      <c r="G1277" s="12" t="s">
        <v>1147</v>
      </c>
    </row>
    <row r="1278" spans="1:7" x14ac:dyDescent="0.3">
      <c r="A1278" s="28"/>
      <c r="B1278" s="28"/>
      <c r="C1278" s="28" t="s">
        <v>859</v>
      </c>
      <c r="D1278" s="28"/>
      <c r="E1278" s="12" t="s">
        <v>1525</v>
      </c>
      <c r="F1278" s="12" t="s">
        <v>957</v>
      </c>
      <c r="G1278" s="12" t="s">
        <v>1147</v>
      </c>
    </row>
    <row r="1279" spans="1:7" x14ac:dyDescent="0.3">
      <c r="A1279" s="28"/>
      <c r="B1279" s="28"/>
      <c r="C1279" s="28" t="s">
        <v>859</v>
      </c>
      <c r="D1279" s="28"/>
      <c r="E1279" s="12" t="s">
        <v>1525</v>
      </c>
      <c r="F1279" s="12" t="s">
        <v>959</v>
      </c>
      <c r="G1279" s="12" t="s">
        <v>1147</v>
      </c>
    </row>
    <row r="1280" spans="1:7" x14ac:dyDescent="0.3">
      <c r="A1280" s="28"/>
      <c r="B1280" s="28"/>
      <c r="C1280" s="28" t="s">
        <v>859</v>
      </c>
      <c r="D1280" s="28"/>
      <c r="E1280" s="12" t="s">
        <v>1525</v>
      </c>
      <c r="F1280" s="12" t="s">
        <v>961</v>
      </c>
      <c r="G1280" s="12" t="s">
        <v>1147</v>
      </c>
    </row>
    <row r="1281" spans="1:7" x14ac:dyDescent="0.3">
      <c r="A1281" s="28"/>
      <c r="B1281" s="28"/>
      <c r="C1281" s="28" t="s">
        <v>859</v>
      </c>
      <c r="D1281" s="28"/>
      <c r="E1281" s="12" t="s">
        <v>1526</v>
      </c>
      <c r="F1281" s="12" t="s">
        <v>963</v>
      </c>
      <c r="G1281" s="12" t="s">
        <v>1147</v>
      </c>
    </row>
    <row r="1282" spans="1:7" x14ac:dyDescent="0.3">
      <c r="A1282" s="28"/>
      <c r="B1282" s="28"/>
      <c r="C1282" s="28" t="s">
        <v>859</v>
      </c>
      <c r="D1282" s="28"/>
      <c r="E1282" s="12" t="s">
        <v>1526</v>
      </c>
      <c r="F1282" s="12" t="s">
        <v>965</v>
      </c>
      <c r="G1282" s="12" t="s">
        <v>1147</v>
      </c>
    </row>
    <row r="1283" spans="1:7" x14ac:dyDescent="0.3">
      <c r="A1283" s="28"/>
      <c r="B1283" s="28"/>
      <c r="C1283" s="28" t="s">
        <v>859</v>
      </c>
      <c r="D1283" s="28"/>
      <c r="E1283" s="12" t="s">
        <v>1527</v>
      </c>
      <c r="F1283" s="12" t="s">
        <v>967</v>
      </c>
      <c r="G1283" s="12" t="s">
        <v>1147</v>
      </c>
    </row>
    <row r="1284" spans="1:7" x14ac:dyDescent="0.3">
      <c r="A1284" s="28"/>
      <c r="B1284" s="28"/>
      <c r="C1284" s="28" t="s">
        <v>859</v>
      </c>
      <c r="D1284" s="28"/>
      <c r="E1284" s="12" t="s">
        <v>1527</v>
      </c>
      <c r="F1284" s="12" t="s">
        <v>969</v>
      </c>
      <c r="G1284" s="12" t="s">
        <v>1147</v>
      </c>
    </row>
    <row r="1285" spans="1:7" x14ac:dyDescent="0.3">
      <c r="A1285" s="28"/>
      <c r="B1285" s="28"/>
      <c r="C1285" s="28" t="s">
        <v>859</v>
      </c>
      <c r="D1285" s="28"/>
      <c r="E1285" s="12" t="s">
        <v>1527</v>
      </c>
      <c r="F1285" s="12" t="s">
        <v>1501</v>
      </c>
      <c r="G1285" s="12" t="s">
        <v>1147</v>
      </c>
    </row>
    <row r="1286" spans="1:7" x14ac:dyDescent="0.3">
      <c r="A1286" s="28"/>
      <c r="B1286" s="28"/>
      <c r="C1286" s="28" t="s">
        <v>859</v>
      </c>
      <c r="D1286" s="28"/>
      <c r="E1286" s="12" t="s">
        <v>1246</v>
      </c>
      <c r="F1286" s="12" t="s">
        <v>931</v>
      </c>
      <c r="G1286" s="12" t="s">
        <v>1147</v>
      </c>
    </row>
    <row r="1287" spans="1:7" x14ac:dyDescent="0.3">
      <c r="A1287" s="28"/>
      <c r="B1287" s="28"/>
      <c r="C1287" s="28" t="s">
        <v>859</v>
      </c>
      <c r="D1287" s="28"/>
      <c r="E1287" s="12" t="s">
        <v>1246</v>
      </c>
      <c r="F1287" s="12" t="s">
        <v>931</v>
      </c>
      <c r="G1287" s="12" t="s">
        <v>1158</v>
      </c>
    </row>
    <row r="1288" spans="1:7" x14ac:dyDescent="0.3">
      <c r="A1288" s="28"/>
      <c r="B1288" s="28"/>
      <c r="C1288" s="28" t="s">
        <v>859</v>
      </c>
      <c r="D1288" s="28"/>
      <c r="E1288" s="12" t="s">
        <v>1246</v>
      </c>
      <c r="F1288" s="12" t="s">
        <v>1034</v>
      </c>
      <c r="G1288" s="12" t="s">
        <v>1169</v>
      </c>
    </row>
    <row r="1289" spans="1:7" x14ac:dyDescent="0.3">
      <c r="A1289" s="28"/>
      <c r="B1289" s="28"/>
      <c r="C1289" s="28" t="s">
        <v>859</v>
      </c>
      <c r="D1289" s="28"/>
      <c r="E1289" s="12" t="s">
        <v>1268</v>
      </c>
      <c r="F1289" s="12" t="s">
        <v>957</v>
      </c>
      <c r="G1289" s="12" t="s">
        <v>1147</v>
      </c>
    </row>
    <row r="1290" spans="1:7" x14ac:dyDescent="0.3">
      <c r="A1290" s="28"/>
      <c r="B1290" s="28"/>
      <c r="C1290" s="28" t="s">
        <v>859</v>
      </c>
      <c r="D1290" s="28"/>
      <c r="E1290" s="12" t="s">
        <v>1270</v>
      </c>
      <c r="F1290" s="12" t="s">
        <v>959</v>
      </c>
      <c r="G1290" s="12" t="s">
        <v>1147</v>
      </c>
    </row>
    <row r="1291" spans="1:7" x14ac:dyDescent="0.3">
      <c r="A1291" s="28"/>
      <c r="B1291" s="28"/>
      <c r="C1291" s="28" t="s">
        <v>859</v>
      </c>
      <c r="D1291" s="28"/>
      <c r="E1291" s="12" t="s">
        <v>1272</v>
      </c>
      <c r="F1291" s="12" t="s">
        <v>961</v>
      </c>
      <c r="G1291" s="12" t="s">
        <v>1147</v>
      </c>
    </row>
    <row r="1292" spans="1:7" x14ac:dyDescent="0.3">
      <c r="A1292" s="28"/>
      <c r="B1292" s="28"/>
      <c r="C1292" s="28" t="s">
        <v>859</v>
      </c>
      <c r="D1292" s="28"/>
      <c r="E1292" s="12" t="s">
        <v>1274</v>
      </c>
      <c r="F1292" s="12" t="s">
        <v>963</v>
      </c>
      <c r="G1292" s="12" t="s">
        <v>1147</v>
      </c>
    </row>
    <row r="1293" spans="1:7" x14ac:dyDescent="0.3">
      <c r="A1293" s="28"/>
      <c r="B1293" s="28"/>
      <c r="C1293" s="28" t="s">
        <v>859</v>
      </c>
      <c r="D1293" s="28"/>
      <c r="E1293" s="12" t="s">
        <v>1276</v>
      </c>
      <c r="F1293" s="12" t="s">
        <v>965</v>
      </c>
      <c r="G1293" s="12" t="s">
        <v>1147</v>
      </c>
    </row>
    <row r="1294" spans="1:7" x14ac:dyDescent="0.3">
      <c r="A1294" s="28"/>
      <c r="B1294" s="28"/>
      <c r="C1294" s="28" t="s">
        <v>859</v>
      </c>
      <c r="D1294" s="28"/>
      <c r="E1294" s="12" t="s">
        <v>1278</v>
      </c>
      <c r="F1294" s="12" t="s">
        <v>967</v>
      </c>
      <c r="G1294" s="12" t="s">
        <v>1147</v>
      </c>
    </row>
    <row r="1295" spans="1:7" x14ac:dyDescent="0.3">
      <c r="A1295" s="28"/>
      <c r="B1295" s="28"/>
      <c r="C1295" s="28" t="s">
        <v>859</v>
      </c>
      <c r="D1295" s="28"/>
      <c r="E1295" s="12" t="s">
        <v>1280</v>
      </c>
      <c r="F1295" s="12" t="s">
        <v>969</v>
      </c>
      <c r="G1295" s="12" t="s">
        <v>1147</v>
      </c>
    </row>
    <row r="1296" spans="1:7" x14ac:dyDescent="0.3">
      <c r="A1296" s="28"/>
      <c r="B1296" s="28"/>
      <c r="C1296" s="28" t="s">
        <v>859</v>
      </c>
      <c r="D1296" s="28"/>
      <c r="E1296" s="12" t="s">
        <v>1286</v>
      </c>
      <c r="F1296" s="12" t="s">
        <v>973</v>
      </c>
      <c r="G1296" s="12" t="s">
        <v>1147</v>
      </c>
    </row>
    <row r="1297" spans="1:7" x14ac:dyDescent="0.3">
      <c r="A1297" s="28"/>
      <c r="B1297" s="28"/>
      <c r="C1297" s="28" t="s">
        <v>859</v>
      </c>
      <c r="D1297" s="28"/>
      <c r="E1297" s="12" t="s">
        <v>1286</v>
      </c>
      <c r="F1297" s="12" t="s">
        <v>1025</v>
      </c>
      <c r="G1297" s="12" t="s">
        <v>1169</v>
      </c>
    </row>
    <row r="1298" spans="1:7" x14ac:dyDescent="0.3">
      <c r="A1298" s="28"/>
      <c r="B1298" s="28"/>
      <c r="C1298" s="28" t="s">
        <v>859</v>
      </c>
      <c r="D1298" s="28"/>
      <c r="E1298" s="12" t="s">
        <v>1837</v>
      </c>
      <c r="F1298" s="12" t="s">
        <v>973</v>
      </c>
      <c r="G1298" s="12" t="s">
        <v>1147</v>
      </c>
    </row>
    <row r="1299" spans="1:7" x14ac:dyDescent="0.3">
      <c r="A1299" s="28"/>
      <c r="B1299" s="28"/>
      <c r="C1299" s="28" t="s">
        <v>859</v>
      </c>
      <c r="D1299" s="28"/>
      <c r="E1299" s="12" t="s">
        <v>1225</v>
      </c>
      <c r="F1299" s="12" t="s">
        <v>927</v>
      </c>
      <c r="G1299" s="12" t="s">
        <v>1158</v>
      </c>
    </row>
    <row r="1300" spans="1:7" x14ac:dyDescent="0.3">
      <c r="A1300" s="28"/>
      <c r="B1300" s="28"/>
      <c r="C1300" s="28" t="s">
        <v>859</v>
      </c>
      <c r="D1300" s="28"/>
      <c r="E1300" s="12" t="s">
        <v>1225</v>
      </c>
      <c r="F1300" s="12" t="s">
        <v>927</v>
      </c>
      <c r="G1300" s="12" t="s">
        <v>1169</v>
      </c>
    </row>
    <row r="1301" spans="1:7" x14ac:dyDescent="0.3">
      <c r="A1301" s="28"/>
      <c r="B1301" s="28"/>
      <c r="C1301" s="28" t="s">
        <v>859</v>
      </c>
      <c r="D1301" s="28"/>
      <c r="E1301" s="12" t="s">
        <v>1215</v>
      </c>
      <c r="F1301" s="12" t="s">
        <v>957</v>
      </c>
      <c r="G1301" s="12" t="s">
        <v>1158</v>
      </c>
    </row>
    <row r="1302" spans="1:7" x14ac:dyDescent="0.3">
      <c r="A1302" s="28"/>
      <c r="B1302" s="28"/>
      <c r="C1302" s="28" t="s">
        <v>859</v>
      </c>
      <c r="D1302" s="28"/>
      <c r="E1302" s="12" t="s">
        <v>1215</v>
      </c>
      <c r="F1302" s="12" t="s">
        <v>957</v>
      </c>
      <c r="G1302" s="12" t="s">
        <v>1169</v>
      </c>
    </row>
    <row r="1303" spans="1:7" x14ac:dyDescent="0.3">
      <c r="A1303" s="28"/>
      <c r="B1303" s="28"/>
      <c r="C1303" s="28" t="s">
        <v>859</v>
      </c>
      <c r="D1303" s="28"/>
      <c r="E1303" s="12" t="s">
        <v>1215</v>
      </c>
      <c r="F1303" s="12" t="s">
        <v>959</v>
      </c>
      <c r="G1303" s="12" t="s">
        <v>1158</v>
      </c>
    </row>
    <row r="1304" spans="1:7" x14ac:dyDescent="0.3">
      <c r="A1304" s="28"/>
      <c r="B1304" s="28"/>
      <c r="C1304" s="28" t="s">
        <v>859</v>
      </c>
      <c r="D1304" s="28"/>
      <c r="E1304" s="12" t="s">
        <v>1215</v>
      </c>
      <c r="F1304" s="12" t="s">
        <v>959</v>
      </c>
      <c r="G1304" s="12" t="s">
        <v>1169</v>
      </c>
    </row>
    <row r="1305" spans="1:7" x14ac:dyDescent="0.3">
      <c r="A1305" s="28"/>
      <c r="B1305" s="28"/>
      <c r="C1305" s="28" t="s">
        <v>859</v>
      </c>
      <c r="D1305" s="28"/>
      <c r="E1305" s="12" t="s">
        <v>1215</v>
      </c>
      <c r="F1305" s="12" t="s">
        <v>961</v>
      </c>
      <c r="G1305" s="12" t="s">
        <v>1158</v>
      </c>
    </row>
    <row r="1306" spans="1:7" x14ac:dyDescent="0.3">
      <c r="A1306" s="28"/>
      <c r="B1306" s="28"/>
      <c r="C1306" s="28" t="s">
        <v>859</v>
      </c>
      <c r="D1306" s="28"/>
      <c r="E1306" s="12" t="s">
        <v>1215</v>
      </c>
      <c r="F1306" s="12" t="s">
        <v>961</v>
      </c>
      <c r="G1306" s="12" t="s">
        <v>1169</v>
      </c>
    </row>
    <row r="1307" spans="1:7" x14ac:dyDescent="0.3">
      <c r="A1307" s="28"/>
      <c r="B1307" s="28"/>
      <c r="C1307" s="28" t="s">
        <v>859</v>
      </c>
      <c r="D1307" s="28"/>
      <c r="E1307" s="12" t="s">
        <v>1227</v>
      </c>
      <c r="F1307" s="12" t="s">
        <v>929</v>
      </c>
      <c r="G1307" s="12" t="s">
        <v>1158</v>
      </c>
    </row>
    <row r="1308" spans="1:7" x14ac:dyDescent="0.3">
      <c r="A1308" s="28"/>
      <c r="B1308" s="28"/>
      <c r="C1308" s="28" t="s">
        <v>859</v>
      </c>
      <c r="D1308" s="28"/>
      <c r="E1308" s="12" t="s">
        <v>1227</v>
      </c>
      <c r="F1308" s="12" t="s">
        <v>929</v>
      </c>
      <c r="G1308" s="12" t="s">
        <v>1169</v>
      </c>
    </row>
    <row r="1309" spans="1:7" x14ac:dyDescent="0.3">
      <c r="A1309" s="28"/>
      <c r="B1309" s="28"/>
      <c r="C1309" s="28" t="s">
        <v>859</v>
      </c>
      <c r="D1309" s="28"/>
      <c r="E1309" s="12" t="s">
        <v>1217</v>
      </c>
      <c r="F1309" s="12" t="s">
        <v>963</v>
      </c>
      <c r="G1309" s="12" t="s">
        <v>1158</v>
      </c>
    </row>
    <row r="1310" spans="1:7" x14ac:dyDescent="0.3">
      <c r="A1310" s="28"/>
      <c r="B1310" s="28"/>
      <c r="C1310" s="28" t="s">
        <v>859</v>
      </c>
      <c r="D1310" s="28"/>
      <c r="E1310" s="12" t="s">
        <v>1217</v>
      </c>
      <c r="F1310" s="12" t="s">
        <v>963</v>
      </c>
      <c r="G1310" s="12" t="s">
        <v>1169</v>
      </c>
    </row>
    <row r="1311" spans="1:7" x14ac:dyDescent="0.3">
      <c r="A1311" s="28"/>
      <c r="B1311" s="28"/>
      <c r="C1311" s="28" t="s">
        <v>859</v>
      </c>
      <c r="D1311" s="28"/>
      <c r="E1311" s="12" t="s">
        <v>1217</v>
      </c>
      <c r="F1311" s="12" t="s">
        <v>965</v>
      </c>
      <c r="G1311" s="12" t="s">
        <v>1158</v>
      </c>
    </row>
    <row r="1312" spans="1:7" x14ac:dyDescent="0.3">
      <c r="A1312" s="28"/>
      <c r="B1312" s="28"/>
      <c r="C1312" s="28" t="s">
        <v>859</v>
      </c>
      <c r="D1312" s="28"/>
      <c r="E1312" s="12" t="s">
        <v>1217</v>
      </c>
      <c r="F1312" s="12" t="s">
        <v>965</v>
      </c>
      <c r="G1312" s="12" t="s">
        <v>1169</v>
      </c>
    </row>
    <row r="1313" spans="1:7" x14ac:dyDescent="0.3">
      <c r="A1313" s="28"/>
      <c r="B1313" s="28"/>
      <c r="C1313" s="28" t="s">
        <v>859</v>
      </c>
      <c r="D1313" s="28"/>
      <c r="E1313" s="12" t="s">
        <v>1229</v>
      </c>
      <c r="F1313" s="12" t="s">
        <v>931</v>
      </c>
      <c r="G1313" s="12" t="s">
        <v>1158</v>
      </c>
    </row>
    <row r="1314" spans="1:7" x14ac:dyDescent="0.3">
      <c r="A1314" s="28"/>
      <c r="B1314" s="28"/>
      <c r="C1314" s="28" t="s">
        <v>859</v>
      </c>
      <c r="D1314" s="28"/>
      <c r="E1314" s="12" t="s">
        <v>1229</v>
      </c>
      <c r="F1314" s="12" t="s">
        <v>931</v>
      </c>
      <c r="G1314" s="12" t="s">
        <v>1169</v>
      </c>
    </row>
    <row r="1315" spans="1:7" x14ac:dyDescent="0.3">
      <c r="A1315" s="28"/>
      <c r="B1315" s="28"/>
      <c r="C1315" s="28" t="s">
        <v>859</v>
      </c>
      <c r="D1315" s="28"/>
      <c r="E1315" s="12" t="s">
        <v>1219</v>
      </c>
      <c r="F1315" s="12" t="s">
        <v>967</v>
      </c>
      <c r="G1315" s="12" t="s">
        <v>1158</v>
      </c>
    </row>
    <row r="1316" spans="1:7" x14ac:dyDescent="0.3">
      <c r="A1316" s="28"/>
      <c r="B1316" s="28"/>
      <c r="C1316" s="28" t="s">
        <v>859</v>
      </c>
      <c r="D1316" s="28"/>
      <c r="E1316" s="12" t="s">
        <v>1219</v>
      </c>
      <c r="F1316" s="12" t="s">
        <v>967</v>
      </c>
      <c r="G1316" s="12" t="s">
        <v>1169</v>
      </c>
    </row>
    <row r="1317" spans="1:7" x14ac:dyDescent="0.3">
      <c r="A1317" s="28"/>
      <c r="B1317" s="28"/>
      <c r="C1317" s="28" t="s">
        <v>859</v>
      </c>
      <c r="D1317" s="28"/>
      <c r="E1317" s="12" t="s">
        <v>1219</v>
      </c>
      <c r="F1317" s="12" t="s">
        <v>969</v>
      </c>
      <c r="G1317" s="12" t="s">
        <v>1158</v>
      </c>
    </row>
    <row r="1318" spans="1:7" x14ac:dyDescent="0.3">
      <c r="A1318" s="28"/>
      <c r="B1318" s="28"/>
      <c r="C1318" s="28" t="s">
        <v>859</v>
      </c>
      <c r="D1318" s="28"/>
      <c r="E1318" s="12" t="s">
        <v>1219</v>
      </c>
      <c r="F1318" s="12" t="s">
        <v>969</v>
      </c>
      <c r="G1318" s="12" t="s">
        <v>1169</v>
      </c>
    </row>
    <row r="1319" spans="1:7" x14ac:dyDescent="0.3">
      <c r="A1319" s="28"/>
      <c r="B1319" s="28"/>
      <c r="C1319" s="28" t="s">
        <v>859</v>
      </c>
      <c r="D1319" s="28"/>
      <c r="E1319" s="12" t="s">
        <v>1219</v>
      </c>
      <c r="F1319" s="12" t="s">
        <v>1501</v>
      </c>
      <c r="G1319" s="12" t="s">
        <v>1158</v>
      </c>
    </row>
    <row r="1320" spans="1:7" x14ac:dyDescent="0.3">
      <c r="A1320" s="28"/>
      <c r="B1320" s="28"/>
      <c r="C1320" s="28" t="s">
        <v>859</v>
      </c>
      <c r="D1320" s="28"/>
      <c r="E1320" s="12" t="s">
        <v>1219</v>
      </c>
      <c r="F1320" s="12" t="s">
        <v>1501</v>
      </c>
      <c r="G1320" s="12" t="s">
        <v>1169</v>
      </c>
    </row>
    <row r="1321" spans="1:7" x14ac:dyDescent="0.3">
      <c r="A1321" s="28"/>
      <c r="B1321" s="28"/>
      <c r="C1321" s="28" t="s">
        <v>859</v>
      </c>
      <c r="D1321" s="28"/>
      <c r="E1321" s="12" t="s">
        <v>1034</v>
      </c>
      <c r="F1321" s="12" t="s">
        <v>1034</v>
      </c>
      <c r="G1321" s="12" t="s">
        <v>1169</v>
      </c>
    </row>
    <row r="1322" spans="1:7" x14ac:dyDescent="0.3">
      <c r="A1322" s="28"/>
      <c r="B1322" s="28"/>
      <c r="C1322" s="28" t="s">
        <v>859</v>
      </c>
      <c r="D1322" s="28"/>
      <c r="E1322" s="12" t="s">
        <v>1312</v>
      </c>
      <c r="F1322" s="12" t="s">
        <v>1040</v>
      </c>
      <c r="G1322" s="12" t="s">
        <v>1169</v>
      </c>
    </row>
    <row r="1323" spans="1:7" x14ac:dyDescent="0.3">
      <c r="A1323" s="28"/>
      <c r="B1323" s="28"/>
      <c r="C1323" s="28" t="s">
        <v>860</v>
      </c>
      <c r="D1323" s="28"/>
      <c r="E1323" s="12" t="s">
        <v>1007</v>
      </c>
      <c r="F1323" s="12" t="s">
        <v>1007</v>
      </c>
      <c r="G1323" s="12" t="s">
        <v>1169</v>
      </c>
    </row>
    <row r="1324" spans="1:7" x14ac:dyDescent="0.3">
      <c r="A1324" s="28"/>
      <c r="B1324" s="28"/>
      <c r="C1324" s="28" t="s">
        <v>860</v>
      </c>
      <c r="D1324" s="28"/>
      <c r="E1324" s="12" t="s">
        <v>1007</v>
      </c>
      <c r="F1324" s="12" t="s">
        <v>1528</v>
      </c>
      <c r="G1324" s="12" t="s">
        <v>1147</v>
      </c>
    </row>
    <row r="1325" spans="1:7" x14ac:dyDescent="0.3">
      <c r="A1325" s="28"/>
      <c r="B1325" s="28"/>
      <c r="C1325" s="28" t="s">
        <v>860</v>
      </c>
      <c r="D1325" s="28"/>
      <c r="E1325" s="12" t="s">
        <v>1007</v>
      </c>
      <c r="F1325" s="12" t="s">
        <v>1523</v>
      </c>
      <c r="G1325" s="12" t="s">
        <v>1147</v>
      </c>
    </row>
    <row r="1326" spans="1:7" x14ac:dyDescent="0.3">
      <c r="A1326" s="28"/>
      <c r="B1326" s="28"/>
      <c r="C1326" s="28" t="s">
        <v>860</v>
      </c>
      <c r="D1326" s="28"/>
      <c r="E1326" s="12" t="s">
        <v>1007</v>
      </c>
      <c r="F1326" s="12" t="s">
        <v>1524</v>
      </c>
      <c r="G1326" s="12" t="s">
        <v>1147</v>
      </c>
    </row>
    <row r="1327" spans="1:7" x14ac:dyDescent="0.3">
      <c r="A1327" s="28"/>
      <c r="B1327" s="28"/>
      <c r="C1327" s="28" t="s">
        <v>860</v>
      </c>
      <c r="D1327" s="28"/>
      <c r="E1327" s="12" t="s">
        <v>1007</v>
      </c>
      <c r="F1327" s="12" t="s">
        <v>1525</v>
      </c>
      <c r="G1327" s="12" t="s">
        <v>1147</v>
      </c>
    </row>
    <row r="1328" spans="1:7" x14ac:dyDescent="0.3">
      <c r="A1328" s="28"/>
      <c r="B1328" s="28"/>
      <c r="C1328" s="28" t="s">
        <v>860</v>
      </c>
      <c r="D1328" s="28"/>
      <c r="E1328" s="12" t="s">
        <v>1007</v>
      </c>
      <c r="F1328" s="12" t="s">
        <v>1526</v>
      </c>
      <c r="G1328" s="12" t="s">
        <v>1147</v>
      </c>
    </row>
    <row r="1329" spans="1:7" x14ac:dyDescent="0.3">
      <c r="A1329" s="28"/>
      <c r="B1329" s="28"/>
      <c r="C1329" s="28" t="s">
        <v>860</v>
      </c>
      <c r="D1329" s="28"/>
      <c r="E1329" s="12" t="s">
        <v>1007</v>
      </c>
      <c r="F1329" s="12" t="s">
        <v>1527</v>
      </c>
      <c r="G1329" s="12" t="s">
        <v>1147</v>
      </c>
    </row>
    <row r="1330" spans="1:7" x14ac:dyDescent="0.3">
      <c r="A1330" s="28"/>
      <c r="B1330" s="28"/>
      <c r="C1330" s="28" t="s">
        <v>860</v>
      </c>
      <c r="D1330" s="28"/>
      <c r="E1330" s="12" t="s">
        <v>1007</v>
      </c>
      <c r="F1330" s="12" t="s">
        <v>1522</v>
      </c>
      <c r="G1330" s="12" t="s">
        <v>1147</v>
      </c>
    </row>
    <row r="1331" spans="1:7" x14ac:dyDescent="0.3">
      <c r="A1331" s="28"/>
      <c r="B1331" s="28"/>
      <c r="C1331" s="28" t="s">
        <v>860</v>
      </c>
      <c r="D1331" s="28"/>
      <c r="E1331" s="12" t="s">
        <v>904</v>
      </c>
      <c r="F1331" s="12" t="s">
        <v>904</v>
      </c>
      <c r="G1331" s="12" t="s">
        <v>1147</v>
      </c>
    </row>
    <row r="1332" spans="1:7" x14ac:dyDescent="0.3">
      <c r="A1332" s="28"/>
      <c r="B1332" s="28"/>
      <c r="C1332" s="28" t="s">
        <v>860</v>
      </c>
      <c r="D1332" s="28"/>
      <c r="E1332" s="12" t="s">
        <v>906</v>
      </c>
      <c r="F1332" s="12" t="s">
        <v>906</v>
      </c>
      <c r="G1332" s="12" t="s">
        <v>1147</v>
      </c>
    </row>
    <row r="1333" spans="1:7" x14ac:dyDescent="0.3">
      <c r="A1333" s="28"/>
      <c r="B1333" s="28"/>
      <c r="C1333" s="28" t="s">
        <v>860</v>
      </c>
      <c r="D1333" s="28"/>
      <c r="E1333" s="12" t="s">
        <v>1207</v>
      </c>
      <c r="F1333" s="12" t="s">
        <v>937</v>
      </c>
      <c r="G1333" s="12" t="s">
        <v>1147</v>
      </c>
    </row>
    <row r="1334" spans="1:7" x14ac:dyDescent="0.3">
      <c r="A1334" s="28"/>
      <c r="B1334" s="28"/>
      <c r="C1334" s="28" t="s">
        <v>860</v>
      </c>
      <c r="D1334" s="28"/>
      <c r="E1334" s="12" t="s">
        <v>1207</v>
      </c>
      <c r="F1334" s="12" t="s">
        <v>1011</v>
      </c>
      <c r="G1334" s="12" t="s">
        <v>1169</v>
      </c>
    </row>
    <row r="1335" spans="1:7" x14ac:dyDescent="0.3">
      <c r="A1335" s="28"/>
      <c r="B1335" s="28"/>
      <c r="C1335" s="28" t="s">
        <v>860</v>
      </c>
      <c r="D1335" s="28"/>
      <c r="E1335" s="12" t="s">
        <v>1209</v>
      </c>
      <c r="F1335" s="12" t="s">
        <v>939</v>
      </c>
      <c r="G1335" s="12" t="s">
        <v>1147</v>
      </c>
    </row>
    <row r="1336" spans="1:7" x14ac:dyDescent="0.3">
      <c r="A1336" s="28"/>
      <c r="B1336" s="28"/>
      <c r="C1336" s="28" t="s">
        <v>860</v>
      </c>
      <c r="D1336" s="28"/>
      <c r="E1336" s="12" t="s">
        <v>1209</v>
      </c>
      <c r="F1336" s="12" t="s">
        <v>1011</v>
      </c>
      <c r="G1336" s="12" t="s">
        <v>1169</v>
      </c>
    </row>
    <row r="1337" spans="1:7" x14ac:dyDescent="0.3">
      <c r="A1337" s="28"/>
      <c r="B1337" s="28"/>
      <c r="C1337" s="28" t="s">
        <v>860</v>
      </c>
      <c r="D1337" s="28"/>
      <c r="E1337" s="12" t="s">
        <v>1017</v>
      </c>
      <c r="F1337" s="12" t="s">
        <v>1017</v>
      </c>
      <c r="G1337" s="12" t="s">
        <v>1147</v>
      </c>
    </row>
    <row r="1338" spans="1:7" x14ac:dyDescent="0.3">
      <c r="A1338" s="28"/>
      <c r="B1338" s="28"/>
      <c r="C1338" s="28" t="s">
        <v>860</v>
      </c>
      <c r="D1338" s="28"/>
      <c r="E1338" s="12" t="s">
        <v>1019</v>
      </c>
      <c r="F1338" s="12" t="s">
        <v>1019</v>
      </c>
      <c r="G1338" s="12" t="s">
        <v>1169</v>
      </c>
    </row>
    <row r="1339" spans="1:7" x14ac:dyDescent="0.3">
      <c r="A1339" s="28"/>
      <c r="B1339" s="28"/>
      <c r="C1339" s="28" t="s">
        <v>860</v>
      </c>
      <c r="D1339" s="28"/>
      <c r="E1339" s="12" t="s">
        <v>1019</v>
      </c>
      <c r="F1339" s="12" t="s">
        <v>1523</v>
      </c>
      <c r="G1339" s="12" t="s">
        <v>1147</v>
      </c>
    </row>
    <row r="1340" spans="1:7" x14ac:dyDescent="0.3">
      <c r="A1340" s="28"/>
      <c r="B1340" s="28"/>
      <c r="C1340" s="28" t="s">
        <v>860</v>
      </c>
      <c r="D1340" s="28"/>
      <c r="E1340" s="12" t="s">
        <v>1019</v>
      </c>
      <c r="F1340" s="12" t="s">
        <v>1524</v>
      </c>
      <c r="G1340" s="12" t="s">
        <v>1147</v>
      </c>
    </row>
    <row r="1341" spans="1:7" x14ac:dyDescent="0.3">
      <c r="A1341" s="28"/>
      <c r="B1341" s="28"/>
      <c r="C1341" s="28" t="s">
        <v>860</v>
      </c>
      <c r="D1341" s="28"/>
      <c r="E1341" s="12" t="s">
        <v>1314</v>
      </c>
      <c r="F1341" s="12" t="s">
        <v>914</v>
      </c>
      <c r="G1341" s="12" t="s">
        <v>1147</v>
      </c>
    </row>
    <row r="1342" spans="1:7" x14ac:dyDescent="0.3">
      <c r="A1342" s="28"/>
      <c r="B1342" s="28"/>
      <c r="C1342" s="28" t="s">
        <v>860</v>
      </c>
      <c r="D1342" s="28"/>
      <c r="E1342" s="12" t="s">
        <v>1316</v>
      </c>
      <c r="F1342" s="12" t="s">
        <v>914</v>
      </c>
      <c r="G1342" s="12" t="s">
        <v>1147</v>
      </c>
    </row>
    <row r="1343" spans="1:7" x14ac:dyDescent="0.3">
      <c r="A1343" s="28"/>
      <c r="B1343" s="28"/>
      <c r="C1343" s="28" t="s">
        <v>860</v>
      </c>
      <c r="D1343" s="28"/>
      <c r="E1343" s="12" t="s">
        <v>1318</v>
      </c>
      <c r="F1343" s="12" t="s">
        <v>916</v>
      </c>
      <c r="G1343" s="12" t="s">
        <v>1147</v>
      </c>
    </row>
    <row r="1344" spans="1:7" x14ac:dyDescent="0.3">
      <c r="A1344" s="28"/>
      <c r="B1344" s="28"/>
      <c r="C1344" s="28" t="s">
        <v>860</v>
      </c>
      <c r="D1344" s="28"/>
      <c r="E1344" s="12" t="s">
        <v>1320</v>
      </c>
      <c r="F1344" s="12" t="s">
        <v>916</v>
      </c>
      <c r="G1344" s="12" t="s">
        <v>1147</v>
      </c>
    </row>
    <row r="1345" spans="1:7" x14ac:dyDescent="0.3">
      <c r="A1345" s="28"/>
      <c r="B1345" s="28"/>
      <c r="C1345" s="28" t="s">
        <v>860</v>
      </c>
      <c r="D1345" s="28"/>
      <c r="E1345" s="12" t="s">
        <v>1528</v>
      </c>
      <c r="F1345" s="12" t="s">
        <v>943</v>
      </c>
      <c r="G1345" s="12" t="s">
        <v>1147</v>
      </c>
    </row>
    <row r="1346" spans="1:7" x14ac:dyDescent="0.3">
      <c r="A1346" s="28"/>
      <c r="B1346" s="28"/>
      <c r="C1346" s="28" t="s">
        <v>860</v>
      </c>
      <c r="D1346" s="28"/>
      <c r="E1346" s="12" t="s">
        <v>1523</v>
      </c>
      <c r="F1346" s="12" t="s">
        <v>945</v>
      </c>
      <c r="G1346" s="12" t="s">
        <v>1147</v>
      </c>
    </row>
    <row r="1347" spans="1:7" x14ac:dyDescent="0.3">
      <c r="A1347" s="28"/>
      <c r="B1347" s="28"/>
      <c r="C1347" s="28" t="s">
        <v>860</v>
      </c>
      <c r="D1347" s="28"/>
      <c r="E1347" s="12" t="s">
        <v>1523</v>
      </c>
      <c r="F1347" s="12" t="s">
        <v>947</v>
      </c>
      <c r="G1347" s="12" t="s">
        <v>1147</v>
      </c>
    </row>
    <row r="1348" spans="1:7" x14ac:dyDescent="0.3">
      <c r="A1348" s="28"/>
      <c r="B1348" s="28"/>
      <c r="C1348" s="28" t="s">
        <v>860</v>
      </c>
      <c r="D1348" s="28"/>
      <c r="E1348" s="12" t="s">
        <v>1524</v>
      </c>
      <c r="F1348" s="12" t="s">
        <v>949</v>
      </c>
      <c r="G1348" s="12" t="s">
        <v>1147</v>
      </c>
    </row>
    <row r="1349" spans="1:7" x14ac:dyDescent="0.3">
      <c r="A1349" s="28"/>
      <c r="B1349" s="28"/>
      <c r="C1349" s="28" t="s">
        <v>860</v>
      </c>
      <c r="D1349" s="28"/>
      <c r="E1349" s="12" t="s">
        <v>1524</v>
      </c>
      <c r="F1349" s="12" t="s">
        <v>951</v>
      </c>
      <c r="G1349" s="12" t="s">
        <v>1147</v>
      </c>
    </row>
    <row r="1350" spans="1:7" x14ac:dyDescent="0.3">
      <c r="A1350" s="28"/>
      <c r="B1350" s="28"/>
      <c r="C1350" s="28" t="s">
        <v>860</v>
      </c>
      <c r="D1350" s="28"/>
      <c r="E1350" s="12" t="s">
        <v>1524</v>
      </c>
      <c r="F1350" s="12" t="s">
        <v>953</v>
      </c>
      <c r="G1350" s="12" t="s">
        <v>1147</v>
      </c>
    </row>
    <row r="1351" spans="1:7" x14ac:dyDescent="0.3">
      <c r="A1351" s="28"/>
      <c r="B1351" s="28"/>
      <c r="C1351" s="28" t="s">
        <v>860</v>
      </c>
      <c r="D1351" s="28"/>
      <c r="E1351" s="12" t="s">
        <v>1524</v>
      </c>
      <c r="F1351" s="12" t="s">
        <v>955</v>
      </c>
      <c r="G1351" s="12" t="s">
        <v>1147</v>
      </c>
    </row>
    <row r="1352" spans="1:7" x14ac:dyDescent="0.3">
      <c r="A1352" s="28"/>
      <c r="B1352" s="28"/>
      <c r="C1352" s="28" t="s">
        <v>860</v>
      </c>
      <c r="D1352" s="28"/>
      <c r="E1352" s="12" t="s">
        <v>1525</v>
      </c>
      <c r="F1352" s="12" t="s">
        <v>957</v>
      </c>
      <c r="G1352" s="12" t="s">
        <v>1147</v>
      </c>
    </row>
    <row r="1353" spans="1:7" x14ac:dyDescent="0.3">
      <c r="A1353" s="28"/>
      <c r="B1353" s="28"/>
      <c r="C1353" s="28" t="s">
        <v>860</v>
      </c>
      <c r="D1353" s="28"/>
      <c r="E1353" s="12" t="s">
        <v>1525</v>
      </c>
      <c r="F1353" s="12" t="s">
        <v>959</v>
      </c>
      <c r="G1353" s="12" t="s">
        <v>1147</v>
      </c>
    </row>
    <row r="1354" spans="1:7" x14ac:dyDescent="0.3">
      <c r="A1354" s="28"/>
      <c r="B1354" s="28"/>
      <c r="C1354" s="28" t="s">
        <v>860</v>
      </c>
      <c r="D1354" s="28"/>
      <c r="E1354" s="12" t="s">
        <v>1525</v>
      </c>
      <c r="F1354" s="12" t="s">
        <v>961</v>
      </c>
      <c r="G1354" s="12" t="s">
        <v>1147</v>
      </c>
    </row>
    <row r="1355" spans="1:7" x14ac:dyDescent="0.3">
      <c r="A1355" s="28"/>
      <c r="B1355" s="28"/>
      <c r="C1355" s="28" t="s">
        <v>860</v>
      </c>
      <c r="D1355" s="28"/>
      <c r="E1355" s="12" t="s">
        <v>1526</v>
      </c>
      <c r="F1355" s="12" t="s">
        <v>963</v>
      </c>
      <c r="G1355" s="12" t="s">
        <v>1147</v>
      </c>
    </row>
    <row r="1356" spans="1:7" x14ac:dyDescent="0.3">
      <c r="A1356" s="28"/>
      <c r="B1356" s="28"/>
      <c r="C1356" s="28" t="s">
        <v>860</v>
      </c>
      <c r="D1356" s="28"/>
      <c r="E1356" s="12" t="s">
        <v>1526</v>
      </c>
      <c r="F1356" s="12" t="s">
        <v>965</v>
      </c>
      <c r="G1356" s="12" t="s">
        <v>1147</v>
      </c>
    </row>
    <row r="1357" spans="1:7" x14ac:dyDescent="0.3">
      <c r="A1357" s="28"/>
      <c r="B1357" s="28"/>
      <c r="C1357" s="28" t="s">
        <v>860</v>
      </c>
      <c r="D1357" s="28"/>
      <c r="E1357" s="12" t="s">
        <v>1527</v>
      </c>
      <c r="F1357" s="12" t="s">
        <v>967</v>
      </c>
      <c r="G1357" s="12" t="s">
        <v>1147</v>
      </c>
    </row>
    <row r="1358" spans="1:7" x14ac:dyDescent="0.3">
      <c r="A1358" s="28"/>
      <c r="B1358" s="28"/>
      <c r="C1358" s="28" t="s">
        <v>860</v>
      </c>
      <c r="D1358" s="28"/>
      <c r="E1358" s="12" t="s">
        <v>1527</v>
      </c>
      <c r="F1358" s="12" t="s">
        <v>969</v>
      </c>
      <c r="G1358" s="12" t="s">
        <v>1147</v>
      </c>
    </row>
    <row r="1359" spans="1:7" x14ac:dyDescent="0.3">
      <c r="A1359" s="28"/>
      <c r="B1359" s="28"/>
      <c r="C1359" s="28" t="s">
        <v>860</v>
      </c>
      <c r="D1359" s="28"/>
      <c r="E1359" s="12" t="s">
        <v>1527</v>
      </c>
      <c r="F1359" s="12" t="s">
        <v>1501</v>
      </c>
      <c r="G1359" s="12" t="s">
        <v>1147</v>
      </c>
    </row>
    <row r="1360" spans="1:7" x14ac:dyDescent="0.3">
      <c r="A1360" s="28"/>
      <c r="B1360" s="28"/>
      <c r="C1360" s="28" t="s">
        <v>860</v>
      </c>
      <c r="D1360" s="28"/>
      <c r="E1360" s="12" t="s">
        <v>1522</v>
      </c>
      <c r="F1360" s="12" t="s">
        <v>941</v>
      </c>
      <c r="G1360" s="12" t="s">
        <v>1147</v>
      </c>
    </row>
    <row r="1361" spans="1:7" x14ac:dyDescent="0.3">
      <c r="A1361" s="28"/>
      <c r="B1361" s="28"/>
      <c r="C1361" s="28" t="s">
        <v>860</v>
      </c>
      <c r="D1361" s="28"/>
      <c r="E1361" s="12" t="s">
        <v>1254</v>
      </c>
      <c r="F1361" s="12" t="s">
        <v>943</v>
      </c>
      <c r="G1361" s="12" t="s">
        <v>1147</v>
      </c>
    </row>
    <row r="1362" spans="1:7" x14ac:dyDescent="0.3">
      <c r="A1362" s="28"/>
      <c r="B1362" s="28"/>
      <c r="C1362" s="28" t="s">
        <v>860</v>
      </c>
      <c r="D1362" s="28"/>
      <c r="E1362" s="12" t="s">
        <v>1256</v>
      </c>
      <c r="F1362" s="12" t="s">
        <v>945</v>
      </c>
      <c r="G1362" s="12" t="s">
        <v>1147</v>
      </c>
    </row>
    <row r="1363" spans="1:7" x14ac:dyDescent="0.3">
      <c r="A1363" s="28"/>
      <c r="B1363" s="28"/>
      <c r="C1363" s="28" t="s">
        <v>860</v>
      </c>
      <c r="D1363" s="28"/>
      <c r="E1363" s="12" t="s">
        <v>1258</v>
      </c>
      <c r="F1363" s="12" t="s">
        <v>947</v>
      </c>
      <c r="G1363" s="12" t="s">
        <v>1147</v>
      </c>
    </row>
    <row r="1364" spans="1:7" x14ac:dyDescent="0.3">
      <c r="A1364" s="28"/>
      <c r="B1364" s="28"/>
      <c r="C1364" s="28" t="s">
        <v>860</v>
      </c>
      <c r="D1364" s="28"/>
      <c r="E1364" s="12" t="s">
        <v>1260</v>
      </c>
      <c r="F1364" s="12" t="s">
        <v>949</v>
      </c>
      <c r="G1364" s="12" t="s">
        <v>1147</v>
      </c>
    </row>
    <row r="1365" spans="1:7" x14ac:dyDescent="0.3">
      <c r="A1365" s="28"/>
      <c r="B1365" s="28"/>
      <c r="C1365" s="28" t="s">
        <v>860</v>
      </c>
      <c r="D1365" s="28"/>
      <c r="E1365" s="12" t="s">
        <v>1262</v>
      </c>
      <c r="F1365" s="12" t="s">
        <v>951</v>
      </c>
      <c r="G1365" s="12" t="s">
        <v>1147</v>
      </c>
    </row>
    <row r="1366" spans="1:7" x14ac:dyDescent="0.3">
      <c r="A1366" s="28"/>
      <c r="B1366" s="28"/>
      <c r="C1366" s="28" t="s">
        <v>860</v>
      </c>
      <c r="D1366" s="28"/>
      <c r="E1366" s="12" t="s">
        <v>1264</v>
      </c>
      <c r="F1366" s="12" t="s">
        <v>953</v>
      </c>
      <c r="G1366" s="12" t="s">
        <v>1147</v>
      </c>
    </row>
    <row r="1367" spans="1:7" x14ac:dyDescent="0.3">
      <c r="A1367" s="28"/>
      <c r="B1367" s="28"/>
      <c r="C1367" s="28" t="s">
        <v>860</v>
      </c>
      <c r="D1367" s="28"/>
      <c r="E1367" s="12" t="s">
        <v>1266</v>
      </c>
      <c r="F1367" s="12" t="s">
        <v>955</v>
      </c>
      <c r="G1367" s="12" t="s">
        <v>1147</v>
      </c>
    </row>
    <row r="1368" spans="1:7" x14ac:dyDescent="0.3">
      <c r="A1368" s="28"/>
      <c r="B1368" s="28"/>
      <c r="C1368" s="28" t="s">
        <v>860</v>
      </c>
      <c r="D1368" s="28"/>
      <c r="E1368" s="12" t="s">
        <v>1268</v>
      </c>
      <c r="F1368" s="12" t="s">
        <v>957</v>
      </c>
      <c r="G1368" s="12" t="s">
        <v>1147</v>
      </c>
    </row>
    <row r="1369" spans="1:7" x14ac:dyDescent="0.3">
      <c r="A1369" s="28"/>
      <c r="B1369" s="28"/>
      <c r="C1369" s="28" t="s">
        <v>860</v>
      </c>
      <c r="D1369" s="28"/>
      <c r="E1369" s="12" t="s">
        <v>1270</v>
      </c>
      <c r="F1369" s="12" t="s">
        <v>959</v>
      </c>
      <c r="G1369" s="12" t="s">
        <v>1147</v>
      </c>
    </row>
    <row r="1370" spans="1:7" x14ac:dyDescent="0.3">
      <c r="A1370" s="28"/>
      <c r="B1370" s="28"/>
      <c r="C1370" s="28" t="s">
        <v>860</v>
      </c>
      <c r="D1370" s="28"/>
      <c r="E1370" s="12" t="s">
        <v>1272</v>
      </c>
      <c r="F1370" s="12" t="s">
        <v>961</v>
      </c>
      <c r="G1370" s="12" t="s">
        <v>1147</v>
      </c>
    </row>
    <row r="1371" spans="1:7" x14ac:dyDescent="0.3">
      <c r="A1371" s="28"/>
      <c r="B1371" s="28"/>
      <c r="C1371" s="28" t="s">
        <v>860</v>
      </c>
      <c r="D1371" s="28"/>
      <c r="E1371" s="12" t="s">
        <v>1274</v>
      </c>
      <c r="F1371" s="12" t="s">
        <v>963</v>
      </c>
      <c r="G1371" s="12" t="s">
        <v>1147</v>
      </c>
    </row>
    <row r="1372" spans="1:7" x14ac:dyDescent="0.3">
      <c r="A1372" s="28"/>
      <c r="B1372" s="28"/>
      <c r="C1372" s="28" t="s">
        <v>860</v>
      </c>
      <c r="D1372" s="28"/>
      <c r="E1372" s="12" t="s">
        <v>1276</v>
      </c>
      <c r="F1372" s="12" t="s">
        <v>965</v>
      </c>
      <c r="G1372" s="12" t="s">
        <v>1147</v>
      </c>
    </row>
    <row r="1373" spans="1:7" x14ac:dyDescent="0.3">
      <c r="A1373" s="28"/>
      <c r="B1373" s="28"/>
      <c r="C1373" s="28" t="s">
        <v>860</v>
      </c>
      <c r="D1373" s="28"/>
      <c r="E1373" s="12" t="s">
        <v>1278</v>
      </c>
      <c r="F1373" s="12" t="s">
        <v>967</v>
      </c>
      <c r="G1373" s="12" t="s">
        <v>1147</v>
      </c>
    </row>
    <row r="1374" spans="1:7" x14ac:dyDescent="0.3">
      <c r="A1374" s="28"/>
      <c r="B1374" s="28"/>
      <c r="C1374" s="28" t="s">
        <v>860</v>
      </c>
      <c r="D1374" s="28"/>
      <c r="E1374" s="12" t="s">
        <v>1280</v>
      </c>
      <c r="F1374" s="12" t="s">
        <v>969</v>
      </c>
      <c r="G1374" s="12" t="s">
        <v>1147</v>
      </c>
    </row>
    <row r="1375" spans="1:7" x14ac:dyDescent="0.3">
      <c r="A1375" s="28"/>
      <c r="B1375" s="28"/>
      <c r="C1375" s="28" t="s">
        <v>860</v>
      </c>
      <c r="D1375" s="28"/>
      <c r="E1375" s="12" t="s">
        <v>1282</v>
      </c>
      <c r="F1375" s="12" t="s">
        <v>941</v>
      </c>
      <c r="G1375" s="12" t="s">
        <v>1147</v>
      </c>
    </row>
    <row r="1376" spans="1:7" x14ac:dyDescent="0.3">
      <c r="A1376" s="28"/>
      <c r="B1376" s="28"/>
      <c r="C1376" s="28" t="s">
        <v>860</v>
      </c>
      <c r="D1376" s="28"/>
      <c r="E1376" s="12" t="s">
        <v>1284</v>
      </c>
      <c r="F1376" s="12" t="s">
        <v>971</v>
      </c>
      <c r="G1376" s="12" t="s">
        <v>1147</v>
      </c>
    </row>
    <row r="1377" spans="1:7" x14ac:dyDescent="0.3">
      <c r="A1377" s="28"/>
      <c r="B1377" s="28"/>
      <c r="C1377" s="28" t="s">
        <v>860</v>
      </c>
      <c r="D1377" s="28"/>
      <c r="E1377" s="12" t="s">
        <v>1284</v>
      </c>
      <c r="F1377" s="12" t="s">
        <v>1023</v>
      </c>
      <c r="G1377" s="12" t="s">
        <v>1169</v>
      </c>
    </row>
    <row r="1378" spans="1:7" x14ac:dyDescent="0.3">
      <c r="A1378" s="28"/>
      <c r="B1378" s="28"/>
      <c r="C1378" s="28" t="s">
        <v>860</v>
      </c>
      <c r="D1378" s="28"/>
      <c r="E1378" s="12" t="s">
        <v>1286</v>
      </c>
      <c r="F1378" s="12" t="s">
        <v>973</v>
      </c>
      <c r="G1378" s="12" t="s">
        <v>1147</v>
      </c>
    </row>
    <row r="1379" spans="1:7" x14ac:dyDescent="0.3">
      <c r="A1379" s="28"/>
      <c r="B1379" s="28"/>
      <c r="C1379" s="28" t="s">
        <v>860</v>
      </c>
      <c r="D1379" s="28"/>
      <c r="E1379" s="12" t="s">
        <v>1286</v>
      </c>
      <c r="F1379" s="12" t="s">
        <v>1025</v>
      </c>
      <c r="G1379" s="12" t="s">
        <v>1169</v>
      </c>
    </row>
    <row r="1380" spans="1:7" x14ac:dyDescent="0.3">
      <c r="A1380" s="28"/>
      <c r="B1380" s="28"/>
      <c r="C1380" s="28" t="s">
        <v>860</v>
      </c>
      <c r="D1380" s="28"/>
      <c r="E1380" s="12" t="s">
        <v>1587</v>
      </c>
      <c r="F1380" s="12" t="s">
        <v>937</v>
      </c>
      <c r="G1380" s="12" t="s">
        <v>1147</v>
      </c>
    </row>
    <row r="1381" spans="1:7" x14ac:dyDescent="0.3">
      <c r="A1381" s="28"/>
      <c r="B1381" s="28"/>
      <c r="C1381" s="28" t="s">
        <v>860</v>
      </c>
      <c r="D1381" s="28"/>
      <c r="E1381" s="12" t="s">
        <v>1587</v>
      </c>
      <c r="F1381" s="12" t="s">
        <v>939</v>
      </c>
      <c r="G1381" s="12" t="s">
        <v>1147</v>
      </c>
    </row>
    <row r="1382" spans="1:7" x14ac:dyDescent="0.3">
      <c r="A1382" s="28"/>
      <c r="B1382" s="28"/>
      <c r="C1382" s="28" t="s">
        <v>860</v>
      </c>
      <c r="D1382" s="28"/>
      <c r="E1382" s="12" t="s">
        <v>1587</v>
      </c>
      <c r="F1382" s="12" t="s">
        <v>1028</v>
      </c>
      <c r="G1382" s="12" t="s">
        <v>1169</v>
      </c>
    </row>
    <row r="1383" spans="1:7" x14ac:dyDescent="0.3">
      <c r="A1383" s="28"/>
      <c r="B1383" s="28"/>
      <c r="C1383" s="28" t="s">
        <v>860</v>
      </c>
      <c r="D1383" s="28"/>
      <c r="E1383" s="12" t="s">
        <v>1294</v>
      </c>
      <c r="F1383" s="12" t="s">
        <v>912</v>
      </c>
      <c r="G1383" s="12" t="s">
        <v>1147</v>
      </c>
    </row>
    <row r="1384" spans="1:7" x14ac:dyDescent="0.3">
      <c r="A1384" s="28"/>
      <c r="B1384" s="28"/>
      <c r="C1384" s="28" t="s">
        <v>860</v>
      </c>
      <c r="D1384" s="28"/>
      <c r="E1384" s="12" t="s">
        <v>1833</v>
      </c>
      <c r="F1384" s="12" t="s">
        <v>971</v>
      </c>
      <c r="G1384" s="12" t="s">
        <v>1147</v>
      </c>
    </row>
    <row r="1385" spans="1:7" x14ac:dyDescent="0.3">
      <c r="A1385" s="28"/>
      <c r="B1385" s="28"/>
      <c r="C1385" s="28" t="s">
        <v>860</v>
      </c>
      <c r="D1385" s="28"/>
      <c r="E1385" s="12" t="s">
        <v>1837</v>
      </c>
      <c r="F1385" s="12" t="s">
        <v>973</v>
      </c>
      <c r="G1385" s="12" t="s">
        <v>1147</v>
      </c>
    </row>
    <row r="1386" spans="1:7" x14ac:dyDescent="0.3">
      <c r="A1386" s="28"/>
      <c r="B1386" s="28"/>
      <c r="C1386" s="28" t="s">
        <v>860</v>
      </c>
      <c r="D1386" s="28"/>
      <c r="E1386" s="12" t="s">
        <v>1296</v>
      </c>
      <c r="F1386" s="12" t="s">
        <v>1554</v>
      </c>
      <c r="G1386" s="12" t="s">
        <v>1147</v>
      </c>
    </row>
    <row r="1387" spans="1:7" x14ac:dyDescent="0.3">
      <c r="A1387" s="28"/>
      <c r="B1387" s="28"/>
      <c r="C1387" s="28" t="s">
        <v>860</v>
      </c>
      <c r="D1387" s="28"/>
      <c r="E1387" s="12" t="s">
        <v>1296</v>
      </c>
      <c r="F1387" s="12" t="s">
        <v>1556</v>
      </c>
      <c r="G1387" s="12" t="s">
        <v>1147</v>
      </c>
    </row>
    <row r="1388" spans="1:7" x14ac:dyDescent="0.3">
      <c r="A1388" s="28"/>
      <c r="B1388" s="28"/>
      <c r="C1388" s="28" t="s">
        <v>860</v>
      </c>
      <c r="D1388" s="28"/>
      <c r="E1388" s="12" t="s">
        <v>1296</v>
      </c>
      <c r="F1388" s="12" t="s">
        <v>1575</v>
      </c>
      <c r="G1388" s="12" t="s">
        <v>1169</v>
      </c>
    </row>
    <row r="1389" spans="1:7" x14ac:dyDescent="0.3">
      <c r="A1389" s="28"/>
      <c r="B1389" s="28"/>
      <c r="C1389" s="28" t="s">
        <v>860</v>
      </c>
      <c r="D1389" s="28"/>
      <c r="E1389" s="12" t="s">
        <v>1558</v>
      </c>
      <c r="F1389" s="12" t="s">
        <v>1623</v>
      </c>
      <c r="G1389" s="12" t="s">
        <v>1147</v>
      </c>
    </row>
    <row r="1390" spans="1:7" x14ac:dyDescent="0.3">
      <c r="A1390" s="28"/>
      <c r="B1390" s="28"/>
      <c r="C1390" s="28" t="s">
        <v>860</v>
      </c>
      <c r="D1390" s="28"/>
      <c r="E1390" s="12" t="s">
        <v>1558</v>
      </c>
      <c r="F1390" s="12" t="s">
        <v>1560</v>
      </c>
      <c r="G1390" s="12" t="s">
        <v>1147</v>
      </c>
    </row>
    <row r="1391" spans="1:7" x14ac:dyDescent="0.3">
      <c r="A1391" s="28"/>
      <c r="B1391" s="28"/>
      <c r="C1391" s="28" t="s">
        <v>860</v>
      </c>
      <c r="D1391" s="28"/>
      <c r="E1391" s="12" t="s">
        <v>2050</v>
      </c>
      <c r="F1391" s="12" t="s">
        <v>1558</v>
      </c>
      <c r="G1391" s="12" t="s">
        <v>1147</v>
      </c>
    </row>
    <row r="1392" spans="1:7" x14ac:dyDescent="0.3">
      <c r="A1392" s="28"/>
      <c r="B1392" s="28"/>
      <c r="C1392" s="28" t="s">
        <v>860</v>
      </c>
      <c r="D1392" s="28"/>
      <c r="E1392" s="12" t="s">
        <v>1560</v>
      </c>
      <c r="F1392" s="12" t="s">
        <v>1554</v>
      </c>
      <c r="G1392" s="12" t="s">
        <v>1147</v>
      </c>
    </row>
    <row r="1393" spans="1:7" x14ac:dyDescent="0.3">
      <c r="A1393" s="28"/>
      <c r="B1393" s="28"/>
      <c r="C1393" s="28" t="s">
        <v>860</v>
      </c>
      <c r="D1393" s="28"/>
      <c r="E1393" s="12" t="s">
        <v>1560</v>
      </c>
      <c r="F1393" s="12" t="s">
        <v>1556</v>
      </c>
      <c r="G1393" s="12" t="s">
        <v>1147</v>
      </c>
    </row>
    <row r="1394" spans="1:7" x14ac:dyDescent="0.3">
      <c r="A1394" s="28"/>
      <c r="B1394" s="28"/>
      <c r="C1394" s="28" t="s">
        <v>860</v>
      </c>
      <c r="D1394" s="28"/>
      <c r="E1394" s="12" t="s">
        <v>1560</v>
      </c>
      <c r="F1394" s="12" t="s">
        <v>1573</v>
      </c>
      <c r="G1394" s="12" t="s">
        <v>1169</v>
      </c>
    </row>
    <row r="1395" spans="1:7" x14ac:dyDescent="0.3">
      <c r="A1395" s="28"/>
      <c r="B1395" s="28"/>
      <c r="C1395" s="28" t="s">
        <v>860</v>
      </c>
      <c r="D1395" s="28"/>
      <c r="E1395" s="12" t="s">
        <v>2052</v>
      </c>
      <c r="F1395" s="12" t="s">
        <v>1560</v>
      </c>
      <c r="G1395" s="12" t="s">
        <v>1147</v>
      </c>
    </row>
    <row r="1396" spans="1:7" x14ac:dyDescent="0.3">
      <c r="A1396" s="28"/>
      <c r="B1396" s="28"/>
      <c r="C1396" s="28" t="s">
        <v>860</v>
      </c>
      <c r="D1396" s="28"/>
      <c r="E1396" s="12" t="s">
        <v>1580</v>
      </c>
      <c r="F1396" s="12" t="s">
        <v>1621</v>
      </c>
      <c r="G1396" s="12" t="s">
        <v>1147</v>
      </c>
    </row>
    <row r="1397" spans="1:7" x14ac:dyDescent="0.3">
      <c r="A1397" s="28"/>
      <c r="B1397" s="28"/>
      <c r="C1397" s="28" t="s">
        <v>860</v>
      </c>
      <c r="D1397" s="28"/>
      <c r="E1397" s="12" t="s">
        <v>1580</v>
      </c>
      <c r="F1397" s="12" t="s">
        <v>1575</v>
      </c>
      <c r="G1397" s="12" t="s">
        <v>1169</v>
      </c>
    </row>
    <row r="1398" spans="1:7" x14ac:dyDescent="0.3">
      <c r="A1398" s="28"/>
      <c r="B1398" s="28"/>
      <c r="C1398" s="28" t="s">
        <v>860</v>
      </c>
      <c r="D1398" s="28"/>
      <c r="E1398" s="12" t="s">
        <v>2093</v>
      </c>
      <c r="F1398" s="21" t="s">
        <v>1586</v>
      </c>
      <c r="G1398" s="12" t="s">
        <v>1147</v>
      </c>
    </row>
    <row r="1399" spans="1:7" x14ac:dyDescent="0.3">
      <c r="A1399" s="28"/>
      <c r="B1399" s="28"/>
      <c r="C1399" s="28" t="s">
        <v>860</v>
      </c>
      <c r="D1399" s="28"/>
      <c r="E1399" s="12" t="s">
        <v>2093</v>
      </c>
      <c r="F1399" s="12" t="s">
        <v>904</v>
      </c>
      <c r="G1399" s="12" t="s">
        <v>1147</v>
      </c>
    </row>
    <row r="1400" spans="1:7" x14ac:dyDescent="0.3">
      <c r="A1400" s="28"/>
      <c r="B1400" s="28"/>
      <c r="C1400" s="28" t="s">
        <v>860</v>
      </c>
      <c r="D1400" s="28"/>
      <c r="E1400" s="12" t="s">
        <v>2093</v>
      </c>
      <c r="F1400" s="21" t="s">
        <v>2047</v>
      </c>
      <c r="G1400" s="12" t="s">
        <v>1147</v>
      </c>
    </row>
    <row r="1401" spans="1:7" x14ac:dyDescent="0.3">
      <c r="A1401" s="28"/>
      <c r="B1401" s="28"/>
      <c r="C1401" s="28" t="s">
        <v>860</v>
      </c>
      <c r="D1401" s="28"/>
      <c r="E1401" s="12" t="s">
        <v>1246</v>
      </c>
      <c r="F1401" s="12" t="s">
        <v>931</v>
      </c>
      <c r="G1401" s="12" t="s">
        <v>1147</v>
      </c>
    </row>
    <row r="1402" spans="1:7" x14ac:dyDescent="0.3">
      <c r="A1402" s="28"/>
      <c r="B1402" s="28"/>
      <c r="C1402" s="28" t="s">
        <v>860</v>
      </c>
      <c r="D1402" s="28"/>
      <c r="E1402" s="12" t="s">
        <v>1246</v>
      </c>
      <c r="F1402" s="12" t="s">
        <v>931</v>
      </c>
      <c r="G1402" s="12" t="s">
        <v>1158</v>
      </c>
    </row>
    <row r="1403" spans="1:7" x14ac:dyDescent="0.3">
      <c r="A1403" s="28"/>
      <c r="B1403" s="28"/>
      <c r="C1403" s="28" t="s">
        <v>860</v>
      </c>
      <c r="D1403" s="28"/>
      <c r="E1403" s="12" t="s">
        <v>1246</v>
      </c>
      <c r="F1403" s="12" t="s">
        <v>1034</v>
      </c>
      <c r="G1403" s="12" t="s">
        <v>1169</v>
      </c>
    </row>
    <row r="1404" spans="1:7" x14ac:dyDescent="0.3">
      <c r="A1404" s="28"/>
      <c r="B1404" s="28"/>
      <c r="C1404" s="28" t="s">
        <v>860</v>
      </c>
      <c r="D1404" s="28"/>
      <c r="E1404" s="12" t="s">
        <v>1034</v>
      </c>
      <c r="F1404" s="12" t="s">
        <v>1034</v>
      </c>
      <c r="G1404" s="12" t="s">
        <v>1169</v>
      </c>
    </row>
    <row r="1405" spans="1:7" x14ac:dyDescent="0.3">
      <c r="A1405" s="28"/>
      <c r="B1405" s="28"/>
      <c r="C1405" s="28" t="s">
        <v>860</v>
      </c>
      <c r="D1405" s="28"/>
      <c r="E1405" s="12" t="s">
        <v>1312</v>
      </c>
      <c r="F1405" s="12" t="s">
        <v>1040</v>
      </c>
      <c r="G1405" s="12" t="s">
        <v>1169</v>
      </c>
    </row>
    <row r="1406" spans="1:7" x14ac:dyDescent="0.3">
      <c r="A1406" s="28"/>
      <c r="B1406" s="28"/>
      <c r="C1406" s="28"/>
      <c r="D1406" s="28"/>
      <c r="E1406" s="12" t="s">
        <v>1818</v>
      </c>
      <c r="F1406" s="1" t="s">
        <v>1585</v>
      </c>
      <c r="G1406" s="12" t="s">
        <v>1147</v>
      </c>
    </row>
    <row r="1407" spans="1:7" x14ac:dyDescent="0.3">
      <c r="A1407" s="28"/>
      <c r="B1407" s="28"/>
      <c r="C1407" s="28"/>
      <c r="D1407" s="28"/>
      <c r="E1407" s="12" t="s">
        <v>1818</v>
      </c>
      <c r="F1407" s="1" t="s">
        <v>1586</v>
      </c>
      <c r="G1407" s="12" t="s">
        <v>1147</v>
      </c>
    </row>
    <row r="1408" spans="1:7" x14ac:dyDescent="0.3">
      <c r="A1408" s="28"/>
      <c r="B1408" s="28"/>
      <c r="C1408" s="28"/>
      <c r="D1408" s="28"/>
      <c r="E1408" s="12" t="s">
        <v>1818</v>
      </c>
      <c r="F1408" s="1" t="s">
        <v>2047</v>
      </c>
      <c r="G1408" s="12" t="s">
        <v>1147</v>
      </c>
    </row>
    <row r="1409" spans="1:7" x14ac:dyDescent="0.3">
      <c r="A1409" s="28"/>
      <c r="B1409" s="28"/>
      <c r="C1409" s="28"/>
      <c r="D1409" s="28"/>
      <c r="E1409" s="12" t="s">
        <v>1818</v>
      </c>
      <c r="F1409" s="12" t="s">
        <v>1817</v>
      </c>
      <c r="G1409" s="12" t="s">
        <v>1147</v>
      </c>
    </row>
    <row r="1410" spans="1:7" x14ac:dyDescent="0.3">
      <c r="A1410" s="28"/>
      <c r="B1410" s="28"/>
      <c r="C1410" s="28"/>
      <c r="D1410" s="28"/>
      <c r="E1410" s="12" t="s">
        <v>1826</v>
      </c>
      <c r="F1410" s="12" t="s">
        <v>927</v>
      </c>
      <c r="G1410" s="12" t="s">
        <v>1147</v>
      </c>
    </row>
    <row r="1411" spans="1:7" x14ac:dyDescent="0.3">
      <c r="A1411" s="28"/>
      <c r="B1411" s="28"/>
      <c r="C1411" s="28"/>
      <c r="D1411" s="28"/>
      <c r="E1411" s="12" t="s">
        <v>1826</v>
      </c>
      <c r="F1411" s="12" t="s">
        <v>1504</v>
      </c>
      <c r="G1411" s="12" t="s">
        <v>1147</v>
      </c>
    </row>
    <row r="1412" spans="1:7" x14ac:dyDescent="0.3">
      <c r="A1412" s="28"/>
      <c r="B1412" s="28"/>
      <c r="C1412" s="28"/>
      <c r="D1412" s="28"/>
      <c r="E1412" s="12" t="s">
        <v>1826</v>
      </c>
      <c r="F1412" s="12" t="s">
        <v>1823</v>
      </c>
      <c r="G1412" s="12" t="s">
        <v>1169</v>
      </c>
    </row>
    <row r="1413" spans="1:7" x14ac:dyDescent="0.3">
      <c r="A1413" s="28"/>
      <c r="B1413" s="28"/>
      <c r="C1413" s="28"/>
      <c r="D1413" s="28"/>
      <c r="E1413" s="12" t="s">
        <v>1826</v>
      </c>
      <c r="F1413" s="12" t="s">
        <v>927</v>
      </c>
      <c r="G1413" s="12" t="s">
        <v>1147</v>
      </c>
    </row>
    <row r="1414" spans="1:7" x14ac:dyDescent="0.3">
      <c r="A1414" s="28"/>
      <c r="B1414" s="28"/>
      <c r="C1414" s="28"/>
      <c r="D1414" s="28"/>
      <c r="E1414" s="12" t="s">
        <v>1826</v>
      </c>
      <c r="F1414" s="12" t="s">
        <v>1504</v>
      </c>
      <c r="G1414" s="12" t="s">
        <v>1147</v>
      </c>
    </row>
    <row r="1415" spans="1:7" x14ac:dyDescent="0.3">
      <c r="A1415" s="28"/>
      <c r="B1415" s="28"/>
      <c r="C1415" s="28"/>
      <c r="D1415" s="28"/>
      <c r="E1415" s="12" t="s">
        <v>1826</v>
      </c>
      <c r="F1415" s="12" t="s">
        <v>1823</v>
      </c>
      <c r="G1415" s="12" t="s">
        <v>1169</v>
      </c>
    </row>
    <row r="1416" spans="1:7" x14ac:dyDescent="0.3">
      <c r="A1416" s="28"/>
      <c r="B1416" s="28"/>
      <c r="C1416" s="28"/>
      <c r="D1416" s="28"/>
      <c r="E1416" s="12" t="s">
        <v>1827</v>
      </c>
      <c r="F1416" s="12" t="s">
        <v>929</v>
      </c>
      <c r="G1416" s="12" t="s">
        <v>1147</v>
      </c>
    </row>
    <row r="1417" spans="1:7" x14ac:dyDescent="0.3">
      <c r="A1417" s="28"/>
      <c r="B1417" s="28"/>
      <c r="C1417" s="28"/>
      <c r="D1417" s="28"/>
      <c r="E1417" s="12" t="s">
        <v>1827</v>
      </c>
      <c r="F1417" s="12" t="s">
        <v>1505</v>
      </c>
      <c r="G1417" s="12" t="s">
        <v>1147</v>
      </c>
    </row>
    <row r="1418" spans="1:7" x14ac:dyDescent="0.3">
      <c r="A1418" s="28"/>
      <c r="B1418" s="28"/>
      <c r="C1418" s="28"/>
      <c r="D1418" s="28"/>
      <c r="E1418" s="12" t="s">
        <v>1827</v>
      </c>
      <c r="F1418" s="12" t="s">
        <v>1824</v>
      </c>
      <c r="G1418" s="12" t="s">
        <v>1169</v>
      </c>
    </row>
    <row r="1419" spans="1:7" x14ac:dyDescent="0.3">
      <c r="A1419" s="28"/>
      <c r="B1419" s="28"/>
      <c r="C1419" s="28"/>
      <c r="D1419" s="28"/>
      <c r="E1419" s="12" t="s">
        <v>1827</v>
      </c>
      <c r="F1419" s="12" t="s">
        <v>929</v>
      </c>
      <c r="G1419" s="12" t="s">
        <v>1147</v>
      </c>
    </row>
    <row r="1420" spans="1:7" x14ac:dyDescent="0.3">
      <c r="A1420" s="28"/>
      <c r="B1420" s="28"/>
      <c r="C1420" s="28"/>
      <c r="D1420" s="28"/>
      <c r="E1420" s="12" t="s">
        <v>1827</v>
      </c>
      <c r="F1420" s="12" t="s">
        <v>1505</v>
      </c>
      <c r="G1420" s="12" t="s">
        <v>1147</v>
      </c>
    </row>
    <row r="1421" spans="1:7" x14ac:dyDescent="0.3">
      <c r="A1421" s="28"/>
      <c r="B1421" s="28"/>
      <c r="C1421" s="28"/>
      <c r="D1421" s="28"/>
      <c r="E1421" s="12" t="s">
        <v>1827</v>
      </c>
      <c r="F1421" s="12" t="s">
        <v>1824</v>
      </c>
      <c r="G1421" s="12" t="s">
        <v>1169</v>
      </c>
    </row>
    <row r="1422" spans="1:7" x14ac:dyDescent="0.3">
      <c r="A1422" s="28"/>
      <c r="B1422" s="28"/>
      <c r="C1422" s="28"/>
      <c r="D1422" s="28"/>
      <c r="E1422" s="12" t="s">
        <v>1825</v>
      </c>
      <c r="F1422" s="12" t="s">
        <v>920</v>
      </c>
      <c r="G1422" s="12" t="s">
        <v>1147</v>
      </c>
    </row>
    <row r="1423" spans="1:7" x14ac:dyDescent="0.3">
      <c r="A1423" s="28"/>
      <c r="B1423" s="28"/>
      <c r="C1423" s="28"/>
      <c r="D1423" s="28"/>
      <c r="E1423" s="12" t="s">
        <v>1825</v>
      </c>
      <c r="F1423" s="12" t="s">
        <v>923</v>
      </c>
      <c r="G1423" s="12" t="s">
        <v>1147</v>
      </c>
    </row>
    <row r="1424" spans="1:7" x14ac:dyDescent="0.3">
      <c r="A1424" s="28"/>
      <c r="B1424" s="28"/>
      <c r="C1424" s="28"/>
      <c r="D1424" s="28"/>
      <c r="E1424" s="12" t="s">
        <v>1825</v>
      </c>
      <c r="F1424" s="12" t="s">
        <v>925</v>
      </c>
      <c r="G1424" s="12" t="s">
        <v>1147</v>
      </c>
    </row>
    <row r="1425" spans="1:7" x14ac:dyDescent="0.3">
      <c r="A1425" s="28"/>
      <c r="B1425" s="28"/>
      <c r="C1425" s="28"/>
      <c r="D1425" s="28"/>
      <c r="E1425" s="12" t="s">
        <v>1825</v>
      </c>
      <c r="F1425" s="12" t="s">
        <v>1822</v>
      </c>
      <c r="G1425" s="12" t="s">
        <v>1169</v>
      </c>
    </row>
    <row r="1426" spans="1:7" x14ac:dyDescent="0.3">
      <c r="A1426" s="28"/>
      <c r="B1426" s="28"/>
      <c r="C1426" s="28"/>
      <c r="D1426" s="28"/>
      <c r="E1426" s="12" t="s">
        <v>1825</v>
      </c>
      <c r="F1426" s="12" t="s">
        <v>920</v>
      </c>
      <c r="G1426" s="12" t="s">
        <v>1147</v>
      </c>
    </row>
    <row r="1427" spans="1:7" x14ac:dyDescent="0.3">
      <c r="A1427" s="28"/>
      <c r="B1427" s="28"/>
      <c r="C1427" s="28"/>
      <c r="D1427" s="28"/>
      <c r="E1427" s="12" t="s">
        <v>1825</v>
      </c>
      <c r="F1427" s="12" t="s">
        <v>923</v>
      </c>
      <c r="G1427" s="12" t="s">
        <v>1147</v>
      </c>
    </row>
    <row r="1428" spans="1:7" x14ac:dyDescent="0.3">
      <c r="A1428" s="28"/>
      <c r="B1428" s="28"/>
      <c r="C1428" s="28"/>
      <c r="D1428" s="28"/>
      <c r="E1428" s="12" t="s">
        <v>1825</v>
      </c>
      <c r="F1428" s="12" t="s">
        <v>925</v>
      </c>
      <c r="G1428" s="12" t="s">
        <v>1147</v>
      </c>
    </row>
    <row r="1429" spans="1:7" x14ac:dyDescent="0.3">
      <c r="A1429" s="28"/>
      <c r="B1429" s="28"/>
      <c r="C1429" s="28"/>
      <c r="D1429" s="28"/>
      <c r="E1429" s="12" t="s">
        <v>1825</v>
      </c>
      <c r="F1429" s="12" t="s">
        <v>1822</v>
      </c>
      <c r="G1429" s="12" t="s">
        <v>1169</v>
      </c>
    </row>
    <row r="1430" spans="1:7" x14ac:dyDescent="0.3">
      <c r="A1430" s="28" t="s">
        <v>1464</v>
      </c>
      <c r="B1430" s="28"/>
      <c r="C1430" s="28" t="s">
        <v>2422</v>
      </c>
      <c r="D1430" s="28" t="s">
        <v>1630</v>
      </c>
      <c r="E1430" s="21" t="s">
        <v>1758</v>
      </c>
      <c r="F1430" s="21" t="s">
        <v>1758</v>
      </c>
      <c r="G1430" s="12" t="s">
        <v>1169</v>
      </c>
    </row>
    <row r="1431" spans="1:7" x14ac:dyDescent="0.3">
      <c r="A1431" s="28" t="s">
        <v>1466</v>
      </c>
      <c r="B1431" s="28"/>
      <c r="C1431" s="28" t="s">
        <v>2422</v>
      </c>
      <c r="D1431" s="28" t="s">
        <v>1630</v>
      </c>
      <c r="E1431" s="21" t="s">
        <v>1758</v>
      </c>
      <c r="F1431" s="21" t="s">
        <v>1758</v>
      </c>
      <c r="G1431" s="12" t="s">
        <v>1169</v>
      </c>
    </row>
    <row r="1432" spans="1:7" x14ac:dyDescent="0.3">
      <c r="A1432" s="28" t="s">
        <v>1467</v>
      </c>
      <c r="B1432" s="28"/>
      <c r="C1432" s="28" t="s">
        <v>2422</v>
      </c>
      <c r="D1432" s="28" t="s">
        <v>1630</v>
      </c>
      <c r="E1432" s="21" t="s">
        <v>1758</v>
      </c>
      <c r="F1432" s="21" t="s">
        <v>1758</v>
      </c>
      <c r="G1432" s="12" t="s">
        <v>1169</v>
      </c>
    </row>
    <row r="1433" spans="1:7" x14ac:dyDescent="0.3">
      <c r="A1433" s="28" t="s">
        <v>1468</v>
      </c>
      <c r="B1433" s="28"/>
      <c r="C1433" s="28" t="s">
        <v>2422</v>
      </c>
      <c r="D1433" s="28" t="s">
        <v>1630</v>
      </c>
      <c r="E1433" s="21" t="s">
        <v>1758</v>
      </c>
      <c r="F1433" s="21" t="s">
        <v>1758</v>
      </c>
      <c r="G1433" s="12" t="s">
        <v>1169</v>
      </c>
    </row>
    <row r="1434" spans="1:7" x14ac:dyDescent="0.3">
      <c r="A1434" s="28" t="s">
        <v>1469</v>
      </c>
      <c r="B1434" s="28"/>
      <c r="C1434" s="28" t="s">
        <v>2422</v>
      </c>
      <c r="D1434" s="28" t="s">
        <v>1630</v>
      </c>
      <c r="E1434" s="21" t="s">
        <v>1758</v>
      </c>
      <c r="F1434" s="21" t="s">
        <v>1758</v>
      </c>
      <c r="G1434" s="12" t="s">
        <v>1169</v>
      </c>
    </row>
    <row r="1435" spans="1:7" x14ac:dyDescent="0.3">
      <c r="A1435" s="28" t="s">
        <v>1470</v>
      </c>
      <c r="B1435" s="28"/>
      <c r="C1435" s="28" t="s">
        <v>2422</v>
      </c>
      <c r="D1435" s="28" t="s">
        <v>1630</v>
      </c>
      <c r="E1435" s="21" t="s">
        <v>1758</v>
      </c>
      <c r="F1435" s="21" t="s">
        <v>1758</v>
      </c>
      <c r="G1435" s="12" t="s">
        <v>1169</v>
      </c>
    </row>
    <row r="1436" spans="1:7" x14ac:dyDescent="0.3">
      <c r="A1436" s="28" t="s">
        <v>1464</v>
      </c>
      <c r="B1436" s="28"/>
      <c r="C1436" s="28" t="s">
        <v>2422</v>
      </c>
      <c r="D1436" s="28" t="s">
        <v>1630</v>
      </c>
      <c r="E1436" s="21" t="s">
        <v>1758</v>
      </c>
      <c r="F1436" s="12" t="s">
        <v>920</v>
      </c>
      <c r="G1436" s="12" t="s">
        <v>1147</v>
      </c>
    </row>
    <row r="1437" spans="1:7" x14ac:dyDescent="0.3">
      <c r="A1437" s="28" t="s">
        <v>1466</v>
      </c>
      <c r="B1437" s="28"/>
      <c r="C1437" s="28" t="s">
        <v>2422</v>
      </c>
      <c r="D1437" s="28" t="s">
        <v>1630</v>
      </c>
      <c r="E1437" s="21" t="s">
        <v>1758</v>
      </c>
      <c r="F1437" s="12" t="s">
        <v>920</v>
      </c>
      <c r="G1437" s="12" t="s">
        <v>1147</v>
      </c>
    </row>
    <row r="1438" spans="1:7" x14ac:dyDescent="0.3">
      <c r="A1438" s="28" t="s">
        <v>1467</v>
      </c>
      <c r="B1438" s="28"/>
      <c r="C1438" s="28" t="s">
        <v>2422</v>
      </c>
      <c r="D1438" s="28" t="s">
        <v>1630</v>
      </c>
      <c r="E1438" s="21" t="s">
        <v>1758</v>
      </c>
      <c r="F1438" s="12" t="s">
        <v>920</v>
      </c>
      <c r="G1438" s="12" t="s">
        <v>1147</v>
      </c>
    </row>
    <row r="1439" spans="1:7" x14ac:dyDescent="0.3">
      <c r="A1439" s="28" t="s">
        <v>1468</v>
      </c>
      <c r="B1439" s="28"/>
      <c r="C1439" s="28" t="s">
        <v>2422</v>
      </c>
      <c r="D1439" s="28" t="s">
        <v>1630</v>
      </c>
      <c r="E1439" s="21" t="s">
        <v>1758</v>
      </c>
      <c r="F1439" s="12" t="s">
        <v>920</v>
      </c>
      <c r="G1439" s="12" t="s">
        <v>1147</v>
      </c>
    </row>
    <row r="1440" spans="1:7" x14ac:dyDescent="0.3">
      <c r="A1440" s="28" t="s">
        <v>1469</v>
      </c>
      <c r="B1440" s="28"/>
      <c r="C1440" s="28" t="s">
        <v>2422</v>
      </c>
      <c r="D1440" s="28" t="s">
        <v>1630</v>
      </c>
      <c r="E1440" s="21" t="s">
        <v>1758</v>
      </c>
      <c r="F1440" s="12" t="s">
        <v>920</v>
      </c>
      <c r="G1440" s="12" t="s">
        <v>1147</v>
      </c>
    </row>
    <row r="1441" spans="1:7" x14ac:dyDescent="0.3">
      <c r="A1441" s="28" t="s">
        <v>1470</v>
      </c>
      <c r="B1441" s="28"/>
      <c r="C1441" s="28" t="s">
        <v>2422</v>
      </c>
      <c r="D1441" s="28" t="s">
        <v>1630</v>
      </c>
      <c r="E1441" s="21" t="s">
        <v>1758</v>
      </c>
      <c r="F1441" s="12" t="s">
        <v>920</v>
      </c>
      <c r="G1441" s="12" t="s">
        <v>1147</v>
      </c>
    </row>
    <row r="1442" spans="1:7" x14ac:dyDescent="0.3">
      <c r="A1442" s="28" t="s">
        <v>1464</v>
      </c>
      <c r="B1442" s="28"/>
      <c r="C1442" s="28" t="s">
        <v>2422</v>
      </c>
      <c r="D1442" s="28" t="s">
        <v>1630</v>
      </c>
      <c r="E1442" s="21" t="s">
        <v>1758</v>
      </c>
      <c r="F1442" s="12" t="s">
        <v>923</v>
      </c>
      <c r="G1442" s="12" t="s">
        <v>1147</v>
      </c>
    </row>
    <row r="1443" spans="1:7" x14ac:dyDescent="0.3">
      <c r="A1443" s="28" t="s">
        <v>1466</v>
      </c>
      <c r="B1443" s="28"/>
      <c r="C1443" s="28" t="s">
        <v>2422</v>
      </c>
      <c r="D1443" s="28" t="s">
        <v>1630</v>
      </c>
      <c r="E1443" s="21" t="s">
        <v>1758</v>
      </c>
      <c r="F1443" s="12" t="s">
        <v>923</v>
      </c>
      <c r="G1443" s="12" t="s">
        <v>1147</v>
      </c>
    </row>
    <row r="1444" spans="1:7" x14ac:dyDescent="0.3">
      <c r="A1444" s="28" t="s">
        <v>1467</v>
      </c>
      <c r="B1444" s="28"/>
      <c r="C1444" s="28" t="s">
        <v>2422</v>
      </c>
      <c r="D1444" s="28" t="s">
        <v>1630</v>
      </c>
      <c r="E1444" s="21" t="s">
        <v>1758</v>
      </c>
      <c r="F1444" s="12" t="s">
        <v>923</v>
      </c>
      <c r="G1444" s="12" t="s">
        <v>1147</v>
      </c>
    </row>
    <row r="1445" spans="1:7" x14ac:dyDescent="0.3">
      <c r="A1445" s="28" t="s">
        <v>1468</v>
      </c>
      <c r="B1445" s="28"/>
      <c r="C1445" s="28" t="s">
        <v>2422</v>
      </c>
      <c r="D1445" s="28" t="s">
        <v>1630</v>
      </c>
      <c r="E1445" s="21" t="s">
        <v>1758</v>
      </c>
      <c r="F1445" s="12" t="s">
        <v>923</v>
      </c>
      <c r="G1445" s="12" t="s">
        <v>1147</v>
      </c>
    </row>
    <row r="1446" spans="1:7" x14ac:dyDescent="0.3">
      <c r="A1446" s="28" t="s">
        <v>1469</v>
      </c>
      <c r="B1446" s="28"/>
      <c r="C1446" s="28" t="s">
        <v>2422</v>
      </c>
      <c r="D1446" s="28" t="s">
        <v>1630</v>
      </c>
      <c r="E1446" s="21" t="s">
        <v>1758</v>
      </c>
      <c r="F1446" s="12" t="s">
        <v>923</v>
      </c>
      <c r="G1446" s="12" t="s">
        <v>1147</v>
      </c>
    </row>
    <row r="1447" spans="1:7" x14ac:dyDescent="0.3">
      <c r="A1447" s="28" t="s">
        <v>1470</v>
      </c>
      <c r="B1447" s="28"/>
      <c r="C1447" s="28" t="s">
        <v>2422</v>
      </c>
      <c r="D1447" s="28" t="s">
        <v>1630</v>
      </c>
      <c r="E1447" s="21" t="s">
        <v>1758</v>
      </c>
      <c r="F1447" s="12" t="s">
        <v>923</v>
      </c>
      <c r="G1447" s="12" t="s">
        <v>1147</v>
      </c>
    </row>
    <row r="1448" spans="1:7" x14ac:dyDescent="0.3">
      <c r="A1448" s="28" t="s">
        <v>1464</v>
      </c>
      <c r="B1448" s="28"/>
      <c r="C1448" s="28" t="s">
        <v>2422</v>
      </c>
      <c r="D1448" s="28" t="s">
        <v>1630</v>
      </c>
      <c r="E1448" s="21" t="s">
        <v>1758</v>
      </c>
      <c r="F1448" s="12" t="s">
        <v>925</v>
      </c>
      <c r="G1448" s="12" t="s">
        <v>1147</v>
      </c>
    </row>
    <row r="1449" spans="1:7" x14ac:dyDescent="0.3">
      <c r="A1449" s="28" t="s">
        <v>1466</v>
      </c>
      <c r="B1449" s="28"/>
      <c r="C1449" s="28" t="s">
        <v>2422</v>
      </c>
      <c r="D1449" s="28" t="s">
        <v>1630</v>
      </c>
      <c r="E1449" s="21" t="s">
        <v>1758</v>
      </c>
      <c r="F1449" s="12" t="s">
        <v>925</v>
      </c>
      <c r="G1449" s="12" t="s">
        <v>1147</v>
      </c>
    </row>
    <row r="1450" spans="1:7" x14ac:dyDescent="0.3">
      <c r="A1450" s="28" t="s">
        <v>1467</v>
      </c>
      <c r="B1450" s="28"/>
      <c r="C1450" s="28" t="s">
        <v>2422</v>
      </c>
      <c r="D1450" s="28" t="s">
        <v>1630</v>
      </c>
      <c r="E1450" s="21" t="s">
        <v>1758</v>
      </c>
      <c r="F1450" s="12" t="s">
        <v>925</v>
      </c>
      <c r="G1450" s="12" t="s">
        <v>1147</v>
      </c>
    </row>
    <row r="1451" spans="1:7" x14ac:dyDescent="0.3">
      <c r="A1451" s="28" t="s">
        <v>1468</v>
      </c>
      <c r="B1451" s="28"/>
      <c r="C1451" s="28" t="s">
        <v>2422</v>
      </c>
      <c r="D1451" s="28" t="s">
        <v>1630</v>
      </c>
      <c r="E1451" s="21" t="s">
        <v>1758</v>
      </c>
      <c r="F1451" s="12" t="s">
        <v>925</v>
      </c>
      <c r="G1451" s="12" t="s">
        <v>1147</v>
      </c>
    </row>
    <row r="1452" spans="1:7" x14ac:dyDescent="0.3">
      <c r="A1452" s="28" t="s">
        <v>1469</v>
      </c>
      <c r="B1452" s="28"/>
      <c r="C1452" s="28" t="s">
        <v>2422</v>
      </c>
      <c r="D1452" s="28" t="s">
        <v>1630</v>
      </c>
      <c r="E1452" s="21" t="s">
        <v>1758</v>
      </c>
      <c r="F1452" s="12" t="s">
        <v>925</v>
      </c>
      <c r="G1452" s="12" t="s">
        <v>1147</v>
      </c>
    </row>
    <row r="1453" spans="1:7" x14ac:dyDescent="0.3">
      <c r="A1453" s="28" t="s">
        <v>1470</v>
      </c>
      <c r="B1453" s="28"/>
      <c r="C1453" s="28" t="s">
        <v>2422</v>
      </c>
      <c r="D1453" s="28" t="s">
        <v>1630</v>
      </c>
      <c r="E1453" s="21" t="s">
        <v>1758</v>
      </c>
      <c r="F1453" s="12" t="s">
        <v>925</v>
      </c>
      <c r="G1453" s="12" t="s">
        <v>1147</v>
      </c>
    </row>
    <row r="1454" spans="1:7" x14ac:dyDescent="0.3">
      <c r="A1454" s="28" t="s">
        <v>1464</v>
      </c>
      <c r="B1454" s="28"/>
      <c r="C1454" s="28" t="s">
        <v>2422</v>
      </c>
      <c r="D1454" s="28" t="s">
        <v>1630</v>
      </c>
      <c r="E1454" s="21" t="s">
        <v>1758</v>
      </c>
      <c r="F1454" s="12" t="s">
        <v>1503</v>
      </c>
      <c r="G1454" s="12" t="s">
        <v>1147</v>
      </c>
    </row>
    <row r="1455" spans="1:7" x14ac:dyDescent="0.3">
      <c r="A1455" s="28" t="s">
        <v>1466</v>
      </c>
      <c r="B1455" s="28"/>
      <c r="C1455" s="28" t="s">
        <v>2422</v>
      </c>
      <c r="D1455" s="28" t="s">
        <v>1630</v>
      </c>
      <c r="E1455" s="21" t="s">
        <v>1758</v>
      </c>
      <c r="F1455" s="12" t="s">
        <v>1503</v>
      </c>
      <c r="G1455" s="12" t="s">
        <v>1147</v>
      </c>
    </row>
    <row r="1456" spans="1:7" x14ac:dyDescent="0.3">
      <c r="A1456" s="28" t="s">
        <v>1467</v>
      </c>
      <c r="B1456" s="28"/>
      <c r="C1456" s="28" t="s">
        <v>2422</v>
      </c>
      <c r="D1456" s="28" t="s">
        <v>1630</v>
      </c>
      <c r="E1456" s="21" t="s">
        <v>1758</v>
      </c>
      <c r="F1456" s="12" t="s">
        <v>1503</v>
      </c>
      <c r="G1456" s="12" t="s">
        <v>1147</v>
      </c>
    </row>
    <row r="1457" spans="1:7" x14ac:dyDescent="0.3">
      <c r="A1457" s="28" t="s">
        <v>1468</v>
      </c>
      <c r="B1457" s="28"/>
      <c r="C1457" s="28" t="s">
        <v>2422</v>
      </c>
      <c r="D1457" s="28" t="s">
        <v>1630</v>
      </c>
      <c r="E1457" s="21" t="s">
        <v>1758</v>
      </c>
      <c r="F1457" s="12" t="s">
        <v>1503</v>
      </c>
      <c r="G1457" s="12" t="s">
        <v>1147</v>
      </c>
    </row>
    <row r="1458" spans="1:7" x14ac:dyDescent="0.3">
      <c r="A1458" s="28" t="s">
        <v>1469</v>
      </c>
      <c r="B1458" s="28"/>
      <c r="C1458" s="28" t="s">
        <v>2422</v>
      </c>
      <c r="D1458" s="28" t="s">
        <v>1630</v>
      </c>
      <c r="E1458" s="21" t="s">
        <v>1758</v>
      </c>
      <c r="F1458" s="12" t="s">
        <v>1503</v>
      </c>
      <c r="G1458" s="12" t="s">
        <v>1147</v>
      </c>
    </row>
    <row r="1459" spans="1:7" x14ac:dyDescent="0.3">
      <c r="A1459" s="28" t="s">
        <v>1470</v>
      </c>
      <c r="B1459" s="28"/>
      <c r="C1459" s="28" t="s">
        <v>2422</v>
      </c>
      <c r="D1459" s="28" t="s">
        <v>1630</v>
      </c>
      <c r="E1459" s="21" t="s">
        <v>1758</v>
      </c>
      <c r="F1459" s="12" t="s">
        <v>1503</v>
      </c>
      <c r="G1459" s="12" t="s">
        <v>1147</v>
      </c>
    </row>
    <row r="1460" spans="1:7" x14ac:dyDescent="0.3">
      <c r="A1460" s="28" t="s">
        <v>1934</v>
      </c>
      <c r="B1460" s="28"/>
      <c r="C1460" s="28" t="s">
        <v>2422</v>
      </c>
      <c r="D1460" s="28" t="s">
        <v>1630</v>
      </c>
      <c r="E1460" s="21" t="s">
        <v>1758</v>
      </c>
      <c r="F1460" s="21" t="s">
        <v>1758</v>
      </c>
      <c r="G1460" s="12" t="s">
        <v>1169</v>
      </c>
    </row>
    <row r="1461" spans="1:7" x14ac:dyDescent="0.3">
      <c r="A1461" s="28" t="s">
        <v>1935</v>
      </c>
      <c r="B1461" s="28"/>
      <c r="C1461" s="28" t="s">
        <v>2422</v>
      </c>
      <c r="D1461" s="28" t="s">
        <v>1630</v>
      </c>
      <c r="E1461" s="21" t="s">
        <v>1758</v>
      </c>
      <c r="F1461" s="21" t="s">
        <v>1758</v>
      </c>
      <c r="G1461" s="12" t="s">
        <v>1169</v>
      </c>
    </row>
    <row r="1462" spans="1:7" x14ac:dyDescent="0.3">
      <c r="A1462" s="28" t="s">
        <v>1936</v>
      </c>
      <c r="B1462" s="28"/>
      <c r="C1462" s="28" t="s">
        <v>2422</v>
      </c>
      <c r="D1462" s="28" t="s">
        <v>1630</v>
      </c>
      <c r="E1462" s="21" t="s">
        <v>1758</v>
      </c>
      <c r="F1462" s="21" t="s">
        <v>1758</v>
      </c>
      <c r="G1462" s="12" t="s">
        <v>1169</v>
      </c>
    </row>
    <row r="1463" spans="1:7" x14ac:dyDescent="0.3">
      <c r="A1463" s="28" t="s">
        <v>1937</v>
      </c>
      <c r="B1463" s="28"/>
      <c r="C1463" s="28" t="s">
        <v>2422</v>
      </c>
      <c r="D1463" s="28" t="s">
        <v>1630</v>
      </c>
      <c r="E1463" s="21" t="s">
        <v>1758</v>
      </c>
      <c r="F1463" s="21" t="s">
        <v>1758</v>
      </c>
      <c r="G1463" s="12" t="s">
        <v>1169</v>
      </c>
    </row>
    <row r="1464" spans="1:7" x14ac:dyDescent="0.3">
      <c r="A1464" s="28" t="s">
        <v>1938</v>
      </c>
      <c r="B1464" s="28"/>
      <c r="C1464" s="28" t="s">
        <v>2422</v>
      </c>
      <c r="D1464" s="28" t="s">
        <v>1630</v>
      </c>
      <c r="E1464" s="21" t="s">
        <v>1758</v>
      </c>
      <c r="F1464" s="21" t="s">
        <v>1758</v>
      </c>
      <c r="G1464" s="12" t="s">
        <v>1169</v>
      </c>
    </row>
    <row r="1465" spans="1:7" x14ac:dyDescent="0.3">
      <c r="A1465" s="28" t="s">
        <v>1939</v>
      </c>
      <c r="B1465" s="28"/>
      <c r="C1465" s="28" t="s">
        <v>2422</v>
      </c>
      <c r="D1465" s="28" t="s">
        <v>1630</v>
      </c>
      <c r="E1465" s="21" t="s">
        <v>1758</v>
      </c>
      <c r="F1465" s="21" t="s">
        <v>1758</v>
      </c>
      <c r="G1465" s="12" t="s">
        <v>1169</v>
      </c>
    </row>
    <row r="1466" spans="1:7" x14ac:dyDescent="0.3">
      <c r="A1466" s="28" t="s">
        <v>1934</v>
      </c>
      <c r="B1466" s="28"/>
      <c r="C1466" s="28" t="s">
        <v>2422</v>
      </c>
      <c r="D1466" s="28" t="s">
        <v>1630</v>
      </c>
      <c r="E1466" s="21" t="s">
        <v>1758</v>
      </c>
      <c r="F1466" s="12" t="s">
        <v>920</v>
      </c>
      <c r="G1466" s="12" t="s">
        <v>1147</v>
      </c>
    </row>
    <row r="1467" spans="1:7" x14ac:dyDescent="0.3">
      <c r="A1467" s="28" t="s">
        <v>1935</v>
      </c>
      <c r="B1467" s="28"/>
      <c r="C1467" s="28" t="s">
        <v>2422</v>
      </c>
      <c r="D1467" s="28" t="s">
        <v>1630</v>
      </c>
      <c r="E1467" s="21" t="s">
        <v>1758</v>
      </c>
      <c r="F1467" s="12" t="s">
        <v>920</v>
      </c>
      <c r="G1467" s="12" t="s">
        <v>1147</v>
      </c>
    </row>
    <row r="1468" spans="1:7" x14ac:dyDescent="0.3">
      <c r="A1468" s="28" t="s">
        <v>1936</v>
      </c>
      <c r="B1468" s="28"/>
      <c r="C1468" s="28" t="s">
        <v>2422</v>
      </c>
      <c r="D1468" s="28" t="s">
        <v>1630</v>
      </c>
      <c r="E1468" s="21" t="s">
        <v>1758</v>
      </c>
      <c r="F1468" s="12" t="s">
        <v>920</v>
      </c>
      <c r="G1468" s="12" t="s">
        <v>1147</v>
      </c>
    </row>
    <row r="1469" spans="1:7" x14ac:dyDescent="0.3">
      <c r="A1469" s="28" t="s">
        <v>1937</v>
      </c>
      <c r="B1469" s="28"/>
      <c r="C1469" s="28" t="s">
        <v>2422</v>
      </c>
      <c r="D1469" s="28" t="s">
        <v>1630</v>
      </c>
      <c r="E1469" s="21" t="s">
        <v>1758</v>
      </c>
      <c r="F1469" s="12" t="s">
        <v>920</v>
      </c>
      <c r="G1469" s="12" t="s">
        <v>1147</v>
      </c>
    </row>
    <row r="1470" spans="1:7" x14ac:dyDescent="0.3">
      <c r="A1470" s="28" t="s">
        <v>1938</v>
      </c>
      <c r="B1470" s="28"/>
      <c r="C1470" s="28" t="s">
        <v>2422</v>
      </c>
      <c r="D1470" s="28" t="s">
        <v>1630</v>
      </c>
      <c r="E1470" s="21" t="s">
        <v>1758</v>
      </c>
      <c r="F1470" s="12" t="s">
        <v>920</v>
      </c>
      <c r="G1470" s="12" t="s">
        <v>1147</v>
      </c>
    </row>
    <row r="1471" spans="1:7" x14ac:dyDescent="0.3">
      <c r="A1471" s="28" t="s">
        <v>1939</v>
      </c>
      <c r="B1471" s="28"/>
      <c r="C1471" s="28" t="s">
        <v>2422</v>
      </c>
      <c r="D1471" s="28" t="s">
        <v>1630</v>
      </c>
      <c r="E1471" s="21" t="s">
        <v>1758</v>
      </c>
      <c r="F1471" s="12" t="s">
        <v>920</v>
      </c>
      <c r="G1471" s="12" t="s">
        <v>1147</v>
      </c>
    </row>
    <row r="1472" spans="1:7" x14ac:dyDescent="0.3">
      <c r="A1472" s="28" t="s">
        <v>1934</v>
      </c>
      <c r="B1472" s="28"/>
      <c r="C1472" s="28" t="s">
        <v>2422</v>
      </c>
      <c r="D1472" s="28" t="s">
        <v>1630</v>
      </c>
      <c r="E1472" s="21" t="s">
        <v>1758</v>
      </c>
      <c r="F1472" s="12" t="s">
        <v>923</v>
      </c>
      <c r="G1472" s="12" t="s">
        <v>1147</v>
      </c>
    </row>
    <row r="1473" spans="1:7" x14ac:dyDescent="0.3">
      <c r="A1473" s="28" t="s">
        <v>1935</v>
      </c>
      <c r="B1473" s="28"/>
      <c r="C1473" s="28" t="s">
        <v>2422</v>
      </c>
      <c r="D1473" s="28" t="s">
        <v>1630</v>
      </c>
      <c r="E1473" s="21" t="s">
        <v>1758</v>
      </c>
      <c r="F1473" s="12" t="s">
        <v>923</v>
      </c>
      <c r="G1473" s="12" t="s">
        <v>1147</v>
      </c>
    </row>
    <row r="1474" spans="1:7" x14ac:dyDescent="0.3">
      <c r="A1474" s="28" t="s">
        <v>1936</v>
      </c>
      <c r="B1474" s="28"/>
      <c r="C1474" s="28" t="s">
        <v>2422</v>
      </c>
      <c r="D1474" s="28" t="s">
        <v>1630</v>
      </c>
      <c r="E1474" s="21" t="s">
        <v>1758</v>
      </c>
      <c r="F1474" s="12" t="s">
        <v>923</v>
      </c>
      <c r="G1474" s="12" t="s">
        <v>1147</v>
      </c>
    </row>
    <row r="1475" spans="1:7" x14ac:dyDescent="0.3">
      <c r="A1475" s="28" t="s">
        <v>1937</v>
      </c>
      <c r="B1475" s="28"/>
      <c r="C1475" s="28" t="s">
        <v>2422</v>
      </c>
      <c r="D1475" s="28" t="s">
        <v>1630</v>
      </c>
      <c r="E1475" s="21" t="s">
        <v>1758</v>
      </c>
      <c r="F1475" s="12" t="s">
        <v>923</v>
      </c>
      <c r="G1475" s="12" t="s">
        <v>1147</v>
      </c>
    </row>
    <row r="1476" spans="1:7" x14ac:dyDescent="0.3">
      <c r="A1476" s="28" t="s">
        <v>1938</v>
      </c>
      <c r="B1476" s="28"/>
      <c r="C1476" s="28" t="s">
        <v>2422</v>
      </c>
      <c r="D1476" s="28" t="s">
        <v>1630</v>
      </c>
      <c r="E1476" s="21" t="s">
        <v>1758</v>
      </c>
      <c r="F1476" s="12" t="s">
        <v>923</v>
      </c>
      <c r="G1476" s="12" t="s">
        <v>1147</v>
      </c>
    </row>
    <row r="1477" spans="1:7" x14ac:dyDescent="0.3">
      <c r="A1477" s="28" t="s">
        <v>1939</v>
      </c>
      <c r="B1477" s="28"/>
      <c r="C1477" s="28" t="s">
        <v>2422</v>
      </c>
      <c r="D1477" s="28" t="s">
        <v>1630</v>
      </c>
      <c r="E1477" s="21" t="s">
        <v>1758</v>
      </c>
      <c r="F1477" s="12" t="s">
        <v>923</v>
      </c>
      <c r="G1477" s="12" t="s">
        <v>1147</v>
      </c>
    </row>
    <row r="1478" spans="1:7" x14ac:dyDescent="0.3">
      <c r="A1478" s="28" t="s">
        <v>1934</v>
      </c>
      <c r="B1478" s="28"/>
      <c r="C1478" s="28" t="s">
        <v>2422</v>
      </c>
      <c r="D1478" s="28" t="s">
        <v>1630</v>
      </c>
      <c r="E1478" s="21" t="s">
        <v>1758</v>
      </c>
      <c r="F1478" s="12" t="s">
        <v>925</v>
      </c>
      <c r="G1478" s="12" t="s">
        <v>1147</v>
      </c>
    </row>
    <row r="1479" spans="1:7" x14ac:dyDescent="0.3">
      <c r="A1479" s="28" t="s">
        <v>1935</v>
      </c>
      <c r="B1479" s="28"/>
      <c r="C1479" s="28" t="s">
        <v>2422</v>
      </c>
      <c r="D1479" s="28" t="s">
        <v>1630</v>
      </c>
      <c r="E1479" s="21" t="s">
        <v>1758</v>
      </c>
      <c r="F1479" s="12" t="s">
        <v>925</v>
      </c>
      <c r="G1479" s="12" t="s">
        <v>1147</v>
      </c>
    </row>
    <row r="1480" spans="1:7" x14ac:dyDescent="0.3">
      <c r="A1480" s="28" t="s">
        <v>1936</v>
      </c>
      <c r="B1480" s="28"/>
      <c r="C1480" s="28" t="s">
        <v>2422</v>
      </c>
      <c r="D1480" s="28" t="s">
        <v>1630</v>
      </c>
      <c r="E1480" s="21" t="s">
        <v>1758</v>
      </c>
      <c r="F1480" s="12" t="s">
        <v>925</v>
      </c>
      <c r="G1480" s="12" t="s">
        <v>1147</v>
      </c>
    </row>
    <row r="1481" spans="1:7" x14ac:dyDescent="0.3">
      <c r="A1481" s="28" t="s">
        <v>1937</v>
      </c>
      <c r="B1481" s="28"/>
      <c r="C1481" s="28" t="s">
        <v>2422</v>
      </c>
      <c r="D1481" s="28" t="s">
        <v>1630</v>
      </c>
      <c r="E1481" s="21" t="s">
        <v>1758</v>
      </c>
      <c r="F1481" s="12" t="s">
        <v>925</v>
      </c>
      <c r="G1481" s="12" t="s">
        <v>1147</v>
      </c>
    </row>
    <row r="1482" spans="1:7" x14ac:dyDescent="0.3">
      <c r="A1482" s="28" t="s">
        <v>1938</v>
      </c>
      <c r="B1482" s="28"/>
      <c r="C1482" s="28" t="s">
        <v>2422</v>
      </c>
      <c r="D1482" s="28" t="s">
        <v>1630</v>
      </c>
      <c r="E1482" s="21" t="s">
        <v>1758</v>
      </c>
      <c r="F1482" s="12" t="s">
        <v>925</v>
      </c>
      <c r="G1482" s="12" t="s">
        <v>1147</v>
      </c>
    </row>
    <row r="1483" spans="1:7" x14ac:dyDescent="0.3">
      <c r="A1483" s="28" t="s">
        <v>1939</v>
      </c>
      <c r="B1483" s="28"/>
      <c r="C1483" s="28" t="s">
        <v>2422</v>
      </c>
      <c r="D1483" s="28" t="s">
        <v>1630</v>
      </c>
      <c r="E1483" s="21" t="s">
        <v>1758</v>
      </c>
      <c r="F1483" s="12" t="s">
        <v>925</v>
      </c>
      <c r="G1483" s="12" t="s">
        <v>1147</v>
      </c>
    </row>
    <row r="1484" spans="1:7" x14ac:dyDescent="0.3">
      <c r="A1484" s="28" t="s">
        <v>1934</v>
      </c>
      <c r="B1484" s="28"/>
      <c r="C1484" s="28" t="s">
        <v>2422</v>
      </c>
      <c r="D1484" s="28" t="s">
        <v>1630</v>
      </c>
      <c r="E1484" s="21" t="s">
        <v>1758</v>
      </c>
      <c r="F1484" s="12" t="s">
        <v>1503</v>
      </c>
      <c r="G1484" s="12" t="s">
        <v>1147</v>
      </c>
    </row>
    <row r="1485" spans="1:7" x14ac:dyDescent="0.3">
      <c r="A1485" s="28" t="s">
        <v>1935</v>
      </c>
      <c r="B1485" s="28"/>
      <c r="C1485" s="28" t="s">
        <v>2422</v>
      </c>
      <c r="D1485" s="28" t="s">
        <v>1630</v>
      </c>
      <c r="E1485" s="21" t="s">
        <v>1758</v>
      </c>
      <c r="F1485" s="12" t="s">
        <v>1503</v>
      </c>
      <c r="G1485" s="12" t="s">
        <v>1147</v>
      </c>
    </row>
    <row r="1486" spans="1:7" x14ac:dyDescent="0.3">
      <c r="A1486" s="28" t="s">
        <v>1936</v>
      </c>
      <c r="B1486" s="28"/>
      <c r="C1486" s="28" t="s">
        <v>2422</v>
      </c>
      <c r="D1486" s="28" t="s">
        <v>1630</v>
      </c>
      <c r="E1486" s="21" t="s">
        <v>1758</v>
      </c>
      <c r="F1486" s="12" t="s">
        <v>1503</v>
      </c>
      <c r="G1486" s="12" t="s">
        <v>1147</v>
      </c>
    </row>
    <row r="1487" spans="1:7" x14ac:dyDescent="0.3">
      <c r="A1487" s="28" t="s">
        <v>1937</v>
      </c>
      <c r="B1487" s="28"/>
      <c r="C1487" s="28" t="s">
        <v>2422</v>
      </c>
      <c r="D1487" s="28" t="s">
        <v>1630</v>
      </c>
      <c r="E1487" s="21" t="s">
        <v>1758</v>
      </c>
      <c r="F1487" s="12" t="s">
        <v>1503</v>
      </c>
      <c r="G1487" s="12" t="s">
        <v>1147</v>
      </c>
    </row>
    <row r="1488" spans="1:7" x14ac:dyDescent="0.3">
      <c r="A1488" s="28" t="s">
        <v>1938</v>
      </c>
      <c r="B1488" s="28"/>
      <c r="C1488" s="28" t="s">
        <v>2422</v>
      </c>
      <c r="D1488" s="28" t="s">
        <v>1630</v>
      </c>
      <c r="E1488" s="21" t="s">
        <v>1758</v>
      </c>
      <c r="F1488" s="12" t="s">
        <v>1503</v>
      </c>
      <c r="G1488" s="12" t="s">
        <v>1147</v>
      </c>
    </row>
    <row r="1489" spans="1:7" x14ac:dyDescent="0.3">
      <c r="A1489" s="28" t="s">
        <v>1939</v>
      </c>
      <c r="B1489" s="28"/>
      <c r="C1489" s="28" t="s">
        <v>2422</v>
      </c>
      <c r="D1489" s="28" t="s">
        <v>1630</v>
      </c>
      <c r="E1489" s="21" t="s">
        <v>1758</v>
      </c>
      <c r="F1489" s="12" t="s">
        <v>1503</v>
      </c>
      <c r="G1489" s="12" t="s">
        <v>1147</v>
      </c>
    </row>
    <row r="1490" spans="1:7" x14ac:dyDescent="0.3">
      <c r="A1490" s="28"/>
      <c r="B1490" s="28"/>
      <c r="C1490" s="28" t="s">
        <v>2422</v>
      </c>
      <c r="D1490" s="28"/>
      <c r="E1490" s="12" t="s">
        <v>1003</v>
      </c>
      <c r="F1490" s="12" t="s">
        <v>1003</v>
      </c>
      <c r="G1490" s="12" t="s">
        <v>1169</v>
      </c>
    </row>
    <row r="1491" spans="1:7" x14ac:dyDescent="0.3">
      <c r="A1491" s="28"/>
      <c r="B1491" s="28"/>
      <c r="C1491" s="28" t="s">
        <v>2422</v>
      </c>
      <c r="D1491" s="28"/>
      <c r="E1491" s="12" t="s">
        <v>1003</v>
      </c>
      <c r="F1491" s="12" t="s">
        <v>1528</v>
      </c>
      <c r="G1491" s="12" t="s">
        <v>1147</v>
      </c>
    </row>
    <row r="1492" spans="1:7" x14ac:dyDescent="0.3">
      <c r="A1492" s="28"/>
      <c r="B1492" s="28"/>
      <c r="C1492" s="28" t="s">
        <v>2422</v>
      </c>
      <c r="D1492" s="28"/>
      <c r="E1492" s="12" t="s">
        <v>1003</v>
      </c>
      <c r="F1492" s="12" t="s">
        <v>1523</v>
      </c>
      <c r="G1492" s="12" t="s">
        <v>1147</v>
      </c>
    </row>
    <row r="1493" spans="1:7" x14ac:dyDescent="0.3">
      <c r="A1493" s="28"/>
      <c r="B1493" s="28"/>
      <c r="C1493" s="28" t="s">
        <v>2422</v>
      </c>
      <c r="D1493" s="28"/>
      <c r="E1493" s="12" t="s">
        <v>1003</v>
      </c>
      <c r="F1493" s="12" t="s">
        <v>1524</v>
      </c>
      <c r="G1493" s="12" t="s">
        <v>1147</v>
      </c>
    </row>
    <row r="1494" spans="1:7" x14ac:dyDescent="0.3">
      <c r="A1494" s="28"/>
      <c r="B1494" s="28"/>
      <c r="C1494" s="28" t="s">
        <v>2422</v>
      </c>
      <c r="D1494" s="28"/>
      <c r="E1494" s="12" t="s">
        <v>920</v>
      </c>
      <c r="F1494" s="12" t="s">
        <v>943</v>
      </c>
      <c r="G1494" s="12" t="s">
        <v>1147</v>
      </c>
    </row>
    <row r="1495" spans="1:7" x14ac:dyDescent="0.3">
      <c r="A1495" s="28"/>
      <c r="B1495" s="28"/>
      <c r="C1495" s="28" t="s">
        <v>2422</v>
      </c>
      <c r="D1495" s="28"/>
      <c r="E1495" s="12" t="s">
        <v>923</v>
      </c>
      <c r="F1495" s="12" t="s">
        <v>945</v>
      </c>
      <c r="G1495" s="12" t="s">
        <v>1147</v>
      </c>
    </row>
    <row r="1496" spans="1:7" x14ac:dyDescent="0.3">
      <c r="A1496" s="28"/>
      <c r="B1496" s="28"/>
      <c r="C1496" s="28" t="s">
        <v>2422</v>
      </c>
      <c r="D1496" s="28"/>
      <c r="E1496" s="12" t="s">
        <v>923</v>
      </c>
      <c r="F1496" s="12" t="s">
        <v>947</v>
      </c>
      <c r="G1496" s="12" t="s">
        <v>1147</v>
      </c>
    </row>
    <row r="1497" spans="1:7" x14ac:dyDescent="0.3">
      <c r="A1497" s="28"/>
      <c r="B1497" s="28"/>
      <c r="C1497" s="28" t="s">
        <v>2422</v>
      </c>
      <c r="D1497" s="28"/>
      <c r="E1497" s="12" t="s">
        <v>925</v>
      </c>
      <c r="F1497" s="12" t="s">
        <v>949</v>
      </c>
      <c r="G1497" s="12" t="s">
        <v>1147</v>
      </c>
    </row>
    <row r="1498" spans="1:7" x14ac:dyDescent="0.3">
      <c r="A1498" s="28"/>
      <c r="B1498" s="28"/>
      <c r="C1498" s="28" t="s">
        <v>2422</v>
      </c>
      <c r="D1498" s="28"/>
      <c r="E1498" s="12" t="s">
        <v>925</v>
      </c>
      <c r="F1498" s="12" t="s">
        <v>951</v>
      </c>
      <c r="G1498" s="12" t="s">
        <v>1147</v>
      </c>
    </row>
    <row r="1499" spans="1:7" x14ac:dyDescent="0.3">
      <c r="A1499" s="28"/>
      <c r="B1499" s="28"/>
      <c r="C1499" s="28" t="s">
        <v>2422</v>
      </c>
      <c r="D1499" s="28"/>
      <c r="E1499" s="12" t="s">
        <v>925</v>
      </c>
      <c r="F1499" s="12" t="s">
        <v>953</v>
      </c>
      <c r="G1499" s="12" t="s">
        <v>1147</v>
      </c>
    </row>
    <row r="1500" spans="1:7" x14ac:dyDescent="0.3">
      <c r="A1500" s="28"/>
      <c r="B1500" s="28"/>
      <c r="C1500" s="28" t="s">
        <v>2422</v>
      </c>
      <c r="D1500" s="28"/>
      <c r="E1500" s="12" t="s">
        <v>925</v>
      </c>
      <c r="F1500" s="12" t="s">
        <v>955</v>
      </c>
      <c r="G1500" s="12" t="s">
        <v>1147</v>
      </c>
    </row>
    <row r="1501" spans="1:7" x14ac:dyDescent="0.3">
      <c r="A1501" s="28"/>
      <c r="B1501" s="28"/>
      <c r="C1501" s="28" t="s">
        <v>2422</v>
      </c>
      <c r="D1501" s="28"/>
      <c r="E1501" s="12" t="s">
        <v>1563</v>
      </c>
      <c r="F1501" s="12" t="s">
        <v>943</v>
      </c>
      <c r="G1501" s="12" t="s">
        <v>1147</v>
      </c>
    </row>
    <row r="1502" spans="1:7" x14ac:dyDescent="0.3">
      <c r="A1502" s="28"/>
      <c r="B1502" s="28"/>
      <c r="C1502" s="28" t="s">
        <v>2422</v>
      </c>
      <c r="D1502" s="28"/>
      <c r="E1502" s="12" t="s">
        <v>1563</v>
      </c>
      <c r="F1502" s="12" t="s">
        <v>945</v>
      </c>
      <c r="G1502" s="12" t="s">
        <v>1147</v>
      </c>
    </row>
    <row r="1503" spans="1:7" x14ac:dyDescent="0.3">
      <c r="A1503" s="28"/>
      <c r="B1503" s="28"/>
      <c r="C1503" s="28" t="s">
        <v>2422</v>
      </c>
      <c r="D1503" s="28"/>
      <c r="E1503" s="12" t="s">
        <v>1563</v>
      </c>
      <c r="F1503" s="12" t="s">
        <v>947</v>
      </c>
      <c r="G1503" s="12" t="s">
        <v>1147</v>
      </c>
    </row>
    <row r="1504" spans="1:7" x14ac:dyDescent="0.3">
      <c r="A1504" s="28"/>
      <c r="B1504" s="28"/>
      <c r="C1504" s="28" t="s">
        <v>2422</v>
      </c>
      <c r="D1504" s="28"/>
      <c r="E1504" s="12" t="s">
        <v>1563</v>
      </c>
      <c r="F1504" s="12" t="s">
        <v>949</v>
      </c>
      <c r="G1504" s="12" t="s">
        <v>1147</v>
      </c>
    </row>
    <row r="1505" spans="1:7" x14ac:dyDescent="0.3">
      <c r="A1505" s="28"/>
      <c r="B1505" s="28"/>
      <c r="C1505" s="28" t="s">
        <v>2422</v>
      </c>
      <c r="D1505" s="28"/>
      <c r="E1505" s="12" t="s">
        <v>1563</v>
      </c>
      <c r="F1505" s="12" t="s">
        <v>951</v>
      </c>
      <c r="G1505" s="12" t="s">
        <v>1147</v>
      </c>
    </row>
    <row r="1506" spans="1:7" x14ac:dyDescent="0.3">
      <c r="A1506" s="28"/>
      <c r="B1506" s="28"/>
      <c r="C1506" s="28" t="s">
        <v>2422</v>
      </c>
      <c r="D1506" s="28"/>
      <c r="E1506" s="12" t="s">
        <v>1563</v>
      </c>
      <c r="F1506" s="12" t="s">
        <v>953</v>
      </c>
      <c r="G1506" s="12" t="s">
        <v>1147</v>
      </c>
    </row>
    <row r="1507" spans="1:7" x14ac:dyDescent="0.3">
      <c r="A1507" s="28"/>
      <c r="B1507" s="28"/>
      <c r="C1507" s="28" t="s">
        <v>2422</v>
      </c>
      <c r="D1507" s="28"/>
      <c r="E1507" s="12" t="s">
        <v>1563</v>
      </c>
      <c r="F1507" s="12" t="s">
        <v>955</v>
      </c>
      <c r="G1507" s="12" t="s">
        <v>1147</v>
      </c>
    </row>
    <row r="1508" spans="1:7" x14ac:dyDescent="0.3">
      <c r="A1508" s="28"/>
      <c r="B1508" s="28"/>
      <c r="C1508" s="28" t="s">
        <v>2422</v>
      </c>
      <c r="D1508" s="28"/>
      <c r="E1508" s="12" t="s">
        <v>906</v>
      </c>
      <c r="F1508" s="12" t="s">
        <v>906</v>
      </c>
      <c r="G1508" s="12" t="s">
        <v>1147</v>
      </c>
    </row>
    <row r="1509" spans="1:7" x14ac:dyDescent="0.3">
      <c r="A1509" s="28"/>
      <c r="B1509" s="28"/>
      <c r="C1509" s="28" t="s">
        <v>2422</v>
      </c>
      <c r="D1509" s="28"/>
      <c r="E1509" s="12" t="s">
        <v>910</v>
      </c>
      <c r="F1509" s="12" t="s">
        <v>910</v>
      </c>
      <c r="G1509" s="12" t="s">
        <v>1147</v>
      </c>
    </row>
    <row r="1510" spans="1:7" x14ac:dyDescent="0.3">
      <c r="A1510" s="28"/>
      <c r="B1510" s="28"/>
      <c r="C1510" s="28" t="s">
        <v>2422</v>
      </c>
      <c r="D1510" s="28"/>
      <c r="E1510" s="12" t="s">
        <v>1209</v>
      </c>
      <c r="F1510" s="12" t="s">
        <v>939</v>
      </c>
      <c r="G1510" s="12" t="s">
        <v>1147</v>
      </c>
    </row>
    <row r="1511" spans="1:7" x14ac:dyDescent="0.3">
      <c r="A1511" s="28"/>
      <c r="B1511" s="28"/>
      <c r="C1511" s="28" t="s">
        <v>2422</v>
      </c>
      <c r="D1511" s="28"/>
      <c r="E1511" s="12" t="s">
        <v>1209</v>
      </c>
      <c r="F1511" s="12" t="s">
        <v>1011</v>
      </c>
      <c r="G1511" s="12" t="s">
        <v>1169</v>
      </c>
    </row>
    <row r="1512" spans="1:7" x14ac:dyDescent="0.3">
      <c r="A1512" s="28"/>
      <c r="B1512" s="28"/>
      <c r="C1512" s="28" t="s">
        <v>2422</v>
      </c>
      <c r="D1512" s="28"/>
      <c r="E1512" s="12" t="s">
        <v>1205</v>
      </c>
      <c r="F1512" s="12" t="s">
        <v>935</v>
      </c>
      <c r="G1512" s="12" t="s">
        <v>1147</v>
      </c>
    </row>
    <row r="1513" spans="1:7" x14ac:dyDescent="0.3">
      <c r="A1513" s="28"/>
      <c r="B1513" s="28"/>
      <c r="C1513" s="28" t="s">
        <v>2422</v>
      </c>
      <c r="D1513" s="28"/>
      <c r="E1513" s="12" t="s">
        <v>1205</v>
      </c>
      <c r="F1513" s="12" t="s">
        <v>1009</v>
      </c>
      <c r="G1513" s="12" t="s">
        <v>1169</v>
      </c>
    </row>
    <row r="1514" spans="1:7" x14ac:dyDescent="0.3">
      <c r="A1514" s="28" t="s">
        <v>1464</v>
      </c>
      <c r="B1514" s="28"/>
      <c r="C1514" s="28" t="s">
        <v>2422</v>
      </c>
      <c r="D1514" s="28" t="s">
        <v>1630</v>
      </c>
      <c r="E1514" s="21" t="s">
        <v>1761</v>
      </c>
      <c r="F1514" s="21" t="s">
        <v>1761</v>
      </c>
      <c r="G1514" s="12" t="s">
        <v>1147</v>
      </c>
    </row>
    <row r="1515" spans="1:7" x14ac:dyDescent="0.3">
      <c r="A1515" s="28" t="s">
        <v>1466</v>
      </c>
      <c r="B1515" s="28"/>
      <c r="C1515" s="28" t="s">
        <v>2422</v>
      </c>
      <c r="D1515" s="28" t="s">
        <v>1630</v>
      </c>
      <c r="E1515" s="21" t="s">
        <v>1761</v>
      </c>
      <c r="F1515" s="21" t="s">
        <v>1761</v>
      </c>
      <c r="G1515" s="12" t="s">
        <v>1147</v>
      </c>
    </row>
    <row r="1516" spans="1:7" x14ac:dyDescent="0.3">
      <c r="A1516" s="28" t="s">
        <v>1467</v>
      </c>
      <c r="B1516" s="28"/>
      <c r="C1516" s="28" t="s">
        <v>2422</v>
      </c>
      <c r="D1516" s="28" t="s">
        <v>1630</v>
      </c>
      <c r="E1516" s="21" t="s">
        <v>1761</v>
      </c>
      <c r="F1516" s="21" t="s">
        <v>1761</v>
      </c>
      <c r="G1516" s="12" t="s">
        <v>1147</v>
      </c>
    </row>
    <row r="1517" spans="1:7" x14ac:dyDescent="0.3">
      <c r="A1517" s="28" t="s">
        <v>1468</v>
      </c>
      <c r="B1517" s="28"/>
      <c r="C1517" s="28" t="s">
        <v>2422</v>
      </c>
      <c r="D1517" s="28" t="s">
        <v>1630</v>
      </c>
      <c r="E1517" s="21" t="s">
        <v>1761</v>
      </c>
      <c r="F1517" s="21" t="s">
        <v>1761</v>
      </c>
      <c r="G1517" s="12" t="s">
        <v>1147</v>
      </c>
    </row>
    <row r="1518" spans="1:7" x14ac:dyDescent="0.3">
      <c r="A1518" s="28" t="s">
        <v>1469</v>
      </c>
      <c r="B1518" s="28"/>
      <c r="C1518" s="28" t="s">
        <v>2422</v>
      </c>
      <c r="D1518" s="28" t="s">
        <v>1630</v>
      </c>
      <c r="E1518" s="21" t="s">
        <v>1761</v>
      </c>
      <c r="F1518" s="21" t="s">
        <v>1761</v>
      </c>
      <c r="G1518" s="12" t="s">
        <v>1147</v>
      </c>
    </row>
    <row r="1519" spans="1:7" x14ac:dyDescent="0.3">
      <c r="A1519" s="28" t="s">
        <v>1470</v>
      </c>
      <c r="B1519" s="28"/>
      <c r="C1519" s="28" t="s">
        <v>2422</v>
      </c>
      <c r="D1519" s="28" t="s">
        <v>1630</v>
      </c>
      <c r="E1519" s="21" t="s">
        <v>1761</v>
      </c>
      <c r="F1519" s="21" t="s">
        <v>1761</v>
      </c>
      <c r="G1519" s="12" t="s">
        <v>1147</v>
      </c>
    </row>
    <row r="1520" spans="1:7" x14ac:dyDescent="0.3">
      <c r="A1520" s="28" t="s">
        <v>1934</v>
      </c>
      <c r="B1520" s="28"/>
      <c r="C1520" s="28" t="s">
        <v>2422</v>
      </c>
      <c r="D1520" s="28" t="s">
        <v>1630</v>
      </c>
      <c r="E1520" s="21" t="s">
        <v>1761</v>
      </c>
      <c r="F1520" s="21" t="s">
        <v>1761</v>
      </c>
      <c r="G1520" s="12" t="s">
        <v>1147</v>
      </c>
    </row>
    <row r="1521" spans="1:7" x14ac:dyDescent="0.3">
      <c r="A1521" s="28" t="s">
        <v>1935</v>
      </c>
      <c r="B1521" s="28"/>
      <c r="C1521" s="28" t="s">
        <v>2422</v>
      </c>
      <c r="D1521" s="28" t="s">
        <v>1630</v>
      </c>
      <c r="E1521" s="21" t="s">
        <v>1761</v>
      </c>
      <c r="F1521" s="21" t="s">
        <v>1761</v>
      </c>
      <c r="G1521" s="12" t="s">
        <v>1147</v>
      </c>
    </row>
    <row r="1522" spans="1:7" x14ac:dyDescent="0.3">
      <c r="A1522" s="28" t="s">
        <v>1936</v>
      </c>
      <c r="B1522" s="28"/>
      <c r="C1522" s="28" t="s">
        <v>2422</v>
      </c>
      <c r="D1522" s="28" t="s">
        <v>1630</v>
      </c>
      <c r="E1522" s="21" t="s">
        <v>1761</v>
      </c>
      <c r="F1522" s="21" t="s">
        <v>1761</v>
      </c>
      <c r="G1522" s="12" t="s">
        <v>1147</v>
      </c>
    </row>
    <row r="1523" spans="1:7" x14ac:dyDescent="0.3">
      <c r="A1523" s="28" t="s">
        <v>1937</v>
      </c>
      <c r="B1523" s="28"/>
      <c r="C1523" s="28" t="s">
        <v>2422</v>
      </c>
      <c r="D1523" s="28" t="s">
        <v>1630</v>
      </c>
      <c r="E1523" s="21" t="s">
        <v>1761</v>
      </c>
      <c r="F1523" s="21" t="s">
        <v>1761</v>
      </c>
      <c r="G1523" s="12" t="s">
        <v>1147</v>
      </c>
    </row>
    <row r="1524" spans="1:7" x14ac:dyDescent="0.3">
      <c r="A1524" s="28" t="s">
        <v>1938</v>
      </c>
      <c r="B1524" s="28"/>
      <c r="C1524" s="28" t="s">
        <v>2422</v>
      </c>
      <c r="D1524" s="28" t="s">
        <v>1630</v>
      </c>
      <c r="E1524" s="21" t="s">
        <v>1761</v>
      </c>
      <c r="F1524" s="21" t="s">
        <v>1761</v>
      </c>
      <c r="G1524" s="12" t="s">
        <v>1147</v>
      </c>
    </row>
    <row r="1525" spans="1:7" x14ac:dyDescent="0.3">
      <c r="A1525" s="28" t="s">
        <v>1939</v>
      </c>
      <c r="B1525" s="28"/>
      <c r="C1525" s="28" t="s">
        <v>2422</v>
      </c>
      <c r="D1525" s="28" t="s">
        <v>1630</v>
      </c>
      <c r="E1525" s="21" t="s">
        <v>1761</v>
      </c>
      <c r="F1525" s="21" t="s">
        <v>1761</v>
      </c>
      <c r="G1525" s="12" t="s">
        <v>1147</v>
      </c>
    </row>
    <row r="1526" spans="1:7" x14ac:dyDescent="0.3">
      <c r="A1526" s="28"/>
      <c r="B1526" s="28"/>
      <c r="C1526" s="28" t="s">
        <v>2422</v>
      </c>
      <c r="D1526" s="28"/>
      <c r="E1526" s="12" t="s">
        <v>1017</v>
      </c>
      <c r="F1526" s="12" t="s">
        <v>1017</v>
      </c>
      <c r="G1526" s="12" t="s">
        <v>1147</v>
      </c>
    </row>
    <row r="1527" spans="1:7" x14ac:dyDescent="0.3">
      <c r="A1527" s="28"/>
      <c r="B1527" s="28"/>
      <c r="C1527" s="28" t="s">
        <v>2422</v>
      </c>
      <c r="D1527" s="28"/>
      <c r="E1527" s="12" t="s">
        <v>1019</v>
      </c>
      <c r="F1527" s="12" t="s">
        <v>1019</v>
      </c>
      <c r="G1527" s="12" t="s">
        <v>1169</v>
      </c>
    </row>
    <row r="1528" spans="1:7" x14ac:dyDescent="0.3">
      <c r="A1528" s="28"/>
      <c r="B1528" s="28"/>
      <c r="C1528" s="28" t="s">
        <v>2422</v>
      </c>
      <c r="D1528" s="28"/>
      <c r="E1528" s="12" t="s">
        <v>1019</v>
      </c>
      <c r="F1528" s="12" t="s">
        <v>1523</v>
      </c>
      <c r="G1528" s="12" t="s">
        <v>1147</v>
      </c>
    </row>
    <row r="1529" spans="1:7" x14ac:dyDescent="0.3">
      <c r="A1529" s="28"/>
      <c r="B1529" s="28"/>
      <c r="C1529" s="28" t="s">
        <v>2422</v>
      </c>
      <c r="D1529" s="28"/>
      <c r="E1529" s="12" t="s">
        <v>1019</v>
      </c>
      <c r="F1529" s="12" t="s">
        <v>1524</v>
      </c>
      <c r="G1529" s="12" t="s">
        <v>1147</v>
      </c>
    </row>
    <row r="1530" spans="1:7" x14ac:dyDescent="0.3">
      <c r="A1530" s="28"/>
      <c r="B1530" s="28"/>
      <c r="C1530" s="28" t="s">
        <v>2422</v>
      </c>
      <c r="D1530" s="28"/>
      <c r="E1530" s="12" t="s">
        <v>1314</v>
      </c>
      <c r="F1530" s="12" t="s">
        <v>914</v>
      </c>
      <c r="G1530" s="12" t="s">
        <v>1147</v>
      </c>
    </row>
    <row r="1531" spans="1:7" x14ac:dyDescent="0.3">
      <c r="A1531" s="28"/>
      <c r="B1531" s="28"/>
      <c r="C1531" s="28" t="s">
        <v>2422</v>
      </c>
      <c r="D1531" s="28"/>
      <c r="E1531" s="12" t="s">
        <v>1316</v>
      </c>
      <c r="F1531" s="12" t="s">
        <v>914</v>
      </c>
      <c r="G1531" s="12" t="s">
        <v>1147</v>
      </c>
    </row>
    <row r="1532" spans="1:7" x14ac:dyDescent="0.3">
      <c r="A1532" s="28"/>
      <c r="B1532" s="28"/>
      <c r="C1532" s="28" t="s">
        <v>2422</v>
      </c>
      <c r="D1532" s="28"/>
      <c r="E1532" s="12" t="s">
        <v>1528</v>
      </c>
      <c r="F1532" s="12" t="s">
        <v>943</v>
      </c>
      <c r="G1532" s="12" t="s">
        <v>1147</v>
      </c>
    </row>
    <row r="1533" spans="1:7" x14ac:dyDescent="0.3">
      <c r="A1533" s="28"/>
      <c r="B1533" s="28"/>
      <c r="C1533" s="28" t="s">
        <v>2422</v>
      </c>
      <c r="D1533" s="28"/>
      <c r="E1533" s="12" t="s">
        <v>1523</v>
      </c>
      <c r="F1533" s="12" t="s">
        <v>945</v>
      </c>
      <c r="G1533" s="12" t="s">
        <v>1147</v>
      </c>
    </row>
    <row r="1534" spans="1:7" x14ac:dyDescent="0.3">
      <c r="A1534" s="28"/>
      <c r="B1534" s="28"/>
      <c r="C1534" s="28" t="s">
        <v>2422</v>
      </c>
      <c r="D1534" s="28"/>
      <c r="E1534" s="12" t="s">
        <v>1523</v>
      </c>
      <c r="F1534" s="12" t="s">
        <v>947</v>
      </c>
      <c r="G1534" s="12" t="s">
        <v>1147</v>
      </c>
    </row>
    <row r="1535" spans="1:7" x14ac:dyDescent="0.3">
      <c r="A1535" s="28"/>
      <c r="B1535" s="28"/>
      <c r="C1535" s="28" t="s">
        <v>2422</v>
      </c>
      <c r="D1535" s="28"/>
      <c r="E1535" s="12" t="s">
        <v>1524</v>
      </c>
      <c r="F1535" s="12" t="s">
        <v>949</v>
      </c>
      <c r="G1535" s="12" t="s">
        <v>1147</v>
      </c>
    </row>
    <row r="1536" spans="1:7" x14ac:dyDescent="0.3">
      <c r="A1536" s="28"/>
      <c r="B1536" s="28"/>
      <c r="C1536" s="28" t="s">
        <v>2422</v>
      </c>
      <c r="D1536" s="28"/>
      <c r="E1536" s="12" t="s">
        <v>1524</v>
      </c>
      <c r="F1536" s="12" t="s">
        <v>951</v>
      </c>
      <c r="G1536" s="12" t="s">
        <v>1147</v>
      </c>
    </row>
    <row r="1537" spans="1:7" x14ac:dyDescent="0.3">
      <c r="A1537" s="28"/>
      <c r="B1537" s="28"/>
      <c r="C1537" s="28" t="s">
        <v>2422</v>
      </c>
      <c r="D1537" s="28"/>
      <c r="E1537" s="12" t="s">
        <v>1524</v>
      </c>
      <c r="F1537" s="12" t="s">
        <v>953</v>
      </c>
      <c r="G1537" s="12" t="s">
        <v>1147</v>
      </c>
    </row>
    <row r="1538" spans="1:7" x14ac:dyDescent="0.3">
      <c r="A1538" s="28"/>
      <c r="B1538" s="28"/>
      <c r="C1538" s="28" t="s">
        <v>2422</v>
      </c>
      <c r="D1538" s="28"/>
      <c r="E1538" s="12" t="s">
        <v>1524</v>
      </c>
      <c r="F1538" s="12" t="s">
        <v>955</v>
      </c>
      <c r="G1538" s="12" t="s">
        <v>1147</v>
      </c>
    </row>
    <row r="1539" spans="1:7" x14ac:dyDescent="0.3">
      <c r="A1539" s="28"/>
      <c r="B1539" s="28"/>
      <c r="C1539" s="28" t="s">
        <v>2422</v>
      </c>
      <c r="D1539" s="28"/>
      <c r="E1539" s="12" t="s">
        <v>1254</v>
      </c>
      <c r="F1539" s="12" t="s">
        <v>943</v>
      </c>
      <c r="G1539" s="12" t="s">
        <v>1147</v>
      </c>
    </row>
    <row r="1540" spans="1:7" x14ac:dyDescent="0.3">
      <c r="A1540" s="28"/>
      <c r="B1540" s="28"/>
      <c r="C1540" s="28" t="s">
        <v>2422</v>
      </c>
      <c r="D1540" s="28"/>
      <c r="E1540" s="12" t="s">
        <v>1256</v>
      </c>
      <c r="F1540" s="12" t="s">
        <v>945</v>
      </c>
      <c r="G1540" s="12" t="s">
        <v>1147</v>
      </c>
    </row>
    <row r="1541" spans="1:7" x14ac:dyDescent="0.3">
      <c r="A1541" s="28"/>
      <c r="B1541" s="28"/>
      <c r="C1541" s="28" t="s">
        <v>2422</v>
      </c>
      <c r="D1541" s="28"/>
      <c r="E1541" s="12" t="s">
        <v>1258</v>
      </c>
      <c r="F1541" s="12" t="s">
        <v>947</v>
      </c>
      <c r="G1541" s="12" t="s">
        <v>1147</v>
      </c>
    </row>
    <row r="1542" spans="1:7" x14ac:dyDescent="0.3">
      <c r="A1542" s="28"/>
      <c r="B1542" s="28"/>
      <c r="C1542" s="28" t="s">
        <v>2422</v>
      </c>
      <c r="D1542" s="28"/>
      <c r="E1542" s="12" t="s">
        <v>1260</v>
      </c>
      <c r="F1542" s="12" t="s">
        <v>949</v>
      </c>
      <c r="G1542" s="12" t="s">
        <v>1147</v>
      </c>
    </row>
    <row r="1543" spans="1:7" x14ac:dyDescent="0.3">
      <c r="A1543" s="28"/>
      <c r="B1543" s="28"/>
      <c r="C1543" s="28" t="s">
        <v>2422</v>
      </c>
      <c r="D1543" s="28"/>
      <c r="E1543" s="12" t="s">
        <v>1262</v>
      </c>
      <c r="F1543" s="12" t="s">
        <v>951</v>
      </c>
      <c r="G1543" s="12" t="s">
        <v>1147</v>
      </c>
    </row>
    <row r="1544" spans="1:7" x14ac:dyDescent="0.3">
      <c r="A1544" s="28"/>
      <c r="B1544" s="28"/>
      <c r="C1544" s="28" t="s">
        <v>2422</v>
      </c>
      <c r="D1544" s="28"/>
      <c r="E1544" s="12" t="s">
        <v>1264</v>
      </c>
      <c r="F1544" s="12" t="s">
        <v>953</v>
      </c>
      <c r="G1544" s="12" t="s">
        <v>1147</v>
      </c>
    </row>
    <row r="1545" spans="1:7" x14ac:dyDescent="0.3">
      <c r="A1545" s="28"/>
      <c r="B1545" s="28"/>
      <c r="C1545" s="28" t="s">
        <v>2422</v>
      </c>
      <c r="D1545" s="28"/>
      <c r="E1545" s="12" t="s">
        <v>1266</v>
      </c>
      <c r="F1545" s="12" t="s">
        <v>955</v>
      </c>
      <c r="G1545" s="12" t="s">
        <v>1147</v>
      </c>
    </row>
    <row r="1546" spans="1:7" x14ac:dyDescent="0.3">
      <c r="A1546" s="28"/>
      <c r="B1546" s="28"/>
      <c r="C1546" s="28" t="s">
        <v>2422</v>
      </c>
      <c r="D1546" s="28"/>
      <c r="E1546" s="12" t="s">
        <v>1282</v>
      </c>
      <c r="F1546" s="12" t="s">
        <v>941</v>
      </c>
      <c r="G1546" s="12" t="s">
        <v>1147</v>
      </c>
    </row>
    <row r="1547" spans="1:7" x14ac:dyDescent="0.3">
      <c r="A1547" s="28"/>
      <c r="B1547" s="28"/>
      <c r="C1547" s="28" t="s">
        <v>2422</v>
      </c>
      <c r="D1547" s="28"/>
      <c r="E1547" s="12" t="s">
        <v>1284</v>
      </c>
      <c r="F1547" s="12" t="s">
        <v>971</v>
      </c>
      <c r="G1547" s="12" t="s">
        <v>1147</v>
      </c>
    </row>
    <row r="1548" spans="1:7" x14ac:dyDescent="0.3">
      <c r="A1548" s="28"/>
      <c r="B1548" s="28"/>
      <c r="C1548" s="28" t="s">
        <v>2422</v>
      </c>
      <c r="D1548" s="28"/>
      <c r="E1548" s="12" t="s">
        <v>1284</v>
      </c>
      <c r="F1548" s="12" t="s">
        <v>1023</v>
      </c>
      <c r="G1548" s="12" t="s">
        <v>1169</v>
      </c>
    </row>
    <row r="1549" spans="1:7" x14ac:dyDescent="0.3">
      <c r="A1549" s="28"/>
      <c r="B1549" s="28"/>
      <c r="C1549" s="28" t="s">
        <v>2422</v>
      </c>
      <c r="D1549" s="28"/>
      <c r="E1549" s="12" t="s">
        <v>1294</v>
      </c>
      <c r="F1549" s="12" t="s">
        <v>912</v>
      </c>
      <c r="G1549" s="12" t="s">
        <v>1147</v>
      </c>
    </row>
    <row r="1550" spans="1:7" x14ac:dyDescent="0.3">
      <c r="A1550" s="28"/>
      <c r="B1550" s="28"/>
      <c r="C1550" s="28" t="s">
        <v>2422</v>
      </c>
      <c r="D1550" s="28"/>
      <c r="E1550" s="12" t="s">
        <v>1833</v>
      </c>
      <c r="F1550" s="12" t="s">
        <v>971</v>
      </c>
      <c r="G1550" s="12" t="s">
        <v>1147</v>
      </c>
    </row>
    <row r="1551" spans="1:7" x14ac:dyDescent="0.3">
      <c r="A1551" s="28"/>
      <c r="B1551" s="28"/>
      <c r="C1551" s="28" t="s">
        <v>2422</v>
      </c>
      <c r="D1551" s="28"/>
      <c r="E1551" s="12" t="s">
        <v>1296</v>
      </c>
      <c r="F1551" s="12" t="s">
        <v>1554</v>
      </c>
      <c r="G1551" s="12" t="s">
        <v>1147</v>
      </c>
    </row>
    <row r="1552" spans="1:7" x14ac:dyDescent="0.3">
      <c r="A1552" s="28"/>
      <c r="B1552" s="28"/>
      <c r="C1552" s="28" t="s">
        <v>2422</v>
      </c>
      <c r="D1552" s="28"/>
      <c r="E1552" s="12" t="s">
        <v>1296</v>
      </c>
      <c r="F1552" s="12" t="s">
        <v>1556</v>
      </c>
      <c r="G1552" s="12" t="s">
        <v>1147</v>
      </c>
    </row>
    <row r="1553" spans="1:7" x14ac:dyDescent="0.3">
      <c r="A1553" s="28"/>
      <c r="B1553" s="28"/>
      <c r="C1553" s="28" t="s">
        <v>2422</v>
      </c>
      <c r="D1553" s="28"/>
      <c r="E1553" s="12" t="s">
        <v>1296</v>
      </c>
      <c r="F1553" s="12" t="s">
        <v>1575</v>
      </c>
      <c r="G1553" s="12" t="s">
        <v>1169</v>
      </c>
    </row>
    <row r="1554" spans="1:7" x14ac:dyDescent="0.3">
      <c r="A1554" s="28"/>
      <c r="B1554" s="28"/>
      <c r="C1554" s="28" t="s">
        <v>2422</v>
      </c>
      <c r="D1554" s="28"/>
      <c r="E1554" s="12" t="s">
        <v>1558</v>
      </c>
      <c r="F1554" s="12" t="s">
        <v>1623</v>
      </c>
      <c r="G1554" s="12" t="s">
        <v>1147</v>
      </c>
    </row>
    <row r="1555" spans="1:7" x14ac:dyDescent="0.3">
      <c r="A1555" s="28"/>
      <c r="B1555" s="28"/>
      <c r="C1555" s="28" t="s">
        <v>2422</v>
      </c>
      <c r="D1555" s="28"/>
      <c r="E1555" s="12" t="s">
        <v>1558</v>
      </c>
      <c r="F1555" s="12" t="s">
        <v>1560</v>
      </c>
      <c r="G1555" s="12" t="s">
        <v>1147</v>
      </c>
    </row>
    <row r="1556" spans="1:7" x14ac:dyDescent="0.3">
      <c r="A1556" s="28"/>
      <c r="B1556" s="28"/>
      <c r="C1556" s="28" t="s">
        <v>2422</v>
      </c>
      <c r="D1556" s="28"/>
      <c r="E1556" s="12" t="s">
        <v>2050</v>
      </c>
      <c r="F1556" s="12" t="s">
        <v>1558</v>
      </c>
      <c r="G1556" s="12" t="s">
        <v>1147</v>
      </c>
    </row>
    <row r="1557" spans="1:7" x14ac:dyDescent="0.3">
      <c r="A1557" s="28"/>
      <c r="B1557" s="28"/>
      <c r="C1557" s="28" t="s">
        <v>2422</v>
      </c>
      <c r="D1557" s="28"/>
      <c r="E1557" s="12" t="s">
        <v>1560</v>
      </c>
      <c r="F1557" s="12" t="s">
        <v>1554</v>
      </c>
      <c r="G1557" s="12" t="s">
        <v>1147</v>
      </c>
    </row>
    <row r="1558" spans="1:7" x14ac:dyDescent="0.3">
      <c r="A1558" s="28"/>
      <c r="B1558" s="28"/>
      <c r="C1558" s="28" t="s">
        <v>2422</v>
      </c>
      <c r="D1558" s="28"/>
      <c r="E1558" s="12" t="s">
        <v>1560</v>
      </c>
      <c r="F1558" s="12" t="s">
        <v>1556</v>
      </c>
      <c r="G1558" s="12" t="s">
        <v>1147</v>
      </c>
    </row>
    <row r="1559" spans="1:7" x14ac:dyDescent="0.3">
      <c r="A1559" s="28"/>
      <c r="B1559" s="28"/>
      <c r="C1559" s="28" t="s">
        <v>2422</v>
      </c>
      <c r="D1559" s="28"/>
      <c r="E1559" s="12" t="s">
        <v>1560</v>
      </c>
      <c r="F1559" s="12" t="s">
        <v>1573</v>
      </c>
      <c r="G1559" s="12" t="s">
        <v>1169</v>
      </c>
    </row>
    <row r="1560" spans="1:7" x14ac:dyDescent="0.3">
      <c r="A1560" s="28"/>
      <c r="B1560" s="28"/>
      <c r="C1560" s="28" t="s">
        <v>2422</v>
      </c>
      <c r="D1560" s="28"/>
      <c r="E1560" s="12" t="s">
        <v>2052</v>
      </c>
      <c r="F1560" s="12" t="s">
        <v>1560</v>
      </c>
      <c r="G1560" s="12" t="s">
        <v>1147</v>
      </c>
    </row>
    <row r="1561" spans="1:7" x14ac:dyDescent="0.3">
      <c r="A1561" s="28"/>
      <c r="B1561" s="28"/>
      <c r="C1561" s="28" t="s">
        <v>2422</v>
      </c>
      <c r="D1561" s="28"/>
      <c r="E1561" s="12" t="s">
        <v>2036</v>
      </c>
      <c r="F1561" s="12" t="s">
        <v>1575</v>
      </c>
      <c r="G1561" s="12" t="s">
        <v>1147</v>
      </c>
    </row>
    <row r="1562" spans="1:7" x14ac:dyDescent="0.3">
      <c r="A1562" s="28"/>
      <c r="B1562" s="28"/>
      <c r="C1562" s="28" t="s">
        <v>2422</v>
      </c>
      <c r="D1562" s="28"/>
      <c r="E1562" s="12" t="s">
        <v>1580</v>
      </c>
      <c r="F1562" s="12" t="s">
        <v>1621</v>
      </c>
      <c r="G1562" s="12" t="s">
        <v>1147</v>
      </c>
    </row>
    <row r="1563" spans="1:7" x14ac:dyDescent="0.3">
      <c r="A1563" s="28"/>
      <c r="B1563" s="28"/>
      <c r="C1563" s="28" t="s">
        <v>2422</v>
      </c>
      <c r="D1563" s="28"/>
      <c r="E1563" s="12" t="s">
        <v>1580</v>
      </c>
      <c r="F1563" s="12" t="s">
        <v>1575</v>
      </c>
      <c r="G1563" s="12" t="s">
        <v>1169</v>
      </c>
    </row>
    <row r="1564" spans="1:7" x14ac:dyDescent="0.3">
      <c r="A1564" s="28"/>
      <c r="B1564" s="28"/>
      <c r="C1564" s="28" t="s">
        <v>2422</v>
      </c>
      <c r="D1564" s="28"/>
      <c r="E1564" s="12" t="s">
        <v>1513</v>
      </c>
      <c r="F1564" s="12" t="s">
        <v>920</v>
      </c>
      <c r="G1564" s="12" t="s">
        <v>1158</v>
      </c>
    </row>
    <row r="1565" spans="1:7" x14ac:dyDescent="0.3">
      <c r="A1565" s="28"/>
      <c r="B1565" s="28"/>
      <c r="C1565" s="28" t="s">
        <v>2422</v>
      </c>
      <c r="D1565" s="28"/>
      <c r="E1565" s="12" t="s">
        <v>1513</v>
      </c>
      <c r="F1565" s="12" t="s">
        <v>920</v>
      </c>
      <c r="G1565" s="12" t="s">
        <v>1169</v>
      </c>
    </row>
    <row r="1566" spans="1:7" x14ac:dyDescent="0.3">
      <c r="A1566" s="28"/>
      <c r="B1566" s="28"/>
      <c r="C1566" s="28" t="s">
        <v>2422</v>
      </c>
      <c r="D1566" s="28"/>
      <c r="E1566" s="12" t="s">
        <v>1511</v>
      </c>
      <c r="F1566" s="12" t="s">
        <v>943</v>
      </c>
      <c r="G1566" s="12" t="s">
        <v>1158</v>
      </c>
    </row>
    <row r="1567" spans="1:7" x14ac:dyDescent="0.3">
      <c r="A1567" s="28"/>
      <c r="B1567" s="28"/>
      <c r="C1567" s="28" t="s">
        <v>2422</v>
      </c>
      <c r="D1567" s="28"/>
      <c r="E1567" s="12" t="s">
        <v>1511</v>
      </c>
      <c r="F1567" s="12" t="s">
        <v>943</v>
      </c>
      <c r="G1567" s="12" t="s">
        <v>1169</v>
      </c>
    </row>
    <row r="1568" spans="1:7" x14ac:dyDescent="0.3">
      <c r="A1568" s="28"/>
      <c r="B1568" s="28"/>
      <c r="C1568" s="28" t="s">
        <v>2422</v>
      </c>
      <c r="D1568" s="28"/>
      <c r="E1568" s="12" t="s">
        <v>1221</v>
      </c>
      <c r="F1568" s="12" t="s">
        <v>923</v>
      </c>
      <c r="G1568" s="12" t="s">
        <v>1158</v>
      </c>
    </row>
    <row r="1569" spans="1:7" x14ac:dyDescent="0.3">
      <c r="A1569" s="28"/>
      <c r="B1569" s="28"/>
      <c r="C1569" s="28" t="s">
        <v>2422</v>
      </c>
      <c r="D1569" s="28"/>
      <c r="E1569" s="12" t="s">
        <v>1221</v>
      </c>
      <c r="F1569" s="12" t="s">
        <v>923</v>
      </c>
      <c r="G1569" s="12" t="s">
        <v>1169</v>
      </c>
    </row>
    <row r="1570" spans="1:7" x14ac:dyDescent="0.3">
      <c r="A1570" s="28"/>
      <c r="B1570" s="28"/>
      <c r="C1570" s="28" t="s">
        <v>2422</v>
      </c>
      <c r="D1570" s="28"/>
      <c r="E1570" s="12" t="s">
        <v>1211</v>
      </c>
      <c r="F1570" s="12" t="s">
        <v>945</v>
      </c>
      <c r="G1570" s="12" t="s">
        <v>1158</v>
      </c>
    </row>
    <row r="1571" spans="1:7" x14ac:dyDescent="0.3">
      <c r="A1571" s="28"/>
      <c r="B1571" s="28"/>
      <c r="C1571" s="28" t="s">
        <v>2422</v>
      </c>
      <c r="D1571" s="28"/>
      <c r="E1571" s="12" t="s">
        <v>1211</v>
      </c>
      <c r="F1571" s="12" t="s">
        <v>945</v>
      </c>
      <c r="G1571" s="12" t="s">
        <v>1169</v>
      </c>
    </row>
    <row r="1572" spans="1:7" x14ac:dyDescent="0.3">
      <c r="A1572" s="28"/>
      <c r="B1572" s="28"/>
      <c r="C1572" s="28" t="s">
        <v>2422</v>
      </c>
      <c r="D1572" s="28"/>
      <c r="E1572" s="12" t="s">
        <v>1211</v>
      </c>
      <c r="F1572" s="12" t="s">
        <v>947</v>
      </c>
      <c r="G1572" s="12" t="s">
        <v>1158</v>
      </c>
    </row>
    <row r="1573" spans="1:7" x14ac:dyDescent="0.3">
      <c r="A1573" s="28"/>
      <c r="B1573" s="28"/>
      <c r="C1573" s="28" t="s">
        <v>2422</v>
      </c>
      <c r="D1573" s="28"/>
      <c r="E1573" s="12" t="s">
        <v>1211</v>
      </c>
      <c r="F1573" s="12" t="s">
        <v>947</v>
      </c>
      <c r="G1573" s="12" t="s">
        <v>1169</v>
      </c>
    </row>
    <row r="1574" spans="1:7" x14ac:dyDescent="0.3">
      <c r="A1574" s="28"/>
      <c r="B1574" s="28"/>
      <c r="C1574" s="28" t="s">
        <v>2422</v>
      </c>
      <c r="D1574" s="28"/>
      <c r="E1574" s="12" t="s">
        <v>1223</v>
      </c>
      <c r="F1574" s="12" t="s">
        <v>925</v>
      </c>
      <c r="G1574" s="12" t="s">
        <v>1158</v>
      </c>
    </row>
    <row r="1575" spans="1:7" x14ac:dyDescent="0.3">
      <c r="A1575" s="28"/>
      <c r="B1575" s="28"/>
      <c r="C1575" s="28" t="s">
        <v>2422</v>
      </c>
      <c r="D1575" s="28"/>
      <c r="E1575" s="12" t="s">
        <v>1223</v>
      </c>
      <c r="F1575" s="12" t="s">
        <v>925</v>
      </c>
      <c r="G1575" s="12" t="s">
        <v>1169</v>
      </c>
    </row>
    <row r="1576" spans="1:7" x14ac:dyDescent="0.3">
      <c r="A1576" s="28"/>
      <c r="B1576" s="28"/>
      <c r="C1576" s="28" t="s">
        <v>2422</v>
      </c>
      <c r="D1576" s="28"/>
      <c r="E1576" s="12" t="s">
        <v>1213</v>
      </c>
      <c r="F1576" s="12" t="s">
        <v>949</v>
      </c>
      <c r="G1576" s="12" t="s">
        <v>1158</v>
      </c>
    </row>
    <row r="1577" spans="1:7" x14ac:dyDescent="0.3">
      <c r="A1577" s="28"/>
      <c r="B1577" s="28"/>
      <c r="C1577" s="28" t="s">
        <v>2422</v>
      </c>
      <c r="D1577" s="28"/>
      <c r="E1577" s="12" t="s">
        <v>1213</v>
      </c>
      <c r="F1577" s="12" t="s">
        <v>949</v>
      </c>
      <c r="G1577" s="12" t="s">
        <v>1169</v>
      </c>
    </row>
    <row r="1578" spans="1:7" x14ac:dyDescent="0.3">
      <c r="A1578" s="28"/>
      <c r="B1578" s="28"/>
      <c r="C1578" s="28" t="s">
        <v>2422</v>
      </c>
      <c r="D1578" s="28"/>
      <c r="E1578" s="12" t="s">
        <v>1213</v>
      </c>
      <c r="F1578" s="12" t="s">
        <v>951</v>
      </c>
      <c r="G1578" s="12" t="s">
        <v>1158</v>
      </c>
    </row>
    <row r="1579" spans="1:7" x14ac:dyDescent="0.3">
      <c r="A1579" s="28"/>
      <c r="B1579" s="28"/>
      <c r="C1579" s="28" t="s">
        <v>2422</v>
      </c>
      <c r="D1579" s="28"/>
      <c r="E1579" s="12" t="s">
        <v>1213</v>
      </c>
      <c r="F1579" s="12" t="s">
        <v>951</v>
      </c>
      <c r="G1579" s="12" t="s">
        <v>1169</v>
      </c>
    </row>
    <row r="1580" spans="1:7" x14ac:dyDescent="0.3">
      <c r="A1580" s="28"/>
      <c r="B1580" s="28"/>
      <c r="C1580" s="28" t="s">
        <v>2422</v>
      </c>
      <c r="D1580" s="28"/>
      <c r="E1580" s="12" t="s">
        <v>1213</v>
      </c>
      <c r="F1580" s="12" t="s">
        <v>953</v>
      </c>
      <c r="G1580" s="12" t="s">
        <v>1158</v>
      </c>
    </row>
    <row r="1581" spans="1:7" x14ac:dyDescent="0.3">
      <c r="A1581" s="28"/>
      <c r="B1581" s="28"/>
      <c r="C1581" s="28" t="s">
        <v>2422</v>
      </c>
      <c r="D1581" s="28"/>
      <c r="E1581" s="12" t="s">
        <v>1213</v>
      </c>
      <c r="F1581" s="12" t="s">
        <v>953</v>
      </c>
      <c r="G1581" s="12" t="s">
        <v>1169</v>
      </c>
    </row>
    <row r="1582" spans="1:7" x14ac:dyDescent="0.3">
      <c r="A1582" s="28"/>
      <c r="B1582" s="28"/>
      <c r="C1582" s="28" t="s">
        <v>2422</v>
      </c>
      <c r="D1582" s="28"/>
      <c r="E1582" s="12" t="s">
        <v>1213</v>
      </c>
      <c r="F1582" s="12" t="s">
        <v>955</v>
      </c>
      <c r="G1582" s="12" t="s">
        <v>1158</v>
      </c>
    </row>
    <row r="1583" spans="1:7" x14ac:dyDescent="0.3">
      <c r="A1583" s="28"/>
      <c r="B1583" s="28"/>
      <c r="C1583" s="28" t="s">
        <v>2422</v>
      </c>
      <c r="D1583" s="28"/>
      <c r="E1583" s="12" t="s">
        <v>1213</v>
      </c>
      <c r="F1583" s="12" t="s">
        <v>955</v>
      </c>
      <c r="G1583" s="12" t="s">
        <v>1169</v>
      </c>
    </row>
    <row r="1584" spans="1:7" x14ac:dyDescent="0.3">
      <c r="A1584" s="28" t="s">
        <v>1464</v>
      </c>
      <c r="B1584" s="28"/>
      <c r="C1584" s="28" t="s">
        <v>2431</v>
      </c>
      <c r="D1584" s="28" t="s">
        <v>1481</v>
      </c>
      <c r="E1584" s="12" t="s">
        <v>1759</v>
      </c>
      <c r="F1584" s="12" t="s">
        <v>1759</v>
      </c>
      <c r="G1584" s="12" t="s">
        <v>1169</v>
      </c>
    </row>
    <row r="1585" spans="1:7" x14ac:dyDescent="0.3">
      <c r="A1585" s="28" t="s">
        <v>1466</v>
      </c>
      <c r="B1585" s="28"/>
      <c r="C1585" s="28" t="s">
        <v>2431</v>
      </c>
      <c r="D1585" s="28" t="s">
        <v>1481</v>
      </c>
      <c r="E1585" s="12" t="s">
        <v>1759</v>
      </c>
      <c r="F1585" s="12" t="s">
        <v>1759</v>
      </c>
      <c r="G1585" s="12" t="s">
        <v>1169</v>
      </c>
    </row>
    <row r="1586" spans="1:7" x14ac:dyDescent="0.3">
      <c r="A1586" s="28" t="s">
        <v>1467</v>
      </c>
      <c r="B1586" s="28"/>
      <c r="C1586" s="28" t="s">
        <v>2431</v>
      </c>
      <c r="D1586" s="28" t="s">
        <v>1481</v>
      </c>
      <c r="E1586" s="12" t="s">
        <v>1759</v>
      </c>
      <c r="F1586" s="12" t="s">
        <v>1759</v>
      </c>
      <c r="G1586" s="12" t="s">
        <v>1169</v>
      </c>
    </row>
    <row r="1587" spans="1:7" x14ac:dyDescent="0.3">
      <c r="A1587" s="28" t="s">
        <v>1468</v>
      </c>
      <c r="B1587" s="28"/>
      <c r="C1587" s="28" t="s">
        <v>2431</v>
      </c>
      <c r="D1587" s="28" t="s">
        <v>1481</v>
      </c>
      <c r="E1587" s="12" t="s">
        <v>1759</v>
      </c>
      <c r="F1587" s="12" t="s">
        <v>1759</v>
      </c>
      <c r="G1587" s="12" t="s">
        <v>1169</v>
      </c>
    </row>
    <row r="1588" spans="1:7" x14ac:dyDescent="0.3">
      <c r="A1588" s="28" t="s">
        <v>1469</v>
      </c>
      <c r="B1588" s="28"/>
      <c r="C1588" s="28" t="s">
        <v>2431</v>
      </c>
      <c r="D1588" s="28" t="s">
        <v>1481</v>
      </c>
      <c r="E1588" s="12" t="s">
        <v>1759</v>
      </c>
      <c r="F1588" s="12" t="s">
        <v>1759</v>
      </c>
      <c r="G1588" s="12" t="s">
        <v>1169</v>
      </c>
    </row>
    <row r="1589" spans="1:7" x14ac:dyDescent="0.3">
      <c r="A1589" s="28" t="s">
        <v>1470</v>
      </c>
      <c r="B1589" s="28"/>
      <c r="C1589" s="28" t="s">
        <v>2431</v>
      </c>
      <c r="D1589" s="28" t="s">
        <v>1481</v>
      </c>
      <c r="E1589" s="12" t="s">
        <v>1759</v>
      </c>
      <c r="F1589" s="12" t="s">
        <v>1759</v>
      </c>
      <c r="G1589" s="12" t="s">
        <v>1169</v>
      </c>
    </row>
    <row r="1590" spans="1:7" x14ac:dyDescent="0.3">
      <c r="A1590" s="28" t="s">
        <v>1464</v>
      </c>
      <c r="B1590" s="28"/>
      <c r="C1590" s="28" t="s">
        <v>2431</v>
      </c>
      <c r="D1590" s="28" t="s">
        <v>1481</v>
      </c>
      <c r="E1590" s="12" t="s">
        <v>1759</v>
      </c>
      <c r="F1590" s="12" t="s">
        <v>927</v>
      </c>
      <c r="G1590" s="12" t="s">
        <v>1147</v>
      </c>
    </row>
    <row r="1591" spans="1:7" x14ac:dyDescent="0.3">
      <c r="A1591" s="28" t="s">
        <v>1466</v>
      </c>
      <c r="B1591" s="28"/>
      <c r="C1591" s="28" t="s">
        <v>2431</v>
      </c>
      <c r="D1591" s="28" t="s">
        <v>1481</v>
      </c>
      <c r="E1591" s="12" t="s">
        <v>1759</v>
      </c>
      <c r="F1591" s="12" t="s">
        <v>927</v>
      </c>
      <c r="G1591" s="12" t="s">
        <v>1147</v>
      </c>
    </row>
    <row r="1592" spans="1:7" x14ac:dyDescent="0.3">
      <c r="A1592" s="28" t="s">
        <v>1467</v>
      </c>
      <c r="B1592" s="28"/>
      <c r="C1592" s="28" t="s">
        <v>2431</v>
      </c>
      <c r="D1592" s="28" t="s">
        <v>1481</v>
      </c>
      <c r="E1592" s="12" t="s">
        <v>1759</v>
      </c>
      <c r="F1592" s="12" t="s">
        <v>927</v>
      </c>
      <c r="G1592" s="12" t="s">
        <v>1147</v>
      </c>
    </row>
    <row r="1593" spans="1:7" x14ac:dyDescent="0.3">
      <c r="A1593" s="28" t="s">
        <v>1468</v>
      </c>
      <c r="B1593" s="28"/>
      <c r="C1593" s="28" t="s">
        <v>2431</v>
      </c>
      <c r="D1593" s="28" t="s">
        <v>1481</v>
      </c>
      <c r="E1593" s="12" t="s">
        <v>1759</v>
      </c>
      <c r="F1593" s="12" t="s">
        <v>927</v>
      </c>
      <c r="G1593" s="12" t="s">
        <v>1147</v>
      </c>
    </row>
    <row r="1594" spans="1:7" x14ac:dyDescent="0.3">
      <c r="A1594" s="28" t="s">
        <v>1469</v>
      </c>
      <c r="B1594" s="28"/>
      <c r="C1594" s="28" t="s">
        <v>2431</v>
      </c>
      <c r="D1594" s="28" t="s">
        <v>1481</v>
      </c>
      <c r="E1594" s="12" t="s">
        <v>1759</v>
      </c>
      <c r="F1594" s="12" t="s">
        <v>927</v>
      </c>
      <c r="G1594" s="12" t="s">
        <v>1147</v>
      </c>
    </row>
    <row r="1595" spans="1:7" x14ac:dyDescent="0.3">
      <c r="A1595" s="28" t="s">
        <v>1470</v>
      </c>
      <c r="B1595" s="28"/>
      <c r="C1595" s="28" t="s">
        <v>2431</v>
      </c>
      <c r="D1595" s="28" t="s">
        <v>1481</v>
      </c>
      <c r="E1595" s="12" t="s">
        <v>1759</v>
      </c>
      <c r="F1595" s="12" t="s">
        <v>927</v>
      </c>
      <c r="G1595" s="12" t="s">
        <v>1147</v>
      </c>
    </row>
    <row r="1596" spans="1:7" x14ac:dyDescent="0.3">
      <c r="A1596" s="28" t="s">
        <v>1464</v>
      </c>
      <c r="B1596" s="28"/>
      <c r="C1596" s="28" t="s">
        <v>2431</v>
      </c>
      <c r="D1596" s="28" t="s">
        <v>1481</v>
      </c>
      <c r="E1596" s="12" t="s">
        <v>1759</v>
      </c>
      <c r="F1596" s="12" t="s">
        <v>1504</v>
      </c>
      <c r="G1596" s="12" t="s">
        <v>1147</v>
      </c>
    </row>
    <row r="1597" spans="1:7" x14ac:dyDescent="0.3">
      <c r="A1597" s="28" t="s">
        <v>1466</v>
      </c>
      <c r="B1597" s="28"/>
      <c r="C1597" s="28" t="s">
        <v>2431</v>
      </c>
      <c r="D1597" s="28" t="s">
        <v>1481</v>
      </c>
      <c r="E1597" s="12" t="s">
        <v>1759</v>
      </c>
      <c r="F1597" s="12" t="s">
        <v>1504</v>
      </c>
      <c r="G1597" s="12" t="s">
        <v>1147</v>
      </c>
    </row>
    <row r="1598" spans="1:7" x14ac:dyDescent="0.3">
      <c r="A1598" s="28" t="s">
        <v>1467</v>
      </c>
      <c r="B1598" s="28"/>
      <c r="C1598" s="28" t="s">
        <v>2431</v>
      </c>
      <c r="D1598" s="28" t="s">
        <v>1481</v>
      </c>
      <c r="E1598" s="12" t="s">
        <v>1759</v>
      </c>
      <c r="F1598" s="12" t="s">
        <v>1504</v>
      </c>
      <c r="G1598" s="12" t="s">
        <v>1147</v>
      </c>
    </row>
    <row r="1599" spans="1:7" x14ac:dyDescent="0.3">
      <c r="A1599" s="28" t="s">
        <v>1468</v>
      </c>
      <c r="B1599" s="28"/>
      <c r="C1599" s="28" t="s">
        <v>2431</v>
      </c>
      <c r="D1599" s="28" t="s">
        <v>1481</v>
      </c>
      <c r="E1599" s="12" t="s">
        <v>1759</v>
      </c>
      <c r="F1599" s="12" t="s">
        <v>1504</v>
      </c>
      <c r="G1599" s="12" t="s">
        <v>1147</v>
      </c>
    </row>
    <row r="1600" spans="1:7" x14ac:dyDescent="0.3">
      <c r="A1600" s="28" t="s">
        <v>1469</v>
      </c>
      <c r="B1600" s="28"/>
      <c r="C1600" s="28" t="s">
        <v>2431</v>
      </c>
      <c r="D1600" s="28" t="s">
        <v>1481</v>
      </c>
      <c r="E1600" s="12" t="s">
        <v>1759</v>
      </c>
      <c r="F1600" s="12" t="s">
        <v>1504</v>
      </c>
      <c r="G1600" s="12" t="s">
        <v>1147</v>
      </c>
    </row>
    <row r="1601" spans="1:7" x14ac:dyDescent="0.3">
      <c r="A1601" s="28" t="s">
        <v>1470</v>
      </c>
      <c r="B1601" s="28"/>
      <c r="C1601" s="28" t="s">
        <v>2431</v>
      </c>
      <c r="D1601" s="28" t="s">
        <v>1481</v>
      </c>
      <c r="E1601" s="12" t="s">
        <v>1759</v>
      </c>
      <c r="F1601" s="12" t="s">
        <v>1504</v>
      </c>
      <c r="G1601" s="12" t="s">
        <v>1147</v>
      </c>
    </row>
    <row r="1602" spans="1:7" x14ac:dyDescent="0.3">
      <c r="A1602" s="28" t="s">
        <v>1934</v>
      </c>
      <c r="B1602" s="28"/>
      <c r="C1602" s="28" t="s">
        <v>2431</v>
      </c>
      <c r="D1602" s="28" t="s">
        <v>1481</v>
      </c>
      <c r="E1602" s="12" t="s">
        <v>1759</v>
      </c>
      <c r="F1602" s="12" t="s">
        <v>1759</v>
      </c>
      <c r="G1602" s="12" t="s">
        <v>1169</v>
      </c>
    </row>
    <row r="1603" spans="1:7" x14ac:dyDescent="0.3">
      <c r="A1603" s="28" t="s">
        <v>1935</v>
      </c>
      <c r="B1603" s="28"/>
      <c r="C1603" s="28" t="s">
        <v>2431</v>
      </c>
      <c r="D1603" s="28" t="s">
        <v>1481</v>
      </c>
      <c r="E1603" s="12" t="s">
        <v>1759</v>
      </c>
      <c r="F1603" s="12" t="s">
        <v>1759</v>
      </c>
      <c r="G1603" s="12" t="s">
        <v>1169</v>
      </c>
    </row>
    <row r="1604" spans="1:7" x14ac:dyDescent="0.3">
      <c r="A1604" s="28" t="s">
        <v>1936</v>
      </c>
      <c r="B1604" s="28"/>
      <c r="C1604" s="28" t="s">
        <v>2431</v>
      </c>
      <c r="D1604" s="28" t="s">
        <v>1481</v>
      </c>
      <c r="E1604" s="12" t="s">
        <v>1759</v>
      </c>
      <c r="F1604" s="12" t="s">
        <v>1759</v>
      </c>
      <c r="G1604" s="12" t="s">
        <v>1169</v>
      </c>
    </row>
    <row r="1605" spans="1:7" x14ac:dyDescent="0.3">
      <c r="A1605" s="28" t="s">
        <v>1937</v>
      </c>
      <c r="B1605" s="28"/>
      <c r="C1605" s="28" t="s">
        <v>2431</v>
      </c>
      <c r="D1605" s="28" t="s">
        <v>1481</v>
      </c>
      <c r="E1605" s="12" t="s">
        <v>1759</v>
      </c>
      <c r="F1605" s="12" t="s">
        <v>1759</v>
      </c>
      <c r="G1605" s="12" t="s">
        <v>1169</v>
      </c>
    </row>
    <row r="1606" spans="1:7" x14ac:dyDescent="0.3">
      <c r="A1606" s="28" t="s">
        <v>1938</v>
      </c>
      <c r="B1606" s="28"/>
      <c r="C1606" s="28" t="s">
        <v>2431</v>
      </c>
      <c r="D1606" s="28" t="s">
        <v>1481</v>
      </c>
      <c r="E1606" s="12" t="s">
        <v>1759</v>
      </c>
      <c r="F1606" s="12" t="s">
        <v>1759</v>
      </c>
      <c r="G1606" s="12" t="s">
        <v>1169</v>
      </c>
    </row>
    <row r="1607" spans="1:7" x14ac:dyDescent="0.3">
      <c r="A1607" s="28" t="s">
        <v>1939</v>
      </c>
      <c r="B1607" s="28"/>
      <c r="C1607" s="28" t="s">
        <v>2431</v>
      </c>
      <c r="D1607" s="28" t="s">
        <v>1481</v>
      </c>
      <c r="E1607" s="12" t="s">
        <v>1759</v>
      </c>
      <c r="F1607" s="12" t="s">
        <v>1759</v>
      </c>
      <c r="G1607" s="12" t="s">
        <v>1169</v>
      </c>
    </row>
    <row r="1608" spans="1:7" x14ac:dyDescent="0.3">
      <c r="A1608" s="28" t="s">
        <v>1934</v>
      </c>
      <c r="B1608" s="28"/>
      <c r="C1608" s="28" t="s">
        <v>2431</v>
      </c>
      <c r="D1608" s="28" t="s">
        <v>1481</v>
      </c>
      <c r="E1608" s="12" t="s">
        <v>1759</v>
      </c>
      <c r="F1608" s="12" t="s">
        <v>927</v>
      </c>
      <c r="G1608" s="12" t="s">
        <v>1147</v>
      </c>
    </row>
    <row r="1609" spans="1:7" x14ac:dyDescent="0.3">
      <c r="A1609" s="28" t="s">
        <v>1935</v>
      </c>
      <c r="B1609" s="28"/>
      <c r="C1609" s="28" t="s">
        <v>2431</v>
      </c>
      <c r="D1609" s="28" t="s">
        <v>1481</v>
      </c>
      <c r="E1609" s="12" t="s">
        <v>1759</v>
      </c>
      <c r="F1609" s="12" t="s">
        <v>927</v>
      </c>
      <c r="G1609" s="12" t="s">
        <v>1147</v>
      </c>
    </row>
    <row r="1610" spans="1:7" x14ac:dyDescent="0.3">
      <c r="A1610" s="28" t="s">
        <v>1936</v>
      </c>
      <c r="B1610" s="28"/>
      <c r="C1610" s="28" t="s">
        <v>2431</v>
      </c>
      <c r="D1610" s="28" t="s">
        <v>1481</v>
      </c>
      <c r="E1610" s="12" t="s">
        <v>1759</v>
      </c>
      <c r="F1610" s="12" t="s">
        <v>927</v>
      </c>
      <c r="G1610" s="12" t="s">
        <v>1147</v>
      </c>
    </row>
    <row r="1611" spans="1:7" x14ac:dyDescent="0.3">
      <c r="A1611" s="28" t="s">
        <v>1937</v>
      </c>
      <c r="B1611" s="28"/>
      <c r="C1611" s="28" t="s">
        <v>2431</v>
      </c>
      <c r="D1611" s="28" t="s">
        <v>1481</v>
      </c>
      <c r="E1611" s="12" t="s">
        <v>1759</v>
      </c>
      <c r="F1611" s="12" t="s">
        <v>927</v>
      </c>
      <c r="G1611" s="12" t="s">
        <v>1147</v>
      </c>
    </row>
    <row r="1612" spans="1:7" x14ac:dyDescent="0.3">
      <c r="A1612" s="28" t="s">
        <v>1938</v>
      </c>
      <c r="B1612" s="28"/>
      <c r="C1612" s="28" t="s">
        <v>2431</v>
      </c>
      <c r="D1612" s="28" t="s">
        <v>1481</v>
      </c>
      <c r="E1612" s="12" t="s">
        <v>1759</v>
      </c>
      <c r="F1612" s="12" t="s">
        <v>927</v>
      </c>
      <c r="G1612" s="12" t="s">
        <v>1147</v>
      </c>
    </row>
    <row r="1613" spans="1:7" x14ac:dyDescent="0.3">
      <c r="A1613" s="28" t="s">
        <v>1939</v>
      </c>
      <c r="B1613" s="28"/>
      <c r="C1613" s="28" t="s">
        <v>2431</v>
      </c>
      <c r="D1613" s="28" t="s">
        <v>1481</v>
      </c>
      <c r="E1613" s="12" t="s">
        <v>1759</v>
      </c>
      <c r="F1613" s="12" t="s">
        <v>927</v>
      </c>
      <c r="G1613" s="12" t="s">
        <v>1147</v>
      </c>
    </row>
    <row r="1614" spans="1:7" x14ac:dyDescent="0.3">
      <c r="A1614" s="28" t="s">
        <v>1934</v>
      </c>
      <c r="B1614" s="28"/>
      <c r="C1614" s="28" t="s">
        <v>2431</v>
      </c>
      <c r="D1614" s="28" t="s">
        <v>1481</v>
      </c>
      <c r="E1614" s="12" t="s">
        <v>1759</v>
      </c>
      <c r="F1614" s="12" t="s">
        <v>1504</v>
      </c>
      <c r="G1614" s="12" t="s">
        <v>1147</v>
      </c>
    </row>
    <row r="1615" spans="1:7" x14ac:dyDescent="0.3">
      <c r="A1615" s="28" t="s">
        <v>1935</v>
      </c>
      <c r="B1615" s="28"/>
      <c r="C1615" s="28" t="s">
        <v>2431</v>
      </c>
      <c r="D1615" s="28" t="s">
        <v>1481</v>
      </c>
      <c r="E1615" s="12" t="s">
        <v>1759</v>
      </c>
      <c r="F1615" s="12" t="s">
        <v>1504</v>
      </c>
      <c r="G1615" s="12" t="s">
        <v>1147</v>
      </c>
    </row>
    <row r="1616" spans="1:7" x14ac:dyDescent="0.3">
      <c r="A1616" s="28" t="s">
        <v>1936</v>
      </c>
      <c r="B1616" s="28"/>
      <c r="C1616" s="28" t="s">
        <v>2431</v>
      </c>
      <c r="D1616" s="28" t="s">
        <v>1481</v>
      </c>
      <c r="E1616" s="12" t="s">
        <v>1759</v>
      </c>
      <c r="F1616" s="12" t="s">
        <v>1504</v>
      </c>
      <c r="G1616" s="12" t="s">
        <v>1147</v>
      </c>
    </row>
    <row r="1617" spans="1:7" x14ac:dyDescent="0.3">
      <c r="A1617" s="28" t="s">
        <v>1937</v>
      </c>
      <c r="B1617" s="28"/>
      <c r="C1617" s="28" t="s">
        <v>2431</v>
      </c>
      <c r="D1617" s="28" t="s">
        <v>1481</v>
      </c>
      <c r="E1617" s="12" t="s">
        <v>1759</v>
      </c>
      <c r="F1617" s="12" t="s">
        <v>1504</v>
      </c>
      <c r="G1617" s="12" t="s">
        <v>1147</v>
      </c>
    </row>
    <row r="1618" spans="1:7" x14ac:dyDescent="0.3">
      <c r="A1618" s="28" t="s">
        <v>1938</v>
      </c>
      <c r="B1618" s="28"/>
      <c r="C1618" s="28" t="s">
        <v>2431</v>
      </c>
      <c r="D1618" s="28" t="s">
        <v>1481</v>
      </c>
      <c r="E1618" s="12" t="s">
        <v>1759</v>
      </c>
      <c r="F1618" s="12" t="s">
        <v>1504</v>
      </c>
      <c r="G1618" s="12" t="s">
        <v>1147</v>
      </c>
    </row>
    <row r="1619" spans="1:7" x14ac:dyDescent="0.3">
      <c r="A1619" s="28" t="s">
        <v>1939</v>
      </c>
      <c r="B1619" s="28"/>
      <c r="C1619" s="28" t="s">
        <v>2431</v>
      </c>
      <c r="D1619" s="28" t="s">
        <v>1481</v>
      </c>
      <c r="E1619" s="12" t="s">
        <v>1759</v>
      </c>
      <c r="F1619" s="12" t="s">
        <v>1504</v>
      </c>
      <c r="G1619" s="12" t="s">
        <v>1147</v>
      </c>
    </row>
    <row r="1620" spans="1:7" x14ac:dyDescent="0.3">
      <c r="A1620" s="28" t="s">
        <v>1464</v>
      </c>
      <c r="B1620" s="28"/>
      <c r="C1620" s="28" t="s">
        <v>2431</v>
      </c>
      <c r="D1620" s="28" t="s">
        <v>1594</v>
      </c>
      <c r="E1620" s="12" t="s">
        <v>1760</v>
      </c>
      <c r="F1620" s="12" t="s">
        <v>1760</v>
      </c>
      <c r="G1620" s="12" t="s">
        <v>1169</v>
      </c>
    </row>
    <row r="1621" spans="1:7" x14ac:dyDescent="0.3">
      <c r="A1621" s="28" t="s">
        <v>1466</v>
      </c>
      <c r="B1621" s="28"/>
      <c r="C1621" s="28" t="s">
        <v>2431</v>
      </c>
      <c r="D1621" s="28" t="s">
        <v>1594</v>
      </c>
      <c r="E1621" s="12" t="s">
        <v>1760</v>
      </c>
      <c r="F1621" s="12" t="s">
        <v>1760</v>
      </c>
      <c r="G1621" s="12" t="s">
        <v>1169</v>
      </c>
    </row>
    <row r="1622" spans="1:7" x14ac:dyDescent="0.3">
      <c r="A1622" s="28" t="s">
        <v>1467</v>
      </c>
      <c r="B1622" s="28"/>
      <c r="C1622" s="28" t="s">
        <v>2431</v>
      </c>
      <c r="D1622" s="28" t="s">
        <v>1594</v>
      </c>
      <c r="E1622" s="12" t="s">
        <v>1760</v>
      </c>
      <c r="F1622" s="12" t="s">
        <v>1760</v>
      </c>
      <c r="G1622" s="12" t="s">
        <v>1169</v>
      </c>
    </row>
    <row r="1623" spans="1:7" x14ac:dyDescent="0.3">
      <c r="A1623" s="28" t="s">
        <v>1468</v>
      </c>
      <c r="B1623" s="28"/>
      <c r="C1623" s="28" t="s">
        <v>2431</v>
      </c>
      <c r="D1623" s="28" t="s">
        <v>1594</v>
      </c>
      <c r="E1623" s="12" t="s">
        <v>1760</v>
      </c>
      <c r="F1623" s="12" t="s">
        <v>1760</v>
      </c>
      <c r="G1623" s="12" t="s">
        <v>1169</v>
      </c>
    </row>
    <row r="1624" spans="1:7" x14ac:dyDescent="0.3">
      <c r="A1624" s="28" t="s">
        <v>1469</v>
      </c>
      <c r="B1624" s="28"/>
      <c r="C1624" s="28" t="s">
        <v>2431</v>
      </c>
      <c r="D1624" s="28" t="s">
        <v>1594</v>
      </c>
      <c r="E1624" s="12" t="s">
        <v>1760</v>
      </c>
      <c r="F1624" s="12" t="s">
        <v>1760</v>
      </c>
      <c r="G1624" s="12" t="s">
        <v>1169</v>
      </c>
    </row>
    <row r="1625" spans="1:7" x14ac:dyDescent="0.3">
      <c r="A1625" s="28" t="s">
        <v>1470</v>
      </c>
      <c r="B1625" s="28"/>
      <c r="C1625" s="28" t="s">
        <v>2431</v>
      </c>
      <c r="D1625" s="28" t="s">
        <v>1594</v>
      </c>
      <c r="E1625" s="12" t="s">
        <v>1760</v>
      </c>
      <c r="F1625" s="12" t="s">
        <v>1760</v>
      </c>
      <c r="G1625" s="12" t="s">
        <v>1169</v>
      </c>
    </row>
    <row r="1626" spans="1:7" x14ac:dyDescent="0.3">
      <c r="A1626" s="28" t="s">
        <v>1464</v>
      </c>
      <c r="B1626" s="28"/>
      <c r="C1626" s="28" t="s">
        <v>2431</v>
      </c>
      <c r="D1626" s="28" t="s">
        <v>1594</v>
      </c>
      <c r="E1626" s="12" t="s">
        <v>1760</v>
      </c>
      <c r="F1626" s="12" t="s">
        <v>929</v>
      </c>
      <c r="G1626" s="12" t="s">
        <v>1147</v>
      </c>
    </row>
    <row r="1627" spans="1:7" x14ac:dyDescent="0.3">
      <c r="A1627" s="28" t="s">
        <v>1466</v>
      </c>
      <c r="B1627" s="28"/>
      <c r="C1627" s="28" t="s">
        <v>2431</v>
      </c>
      <c r="D1627" s="28" t="s">
        <v>1594</v>
      </c>
      <c r="E1627" s="12" t="s">
        <v>1760</v>
      </c>
      <c r="F1627" s="12" t="s">
        <v>929</v>
      </c>
      <c r="G1627" s="12" t="s">
        <v>1147</v>
      </c>
    </row>
    <row r="1628" spans="1:7" x14ac:dyDescent="0.3">
      <c r="A1628" s="28" t="s">
        <v>1467</v>
      </c>
      <c r="B1628" s="28"/>
      <c r="C1628" s="28" t="s">
        <v>2431</v>
      </c>
      <c r="D1628" s="28" t="s">
        <v>1594</v>
      </c>
      <c r="E1628" s="12" t="s">
        <v>1760</v>
      </c>
      <c r="F1628" s="12" t="s">
        <v>929</v>
      </c>
      <c r="G1628" s="12" t="s">
        <v>1147</v>
      </c>
    </row>
    <row r="1629" spans="1:7" x14ac:dyDescent="0.3">
      <c r="A1629" s="28" t="s">
        <v>1468</v>
      </c>
      <c r="B1629" s="28"/>
      <c r="C1629" s="28" t="s">
        <v>2431</v>
      </c>
      <c r="D1629" s="28" t="s">
        <v>1594</v>
      </c>
      <c r="E1629" s="12" t="s">
        <v>1760</v>
      </c>
      <c r="F1629" s="12" t="s">
        <v>929</v>
      </c>
      <c r="G1629" s="12" t="s">
        <v>1147</v>
      </c>
    </row>
    <row r="1630" spans="1:7" x14ac:dyDescent="0.3">
      <c r="A1630" s="28" t="s">
        <v>1469</v>
      </c>
      <c r="B1630" s="28"/>
      <c r="C1630" s="28" t="s">
        <v>2431</v>
      </c>
      <c r="D1630" s="28" t="s">
        <v>1594</v>
      </c>
      <c r="E1630" s="12" t="s">
        <v>1760</v>
      </c>
      <c r="F1630" s="12" t="s">
        <v>929</v>
      </c>
      <c r="G1630" s="12" t="s">
        <v>1147</v>
      </c>
    </row>
    <row r="1631" spans="1:7" x14ac:dyDescent="0.3">
      <c r="A1631" s="28" t="s">
        <v>1470</v>
      </c>
      <c r="B1631" s="28"/>
      <c r="C1631" s="28" t="s">
        <v>2431</v>
      </c>
      <c r="D1631" s="28" t="s">
        <v>1594</v>
      </c>
      <c r="E1631" s="12" t="s">
        <v>1760</v>
      </c>
      <c r="F1631" s="12" t="s">
        <v>929</v>
      </c>
      <c r="G1631" s="12" t="s">
        <v>1147</v>
      </c>
    </row>
    <row r="1632" spans="1:7" x14ac:dyDescent="0.3">
      <c r="A1632" s="28" t="s">
        <v>1464</v>
      </c>
      <c r="B1632" s="28"/>
      <c r="C1632" s="28" t="s">
        <v>2431</v>
      </c>
      <c r="D1632" s="28" t="s">
        <v>1594</v>
      </c>
      <c r="E1632" s="12" t="s">
        <v>1760</v>
      </c>
      <c r="F1632" s="12" t="s">
        <v>1505</v>
      </c>
      <c r="G1632" s="12" t="s">
        <v>1147</v>
      </c>
    </row>
    <row r="1633" spans="1:7" x14ac:dyDescent="0.3">
      <c r="A1633" s="28" t="s">
        <v>1466</v>
      </c>
      <c r="B1633" s="28"/>
      <c r="C1633" s="28" t="s">
        <v>2431</v>
      </c>
      <c r="D1633" s="28" t="s">
        <v>1594</v>
      </c>
      <c r="E1633" s="12" t="s">
        <v>1760</v>
      </c>
      <c r="F1633" s="12" t="s">
        <v>1505</v>
      </c>
      <c r="G1633" s="12" t="s">
        <v>1147</v>
      </c>
    </row>
    <row r="1634" spans="1:7" x14ac:dyDescent="0.3">
      <c r="A1634" s="28" t="s">
        <v>1467</v>
      </c>
      <c r="B1634" s="28"/>
      <c r="C1634" s="28" t="s">
        <v>2431</v>
      </c>
      <c r="D1634" s="28" t="s">
        <v>1594</v>
      </c>
      <c r="E1634" s="12" t="s">
        <v>1760</v>
      </c>
      <c r="F1634" s="12" t="s">
        <v>1505</v>
      </c>
      <c r="G1634" s="12" t="s">
        <v>1147</v>
      </c>
    </row>
    <row r="1635" spans="1:7" x14ac:dyDescent="0.3">
      <c r="A1635" s="28" t="s">
        <v>1468</v>
      </c>
      <c r="B1635" s="28"/>
      <c r="C1635" s="28" t="s">
        <v>2431</v>
      </c>
      <c r="D1635" s="28" t="s">
        <v>1594</v>
      </c>
      <c r="E1635" s="12" t="s">
        <v>1760</v>
      </c>
      <c r="F1635" s="12" t="s">
        <v>1505</v>
      </c>
      <c r="G1635" s="12" t="s">
        <v>1147</v>
      </c>
    </row>
    <row r="1636" spans="1:7" x14ac:dyDescent="0.3">
      <c r="A1636" s="28" t="s">
        <v>1469</v>
      </c>
      <c r="B1636" s="28"/>
      <c r="C1636" s="28" t="s">
        <v>2431</v>
      </c>
      <c r="D1636" s="28" t="s">
        <v>1594</v>
      </c>
      <c r="E1636" s="12" t="s">
        <v>1760</v>
      </c>
      <c r="F1636" s="12" t="s">
        <v>1505</v>
      </c>
      <c r="G1636" s="12" t="s">
        <v>1147</v>
      </c>
    </row>
    <row r="1637" spans="1:7" x14ac:dyDescent="0.3">
      <c r="A1637" s="28" t="s">
        <v>1470</v>
      </c>
      <c r="B1637" s="28"/>
      <c r="C1637" s="28" t="s">
        <v>2431</v>
      </c>
      <c r="D1637" s="28" t="s">
        <v>1594</v>
      </c>
      <c r="E1637" s="12" t="s">
        <v>1760</v>
      </c>
      <c r="F1637" s="12" t="s">
        <v>1505</v>
      </c>
      <c r="G1637" s="12" t="s">
        <v>1147</v>
      </c>
    </row>
    <row r="1638" spans="1:7" x14ac:dyDescent="0.3">
      <c r="A1638" s="28" t="s">
        <v>1934</v>
      </c>
      <c r="B1638" s="28"/>
      <c r="C1638" s="28" t="s">
        <v>2431</v>
      </c>
      <c r="D1638" s="28" t="s">
        <v>1594</v>
      </c>
      <c r="E1638" s="12" t="s">
        <v>1760</v>
      </c>
      <c r="F1638" s="12" t="s">
        <v>1760</v>
      </c>
      <c r="G1638" s="12" t="s">
        <v>1169</v>
      </c>
    </row>
    <row r="1639" spans="1:7" x14ac:dyDescent="0.3">
      <c r="A1639" s="28" t="s">
        <v>1935</v>
      </c>
      <c r="B1639" s="28"/>
      <c r="C1639" s="28" t="s">
        <v>2431</v>
      </c>
      <c r="D1639" s="28" t="s">
        <v>1594</v>
      </c>
      <c r="E1639" s="12" t="s">
        <v>1760</v>
      </c>
      <c r="F1639" s="12" t="s">
        <v>1760</v>
      </c>
      <c r="G1639" s="12" t="s">
        <v>1169</v>
      </c>
    </row>
    <row r="1640" spans="1:7" x14ac:dyDescent="0.3">
      <c r="A1640" s="28" t="s">
        <v>1936</v>
      </c>
      <c r="B1640" s="28"/>
      <c r="C1640" s="28" t="s">
        <v>2431</v>
      </c>
      <c r="D1640" s="28" t="s">
        <v>1594</v>
      </c>
      <c r="E1640" s="12" t="s">
        <v>1760</v>
      </c>
      <c r="F1640" s="12" t="s">
        <v>1760</v>
      </c>
      <c r="G1640" s="12" t="s">
        <v>1169</v>
      </c>
    </row>
    <row r="1641" spans="1:7" x14ac:dyDescent="0.3">
      <c r="A1641" s="28" t="s">
        <v>1937</v>
      </c>
      <c r="B1641" s="28"/>
      <c r="C1641" s="28" t="s">
        <v>2431</v>
      </c>
      <c r="D1641" s="28" t="s">
        <v>1594</v>
      </c>
      <c r="E1641" s="12" t="s">
        <v>1760</v>
      </c>
      <c r="F1641" s="12" t="s">
        <v>1760</v>
      </c>
      <c r="G1641" s="12" t="s">
        <v>1169</v>
      </c>
    </row>
    <row r="1642" spans="1:7" x14ac:dyDescent="0.3">
      <c r="A1642" s="28" t="s">
        <v>1938</v>
      </c>
      <c r="B1642" s="28"/>
      <c r="C1642" s="28" t="s">
        <v>2431</v>
      </c>
      <c r="D1642" s="28" t="s">
        <v>1594</v>
      </c>
      <c r="E1642" s="12" t="s">
        <v>1760</v>
      </c>
      <c r="F1642" s="12" t="s">
        <v>1760</v>
      </c>
      <c r="G1642" s="12" t="s">
        <v>1169</v>
      </c>
    </row>
    <row r="1643" spans="1:7" x14ac:dyDescent="0.3">
      <c r="A1643" s="28" t="s">
        <v>1939</v>
      </c>
      <c r="B1643" s="28"/>
      <c r="C1643" s="28" t="s">
        <v>2431</v>
      </c>
      <c r="D1643" s="28" t="s">
        <v>1594</v>
      </c>
      <c r="E1643" s="12" t="s">
        <v>1760</v>
      </c>
      <c r="F1643" s="12" t="s">
        <v>1760</v>
      </c>
      <c r="G1643" s="12" t="s">
        <v>1169</v>
      </c>
    </row>
    <row r="1644" spans="1:7" x14ac:dyDescent="0.3">
      <c r="A1644" s="28" t="s">
        <v>1934</v>
      </c>
      <c r="B1644" s="28"/>
      <c r="C1644" s="28" t="s">
        <v>2431</v>
      </c>
      <c r="D1644" s="28" t="s">
        <v>1594</v>
      </c>
      <c r="E1644" s="12" t="s">
        <v>1760</v>
      </c>
      <c r="F1644" s="12" t="s">
        <v>929</v>
      </c>
      <c r="G1644" s="12" t="s">
        <v>1147</v>
      </c>
    </row>
    <row r="1645" spans="1:7" x14ac:dyDescent="0.3">
      <c r="A1645" s="28" t="s">
        <v>1935</v>
      </c>
      <c r="B1645" s="28"/>
      <c r="C1645" s="28" t="s">
        <v>2431</v>
      </c>
      <c r="D1645" s="28" t="s">
        <v>1594</v>
      </c>
      <c r="E1645" s="12" t="s">
        <v>1760</v>
      </c>
      <c r="F1645" s="12" t="s">
        <v>929</v>
      </c>
      <c r="G1645" s="12" t="s">
        <v>1147</v>
      </c>
    </row>
    <row r="1646" spans="1:7" x14ac:dyDescent="0.3">
      <c r="A1646" s="28" t="s">
        <v>1936</v>
      </c>
      <c r="B1646" s="28"/>
      <c r="C1646" s="28" t="s">
        <v>2431</v>
      </c>
      <c r="D1646" s="28" t="s">
        <v>1594</v>
      </c>
      <c r="E1646" s="12" t="s">
        <v>1760</v>
      </c>
      <c r="F1646" s="12" t="s">
        <v>929</v>
      </c>
      <c r="G1646" s="12" t="s">
        <v>1147</v>
      </c>
    </row>
    <row r="1647" spans="1:7" x14ac:dyDescent="0.3">
      <c r="A1647" s="28" t="s">
        <v>1937</v>
      </c>
      <c r="B1647" s="28"/>
      <c r="C1647" s="28" t="s">
        <v>2431</v>
      </c>
      <c r="D1647" s="28" t="s">
        <v>1594</v>
      </c>
      <c r="E1647" s="12" t="s">
        <v>1760</v>
      </c>
      <c r="F1647" s="12" t="s">
        <v>929</v>
      </c>
      <c r="G1647" s="12" t="s">
        <v>1147</v>
      </c>
    </row>
    <row r="1648" spans="1:7" x14ac:dyDescent="0.3">
      <c r="A1648" s="28" t="s">
        <v>1938</v>
      </c>
      <c r="B1648" s="28"/>
      <c r="C1648" s="28" t="s">
        <v>2431</v>
      </c>
      <c r="D1648" s="28" t="s">
        <v>1594</v>
      </c>
      <c r="E1648" s="12" t="s">
        <v>1760</v>
      </c>
      <c r="F1648" s="12" t="s">
        <v>929</v>
      </c>
      <c r="G1648" s="12" t="s">
        <v>1147</v>
      </c>
    </row>
    <row r="1649" spans="1:7" x14ac:dyDescent="0.3">
      <c r="A1649" s="28" t="s">
        <v>1939</v>
      </c>
      <c r="B1649" s="28"/>
      <c r="C1649" s="28" t="s">
        <v>2431</v>
      </c>
      <c r="D1649" s="28" t="s">
        <v>1594</v>
      </c>
      <c r="E1649" s="12" t="s">
        <v>1760</v>
      </c>
      <c r="F1649" s="12" t="s">
        <v>929</v>
      </c>
      <c r="G1649" s="12" t="s">
        <v>1147</v>
      </c>
    </row>
    <row r="1650" spans="1:7" x14ac:dyDescent="0.3">
      <c r="A1650" s="28" t="s">
        <v>1934</v>
      </c>
      <c r="B1650" s="28"/>
      <c r="C1650" s="28" t="s">
        <v>2431</v>
      </c>
      <c r="D1650" s="28" t="s">
        <v>1594</v>
      </c>
      <c r="E1650" s="12" t="s">
        <v>1760</v>
      </c>
      <c r="F1650" s="12" t="s">
        <v>1505</v>
      </c>
      <c r="G1650" s="12" t="s">
        <v>1147</v>
      </c>
    </row>
    <row r="1651" spans="1:7" x14ac:dyDescent="0.3">
      <c r="A1651" s="28" t="s">
        <v>1935</v>
      </c>
      <c r="B1651" s="28"/>
      <c r="C1651" s="28" t="s">
        <v>2431</v>
      </c>
      <c r="D1651" s="28" t="s">
        <v>1594</v>
      </c>
      <c r="E1651" s="12" t="s">
        <v>1760</v>
      </c>
      <c r="F1651" s="12" t="s">
        <v>1505</v>
      </c>
      <c r="G1651" s="12" t="s">
        <v>1147</v>
      </c>
    </row>
    <row r="1652" spans="1:7" x14ac:dyDescent="0.3">
      <c r="A1652" s="28" t="s">
        <v>1936</v>
      </c>
      <c r="B1652" s="28"/>
      <c r="C1652" s="28" t="s">
        <v>2431</v>
      </c>
      <c r="D1652" s="28" t="s">
        <v>1594</v>
      </c>
      <c r="E1652" s="12" t="s">
        <v>1760</v>
      </c>
      <c r="F1652" s="12" t="s">
        <v>1505</v>
      </c>
      <c r="G1652" s="12" t="s">
        <v>1147</v>
      </c>
    </row>
    <row r="1653" spans="1:7" x14ac:dyDescent="0.3">
      <c r="A1653" s="28" t="s">
        <v>1937</v>
      </c>
      <c r="B1653" s="28"/>
      <c r="C1653" s="28" t="s">
        <v>2431</v>
      </c>
      <c r="D1653" s="28" t="s">
        <v>1594</v>
      </c>
      <c r="E1653" s="12" t="s">
        <v>1760</v>
      </c>
      <c r="F1653" s="12" t="s">
        <v>1505</v>
      </c>
      <c r="G1653" s="12" t="s">
        <v>1147</v>
      </c>
    </row>
    <row r="1654" spans="1:7" x14ac:dyDescent="0.3">
      <c r="A1654" s="28" t="s">
        <v>1938</v>
      </c>
      <c r="B1654" s="28"/>
      <c r="C1654" s="28" t="s">
        <v>2431</v>
      </c>
      <c r="D1654" s="28" t="s">
        <v>1594</v>
      </c>
      <c r="E1654" s="12" t="s">
        <v>1760</v>
      </c>
      <c r="F1654" s="12" t="s">
        <v>1505</v>
      </c>
      <c r="G1654" s="12" t="s">
        <v>1147</v>
      </c>
    </row>
    <row r="1655" spans="1:7" x14ac:dyDescent="0.3">
      <c r="A1655" s="28" t="s">
        <v>1939</v>
      </c>
      <c r="B1655" s="28"/>
      <c r="C1655" s="28" t="s">
        <v>2431</v>
      </c>
      <c r="D1655" s="28" t="s">
        <v>1594</v>
      </c>
      <c r="E1655" s="12" t="s">
        <v>1760</v>
      </c>
      <c r="F1655" s="12" t="s">
        <v>1505</v>
      </c>
      <c r="G1655" s="12" t="s">
        <v>1147</v>
      </c>
    </row>
    <row r="1656" spans="1:7" x14ac:dyDescent="0.3">
      <c r="A1656" s="28"/>
      <c r="B1656" s="28"/>
      <c r="C1656" s="28" t="s">
        <v>2431</v>
      </c>
      <c r="D1656" s="28"/>
      <c r="E1656" s="12" t="s">
        <v>1005</v>
      </c>
      <c r="F1656" s="12" t="s">
        <v>1005</v>
      </c>
      <c r="G1656" s="12" t="s">
        <v>1169</v>
      </c>
    </row>
    <row r="1657" spans="1:7" x14ac:dyDescent="0.3">
      <c r="A1657" s="28"/>
      <c r="B1657" s="28"/>
      <c r="C1657" s="28" t="s">
        <v>2431</v>
      </c>
      <c r="D1657" s="28"/>
      <c r="E1657" s="12" t="s">
        <v>1005</v>
      </c>
      <c r="F1657" s="12" t="s">
        <v>1525</v>
      </c>
      <c r="G1657" s="12" t="s">
        <v>1147</v>
      </c>
    </row>
    <row r="1658" spans="1:7" x14ac:dyDescent="0.3">
      <c r="A1658" s="28"/>
      <c r="B1658" s="28"/>
      <c r="C1658" s="28" t="s">
        <v>2431</v>
      </c>
      <c r="D1658" s="28"/>
      <c r="E1658" s="12" t="s">
        <v>1005</v>
      </c>
      <c r="F1658" s="12" t="s">
        <v>1526</v>
      </c>
      <c r="G1658" s="12" t="s">
        <v>1147</v>
      </c>
    </row>
    <row r="1659" spans="1:7" x14ac:dyDescent="0.3">
      <c r="A1659" s="28"/>
      <c r="B1659" s="28"/>
      <c r="C1659" s="28" t="s">
        <v>2431</v>
      </c>
      <c r="D1659" s="28"/>
      <c r="E1659" s="12" t="s">
        <v>927</v>
      </c>
      <c r="F1659" s="12" t="s">
        <v>957</v>
      </c>
      <c r="G1659" s="12" t="s">
        <v>1147</v>
      </c>
    </row>
    <row r="1660" spans="1:7" x14ac:dyDescent="0.3">
      <c r="A1660" s="28"/>
      <c r="B1660" s="28"/>
      <c r="C1660" s="28" t="s">
        <v>2431</v>
      </c>
      <c r="D1660" s="28"/>
      <c r="E1660" s="12" t="s">
        <v>927</v>
      </c>
      <c r="F1660" s="12" t="s">
        <v>959</v>
      </c>
      <c r="G1660" s="12" t="s">
        <v>1147</v>
      </c>
    </row>
    <row r="1661" spans="1:7" x14ac:dyDescent="0.3">
      <c r="A1661" s="28"/>
      <c r="B1661" s="28"/>
      <c r="C1661" s="28" t="s">
        <v>2431</v>
      </c>
      <c r="D1661" s="28"/>
      <c r="E1661" s="12" t="s">
        <v>927</v>
      </c>
      <c r="F1661" s="12" t="s">
        <v>961</v>
      </c>
      <c r="G1661" s="12" t="s">
        <v>1147</v>
      </c>
    </row>
    <row r="1662" spans="1:7" x14ac:dyDescent="0.3">
      <c r="A1662" s="28"/>
      <c r="B1662" s="28"/>
      <c r="C1662" s="28" t="s">
        <v>2431</v>
      </c>
      <c r="D1662" s="28"/>
      <c r="E1662" s="12" t="s">
        <v>929</v>
      </c>
      <c r="F1662" s="12" t="s">
        <v>963</v>
      </c>
      <c r="G1662" s="12" t="s">
        <v>1147</v>
      </c>
    </row>
    <row r="1663" spans="1:7" x14ac:dyDescent="0.3">
      <c r="A1663" s="28"/>
      <c r="B1663" s="28"/>
      <c r="C1663" s="28" t="s">
        <v>2431</v>
      </c>
      <c r="D1663" s="28"/>
      <c r="E1663" s="12" t="s">
        <v>929</v>
      </c>
      <c r="F1663" s="12" t="s">
        <v>965</v>
      </c>
      <c r="G1663" s="12" t="s">
        <v>1147</v>
      </c>
    </row>
    <row r="1664" spans="1:7" x14ac:dyDescent="0.3">
      <c r="A1664" s="28"/>
      <c r="B1664" s="28"/>
      <c r="C1664" s="28" t="s">
        <v>2431</v>
      </c>
      <c r="D1664" s="28"/>
      <c r="E1664" s="12" t="s">
        <v>1586</v>
      </c>
      <c r="F1664" s="12" t="s">
        <v>1586</v>
      </c>
      <c r="G1664" s="12" t="s">
        <v>1147</v>
      </c>
    </row>
    <row r="1665" spans="1:7" x14ac:dyDescent="0.3">
      <c r="A1665" s="28"/>
      <c r="B1665" s="28"/>
      <c r="C1665" s="28" t="s">
        <v>2431</v>
      </c>
      <c r="D1665" s="28"/>
      <c r="E1665" s="12" t="s">
        <v>906</v>
      </c>
      <c r="F1665" s="12" t="s">
        <v>906</v>
      </c>
      <c r="G1665" s="12" t="s">
        <v>1147</v>
      </c>
    </row>
    <row r="1666" spans="1:7" x14ac:dyDescent="0.3">
      <c r="A1666" s="28"/>
      <c r="B1666" s="28"/>
      <c r="C1666" s="28" t="s">
        <v>2431</v>
      </c>
      <c r="D1666" s="28"/>
      <c r="E1666" s="12" t="s">
        <v>910</v>
      </c>
      <c r="F1666" s="12" t="s">
        <v>910</v>
      </c>
      <c r="G1666" s="12" t="s">
        <v>1147</v>
      </c>
    </row>
    <row r="1667" spans="1:7" x14ac:dyDescent="0.3">
      <c r="A1667" s="28"/>
      <c r="B1667" s="28"/>
      <c r="C1667" s="28" t="s">
        <v>2431</v>
      </c>
      <c r="D1667" s="28"/>
      <c r="E1667" s="12" t="s">
        <v>2047</v>
      </c>
      <c r="F1667" s="12" t="s">
        <v>2047</v>
      </c>
      <c r="G1667" s="12" t="s">
        <v>1147</v>
      </c>
    </row>
    <row r="1668" spans="1:7" x14ac:dyDescent="0.3">
      <c r="A1668" s="28"/>
      <c r="B1668" s="28"/>
      <c r="C1668" s="28" t="s">
        <v>2431</v>
      </c>
      <c r="D1668" s="28"/>
      <c r="E1668" s="12" t="s">
        <v>1209</v>
      </c>
      <c r="F1668" s="12" t="s">
        <v>939</v>
      </c>
      <c r="G1668" s="12" t="s">
        <v>1147</v>
      </c>
    </row>
    <row r="1669" spans="1:7" x14ac:dyDescent="0.3">
      <c r="A1669" s="28"/>
      <c r="B1669" s="28"/>
      <c r="C1669" s="28" t="s">
        <v>2431</v>
      </c>
      <c r="D1669" s="28"/>
      <c r="E1669" s="12" t="s">
        <v>1209</v>
      </c>
      <c r="F1669" s="12" t="s">
        <v>1011</v>
      </c>
      <c r="G1669" s="12" t="s">
        <v>1169</v>
      </c>
    </row>
    <row r="1670" spans="1:7" x14ac:dyDescent="0.3">
      <c r="A1670" s="28"/>
      <c r="B1670" s="28"/>
      <c r="C1670" s="28" t="s">
        <v>2431</v>
      </c>
      <c r="D1670" s="28"/>
      <c r="E1670" s="12" t="s">
        <v>1205</v>
      </c>
      <c r="F1670" s="12" t="s">
        <v>935</v>
      </c>
      <c r="G1670" s="12" t="s">
        <v>1147</v>
      </c>
    </row>
    <row r="1671" spans="1:7" x14ac:dyDescent="0.3">
      <c r="A1671" s="28"/>
      <c r="B1671" s="28"/>
      <c r="C1671" s="28" t="s">
        <v>2431</v>
      </c>
      <c r="D1671" s="28"/>
      <c r="E1671" s="12" t="s">
        <v>1205</v>
      </c>
      <c r="F1671" s="12" t="s">
        <v>1009</v>
      </c>
      <c r="G1671" s="12" t="s">
        <v>1169</v>
      </c>
    </row>
    <row r="1672" spans="1:7" x14ac:dyDescent="0.3">
      <c r="A1672" s="28" t="s">
        <v>1464</v>
      </c>
      <c r="B1672" s="28"/>
      <c r="C1672" s="28" t="s">
        <v>2431</v>
      </c>
      <c r="D1672" s="28" t="s">
        <v>1631</v>
      </c>
      <c r="E1672" s="12" t="s">
        <v>1761</v>
      </c>
      <c r="F1672" s="12" t="s">
        <v>1761</v>
      </c>
      <c r="G1672" s="12" t="s">
        <v>1147</v>
      </c>
    </row>
    <row r="1673" spans="1:7" x14ac:dyDescent="0.3">
      <c r="A1673" s="28" t="s">
        <v>1466</v>
      </c>
      <c r="B1673" s="28"/>
      <c r="C1673" s="28" t="s">
        <v>2431</v>
      </c>
      <c r="D1673" s="28" t="s">
        <v>1631</v>
      </c>
      <c r="E1673" s="12" t="s">
        <v>1761</v>
      </c>
      <c r="F1673" s="12" t="s">
        <v>1761</v>
      </c>
      <c r="G1673" s="12" t="s">
        <v>1147</v>
      </c>
    </row>
    <row r="1674" spans="1:7" x14ac:dyDescent="0.3">
      <c r="A1674" s="28" t="s">
        <v>1467</v>
      </c>
      <c r="B1674" s="28"/>
      <c r="C1674" s="28" t="s">
        <v>2431</v>
      </c>
      <c r="D1674" s="28" t="s">
        <v>1631</v>
      </c>
      <c r="E1674" s="12" t="s">
        <v>1761</v>
      </c>
      <c r="F1674" s="12" t="s">
        <v>1761</v>
      </c>
      <c r="G1674" s="12" t="s">
        <v>1147</v>
      </c>
    </row>
    <row r="1675" spans="1:7" x14ac:dyDescent="0.3">
      <c r="A1675" s="28" t="s">
        <v>1468</v>
      </c>
      <c r="B1675" s="28"/>
      <c r="C1675" s="28" t="s">
        <v>2431</v>
      </c>
      <c r="D1675" s="28" t="s">
        <v>1631</v>
      </c>
      <c r="E1675" s="12" t="s">
        <v>1761</v>
      </c>
      <c r="F1675" s="12" t="s">
        <v>1761</v>
      </c>
      <c r="G1675" s="12" t="s">
        <v>1147</v>
      </c>
    </row>
    <row r="1676" spans="1:7" x14ac:dyDescent="0.3">
      <c r="A1676" s="28" t="s">
        <v>1469</v>
      </c>
      <c r="B1676" s="28"/>
      <c r="C1676" s="28" t="s">
        <v>2431</v>
      </c>
      <c r="D1676" s="28" t="s">
        <v>1631</v>
      </c>
      <c r="E1676" s="12" t="s">
        <v>1761</v>
      </c>
      <c r="F1676" s="12" t="s">
        <v>1761</v>
      </c>
      <c r="G1676" s="12" t="s">
        <v>1147</v>
      </c>
    </row>
    <row r="1677" spans="1:7" x14ac:dyDescent="0.3">
      <c r="A1677" s="28" t="s">
        <v>1470</v>
      </c>
      <c r="B1677" s="28"/>
      <c r="C1677" s="28" t="s">
        <v>2431</v>
      </c>
      <c r="D1677" s="28" t="s">
        <v>1631</v>
      </c>
      <c r="E1677" s="12" t="s">
        <v>1761</v>
      </c>
      <c r="F1677" s="12" t="s">
        <v>1761</v>
      </c>
      <c r="G1677" s="12" t="s">
        <v>1147</v>
      </c>
    </row>
    <row r="1678" spans="1:7" x14ac:dyDescent="0.3">
      <c r="A1678" s="28" t="s">
        <v>1934</v>
      </c>
      <c r="B1678" s="28"/>
      <c r="C1678" s="28" t="s">
        <v>2431</v>
      </c>
      <c r="D1678" s="28" t="s">
        <v>1631</v>
      </c>
      <c r="E1678" s="12" t="s">
        <v>1761</v>
      </c>
      <c r="F1678" s="12" t="s">
        <v>1761</v>
      </c>
      <c r="G1678" s="12" t="s">
        <v>1147</v>
      </c>
    </row>
    <row r="1679" spans="1:7" x14ac:dyDescent="0.3">
      <c r="A1679" s="28" t="s">
        <v>1935</v>
      </c>
      <c r="B1679" s="28"/>
      <c r="C1679" s="28" t="s">
        <v>2431</v>
      </c>
      <c r="D1679" s="28" t="s">
        <v>1631</v>
      </c>
      <c r="E1679" s="12" t="s">
        <v>1761</v>
      </c>
      <c r="F1679" s="12" t="s">
        <v>1761</v>
      </c>
      <c r="G1679" s="12" t="s">
        <v>1147</v>
      </c>
    </row>
    <row r="1680" spans="1:7" x14ac:dyDescent="0.3">
      <c r="A1680" s="28" t="s">
        <v>1936</v>
      </c>
      <c r="B1680" s="28"/>
      <c r="C1680" s="28" t="s">
        <v>2431</v>
      </c>
      <c r="D1680" s="28" t="s">
        <v>1631</v>
      </c>
      <c r="E1680" s="12" t="s">
        <v>1761</v>
      </c>
      <c r="F1680" s="12" t="s">
        <v>1761</v>
      </c>
      <c r="G1680" s="12" t="s">
        <v>1147</v>
      </c>
    </row>
    <row r="1681" spans="1:7" x14ac:dyDescent="0.3">
      <c r="A1681" s="28" t="s">
        <v>1937</v>
      </c>
      <c r="B1681" s="28"/>
      <c r="C1681" s="28" t="s">
        <v>2431</v>
      </c>
      <c r="D1681" s="28" t="s">
        <v>1631</v>
      </c>
      <c r="E1681" s="12" t="s">
        <v>1761</v>
      </c>
      <c r="F1681" s="12" t="s">
        <v>1761</v>
      </c>
      <c r="G1681" s="12" t="s">
        <v>1147</v>
      </c>
    </row>
    <row r="1682" spans="1:7" x14ac:dyDescent="0.3">
      <c r="A1682" s="28" t="s">
        <v>1938</v>
      </c>
      <c r="B1682" s="28"/>
      <c r="C1682" s="28" t="s">
        <v>2431</v>
      </c>
      <c r="D1682" s="28" t="s">
        <v>1631</v>
      </c>
      <c r="E1682" s="12" t="s">
        <v>1761</v>
      </c>
      <c r="F1682" s="12" t="s">
        <v>1761</v>
      </c>
      <c r="G1682" s="12" t="s">
        <v>1147</v>
      </c>
    </row>
    <row r="1683" spans="1:7" x14ac:dyDescent="0.3">
      <c r="A1683" s="28" t="s">
        <v>1939</v>
      </c>
      <c r="B1683" s="28"/>
      <c r="C1683" s="28" t="s">
        <v>2431</v>
      </c>
      <c r="D1683" s="28" t="s">
        <v>1631</v>
      </c>
      <c r="E1683" s="12" t="s">
        <v>1761</v>
      </c>
      <c r="F1683" s="12" t="s">
        <v>1761</v>
      </c>
      <c r="G1683" s="12" t="s">
        <v>1147</v>
      </c>
    </row>
    <row r="1684" spans="1:7" x14ac:dyDescent="0.3">
      <c r="A1684" s="28"/>
      <c r="B1684" s="28"/>
      <c r="C1684" s="28" t="s">
        <v>2431</v>
      </c>
      <c r="D1684" s="28"/>
      <c r="E1684" s="12" t="s">
        <v>1318</v>
      </c>
      <c r="F1684" s="12" t="s">
        <v>916</v>
      </c>
      <c r="G1684" s="12" t="s">
        <v>1147</v>
      </c>
    </row>
    <row r="1685" spans="1:7" x14ac:dyDescent="0.3">
      <c r="A1685" s="28"/>
      <c r="B1685" s="28"/>
      <c r="C1685" s="28" t="s">
        <v>2431</v>
      </c>
      <c r="D1685" s="28"/>
      <c r="E1685" s="12" t="s">
        <v>1320</v>
      </c>
      <c r="F1685" s="12" t="s">
        <v>916</v>
      </c>
      <c r="G1685" s="12" t="s">
        <v>1147</v>
      </c>
    </row>
    <row r="1686" spans="1:7" x14ac:dyDescent="0.3">
      <c r="A1686" s="28"/>
      <c r="B1686" s="28"/>
      <c r="C1686" s="28" t="s">
        <v>2431</v>
      </c>
      <c r="D1686" s="28"/>
      <c r="E1686" s="12" t="s">
        <v>1525</v>
      </c>
      <c r="F1686" s="12" t="s">
        <v>957</v>
      </c>
      <c r="G1686" s="12" t="s">
        <v>1147</v>
      </c>
    </row>
    <row r="1687" spans="1:7" x14ac:dyDescent="0.3">
      <c r="A1687" s="28"/>
      <c r="B1687" s="28"/>
      <c r="C1687" s="28" t="s">
        <v>2431</v>
      </c>
      <c r="D1687" s="28"/>
      <c r="E1687" s="12" t="s">
        <v>1525</v>
      </c>
      <c r="F1687" s="12" t="s">
        <v>959</v>
      </c>
      <c r="G1687" s="12" t="s">
        <v>1147</v>
      </c>
    </row>
    <row r="1688" spans="1:7" x14ac:dyDescent="0.3">
      <c r="A1688" s="28"/>
      <c r="B1688" s="28"/>
      <c r="C1688" s="28" t="s">
        <v>2431</v>
      </c>
      <c r="D1688" s="28"/>
      <c r="E1688" s="12" t="s">
        <v>1525</v>
      </c>
      <c r="F1688" s="12" t="s">
        <v>961</v>
      </c>
      <c r="G1688" s="12" t="s">
        <v>1147</v>
      </c>
    </row>
    <row r="1689" spans="1:7" x14ac:dyDescent="0.3">
      <c r="A1689" s="28"/>
      <c r="B1689" s="28"/>
      <c r="C1689" s="28" t="s">
        <v>2431</v>
      </c>
      <c r="D1689" s="28"/>
      <c r="E1689" s="12" t="s">
        <v>1526</v>
      </c>
      <c r="F1689" s="12" t="s">
        <v>963</v>
      </c>
      <c r="G1689" s="12" t="s">
        <v>1147</v>
      </c>
    </row>
    <row r="1690" spans="1:7" x14ac:dyDescent="0.3">
      <c r="A1690" s="28"/>
      <c r="B1690" s="28"/>
      <c r="C1690" s="28" t="s">
        <v>2431</v>
      </c>
      <c r="D1690" s="28"/>
      <c r="E1690" s="12" t="s">
        <v>1526</v>
      </c>
      <c r="F1690" s="12" t="s">
        <v>965</v>
      </c>
      <c r="G1690" s="12" t="s">
        <v>1147</v>
      </c>
    </row>
    <row r="1691" spans="1:7" x14ac:dyDescent="0.3">
      <c r="A1691" s="28"/>
      <c r="B1691" s="28"/>
      <c r="C1691" s="28" t="s">
        <v>2431</v>
      </c>
      <c r="D1691" s="28"/>
      <c r="E1691" s="12" t="s">
        <v>1268</v>
      </c>
      <c r="F1691" s="12" t="s">
        <v>957</v>
      </c>
      <c r="G1691" s="12" t="s">
        <v>1147</v>
      </c>
    </row>
    <row r="1692" spans="1:7" x14ac:dyDescent="0.3">
      <c r="A1692" s="28"/>
      <c r="B1692" s="28"/>
      <c r="C1692" s="28" t="s">
        <v>2431</v>
      </c>
      <c r="D1692" s="28"/>
      <c r="E1692" s="12" t="s">
        <v>1270</v>
      </c>
      <c r="F1692" s="12" t="s">
        <v>959</v>
      </c>
      <c r="G1692" s="12" t="s">
        <v>1147</v>
      </c>
    </row>
    <row r="1693" spans="1:7" x14ac:dyDescent="0.3">
      <c r="A1693" s="28"/>
      <c r="B1693" s="28"/>
      <c r="C1693" s="28" t="s">
        <v>2431</v>
      </c>
      <c r="D1693" s="28"/>
      <c r="E1693" s="12" t="s">
        <v>1272</v>
      </c>
      <c r="F1693" s="12" t="s">
        <v>961</v>
      </c>
      <c r="G1693" s="12" t="s">
        <v>1147</v>
      </c>
    </row>
    <row r="1694" spans="1:7" x14ac:dyDescent="0.3">
      <c r="A1694" s="28"/>
      <c r="B1694" s="28"/>
      <c r="C1694" s="28" t="s">
        <v>2431</v>
      </c>
      <c r="D1694" s="28"/>
      <c r="E1694" s="12" t="s">
        <v>1274</v>
      </c>
      <c r="F1694" s="12" t="s">
        <v>963</v>
      </c>
      <c r="G1694" s="12" t="s">
        <v>1147</v>
      </c>
    </row>
    <row r="1695" spans="1:7" x14ac:dyDescent="0.3">
      <c r="A1695" s="28"/>
      <c r="B1695" s="28"/>
      <c r="C1695" s="28" t="s">
        <v>2431</v>
      </c>
      <c r="D1695" s="28"/>
      <c r="E1695" s="12" t="s">
        <v>1286</v>
      </c>
      <c r="F1695" s="12" t="s">
        <v>973</v>
      </c>
      <c r="G1695" s="12" t="s">
        <v>1147</v>
      </c>
    </row>
    <row r="1696" spans="1:7" x14ac:dyDescent="0.3">
      <c r="A1696" s="28"/>
      <c r="B1696" s="28"/>
      <c r="C1696" s="28" t="s">
        <v>2431</v>
      </c>
      <c r="D1696" s="28"/>
      <c r="E1696" s="12" t="s">
        <v>1286</v>
      </c>
      <c r="F1696" s="12" t="s">
        <v>1025</v>
      </c>
      <c r="G1696" s="12" t="s">
        <v>1169</v>
      </c>
    </row>
    <row r="1697" spans="1:7" x14ac:dyDescent="0.3">
      <c r="A1697" s="28"/>
      <c r="B1697" s="28"/>
      <c r="C1697" s="28" t="s">
        <v>2431</v>
      </c>
      <c r="D1697" s="28"/>
      <c r="E1697" s="12" t="s">
        <v>1837</v>
      </c>
      <c r="F1697" s="12" t="s">
        <v>973</v>
      </c>
      <c r="G1697" s="12" t="s">
        <v>1147</v>
      </c>
    </row>
    <row r="1698" spans="1:7" x14ac:dyDescent="0.3">
      <c r="A1698" s="28"/>
      <c r="B1698" s="28"/>
      <c r="C1698" s="28" t="s">
        <v>2431</v>
      </c>
      <c r="D1698" s="28"/>
      <c r="E1698" s="12" t="s">
        <v>1225</v>
      </c>
      <c r="F1698" s="12" t="s">
        <v>927</v>
      </c>
      <c r="G1698" s="12" t="s">
        <v>1158</v>
      </c>
    </row>
    <row r="1699" spans="1:7" x14ac:dyDescent="0.3">
      <c r="A1699" s="28"/>
      <c r="B1699" s="28"/>
      <c r="C1699" s="28" t="s">
        <v>2431</v>
      </c>
      <c r="D1699" s="28"/>
      <c r="E1699" s="12" t="s">
        <v>1225</v>
      </c>
      <c r="F1699" s="12" t="s">
        <v>927</v>
      </c>
      <c r="G1699" s="12" t="s">
        <v>1169</v>
      </c>
    </row>
    <row r="1700" spans="1:7" x14ac:dyDescent="0.3">
      <c r="A1700" s="28"/>
      <c r="B1700" s="28"/>
      <c r="C1700" s="28" t="s">
        <v>2431</v>
      </c>
      <c r="D1700" s="28"/>
      <c r="E1700" s="12" t="s">
        <v>1215</v>
      </c>
      <c r="F1700" s="12" t="s">
        <v>957</v>
      </c>
      <c r="G1700" s="12" t="s">
        <v>1158</v>
      </c>
    </row>
    <row r="1701" spans="1:7" x14ac:dyDescent="0.3">
      <c r="A1701" s="28"/>
      <c r="B1701" s="28"/>
      <c r="C1701" s="28" t="s">
        <v>2431</v>
      </c>
      <c r="D1701" s="28"/>
      <c r="E1701" s="12" t="s">
        <v>1215</v>
      </c>
      <c r="F1701" s="12" t="s">
        <v>957</v>
      </c>
      <c r="G1701" s="12" t="s">
        <v>1169</v>
      </c>
    </row>
    <row r="1702" spans="1:7" x14ac:dyDescent="0.3">
      <c r="A1702" s="28"/>
      <c r="B1702" s="28"/>
      <c r="C1702" s="28" t="s">
        <v>2431</v>
      </c>
      <c r="D1702" s="28"/>
      <c r="E1702" s="12" t="s">
        <v>1215</v>
      </c>
      <c r="F1702" s="12" t="s">
        <v>959</v>
      </c>
      <c r="G1702" s="12" t="s">
        <v>1158</v>
      </c>
    </row>
    <row r="1703" spans="1:7" x14ac:dyDescent="0.3">
      <c r="A1703" s="28"/>
      <c r="B1703" s="28"/>
      <c r="C1703" s="28" t="s">
        <v>2431</v>
      </c>
      <c r="D1703" s="28"/>
      <c r="E1703" s="12" t="s">
        <v>1215</v>
      </c>
      <c r="F1703" s="12" t="s">
        <v>959</v>
      </c>
      <c r="G1703" s="12" t="s">
        <v>1169</v>
      </c>
    </row>
    <row r="1704" spans="1:7" x14ac:dyDescent="0.3">
      <c r="A1704" s="28"/>
      <c r="B1704" s="28"/>
      <c r="C1704" s="28" t="s">
        <v>2431</v>
      </c>
      <c r="D1704" s="28"/>
      <c r="E1704" s="12" t="s">
        <v>1215</v>
      </c>
      <c r="F1704" s="12" t="s">
        <v>961</v>
      </c>
      <c r="G1704" s="12" t="s">
        <v>1158</v>
      </c>
    </row>
    <row r="1705" spans="1:7" x14ac:dyDescent="0.3">
      <c r="A1705" s="28"/>
      <c r="B1705" s="28"/>
      <c r="C1705" s="28" t="s">
        <v>2431</v>
      </c>
      <c r="D1705" s="28"/>
      <c r="E1705" s="12" t="s">
        <v>1215</v>
      </c>
      <c r="F1705" s="12" t="s">
        <v>961</v>
      </c>
      <c r="G1705" s="12" t="s">
        <v>1169</v>
      </c>
    </row>
    <row r="1706" spans="1:7" x14ac:dyDescent="0.3">
      <c r="A1706" s="28"/>
      <c r="B1706" s="28"/>
      <c r="C1706" s="28" t="s">
        <v>2431</v>
      </c>
      <c r="D1706" s="28"/>
      <c r="E1706" s="12" t="s">
        <v>1227</v>
      </c>
      <c r="F1706" s="12" t="s">
        <v>929</v>
      </c>
      <c r="G1706" s="12" t="s">
        <v>1158</v>
      </c>
    </row>
    <row r="1707" spans="1:7" x14ac:dyDescent="0.3">
      <c r="A1707" s="28"/>
      <c r="B1707" s="28"/>
      <c r="C1707" s="28" t="s">
        <v>2431</v>
      </c>
      <c r="D1707" s="28"/>
      <c r="E1707" s="12" t="s">
        <v>1227</v>
      </c>
      <c r="F1707" s="12" t="s">
        <v>929</v>
      </c>
      <c r="G1707" s="12" t="s">
        <v>1169</v>
      </c>
    </row>
    <row r="1708" spans="1:7" x14ac:dyDescent="0.3">
      <c r="A1708" s="28"/>
      <c r="B1708" s="28"/>
      <c r="C1708" s="28" t="s">
        <v>2431</v>
      </c>
      <c r="D1708" s="28"/>
      <c r="E1708" s="12" t="s">
        <v>1217</v>
      </c>
      <c r="F1708" s="12" t="s">
        <v>963</v>
      </c>
      <c r="G1708" s="12" t="s">
        <v>1158</v>
      </c>
    </row>
    <row r="1709" spans="1:7" x14ac:dyDescent="0.3">
      <c r="A1709" s="28"/>
      <c r="B1709" s="28"/>
      <c r="C1709" s="28" t="s">
        <v>2431</v>
      </c>
      <c r="D1709" s="28"/>
      <c r="E1709" s="12" t="s">
        <v>1217</v>
      </c>
      <c r="F1709" s="12" t="s">
        <v>963</v>
      </c>
      <c r="G1709" s="12" t="s">
        <v>1169</v>
      </c>
    </row>
    <row r="1710" spans="1:7" x14ac:dyDescent="0.3">
      <c r="A1710" s="28"/>
      <c r="B1710" s="28"/>
      <c r="C1710" s="28" t="s">
        <v>2431</v>
      </c>
      <c r="D1710" s="28"/>
      <c r="E1710" s="12" t="s">
        <v>1217</v>
      </c>
      <c r="F1710" s="12" t="s">
        <v>965</v>
      </c>
      <c r="G1710" s="12" t="s">
        <v>1158</v>
      </c>
    </row>
    <row r="1711" spans="1:7" x14ac:dyDescent="0.3">
      <c r="A1711" s="28"/>
      <c r="B1711" s="28"/>
      <c r="C1711" s="28" t="s">
        <v>2431</v>
      </c>
      <c r="D1711" s="28"/>
      <c r="E1711" s="12" t="s">
        <v>1217</v>
      </c>
      <c r="F1711" s="12" t="s">
        <v>965</v>
      </c>
      <c r="G1711" s="12" t="s">
        <v>1169</v>
      </c>
    </row>
    <row r="1712" spans="1:7" x14ac:dyDescent="0.3">
      <c r="A1712" s="28"/>
      <c r="B1712" s="28"/>
      <c r="C1712" s="28" t="s">
        <v>858</v>
      </c>
      <c r="D1712" s="28"/>
      <c r="E1712" s="12" t="s">
        <v>2083</v>
      </c>
      <c r="F1712" s="21" t="s">
        <v>1028</v>
      </c>
      <c r="G1712" s="12" t="s">
        <v>1169</v>
      </c>
    </row>
    <row r="1713" spans="1:7" x14ac:dyDescent="0.3">
      <c r="A1713" s="28"/>
      <c r="B1713" s="28"/>
      <c r="C1713" s="28" t="s">
        <v>858</v>
      </c>
      <c r="D1713" s="28"/>
      <c r="E1713" s="12" t="s">
        <v>2083</v>
      </c>
      <c r="F1713" s="12" t="s">
        <v>2084</v>
      </c>
      <c r="G1713" s="12" t="s">
        <v>1147</v>
      </c>
    </row>
    <row r="1714" spans="1:7" x14ac:dyDescent="0.3">
      <c r="A1714" s="28"/>
      <c r="B1714" s="28"/>
      <c r="C1714" s="28" t="str">
        <f>_xlfn.XLOOKUP(CALCFC[[#This Row],[CalculatorCode2]],CALCS[CalculatorCode],CALCS[School Type])</f>
        <v>All</v>
      </c>
      <c r="D1714" s="28"/>
      <c r="E1714" s="12" t="s">
        <v>1290</v>
      </c>
      <c r="F1714" s="12" t="s">
        <v>920</v>
      </c>
      <c r="G1714" s="12" t="s">
        <v>1147</v>
      </c>
    </row>
    <row r="1715" spans="1:7" x14ac:dyDescent="0.3">
      <c r="A1715" s="28"/>
      <c r="B1715" s="28"/>
      <c r="C1715" s="28" t="str">
        <f>_xlfn.XLOOKUP(CALCFC[[#This Row],[CalculatorCode2]],CALCS[CalculatorCode],CALCS[School Type])</f>
        <v>All</v>
      </c>
      <c r="D1715" s="28"/>
      <c r="E1715" s="12" t="s">
        <v>1290</v>
      </c>
      <c r="F1715" s="12" t="s">
        <v>923</v>
      </c>
      <c r="G1715" s="12" t="s">
        <v>1147</v>
      </c>
    </row>
    <row r="1716" spans="1:7" x14ac:dyDescent="0.3">
      <c r="A1716" s="28"/>
      <c r="B1716" s="28"/>
      <c r="C1716" s="28" t="str">
        <f>_xlfn.XLOOKUP(CALCFC[[#This Row],[CalculatorCode2]],CALCS[CalculatorCode],CALCS[School Type])</f>
        <v>All</v>
      </c>
      <c r="D1716" s="28"/>
      <c r="E1716" s="12" t="s">
        <v>1290</v>
      </c>
      <c r="F1716" s="12" t="s">
        <v>925</v>
      </c>
      <c r="G1716" s="12" t="s">
        <v>1147</v>
      </c>
    </row>
    <row r="1717" spans="1:7" x14ac:dyDescent="0.3">
      <c r="A1717" s="28"/>
      <c r="B1717" s="28"/>
      <c r="C1717" s="28" t="str">
        <f>_xlfn.XLOOKUP(CALCFC[[#This Row],[CalculatorCode2]],CALCS[CalculatorCode],CALCS[School Type])</f>
        <v>All</v>
      </c>
      <c r="D1717" s="28"/>
      <c r="E1717" s="12" t="s">
        <v>1290</v>
      </c>
      <c r="F1717" s="12" t="s">
        <v>927</v>
      </c>
      <c r="G1717" s="12" t="s">
        <v>1147</v>
      </c>
    </row>
    <row r="1718" spans="1:7" x14ac:dyDescent="0.3">
      <c r="A1718" s="28"/>
      <c r="B1718" s="28"/>
      <c r="C1718" s="28" t="str">
        <f>_xlfn.XLOOKUP(CALCFC[[#This Row],[CalculatorCode2]],CALCS[CalculatorCode],CALCS[School Type])</f>
        <v>All</v>
      </c>
      <c r="D1718" s="28"/>
      <c r="E1718" s="12" t="s">
        <v>1290</v>
      </c>
      <c r="F1718" s="12" t="s">
        <v>929</v>
      </c>
      <c r="G1718" s="12" t="s">
        <v>1147</v>
      </c>
    </row>
    <row r="1719" spans="1:7" x14ac:dyDescent="0.3">
      <c r="A1719" s="28"/>
      <c r="B1719" s="28"/>
      <c r="C1719" s="28" t="str">
        <f>_xlfn.XLOOKUP(CALCFC[[#This Row],[CalculatorCode2]],CALCS[CalculatorCode],CALCS[School Type])</f>
        <v>All</v>
      </c>
      <c r="D1719" s="28"/>
      <c r="E1719" s="12" t="s">
        <v>1290</v>
      </c>
      <c r="F1719" s="12" t="s">
        <v>931</v>
      </c>
      <c r="G1719" s="12" t="s">
        <v>1147</v>
      </c>
    </row>
    <row r="1720" spans="1:7" x14ac:dyDescent="0.3">
      <c r="A1720" s="28"/>
      <c r="B1720" s="28"/>
      <c r="C1720" s="28" t="str">
        <f>_xlfn.XLOOKUP(CALCFC[[#This Row],[CalculatorCode2]],CALCS[CalculatorCode],CALCS[School Type])</f>
        <v>All</v>
      </c>
      <c r="D1720" s="28"/>
      <c r="E1720" s="12" t="s">
        <v>1290</v>
      </c>
      <c r="F1720" s="12" t="s">
        <v>1503</v>
      </c>
      <c r="G1720" s="12" t="s">
        <v>1147</v>
      </c>
    </row>
    <row r="1721" spans="1:7" x14ac:dyDescent="0.3">
      <c r="A1721" s="28"/>
      <c r="B1721" s="28"/>
      <c r="C1721" s="28" t="str">
        <f>_xlfn.XLOOKUP(CALCFC[[#This Row],[CalculatorCode2]],CALCS[CalculatorCode],CALCS[School Type])</f>
        <v>All</v>
      </c>
      <c r="D1721" s="28"/>
      <c r="E1721" s="12" t="s">
        <v>1290</v>
      </c>
      <c r="F1721" s="12" t="s">
        <v>1504</v>
      </c>
      <c r="G1721" s="12" t="s">
        <v>1147</v>
      </c>
    </row>
    <row r="1722" spans="1:7" x14ac:dyDescent="0.3">
      <c r="A1722" s="28"/>
      <c r="B1722" s="28"/>
      <c r="C1722" s="28" t="str">
        <f>_xlfn.XLOOKUP(CALCFC[[#This Row],[CalculatorCode2]],CALCS[CalculatorCode],CALCS[School Type])</f>
        <v>All</v>
      </c>
      <c r="D1722" s="28"/>
      <c r="E1722" s="12" t="s">
        <v>1290</v>
      </c>
      <c r="F1722" s="12" t="s">
        <v>1505</v>
      </c>
      <c r="G1722" s="12" t="s">
        <v>1147</v>
      </c>
    </row>
    <row r="1723" spans="1:7" x14ac:dyDescent="0.3">
      <c r="A1723" s="28"/>
      <c r="B1723" s="28"/>
      <c r="C1723" s="28" t="str">
        <f>_xlfn.XLOOKUP(CALCFC[[#This Row],[CalculatorCode2]],CALCS[CalculatorCode],CALCS[School Type])</f>
        <v>All</v>
      </c>
      <c r="D1723" s="28"/>
      <c r="E1723" s="12" t="s">
        <v>1290</v>
      </c>
      <c r="F1723" s="12" t="s">
        <v>1506</v>
      </c>
      <c r="G1723" s="12" t="s">
        <v>1147</v>
      </c>
    </row>
  </sheetData>
  <phoneticPr fontId="2" type="noConversion"/>
  <conditionalFormatting sqref="B864:B879">
    <cfRule type="cellIs" dxfId="1" priority="1" operator="equal">
      <formula>TRUE</formula>
    </cfRule>
  </conditionalFormatting>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6D2B0A1F-5BA8-41E8-BB29-500C5115EE5C}">
          <x14:formula1>
            <xm:f>Validation!$A$10:$A$13</xm:f>
          </x14:formula1>
          <xm:sqref>B864:B879</xm:sqref>
        </x14:dataValidation>
        <x14:dataValidation type="list" allowBlank="1" showInputMessage="1" showErrorMessage="1" xr:uid="{478977FB-25E9-499F-B3E1-90C60FC9444B}">
          <x14:formula1>
            <xm:f>Validation!$A$15:$A$25</xm:f>
          </x14:formula1>
          <xm:sqref>C1 C1714:C1048576</xm:sqref>
        </x14:dataValidation>
        <x14:dataValidation type="list" allowBlank="1" showInputMessage="1" showErrorMessage="1" xr:uid="{B3CBAE15-E282-42E1-AF49-7F285F518199}">
          <x14:formula1>
            <xm:f>CalculatorsTempl!$F:$F</xm:f>
          </x14:formula1>
          <xm:sqref>E886:E889</xm:sqref>
        </x14:dataValidation>
        <x14:dataValidation type="list" allowBlank="1" showInputMessage="1" showErrorMessage="1" xr:uid="{E0316062-CFB3-4C2F-A3FF-840FB5C8D863}">
          <x14:formula1>
            <xm:f>Validation!$A$15:$A$26</xm:f>
          </x14:formula1>
          <xm:sqref>C2:C1713</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872B1-47B0-4E1C-87AD-05BFCD747278}">
  <sheetPr codeName="Sheet15">
    <tabColor rgb="FFC8B3D5"/>
  </sheetPr>
  <dimension ref="A1:BC106"/>
  <sheetViews>
    <sheetView topLeftCell="AX47" zoomScale="85" zoomScaleNormal="85" workbookViewId="0">
      <selection activeCell="AZ13" sqref="AZ13:BB90"/>
    </sheetView>
  </sheetViews>
  <sheetFormatPr defaultRowHeight="14.4" outlineLevelCol="1" x14ac:dyDescent="0.3"/>
  <cols>
    <col min="1" max="1" width="12.5546875" hidden="1" customWidth="1" outlineLevel="1"/>
    <col min="2" max="2" width="20.33203125" hidden="1" customWidth="1" outlineLevel="1"/>
    <col min="3" max="3" width="20" hidden="1" customWidth="1" outlineLevel="1"/>
    <col min="4" max="4" width="19" hidden="1" customWidth="1" outlineLevel="1"/>
    <col min="5" max="10" width="26.33203125" hidden="1" customWidth="1" outlineLevel="1"/>
    <col min="11" max="12" width="19.88671875" hidden="1" customWidth="1" outlineLevel="1"/>
    <col min="13" max="13" width="17.5546875" bestFit="1" customWidth="1" collapsed="1"/>
    <col min="14" max="14" width="111.5546875" customWidth="1" outlineLevel="1"/>
    <col min="15" max="16" width="81.109375" customWidth="1" outlineLevel="1"/>
    <col min="17" max="17" width="23.44140625" customWidth="1" outlineLevel="1"/>
    <col min="18" max="18" width="81.109375" customWidth="1" outlineLevel="1"/>
    <col min="19" max="19" width="26.44140625" customWidth="1" outlineLevel="1"/>
    <col min="20" max="20" width="21.5546875" bestFit="1" customWidth="1"/>
    <col min="21" max="21" width="41.33203125" bestFit="1" customWidth="1"/>
    <col min="22" max="22" width="25.109375" bestFit="1" customWidth="1"/>
    <col min="23" max="23" width="23.5546875" bestFit="1" customWidth="1"/>
    <col min="24" max="24" width="30.44140625" bestFit="1" customWidth="1"/>
    <col min="25" max="25" width="35.44140625" bestFit="1" customWidth="1"/>
    <col min="26" max="26" width="29" bestFit="1" customWidth="1"/>
    <col min="27" max="27" width="21.109375" bestFit="1" customWidth="1"/>
    <col min="28" max="28" width="30.44140625" bestFit="1" customWidth="1"/>
    <col min="29" max="29" width="18.33203125" bestFit="1" customWidth="1"/>
    <col min="30" max="30" width="40.44140625" bestFit="1" customWidth="1"/>
    <col min="31" max="31" width="41.109375" bestFit="1" customWidth="1"/>
    <col min="32" max="32" width="25.109375" bestFit="1" customWidth="1"/>
    <col min="33" max="33" width="23.5546875" bestFit="1" customWidth="1"/>
    <col min="34" max="34" width="30.44140625" bestFit="1" customWidth="1"/>
    <col min="35" max="35" width="35.44140625" bestFit="1" customWidth="1"/>
    <col min="36" max="36" width="29" bestFit="1" customWidth="1"/>
    <col min="37" max="37" width="21.109375" bestFit="1" customWidth="1"/>
    <col min="38" max="38" width="30.44140625" bestFit="1" customWidth="1"/>
    <col min="39" max="39" width="18.33203125" bestFit="1" customWidth="1"/>
    <col min="40" max="40" width="40.44140625" bestFit="1" customWidth="1"/>
    <col min="41" max="41" width="41.109375" bestFit="1" customWidth="1"/>
    <col min="42" max="42" width="28.109375" bestFit="1" customWidth="1"/>
    <col min="43" max="43" width="26.5546875" bestFit="1" customWidth="1"/>
    <col min="44" max="44" width="33.109375" bestFit="1" customWidth="1"/>
    <col min="45" max="45" width="38.33203125" bestFit="1" customWidth="1"/>
    <col min="46" max="46" width="32" bestFit="1" customWidth="1"/>
    <col min="47" max="47" width="23.88671875" bestFit="1" customWidth="1"/>
    <col min="48" max="48" width="33.109375" bestFit="1" customWidth="1"/>
    <col min="49" max="49" width="21.33203125" bestFit="1" customWidth="1"/>
    <col min="50" max="50" width="43.44140625" bestFit="1" customWidth="1"/>
    <col min="51" max="51" width="44.109375" bestFit="1" customWidth="1"/>
    <col min="52" max="52" width="20.44140625" bestFit="1" customWidth="1"/>
    <col min="53" max="54" width="22.109375" bestFit="1" customWidth="1"/>
    <col min="55" max="55" width="13.109375" bestFit="1" customWidth="1"/>
    <col min="56" max="56" width="21" bestFit="1" customWidth="1"/>
    <col min="57" max="57" width="21.33203125" customWidth="1"/>
    <col min="58" max="58" width="20.33203125" bestFit="1" customWidth="1"/>
    <col min="59" max="59" width="13.88671875" bestFit="1" customWidth="1"/>
    <col min="60" max="60" width="9.33203125" bestFit="1" customWidth="1"/>
    <col min="61" max="61" width="20.33203125" bestFit="1" customWidth="1"/>
    <col min="62" max="62" width="13.88671875" bestFit="1" customWidth="1"/>
    <col min="63" max="63" width="9.33203125" bestFit="1" customWidth="1"/>
  </cols>
  <sheetData>
    <row r="1" spans="1:55" x14ac:dyDescent="0.3">
      <c r="A1" s="80" t="s">
        <v>866</v>
      </c>
      <c r="B1" s="80" t="s">
        <v>1134</v>
      </c>
      <c r="C1" s="80" t="s">
        <v>1714</v>
      </c>
      <c r="D1" s="80" t="s">
        <v>1715</v>
      </c>
      <c r="E1" s="80" t="s">
        <v>1842</v>
      </c>
      <c r="F1" s="80" t="s">
        <v>1997</v>
      </c>
      <c r="G1" s="80" t="s">
        <v>1998</v>
      </c>
      <c r="H1" s="80" t="s">
        <v>2000</v>
      </c>
      <c r="I1" s="80" t="s">
        <v>1999</v>
      </c>
      <c r="J1" s="80" t="s">
        <v>2338</v>
      </c>
      <c r="K1" s="80" t="s">
        <v>1926</v>
      </c>
      <c r="L1" s="80" t="s">
        <v>2039</v>
      </c>
      <c r="M1" s="80" t="s">
        <v>1135</v>
      </c>
      <c r="N1" s="80" t="s">
        <v>1147</v>
      </c>
      <c r="O1" s="80" t="s">
        <v>1986</v>
      </c>
      <c r="P1" s="80" t="s">
        <v>1158</v>
      </c>
      <c r="Q1" s="80" t="s">
        <v>1987</v>
      </c>
      <c r="R1" s="80" t="s">
        <v>1169</v>
      </c>
      <c r="S1" s="80" t="s">
        <v>1988</v>
      </c>
      <c r="T1" t="s">
        <v>1136</v>
      </c>
      <c r="U1" t="s">
        <v>50</v>
      </c>
      <c r="V1" t="s">
        <v>1137</v>
      </c>
      <c r="W1" t="s">
        <v>1138</v>
      </c>
      <c r="X1" t="s">
        <v>1139</v>
      </c>
      <c r="Y1" t="s">
        <v>1140</v>
      </c>
      <c r="Z1" t="s">
        <v>1141</v>
      </c>
      <c r="AA1" t="s">
        <v>1142</v>
      </c>
      <c r="AB1" t="s">
        <v>1143</v>
      </c>
      <c r="AC1" t="s">
        <v>1144</v>
      </c>
      <c r="AD1" t="s">
        <v>1145</v>
      </c>
      <c r="AE1" t="s">
        <v>1146</v>
      </c>
      <c r="AF1" t="s">
        <v>1148</v>
      </c>
      <c r="AG1" t="s">
        <v>1149</v>
      </c>
      <c r="AH1" t="s">
        <v>1150</v>
      </c>
      <c r="AI1" t="s">
        <v>1151</v>
      </c>
      <c r="AJ1" t="s">
        <v>1152</v>
      </c>
      <c r="AK1" t="s">
        <v>1153</v>
      </c>
      <c r="AL1" t="s">
        <v>1154</v>
      </c>
      <c r="AM1" t="s">
        <v>1155</v>
      </c>
      <c r="AN1" t="s">
        <v>1156</v>
      </c>
      <c r="AO1" t="s">
        <v>1157</v>
      </c>
      <c r="AP1" t="s">
        <v>1159</v>
      </c>
      <c r="AQ1" t="s">
        <v>1160</v>
      </c>
      <c r="AR1" t="s">
        <v>1161</v>
      </c>
      <c r="AS1" t="s">
        <v>1162</v>
      </c>
      <c r="AT1" t="s">
        <v>1163</v>
      </c>
      <c r="AU1" t="s">
        <v>1164</v>
      </c>
      <c r="AV1" t="s">
        <v>1165</v>
      </c>
      <c r="AW1" t="s">
        <v>1166</v>
      </c>
      <c r="AX1" t="s">
        <v>1167</v>
      </c>
      <c r="AY1" t="s">
        <v>1168</v>
      </c>
      <c r="AZ1" t="s">
        <v>1170</v>
      </c>
      <c r="BA1" t="s">
        <v>1171</v>
      </c>
      <c r="BB1" t="s">
        <v>1841</v>
      </c>
      <c r="BC1" t="s">
        <v>2091</v>
      </c>
    </row>
    <row r="2" spans="1:55" hidden="1" x14ac:dyDescent="0.3">
      <c r="A2" s="86">
        <f t="shared" ref="A2:A33" si="0">COUNTBLANK(V2:AD2)+COUNTBLANK(AF2:AN2)+COUNTBLANK(AP2:AX2)+COUNTBLANK(AZ2:AZ2)</f>
        <v>0</v>
      </c>
      <c r="B2" s="86">
        <f>SUMIFS(CalculatorFC[FinCodeIssue],CalculatorFC[CalculatorCode],Calculators[[#This Row],[CalculatorCode]])</f>
        <v>0</v>
      </c>
      <c r="C2" s="86">
        <f>IF(LEN(Calculators[[#This Row],[CalculatorCode]])&lt;100,0,1)</f>
        <v>0</v>
      </c>
      <c r="D2" s="86">
        <f>IF(LEN(Calculators[[#This Row],[Title]])&lt;100,0,1)</f>
        <v>0</v>
      </c>
      <c r="E2" s="86">
        <f>(COUNTIF(CalculatorTypeCode[CalculatorTypeCode],Calculators[[#This Row],[CalculatorTypeCode]])-1)*-1</f>
        <v>0</v>
      </c>
      <c r="F2"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2"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2"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2" s="86">
        <f>IF(OR(Calculators[[#This Row],[CalculatorEnabled]]=TRUE,Calculators[[#This Row],[CalculatorEnabled]]=FALSE),0,1)</f>
        <v>0</v>
      </c>
      <c r="J2" s="86">
        <f>IF(ISBLANK(Calculators[[#This Row],[Title]])=TRUE,1,0)</f>
        <v>0</v>
      </c>
      <c r="K2" s="86">
        <f>IF(EXACT(Calculators[[#This Row],[CalculatorCode]],UPPER(Calculators[[#This Row],[CalculatorCode]])),0,1)</f>
        <v>0</v>
      </c>
      <c r="L2" s="86">
        <f>IF(SUBSTITUTE(TEXT(Calculators[[#This Row],[CalculatorCode]],10)," ","")=TEXT(Calculators[[#This Row],[CalculatorCode]],10),0,1)</f>
        <v>0</v>
      </c>
      <c r="M2" s="86">
        <f>SUM(Calculators[[#This Row],[Blank Data]:[Space in Code]])</f>
        <v>0</v>
      </c>
      <c r="N2" s="80" t="str" cm="1">
        <f t="array" ref="N2">_xlfn.TEXTJOIN(",",TRUE,IF(CalculatorFC[CalculatorCode]&amp;CalculatorFC[Type]=Calculators[[#This Row],[CalculatorCode]]&amp;Calculators[[#Headers],[SourceFinanceCodes]],CalculatorFC[FinanceCode],""))</f>
        <v/>
      </c>
      <c r="O2" s="80" t="str" cm="1">
        <f t="array" ref="O2">_xlfn.TEXTJOIN(",",TRUE,IF(CalculatorFC[CalculatorCode]&amp;CalculatorFC[Type]=Calculators[[#This Row],[CalculatorCode]]&amp;Calculators[[#Headers],[SourceGroupingCodes]],CalculatorFC[FinanceCode],""))</f>
        <v/>
      </c>
      <c r="P2" s="80" t="str" cm="1">
        <f t="array" ref="P2">_xlfn.TEXTJOIN(",",TRUE,IF(CalculatorFC[CalculatorCode]&amp;CalculatorFC[Type]=Calculators[[#This Row],[CalculatorCode]]&amp;Calculators[[#Headers],[DivisorFinanceCodes]],CalculatorFC[FinanceCode],""))</f>
        <v/>
      </c>
      <c r="Q2" s="80" t="str" cm="1">
        <f t="array" ref="Q2">_xlfn.TEXTJOIN(",",TRUE,IF(CalculatorFC[CalculatorCode]&amp;CalculatorFC[Type]=Calculators[[#This Row],[CalculatorCode]]&amp;Calculators[[#Headers],[DivisorGroupingCodes]],CalculatorFC[FinanceCode],""))</f>
        <v/>
      </c>
      <c r="R2" s="80" t="str" cm="1">
        <f t="array" ref="R2">_xlfn.TEXTJOIN(",",TRUE,IF(CalculatorFC[CalculatorCode]&amp;CalculatorFC[Type]=Calculators[[#This Row],[CalculatorCode]]&amp;Calculators[[#Headers],[MultiplierFinanceCodes]],CalculatorFC[FinanceCode],""))</f>
        <v/>
      </c>
      <c r="S2" s="80" t="str" cm="1">
        <f t="array" ref="S2">_xlfn.TEXTJOIN(",",TRUE,IF(CalculatorFC[CalculatorCode]&amp;CalculatorFC[Type]=Calculators[[#This Row],[CalculatorCode]]&amp;Calculators[[#Headers],[MultiplierGroupingCodes]],CalculatorFC[FinanceCode],""))</f>
        <v/>
      </c>
      <c r="T2" t="s">
        <v>1172</v>
      </c>
      <c r="U2" t="s">
        <v>1173</v>
      </c>
      <c r="V2" t="b">
        <v>0</v>
      </c>
      <c r="W2" t="b">
        <v>0</v>
      </c>
      <c r="X2" t="b">
        <v>0</v>
      </c>
      <c r="Y2" t="b">
        <v>1</v>
      </c>
      <c r="Z2" t="b">
        <v>1</v>
      </c>
      <c r="AA2" t="b">
        <v>1</v>
      </c>
      <c r="AB2" t="b">
        <v>0</v>
      </c>
      <c r="AC2">
        <v>0</v>
      </c>
      <c r="AD2" t="b">
        <v>0</v>
      </c>
      <c r="AE2" t="b">
        <v>0</v>
      </c>
      <c r="AF2" t="b">
        <v>0</v>
      </c>
      <c r="AG2" t="b">
        <v>0</v>
      </c>
      <c r="AH2" t="b">
        <v>0</v>
      </c>
      <c r="AI2" t="b">
        <v>1</v>
      </c>
      <c r="AJ2" t="b">
        <v>0</v>
      </c>
      <c r="AK2" t="b">
        <v>1</v>
      </c>
      <c r="AL2" t="b">
        <v>0</v>
      </c>
      <c r="AM2">
        <v>1</v>
      </c>
      <c r="AN2" t="b">
        <v>0</v>
      </c>
      <c r="AO2" t="b">
        <v>0</v>
      </c>
      <c r="AP2" t="b">
        <v>0</v>
      </c>
      <c r="AQ2" t="b">
        <v>0</v>
      </c>
      <c r="AR2" t="b">
        <v>0</v>
      </c>
      <c r="AS2" t="b">
        <v>1</v>
      </c>
      <c r="AT2" t="b">
        <v>0</v>
      </c>
      <c r="AU2" t="b">
        <v>1</v>
      </c>
      <c r="AV2" t="b">
        <v>0</v>
      </c>
      <c r="AW2">
        <v>1</v>
      </c>
      <c r="AX2" t="b">
        <v>0</v>
      </c>
      <c r="AY2" t="b">
        <v>0</v>
      </c>
      <c r="AZ2" t="b">
        <v>1</v>
      </c>
      <c r="BA2">
        <v>0</v>
      </c>
      <c r="BB2" t="s">
        <v>51</v>
      </c>
      <c r="BC2">
        <v>0</v>
      </c>
    </row>
    <row r="3" spans="1:55" hidden="1" x14ac:dyDescent="0.3">
      <c r="A3" s="86">
        <f t="shared" si="0"/>
        <v>0</v>
      </c>
      <c r="B3" s="86">
        <f>SUMIFS(CalculatorFC[FinCodeIssue],CalculatorFC[CalculatorCode],Calculators[[#This Row],[CalculatorCode]])</f>
        <v>0</v>
      </c>
      <c r="C3" s="86">
        <f>IF(LEN(Calculators[[#This Row],[CalculatorCode]])&lt;100,0,1)</f>
        <v>0</v>
      </c>
      <c r="D3" s="86">
        <f>IF(LEN(Calculators[[#This Row],[Title]])&lt;100,0,1)</f>
        <v>0</v>
      </c>
      <c r="E3" s="86">
        <f>(COUNTIF(CalculatorTypeCode[CalculatorTypeCode],Calculators[[#This Row],[CalculatorTypeCode]])-1)*-1</f>
        <v>0</v>
      </c>
      <c r="F3"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3"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3"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3" s="86">
        <f>IF(OR(Calculators[[#This Row],[CalculatorEnabled]]=TRUE,Calculators[[#This Row],[CalculatorEnabled]]=FALSE),0,1)</f>
        <v>0</v>
      </c>
      <c r="J3" s="86">
        <f>IF(ISBLANK(Calculators[[#This Row],[Title]])=TRUE,1,0)</f>
        <v>0</v>
      </c>
      <c r="K3" s="86">
        <f>IF(EXACT(Calculators[[#This Row],[CalculatorCode]],UPPER(Calculators[[#This Row],[CalculatorCode]])),0,1)</f>
        <v>0</v>
      </c>
      <c r="L3" s="86">
        <f>IF(SUBSTITUTE(TEXT(Calculators[[#This Row],[CalculatorCode]],10)," ","")=TEXT(Calculators[[#This Row],[CalculatorCode]],10),0,1)</f>
        <v>0</v>
      </c>
      <c r="M3" s="86">
        <f>SUM(Calculators[[#This Row],[Blank Data]:[Space in Code]])</f>
        <v>0</v>
      </c>
      <c r="N3" s="80" t="str" cm="1">
        <f t="array" ref="N3">_xlfn.TEXTJOIN(",",TRUE,IF(CalculatorFC[CalculatorCode]&amp;CalculatorFC[Type]=Calculators[[#This Row],[CalculatorCode]]&amp;Calculators[[#Headers],[SourceFinanceCodes]],CalculatorFC[FinanceCode],""))</f>
        <v/>
      </c>
      <c r="O3" s="80" t="str" cm="1">
        <f t="array" ref="O3">_xlfn.TEXTJOIN(",",TRUE,IF(CalculatorFC[CalculatorCode]&amp;CalculatorFC[Type]=Calculators[[#This Row],[CalculatorCode]]&amp;Calculators[[#Headers],[SourceGroupingCodes]],CalculatorFC[FinanceCode],""))</f>
        <v/>
      </c>
      <c r="P3" s="80" t="str" cm="1">
        <f t="array" ref="P3">_xlfn.TEXTJOIN(",",TRUE,IF(CalculatorFC[CalculatorCode]&amp;CalculatorFC[Type]=Calculators[[#This Row],[CalculatorCode]]&amp;Calculators[[#Headers],[DivisorFinanceCodes]],CalculatorFC[FinanceCode],""))</f>
        <v/>
      </c>
      <c r="Q3" s="80" t="str" cm="1">
        <f t="array" ref="Q3">_xlfn.TEXTJOIN(",",TRUE,IF(CalculatorFC[CalculatorCode]&amp;CalculatorFC[Type]=Calculators[[#This Row],[CalculatorCode]]&amp;Calculators[[#Headers],[DivisorGroupingCodes]],CalculatorFC[FinanceCode],""))</f>
        <v/>
      </c>
      <c r="R3" s="80" t="str" cm="1">
        <f t="array" ref="R3">_xlfn.TEXTJOIN(",",TRUE,IF(CalculatorFC[CalculatorCode]&amp;CalculatorFC[Type]=Calculators[[#This Row],[CalculatorCode]]&amp;Calculators[[#Headers],[MultiplierFinanceCodes]],CalculatorFC[FinanceCode],""))</f>
        <v/>
      </c>
      <c r="S3" s="80" t="str" cm="1">
        <f t="array" ref="S3">_xlfn.TEXTJOIN(",",TRUE,IF(CalculatorFC[CalculatorCode]&amp;CalculatorFC[Type]=Calculators[[#This Row],[CalculatorCode]]&amp;Calculators[[#Headers],[MultiplierGroupingCodes]],CalculatorFC[FinanceCode],""))</f>
        <v/>
      </c>
      <c r="T3" t="s">
        <v>1174</v>
      </c>
      <c r="U3" t="s">
        <v>1175</v>
      </c>
      <c r="V3" t="b">
        <v>0</v>
      </c>
      <c r="W3" t="b">
        <v>0</v>
      </c>
      <c r="X3" t="b">
        <v>0</v>
      </c>
      <c r="Y3" t="b">
        <v>1</v>
      </c>
      <c r="Z3" t="b">
        <v>1</v>
      </c>
      <c r="AA3" t="b">
        <v>1</v>
      </c>
      <c r="AB3" t="b">
        <v>0</v>
      </c>
      <c r="AC3">
        <v>0</v>
      </c>
      <c r="AD3" t="b">
        <v>0</v>
      </c>
      <c r="AE3" t="b">
        <v>0</v>
      </c>
      <c r="AF3" t="b">
        <v>0</v>
      </c>
      <c r="AG3" t="b">
        <v>0</v>
      </c>
      <c r="AH3" t="b">
        <v>0</v>
      </c>
      <c r="AI3" t="b">
        <v>1</v>
      </c>
      <c r="AJ3" t="b">
        <v>0</v>
      </c>
      <c r="AK3" t="b">
        <v>1</v>
      </c>
      <c r="AL3" t="b">
        <v>0</v>
      </c>
      <c r="AM3">
        <v>1</v>
      </c>
      <c r="AN3" t="b">
        <v>0</v>
      </c>
      <c r="AO3" t="b">
        <v>0</v>
      </c>
      <c r="AP3" t="b">
        <v>0</v>
      </c>
      <c r="AQ3" t="b">
        <v>0</v>
      </c>
      <c r="AR3" t="b">
        <v>0</v>
      </c>
      <c r="AS3" t="b">
        <v>1</v>
      </c>
      <c r="AT3" t="b">
        <v>0</v>
      </c>
      <c r="AU3" t="b">
        <v>1</v>
      </c>
      <c r="AV3" t="b">
        <v>0</v>
      </c>
      <c r="AW3">
        <v>1.01</v>
      </c>
      <c r="AX3" t="b">
        <v>0</v>
      </c>
      <c r="AY3" t="b">
        <v>0</v>
      </c>
      <c r="AZ3" t="b">
        <v>1</v>
      </c>
      <c r="BA3">
        <v>0</v>
      </c>
      <c r="BB3" t="s">
        <v>51</v>
      </c>
      <c r="BC3">
        <v>0</v>
      </c>
    </row>
    <row r="4" spans="1:55" hidden="1" x14ac:dyDescent="0.3">
      <c r="A4" s="80">
        <f t="shared" si="0"/>
        <v>0</v>
      </c>
      <c r="B4" s="80">
        <f>SUMIFS(CalculatorFC[FinCodeIssue],CalculatorFC[CalculatorCode],Calculators[[#This Row],[CalculatorCode]])</f>
        <v>0</v>
      </c>
      <c r="C4" s="80">
        <f>IF(LEN(Calculators[[#This Row],[CalculatorCode]])&lt;100,0,1)</f>
        <v>0</v>
      </c>
      <c r="D4" s="86">
        <f>IF(LEN(Calculators[[#This Row],[Title]])&lt;100,0,1)</f>
        <v>0</v>
      </c>
      <c r="E4" s="86">
        <f>(COUNTIF(CalculatorTypeCode[CalculatorTypeCode],Calculators[[#This Row],[CalculatorTypeCode]])-1)*-1</f>
        <v>0</v>
      </c>
      <c r="F4"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4"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4"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4" s="86">
        <f>IF(OR(Calculators[[#This Row],[CalculatorEnabled]]=TRUE,Calculators[[#This Row],[CalculatorEnabled]]=FALSE),0,1)</f>
        <v>0</v>
      </c>
      <c r="J4" s="86">
        <f>IF(ISBLANK(Calculators[[#This Row],[Title]])=TRUE,1,0)</f>
        <v>0</v>
      </c>
      <c r="K4" s="86">
        <f>IF(EXACT(Calculators[[#This Row],[CalculatorCode]],UPPER(Calculators[[#This Row],[CalculatorCode]])),0,1)</f>
        <v>0</v>
      </c>
      <c r="L4" s="86">
        <f>IF(SUBSTITUTE(TEXT(Calculators[[#This Row],[CalculatorCode]],10)," ","")=TEXT(Calculators[[#This Row],[CalculatorCode]],10),0,1)</f>
        <v>0</v>
      </c>
      <c r="M4" s="80">
        <f>SUM(Calculators[[#This Row],[Blank Data]:[Space in Code]])</f>
        <v>0</v>
      </c>
      <c r="N4" s="80" t="str" cm="1">
        <f t="array" ref="N4">_xlfn.TEXTJOIN(",",TRUE,IF(CalculatorFC[CalculatorCode]&amp;CalculatorFC[Type]=Calculators[[#This Row],[CalculatorCode]]&amp;Calculators[[#Headers],[SourceFinanceCodes]],CalculatorFC[FinanceCode],""))</f>
        <v/>
      </c>
      <c r="O4" s="80" t="str" cm="1">
        <f t="array" ref="O4">_xlfn.TEXTJOIN(",",TRUE,IF(CalculatorFC[CalculatorCode]&amp;CalculatorFC[Type]=Calculators[[#This Row],[CalculatorCode]]&amp;Calculators[[#Headers],[SourceGroupingCodes]],CalculatorFC[FinanceCode],""))</f>
        <v/>
      </c>
      <c r="P4" s="80" t="str" cm="1">
        <f t="array" ref="P4">_xlfn.TEXTJOIN(",",TRUE,IF(CalculatorFC[CalculatorCode]&amp;CalculatorFC[Type]=Calculators[[#This Row],[CalculatorCode]]&amp;Calculators[[#Headers],[DivisorFinanceCodes]],CalculatorFC[FinanceCode],""))</f>
        <v/>
      </c>
      <c r="Q4" s="80" t="str" cm="1">
        <f t="array" ref="Q4">_xlfn.TEXTJOIN(",",TRUE,IF(CalculatorFC[CalculatorCode]&amp;CalculatorFC[Type]=Calculators[[#This Row],[CalculatorCode]]&amp;Calculators[[#Headers],[DivisorGroupingCodes]],CalculatorFC[FinanceCode],""))</f>
        <v/>
      </c>
      <c r="R4" s="80" t="str" cm="1">
        <f t="array" ref="R4">_xlfn.TEXTJOIN(",",TRUE,IF(CalculatorFC[CalculatorCode]&amp;CalculatorFC[Type]=Calculators[[#This Row],[CalculatorCode]]&amp;Calculators[[#Headers],[MultiplierFinanceCodes]],CalculatorFC[FinanceCode],""))</f>
        <v/>
      </c>
      <c r="S4" s="80" t="str" cm="1">
        <f t="array" ref="S4">_xlfn.TEXTJOIN(",",TRUE,IF(CalculatorFC[CalculatorCode]&amp;CalculatorFC[Type]=Calculators[[#This Row],[CalculatorCode]]&amp;Calculators[[#Headers],[MultiplierGroupingCodes]],CalculatorFC[FinanceCode],""))</f>
        <v/>
      </c>
      <c r="T4" t="s">
        <v>1176</v>
      </c>
      <c r="U4" t="s">
        <v>1177</v>
      </c>
      <c r="V4" t="b">
        <v>0</v>
      </c>
      <c r="W4" t="b">
        <v>0</v>
      </c>
      <c r="X4" t="b">
        <v>0</v>
      </c>
      <c r="Y4" t="b">
        <v>1</v>
      </c>
      <c r="Z4" t="b">
        <v>1</v>
      </c>
      <c r="AA4" t="b">
        <v>1</v>
      </c>
      <c r="AB4" t="b">
        <v>0</v>
      </c>
      <c r="AC4">
        <v>0</v>
      </c>
      <c r="AD4" t="b">
        <v>0</v>
      </c>
      <c r="AE4" t="b">
        <v>0</v>
      </c>
      <c r="AF4" t="b">
        <v>0</v>
      </c>
      <c r="AG4" t="b">
        <v>0</v>
      </c>
      <c r="AH4" t="b">
        <v>0</v>
      </c>
      <c r="AI4" t="b">
        <v>1</v>
      </c>
      <c r="AJ4" t="b">
        <v>0</v>
      </c>
      <c r="AK4" t="b">
        <v>1</v>
      </c>
      <c r="AL4" t="b">
        <v>0</v>
      </c>
      <c r="AM4">
        <v>1</v>
      </c>
      <c r="AN4" t="b">
        <v>0</v>
      </c>
      <c r="AO4" t="b">
        <v>0</v>
      </c>
      <c r="AP4" t="b">
        <v>0</v>
      </c>
      <c r="AQ4" t="b">
        <v>0</v>
      </c>
      <c r="AR4" t="b">
        <v>0</v>
      </c>
      <c r="AS4" t="b">
        <v>1</v>
      </c>
      <c r="AT4" t="b">
        <v>0</v>
      </c>
      <c r="AU4" t="b">
        <v>1</v>
      </c>
      <c r="AV4" t="b">
        <v>0</v>
      </c>
      <c r="AW4">
        <v>1.02</v>
      </c>
      <c r="AX4" t="b">
        <v>0</v>
      </c>
      <c r="AY4" t="b">
        <v>0</v>
      </c>
      <c r="AZ4" t="b">
        <v>1</v>
      </c>
      <c r="BA4">
        <v>0</v>
      </c>
      <c r="BB4" t="s">
        <v>51</v>
      </c>
      <c r="BC4">
        <v>0</v>
      </c>
    </row>
    <row r="5" spans="1:55" hidden="1" x14ac:dyDescent="0.3">
      <c r="A5" s="80">
        <f t="shared" si="0"/>
        <v>0</v>
      </c>
      <c r="B5" s="80">
        <f>SUMIFS(CalculatorFC[FinCodeIssue],CalculatorFC[CalculatorCode],Calculators[[#This Row],[CalculatorCode]])</f>
        <v>0</v>
      </c>
      <c r="C5" s="80">
        <f>IF(LEN(Calculators[[#This Row],[CalculatorCode]])&lt;100,0,1)</f>
        <v>0</v>
      </c>
      <c r="D5" s="86">
        <f>IF(LEN(Calculators[[#This Row],[Title]])&lt;100,0,1)</f>
        <v>0</v>
      </c>
      <c r="E5" s="86">
        <f>(COUNTIF(CalculatorTypeCode[CalculatorTypeCode],Calculators[[#This Row],[CalculatorTypeCode]])-1)*-1</f>
        <v>0</v>
      </c>
      <c r="F5"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5"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5"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5" s="86">
        <f>IF(OR(Calculators[[#This Row],[CalculatorEnabled]]=TRUE,Calculators[[#This Row],[CalculatorEnabled]]=FALSE),0,1)</f>
        <v>0</v>
      </c>
      <c r="J5" s="86">
        <f>IF(ISBLANK(Calculators[[#This Row],[Title]])=TRUE,1,0)</f>
        <v>0</v>
      </c>
      <c r="K5" s="86">
        <f>IF(EXACT(Calculators[[#This Row],[CalculatorCode]],UPPER(Calculators[[#This Row],[CalculatorCode]])),0,1)</f>
        <v>0</v>
      </c>
      <c r="L5" s="86">
        <f>IF(SUBSTITUTE(TEXT(Calculators[[#This Row],[CalculatorCode]],10)," ","")=TEXT(Calculators[[#This Row],[CalculatorCode]],10),0,1)</f>
        <v>0</v>
      </c>
      <c r="M5" s="80">
        <f>SUM(Calculators[[#This Row],[Blank Data]:[Space in Code]])</f>
        <v>0</v>
      </c>
      <c r="N5" s="80" t="str" cm="1">
        <f t="array" ref="N5">_xlfn.TEXTJOIN(",",TRUE,IF(CalculatorFC[CalculatorCode]&amp;CalculatorFC[Type]=Calculators[[#This Row],[CalculatorCode]]&amp;Calculators[[#Headers],[SourceFinanceCodes]],CalculatorFC[FinanceCode],""))</f>
        <v/>
      </c>
      <c r="O5" s="80" t="str" cm="1">
        <f t="array" ref="O5">_xlfn.TEXTJOIN(",",TRUE,IF(CalculatorFC[CalculatorCode]&amp;CalculatorFC[Type]=Calculators[[#This Row],[CalculatorCode]]&amp;Calculators[[#Headers],[SourceGroupingCodes]],CalculatorFC[FinanceCode],""))</f>
        <v/>
      </c>
      <c r="P5" s="80" t="str" cm="1">
        <f t="array" ref="P5">_xlfn.TEXTJOIN(",",TRUE,IF(CalculatorFC[CalculatorCode]&amp;CalculatorFC[Type]=Calculators[[#This Row],[CalculatorCode]]&amp;Calculators[[#Headers],[DivisorFinanceCodes]],CalculatorFC[FinanceCode],""))</f>
        <v/>
      </c>
      <c r="Q5" s="80" t="str" cm="1">
        <f t="array" ref="Q5">_xlfn.TEXTJOIN(",",TRUE,IF(CalculatorFC[CalculatorCode]&amp;CalculatorFC[Type]=Calculators[[#This Row],[CalculatorCode]]&amp;Calculators[[#Headers],[DivisorGroupingCodes]],CalculatorFC[FinanceCode],""))</f>
        <v/>
      </c>
      <c r="R5" s="80" t="str" cm="1">
        <f t="array" ref="R5">_xlfn.TEXTJOIN(",",TRUE,IF(CalculatorFC[CalculatorCode]&amp;CalculatorFC[Type]=Calculators[[#This Row],[CalculatorCode]]&amp;Calculators[[#Headers],[MultiplierFinanceCodes]],CalculatorFC[FinanceCode],""))</f>
        <v/>
      </c>
      <c r="S5" s="80" t="str" cm="1">
        <f t="array" ref="S5">_xlfn.TEXTJOIN(",",TRUE,IF(CalculatorFC[CalculatorCode]&amp;CalculatorFC[Type]=Calculators[[#This Row],[CalculatorCode]]&amp;Calculators[[#Headers],[MultiplierGroupingCodes]],CalculatorFC[FinanceCode],""))</f>
        <v/>
      </c>
      <c r="T5" t="s">
        <v>1178</v>
      </c>
      <c r="U5" t="s">
        <v>1179</v>
      </c>
      <c r="V5" t="b">
        <v>0</v>
      </c>
      <c r="W5" t="b">
        <v>0</v>
      </c>
      <c r="X5" t="b">
        <v>0</v>
      </c>
      <c r="Y5" t="b">
        <v>1</v>
      </c>
      <c r="Z5" t="b">
        <v>1</v>
      </c>
      <c r="AA5" t="b">
        <v>0</v>
      </c>
      <c r="AB5" t="b">
        <v>0</v>
      </c>
      <c r="AC5">
        <v>0</v>
      </c>
      <c r="AD5" t="b">
        <v>0</v>
      </c>
      <c r="AE5" t="b">
        <v>0</v>
      </c>
      <c r="AF5" t="b">
        <v>0</v>
      </c>
      <c r="AG5" t="b">
        <v>0</v>
      </c>
      <c r="AH5" t="b">
        <v>0</v>
      </c>
      <c r="AI5" t="b">
        <v>1</v>
      </c>
      <c r="AJ5" t="b">
        <v>0</v>
      </c>
      <c r="AK5" t="b">
        <v>1</v>
      </c>
      <c r="AL5" t="b">
        <v>0</v>
      </c>
      <c r="AM5">
        <v>1</v>
      </c>
      <c r="AN5" t="b">
        <v>0</v>
      </c>
      <c r="AO5" t="b">
        <v>0</v>
      </c>
      <c r="AP5" t="b">
        <v>0</v>
      </c>
      <c r="AQ5" t="b">
        <v>0</v>
      </c>
      <c r="AR5" t="b">
        <v>0</v>
      </c>
      <c r="AS5" t="b">
        <v>1</v>
      </c>
      <c r="AT5" t="b">
        <v>0</v>
      </c>
      <c r="AU5" t="b">
        <v>1</v>
      </c>
      <c r="AV5" t="b">
        <v>0</v>
      </c>
      <c r="AW5">
        <v>1.03</v>
      </c>
      <c r="AX5" t="b">
        <v>0</v>
      </c>
      <c r="AY5" t="b">
        <v>0</v>
      </c>
      <c r="AZ5" t="b">
        <v>1</v>
      </c>
      <c r="BA5">
        <v>0</v>
      </c>
      <c r="BB5" t="s">
        <v>51</v>
      </c>
      <c r="BC5">
        <v>0</v>
      </c>
    </row>
    <row r="6" spans="1:55" hidden="1" x14ac:dyDescent="0.3">
      <c r="A6" s="80">
        <f t="shared" si="0"/>
        <v>0</v>
      </c>
      <c r="B6" s="80">
        <f>SUMIFS(CalculatorFC[FinCodeIssue],CalculatorFC[CalculatorCode],Calculators[[#This Row],[CalculatorCode]])</f>
        <v>0</v>
      </c>
      <c r="C6" s="80">
        <f>IF(LEN(Calculators[[#This Row],[CalculatorCode]])&lt;100,0,1)</f>
        <v>0</v>
      </c>
      <c r="D6" s="86">
        <f>IF(LEN(Calculators[[#This Row],[Title]])&lt;100,0,1)</f>
        <v>0</v>
      </c>
      <c r="E6" s="86">
        <f>(COUNTIF(CalculatorTypeCode[CalculatorTypeCode],Calculators[[#This Row],[CalculatorTypeCode]])-1)*-1</f>
        <v>0</v>
      </c>
      <c r="F6"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6"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6"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6" s="86">
        <f>IF(OR(Calculators[[#This Row],[CalculatorEnabled]]=TRUE,Calculators[[#This Row],[CalculatorEnabled]]=FALSE),0,1)</f>
        <v>0</v>
      </c>
      <c r="J6" s="86">
        <f>IF(ISBLANK(Calculators[[#This Row],[Title]])=TRUE,1,0)</f>
        <v>0</v>
      </c>
      <c r="K6" s="86">
        <f>IF(EXACT(Calculators[[#This Row],[CalculatorCode]],UPPER(Calculators[[#This Row],[CalculatorCode]])),0,1)</f>
        <v>0</v>
      </c>
      <c r="L6" s="86">
        <f>IF(SUBSTITUTE(TEXT(Calculators[[#This Row],[CalculatorCode]],10)," ","")=TEXT(Calculators[[#This Row],[CalculatorCode]],10),0,1)</f>
        <v>0</v>
      </c>
      <c r="M6" s="80">
        <f>SUM(Calculators[[#This Row],[Blank Data]:[Space in Code]])</f>
        <v>0</v>
      </c>
      <c r="N6" s="80" t="str" cm="1">
        <f t="array" ref="N6">_xlfn.TEXTJOIN(",",TRUE,IF(CalculatorFC[CalculatorCode]&amp;CalculatorFC[Type]=Calculators[[#This Row],[CalculatorCode]]&amp;Calculators[[#Headers],[SourceFinanceCodes]],CalculatorFC[FinanceCode],""))</f>
        <v/>
      </c>
      <c r="O6" s="80" t="str" cm="1">
        <f t="array" ref="O6">_xlfn.TEXTJOIN(",",TRUE,IF(CalculatorFC[CalculatorCode]&amp;CalculatorFC[Type]=Calculators[[#This Row],[CalculatorCode]]&amp;Calculators[[#Headers],[SourceGroupingCodes]],CalculatorFC[FinanceCode],""))</f>
        <v/>
      </c>
      <c r="P6" s="80" t="str" cm="1">
        <f t="array" ref="P6">_xlfn.TEXTJOIN(",",TRUE,IF(CalculatorFC[CalculatorCode]&amp;CalculatorFC[Type]=Calculators[[#This Row],[CalculatorCode]]&amp;Calculators[[#Headers],[DivisorFinanceCodes]],CalculatorFC[FinanceCode],""))</f>
        <v/>
      </c>
      <c r="Q6" s="80" t="str" cm="1">
        <f t="array" ref="Q6">_xlfn.TEXTJOIN(",",TRUE,IF(CalculatorFC[CalculatorCode]&amp;CalculatorFC[Type]=Calculators[[#This Row],[CalculatorCode]]&amp;Calculators[[#Headers],[DivisorGroupingCodes]],CalculatorFC[FinanceCode],""))</f>
        <v/>
      </c>
      <c r="R6" s="80" t="str" cm="1">
        <f t="array" ref="R6">_xlfn.TEXTJOIN(",",TRUE,IF(CalculatorFC[CalculatorCode]&amp;CalculatorFC[Type]=Calculators[[#This Row],[CalculatorCode]]&amp;Calculators[[#Headers],[MultiplierFinanceCodes]],CalculatorFC[FinanceCode],""))</f>
        <v/>
      </c>
      <c r="S6" s="80" t="str" cm="1">
        <f t="array" ref="S6">_xlfn.TEXTJOIN(",",TRUE,IF(CalculatorFC[CalculatorCode]&amp;CalculatorFC[Type]=Calculators[[#This Row],[CalculatorCode]]&amp;Calculators[[#Headers],[MultiplierGroupingCodes]],CalculatorFC[FinanceCode],""))</f>
        <v/>
      </c>
      <c r="T6" t="s">
        <v>1180</v>
      </c>
      <c r="U6" t="s">
        <v>1181</v>
      </c>
      <c r="V6" t="b">
        <v>0</v>
      </c>
      <c r="W6" t="b">
        <v>0</v>
      </c>
      <c r="X6" t="b">
        <v>0</v>
      </c>
      <c r="Y6" t="b">
        <v>1</v>
      </c>
      <c r="Z6" t="b">
        <v>1</v>
      </c>
      <c r="AA6" t="b">
        <v>1</v>
      </c>
      <c r="AB6" t="b">
        <v>0</v>
      </c>
      <c r="AC6">
        <v>0</v>
      </c>
      <c r="AD6" t="b">
        <v>0</v>
      </c>
      <c r="AE6" t="b">
        <v>0</v>
      </c>
      <c r="AF6" t="b">
        <v>0</v>
      </c>
      <c r="AG6" t="b">
        <v>0</v>
      </c>
      <c r="AH6" t="b">
        <v>0</v>
      </c>
      <c r="AI6" t="b">
        <v>1</v>
      </c>
      <c r="AJ6" t="b">
        <v>0</v>
      </c>
      <c r="AK6" t="b">
        <v>1</v>
      </c>
      <c r="AL6" t="b">
        <v>0</v>
      </c>
      <c r="AM6">
        <v>1</v>
      </c>
      <c r="AN6" t="b">
        <v>0</v>
      </c>
      <c r="AO6" t="b">
        <v>0</v>
      </c>
      <c r="AP6" t="b">
        <v>0</v>
      </c>
      <c r="AQ6" t="b">
        <v>0</v>
      </c>
      <c r="AR6" t="b">
        <v>0</v>
      </c>
      <c r="AS6" t="b">
        <v>1</v>
      </c>
      <c r="AT6" t="b">
        <v>0</v>
      </c>
      <c r="AU6" t="b">
        <v>1</v>
      </c>
      <c r="AV6" t="b">
        <v>0</v>
      </c>
      <c r="AW6">
        <v>1.04</v>
      </c>
      <c r="AX6" t="b">
        <v>0</v>
      </c>
      <c r="AY6" t="b">
        <v>0</v>
      </c>
      <c r="AZ6" t="b">
        <v>1</v>
      </c>
      <c r="BA6">
        <v>0</v>
      </c>
      <c r="BB6" t="s">
        <v>51</v>
      </c>
      <c r="BC6">
        <v>0</v>
      </c>
    </row>
    <row r="7" spans="1:55" hidden="1" x14ac:dyDescent="0.3">
      <c r="A7" s="80">
        <f t="shared" si="0"/>
        <v>0</v>
      </c>
      <c r="B7" s="80">
        <f>SUMIFS(CalculatorFC[FinCodeIssue],CalculatorFC[CalculatorCode],Calculators[[#This Row],[CalculatorCode]])</f>
        <v>0</v>
      </c>
      <c r="C7" s="80">
        <f>IF(LEN(Calculators[[#This Row],[CalculatorCode]])&lt;100,0,1)</f>
        <v>0</v>
      </c>
      <c r="D7" s="86">
        <f>IF(LEN(Calculators[[#This Row],[Title]])&lt;100,0,1)</f>
        <v>0</v>
      </c>
      <c r="E7" s="86">
        <f>(COUNTIF(CalculatorTypeCode[CalculatorTypeCode],Calculators[[#This Row],[CalculatorTypeCode]])-1)*-1</f>
        <v>0</v>
      </c>
      <c r="F7"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7"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7"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7" s="86">
        <f>IF(OR(Calculators[[#This Row],[CalculatorEnabled]]=TRUE,Calculators[[#This Row],[CalculatorEnabled]]=FALSE),0,1)</f>
        <v>0</v>
      </c>
      <c r="J7" s="86">
        <f>IF(ISBLANK(Calculators[[#This Row],[Title]])=TRUE,1,0)</f>
        <v>0</v>
      </c>
      <c r="K7" s="86">
        <f>IF(EXACT(Calculators[[#This Row],[CalculatorCode]],UPPER(Calculators[[#This Row],[CalculatorCode]])),0,1)</f>
        <v>0</v>
      </c>
      <c r="L7" s="86">
        <f>IF(SUBSTITUTE(TEXT(Calculators[[#This Row],[CalculatorCode]],10)," ","")=TEXT(Calculators[[#This Row],[CalculatorCode]],10),0,1)</f>
        <v>0</v>
      </c>
      <c r="M7" s="80">
        <f>SUM(Calculators[[#This Row],[Blank Data]:[Space in Code]])</f>
        <v>0</v>
      </c>
      <c r="N7" s="80" t="str" cm="1">
        <f t="array" ref="N7">_xlfn.TEXTJOIN(",",TRUE,IF(CalculatorFC[CalculatorCode]&amp;CalculatorFC[Type]=Calculators[[#This Row],[CalculatorCode]]&amp;Calculators[[#Headers],[SourceFinanceCodes]],CalculatorFC[FinanceCode],""))</f>
        <v/>
      </c>
      <c r="O7" s="80" t="str" cm="1">
        <f t="array" ref="O7">_xlfn.TEXTJOIN(",",TRUE,IF(CalculatorFC[CalculatorCode]&amp;CalculatorFC[Type]=Calculators[[#This Row],[CalculatorCode]]&amp;Calculators[[#Headers],[SourceGroupingCodes]],CalculatorFC[FinanceCode],""))</f>
        <v/>
      </c>
      <c r="P7" s="80" t="str" cm="1">
        <f t="array" ref="P7">_xlfn.TEXTJOIN(",",TRUE,IF(CalculatorFC[CalculatorCode]&amp;CalculatorFC[Type]=Calculators[[#This Row],[CalculatorCode]]&amp;Calculators[[#Headers],[DivisorFinanceCodes]],CalculatorFC[FinanceCode],""))</f>
        <v/>
      </c>
      <c r="Q7" s="80" t="str" cm="1">
        <f t="array" ref="Q7">_xlfn.TEXTJOIN(",",TRUE,IF(CalculatorFC[CalculatorCode]&amp;CalculatorFC[Type]=Calculators[[#This Row],[CalculatorCode]]&amp;Calculators[[#Headers],[DivisorGroupingCodes]],CalculatorFC[FinanceCode],""))</f>
        <v/>
      </c>
      <c r="R7" s="80" t="str" cm="1">
        <f t="array" ref="R7">_xlfn.TEXTJOIN(",",TRUE,IF(CalculatorFC[CalculatorCode]&amp;CalculatorFC[Type]=Calculators[[#This Row],[CalculatorCode]]&amp;Calculators[[#Headers],[MultiplierFinanceCodes]],CalculatorFC[FinanceCode],""))</f>
        <v/>
      </c>
      <c r="S7" s="80" t="str" cm="1">
        <f t="array" ref="S7">_xlfn.TEXTJOIN(",",TRUE,IF(CalculatorFC[CalculatorCode]&amp;CalculatorFC[Type]=Calculators[[#This Row],[CalculatorCode]]&amp;Calculators[[#Headers],[MultiplierGroupingCodes]],CalculatorFC[FinanceCode],""))</f>
        <v/>
      </c>
      <c r="T7" t="s">
        <v>1182</v>
      </c>
      <c r="U7" t="s">
        <v>1183</v>
      </c>
      <c r="V7" t="b">
        <v>0</v>
      </c>
      <c r="W7" t="b">
        <v>0</v>
      </c>
      <c r="X7" t="b">
        <v>0</v>
      </c>
      <c r="Y7" t="b">
        <v>1</v>
      </c>
      <c r="Z7" t="b">
        <v>1</v>
      </c>
      <c r="AA7" t="b">
        <v>1</v>
      </c>
      <c r="AB7" t="b">
        <v>0</v>
      </c>
      <c r="AC7">
        <v>0</v>
      </c>
      <c r="AD7" t="b">
        <v>0</v>
      </c>
      <c r="AE7" t="b">
        <v>0</v>
      </c>
      <c r="AF7" t="b">
        <v>0</v>
      </c>
      <c r="AG7" t="b">
        <v>0</v>
      </c>
      <c r="AH7" t="b">
        <v>0</v>
      </c>
      <c r="AI7" t="b">
        <v>1</v>
      </c>
      <c r="AJ7" t="b">
        <v>0</v>
      </c>
      <c r="AK7" t="b">
        <v>1</v>
      </c>
      <c r="AL7" t="b">
        <v>0</v>
      </c>
      <c r="AM7">
        <v>1</v>
      </c>
      <c r="AN7" t="b">
        <v>0</v>
      </c>
      <c r="AO7" t="b">
        <v>0</v>
      </c>
      <c r="AP7" t="b">
        <v>0</v>
      </c>
      <c r="AQ7" t="b">
        <v>0</v>
      </c>
      <c r="AR7" t="b">
        <v>0</v>
      </c>
      <c r="AS7" t="b">
        <v>1</v>
      </c>
      <c r="AT7" t="b">
        <v>0</v>
      </c>
      <c r="AU7" t="b">
        <v>1</v>
      </c>
      <c r="AV7" t="b">
        <v>0</v>
      </c>
      <c r="AW7">
        <v>1.05</v>
      </c>
      <c r="AX7" t="b">
        <v>0</v>
      </c>
      <c r="AY7" t="b">
        <v>0</v>
      </c>
      <c r="AZ7" t="b">
        <v>1</v>
      </c>
      <c r="BA7">
        <v>0</v>
      </c>
      <c r="BB7" t="s">
        <v>51</v>
      </c>
      <c r="BC7">
        <v>0</v>
      </c>
    </row>
    <row r="8" spans="1:55" hidden="1" x14ac:dyDescent="0.3">
      <c r="A8" s="80">
        <f t="shared" si="0"/>
        <v>0</v>
      </c>
      <c r="B8" s="80">
        <f>SUMIFS(CalculatorFC[FinCodeIssue],CalculatorFC[CalculatorCode],Calculators[[#This Row],[CalculatorCode]])</f>
        <v>0</v>
      </c>
      <c r="C8" s="80">
        <f>IF(LEN(Calculators[[#This Row],[CalculatorCode]])&lt;100,0,1)</f>
        <v>0</v>
      </c>
      <c r="D8" s="86">
        <f>IF(LEN(Calculators[[#This Row],[Title]])&lt;100,0,1)</f>
        <v>0</v>
      </c>
      <c r="E8" s="86">
        <f>(COUNTIF(CalculatorTypeCode[CalculatorTypeCode],Calculators[[#This Row],[CalculatorTypeCode]])-1)*-1</f>
        <v>0</v>
      </c>
      <c r="F8"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8"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8"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8" s="86">
        <f>IF(OR(Calculators[[#This Row],[CalculatorEnabled]]=TRUE,Calculators[[#This Row],[CalculatorEnabled]]=FALSE),0,1)</f>
        <v>0</v>
      </c>
      <c r="J8" s="86">
        <f>IF(ISBLANK(Calculators[[#This Row],[Title]])=TRUE,1,0)</f>
        <v>0</v>
      </c>
      <c r="K8" s="86">
        <f>IF(EXACT(Calculators[[#This Row],[CalculatorCode]],UPPER(Calculators[[#This Row],[CalculatorCode]])),0,1)</f>
        <v>0</v>
      </c>
      <c r="L8" s="86">
        <f>IF(SUBSTITUTE(TEXT(Calculators[[#This Row],[CalculatorCode]],10)," ","")=TEXT(Calculators[[#This Row],[CalculatorCode]],10),0,1)</f>
        <v>0</v>
      </c>
      <c r="M8" s="80">
        <f>SUM(Calculators[[#This Row],[Blank Data]:[Space in Code]])</f>
        <v>0</v>
      </c>
      <c r="N8" s="80" t="str" cm="1">
        <f t="array" ref="N8">_xlfn.TEXTJOIN(",",TRUE,IF(CalculatorFC[CalculatorCode]&amp;CalculatorFC[Type]=Calculators[[#This Row],[CalculatorCode]]&amp;Calculators[[#Headers],[SourceFinanceCodes]],CalculatorFC[FinanceCode],""))</f>
        <v/>
      </c>
      <c r="O8" s="80" t="str" cm="1">
        <f t="array" ref="O8">_xlfn.TEXTJOIN(",",TRUE,IF(CalculatorFC[CalculatorCode]&amp;CalculatorFC[Type]=Calculators[[#This Row],[CalculatorCode]]&amp;Calculators[[#Headers],[SourceGroupingCodes]],CalculatorFC[FinanceCode],""))</f>
        <v/>
      </c>
      <c r="P8" s="80" t="str" cm="1">
        <f t="array" ref="P8">_xlfn.TEXTJOIN(",",TRUE,IF(CalculatorFC[CalculatorCode]&amp;CalculatorFC[Type]=Calculators[[#This Row],[CalculatorCode]]&amp;Calculators[[#Headers],[DivisorFinanceCodes]],CalculatorFC[FinanceCode],""))</f>
        <v/>
      </c>
      <c r="Q8" s="80" t="str" cm="1">
        <f t="array" ref="Q8">_xlfn.TEXTJOIN(",",TRUE,IF(CalculatorFC[CalculatorCode]&amp;CalculatorFC[Type]=Calculators[[#This Row],[CalculatorCode]]&amp;Calculators[[#Headers],[DivisorGroupingCodes]],CalculatorFC[FinanceCode],""))</f>
        <v/>
      </c>
      <c r="R8" s="80" t="str" cm="1">
        <f t="array" ref="R8">_xlfn.TEXTJOIN(",",TRUE,IF(CalculatorFC[CalculatorCode]&amp;CalculatorFC[Type]=Calculators[[#This Row],[CalculatorCode]]&amp;Calculators[[#Headers],[MultiplierFinanceCodes]],CalculatorFC[FinanceCode],""))</f>
        <v/>
      </c>
      <c r="S8" s="80" t="str" cm="1">
        <f t="array" ref="S8">_xlfn.TEXTJOIN(",",TRUE,IF(CalculatorFC[CalculatorCode]&amp;CalculatorFC[Type]=Calculators[[#This Row],[CalculatorCode]]&amp;Calculators[[#Headers],[MultiplierGroupingCodes]],CalculatorFC[FinanceCode],""))</f>
        <v/>
      </c>
      <c r="T8" t="s">
        <v>2573</v>
      </c>
      <c r="U8" t="s">
        <v>2586</v>
      </c>
      <c r="V8" t="b">
        <v>0</v>
      </c>
      <c r="W8" t="b">
        <v>1</v>
      </c>
      <c r="X8" t="b">
        <v>1</v>
      </c>
      <c r="Y8" t="b">
        <v>1</v>
      </c>
      <c r="Z8" t="b">
        <v>0</v>
      </c>
      <c r="AA8" t="b">
        <v>0</v>
      </c>
      <c r="AB8" t="b">
        <v>0</v>
      </c>
      <c r="AC8">
        <v>0</v>
      </c>
      <c r="AD8" t="b">
        <v>0</v>
      </c>
      <c r="AE8" t="b">
        <v>0</v>
      </c>
      <c r="AF8" t="b">
        <v>0</v>
      </c>
      <c r="AG8" t="b">
        <v>0</v>
      </c>
      <c r="AH8" t="b">
        <v>0</v>
      </c>
      <c r="AI8" t="b">
        <v>1</v>
      </c>
      <c r="AJ8" t="b">
        <v>0</v>
      </c>
      <c r="AK8" t="b">
        <v>1</v>
      </c>
      <c r="AL8" t="b">
        <v>0</v>
      </c>
      <c r="AM8">
        <v>1</v>
      </c>
      <c r="AN8" t="b">
        <v>0</v>
      </c>
      <c r="AO8" t="b">
        <v>0</v>
      </c>
      <c r="AP8" t="b">
        <v>1</v>
      </c>
      <c r="AQ8" t="b">
        <v>1</v>
      </c>
      <c r="AR8" t="b">
        <v>1</v>
      </c>
      <c r="AS8" t="b">
        <v>1</v>
      </c>
      <c r="AT8" t="b">
        <v>0</v>
      </c>
      <c r="AU8" t="b">
        <v>0</v>
      </c>
      <c r="AV8" t="b">
        <v>0</v>
      </c>
      <c r="AW8">
        <v>0</v>
      </c>
      <c r="AX8" t="b">
        <v>0</v>
      </c>
      <c r="AY8" t="b">
        <v>0</v>
      </c>
      <c r="AZ8" t="b">
        <v>1</v>
      </c>
      <c r="BA8">
        <v>1</v>
      </c>
      <c r="BB8" t="s">
        <v>900</v>
      </c>
      <c r="BC8">
        <v>1</v>
      </c>
    </row>
    <row r="9" spans="1:55" hidden="1" x14ac:dyDescent="0.3">
      <c r="A9" s="80">
        <f t="shared" si="0"/>
        <v>0</v>
      </c>
      <c r="B9" s="80">
        <f>SUMIFS(CalculatorFC[FinCodeIssue],CalculatorFC[CalculatorCode],Calculators[[#This Row],[CalculatorCode]])</f>
        <v>1</v>
      </c>
      <c r="C9" s="80">
        <f>IF(LEN(Calculators[[#This Row],[CalculatorCode]])&lt;100,0,1)</f>
        <v>0</v>
      </c>
      <c r="D9" s="86">
        <f>IF(LEN(Calculators[[#This Row],[Title]])&lt;100,0,1)</f>
        <v>0</v>
      </c>
      <c r="E9" s="86">
        <f>(COUNTIF(CalculatorTypeCode[CalculatorTypeCode],Calculators[[#This Row],[CalculatorTypeCode]])-1)*-1</f>
        <v>0</v>
      </c>
      <c r="F9"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9"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9"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9" s="86">
        <f>IF(OR(Calculators[[#This Row],[CalculatorEnabled]]=TRUE,Calculators[[#This Row],[CalculatorEnabled]]=FALSE),0,1)</f>
        <v>0</v>
      </c>
      <c r="J9" s="86">
        <f>IF(ISBLANK(Calculators[[#This Row],[Title]])=TRUE,1,0)</f>
        <v>0</v>
      </c>
      <c r="K9" s="86">
        <f>IF(EXACT(Calculators[[#This Row],[CalculatorCode]],UPPER(Calculators[[#This Row],[CalculatorCode]])),0,1)</f>
        <v>0</v>
      </c>
      <c r="L9" s="86">
        <f>IF(SUBSTITUTE(TEXT(Calculators[[#This Row],[CalculatorCode]],10)," ","")=TEXT(Calculators[[#This Row],[CalculatorCode]],10),0,1)</f>
        <v>0</v>
      </c>
      <c r="M9" s="80">
        <f>SUM(Calculators[[#This Row],[Blank Data]:[Space in Code]])</f>
        <v>1</v>
      </c>
      <c r="N9" s="80" t="str" cm="1">
        <f t="array" ref="N9">_xlfn.TEXTJOIN(",",TRUE,IF(CalculatorFC[CalculatorCode]&amp;CalculatorFC[Type]=Calculators[[#This Row],[CalculatorCode]]&amp;Calculators[[#Headers],[SourceFinanceCodes]],CalculatorFC[FinanceCode],""))</f>
        <v>0</v>
      </c>
      <c r="O9" s="80" t="str" cm="1">
        <f t="array" ref="O9">_xlfn.TEXTJOIN(",",TRUE,IF(CalculatorFC[CalculatorCode]&amp;CalculatorFC[Type]=Calculators[[#This Row],[CalculatorCode]]&amp;Calculators[[#Headers],[SourceGroupingCodes]],CalculatorFC[FinanceCode],""))</f>
        <v/>
      </c>
      <c r="P9" s="80" t="str" cm="1">
        <f t="array" ref="P9">_xlfn.TEXTJOIN(",",TRUE,IF(CalculatorFC[CalculatorCode]&amp;CalculatorFC[Type]=Calculators[[#This Row],[CalculatorCode]]&amp;Calculators[[#Headers],[DivisorFinanceCodes]],CalculatorFC[FinanceCode],""))</f>
        <v/>
      </c>
      <c r="Q9" s="80" t="str" cm="1">
        <f t="array" ref="Q9">_xlfn.TEXTJOIN(",",TRUE,IF(CalculatorFC[CalculatorCode]&amp;CalculatorFC[Type]=Calculators[[#This Row],[CalculatorCode]]&amp;Calculators[[#Headers],[DivisorGroupingCodes]],CalculatorFC[FinanceCode],""))</f>
        <v/>
      </c>
      <c r="R9" s="80" t="str" cm="1">
        <f t="array" ref="R9">_xlfn.TEXTJOIN(",",TRUE,IF(CalculatorFC[CalculatorCode]&amp;CalculatorFC[Type]=Calculators[[#This Row],[CalculatorCode]]&amp;Calculators[[#Headers],[MultiplierFinanceCodes]],CalculatorFC[FinanceCode],""))</f>
        <v/>
      </c>
      <c r="S9" s="80" t="str" cm="1">
        <f t="array" ref="S9">_xlfn.TEXTJOIN(",",TRUE,IF(CalculatorFC[CalculatorCode]&amp;CalculatorFC[Type]=Calculators[[#This Row],[CalculatorCode]]&amp;Calculators[[#Headers],[MultiplierGroupingCodes]],CalculatorFC[FinanceCode],""))</f>
        <v/>
      </c>
      <c r="T9" t="s">
        <v>1184</v>
      </c>
      <c r="U9" t="s">
        <v>1185</v>
      </c>
      <c r="V9" t="b">
        <v>1</v>
      </c>
      <c r="W9" t="b">
        <v>1</v>
      </c>
      <c r="X9" t="b">
        <v>1</v>
      </c>
      <c r="Y9" t="b">
        <v>1</v>
      </c>
      <c r="Z9" t="b">
        <v>0</v>
      </c>
      <c r="AA9" t="b">
        <v>0</v>
      </c>
      <c r="AB9" t="b">
        <v>0</v>
      </c>
      <c r="AC9">
        <v>0</v>
      </c>
      <c r="AD9" t="b">
        <v>0</v>
      </c>
      <c r="AE9" t="b">
        <v>0</v>
      </c>
      <c r="AF9" t="b">
        <v>0</v>
      </c>
      <c r="AG9" t="b">
        <v>0</v>
      </c>
      <c r="AH9" t="b">
        <v>0</v>
      </c>
      <c r="AI9" t="b">
        <v>1</v>
      </c>
      <c r="AJ9" t="b">
        <v>0</v>
      </c>
      <c r="AK9" t="b">
        <v>1</v>
      </c>
      <c r="AL9" t="b">
        <v>0</v>
      </c>
      <c r="AM9">
        <v>1</v>
      </c>
      <c r="AN9" t="b">
        <v>0</v>
      </c>
      <c r="AO9" t="b">
        <v>0</v>
      </c>
      <c r="AP9" t="b">
        <v>1</v>
      </c>
      <c r="AQ9" t="b">
        <v>1</v>
      </c>
      <c r="AR9" t="b">
        <v>1</v>
      </c>
      <c r="AS9" t="b">
        <v>1</v>
      </c>
      <c r="AT9" t="b">
        <v>0</v>
      </c>
      <c r="AU9" t="b">
        <v>0</v>
      </c>
      <c r="AV9" t="b">
        <v>0</v>
      </c>
      <c r="AW9">
        <v>-1</v>
      </c>
      <c r="AX9" t="b">
        <v>0</v>
      </c>
      <c r="AY9" t="b">
        <v>0</v>
      </c>
      <c r="AZ9" t="b">
        <v>1</v>
      </c>
      <c r="BA9">
        <v>1</v>
      </c>
      <c r="BB9" t="s">
        <v>1476</v>
      </c>
      <c r="BC9">
        <v>1</v>
      </c>
    </row>
    <row r="10" spans="1:55" hidden="1" x14ac:dyDescent="0.3">
      <c r="A10" s="80">
        <f t="shared" si="0"/>
        <v>0</v>
      </c>
      <c r="B10" s="80">
        <f>SUMIFS(CalculatorFC[FinCodeIssue],CalculatorFC[CalculatorCode],Calculators[[#This Row],[CalculatorCode]])</f>
        <v>3</v>
      </c>
      <c r="C10" s="80">
        <f>IF(LEN(Calculators[[#This Row],[CalculatorCode]])&lt;100,0,1)</f>
        <v>0</v>
      </c>
      <c r="D10" s="86">
        <f>IF(LEN(Calculators[[#This Row],[Title]])&lt;100,0,1)</f>
        <v>0</v>
      </c>
      <c r="E10" s="86">
        <f>(COUNTIF(CalculatorTypeCode[CalculatorTypeCode],Calculators[[#This Row],[CalculatorTypeCode]])-1)*-1</f>
        <v>0</v>
      </c>
      <c r="F10"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10"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10"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10" s="86">
        <f>IF(OR(Calculators[[#This Row],[CalculatorEnabled]]=TRUE,Calculators[[#This Row],[CalculatorEnabled]]=FALSE),0,1)</f>
        <v>0</v>
      </c>
      <c r="J10" s="86">
        <f>IF(ISBLANK(Calculators[[#This Row],[Title]])=TRUE,1,0)</f>
        <v>0</v>
      </c>
      <c r="K10" s="86">
        <f>IF(EXACT(Calculators[[#This Row],[CalculatorCode]],UPPER(Calculators[[#This Row],[CalculatorCode]])),0,1)</f>
        <v>0</v>
      </c>
      <c r="L10" s="86">
        <f>IF(SUBSTITUTE(TEXT(Calculators[[#This Row],[CalculatorCode]],10)," ","")=TEXT(Calculators[[#This Row],[CalculatorCode]],10),0,1)</f>
        <v>0</v>
      </c>
      <c r="M10" s="80">
        <f>SUM(Calculators[[#This Row],[Blank Data]:[Space in Code]])</f>
        <v>3</v>
      </c>
      <c r="N10" s="80" t="str" cm="1">
        <f t="array" ref="N10">_xlfn.TEXTJOIN(",",TRUE,IF(CalculatorFC[CalculatorCode]&amp;CalculatorFC[Type]=Calculators[[#This Row],[CalculatorCode]]&amp;Calculators[[#Headers],[SourceFinanceCodes]],CalculatorFC[FinanceCode],""))</f>
        <v>FUNDING_16_19,FUNDING_GAG,FUNDING_HNPOST16,FUNDING_HNPRE16,FUNDING_SFS</v>
      </c>
      <c r="O10" s="80" t="str" cm="1">
        <f t="array" ref="O10">_xlfn.TEXTJOIN(",",TRUE,IF(CalculatorFC[CalculatorCode]&amp;CalculatorFC[Type]=Calculators[[#This Row],[CalculatorCode]]&amp;Calculators[[#Headers],[SourceGroupingCodes]],CalculatorFC[FinanceCode],""))</f>
        <v/>
      </c>
      <c r="P10" s="80" t="str" cm="1">
        <f t="array" ref="P10">_xlfn.TEXTJOIN(",",TRUE,IF(CalculatorFC[CalculatorCode]&amp;CalculatorFC[Type]=Calculators[[#This Row],[CalculatorCode]]&amp;Calculators[[#Headers],[DivisorFinanceCodes]],CalculatorFC[FinanceCode],""))</f>
        <v/>
      </c>
      <c r="Q10" s="80" t="str" cm="1">
        <f t="array" ref="Q10">_xlfn.TEXTJOIN(",",TRUE,IF(CalculatorFC[CalculatorCode]&amp;CalculatorFC[Type]=Calculators[[#This Row],[CalculatorCode]]&amp;Calculators[[#Headers],[DivisorGroupingCodes]],CalculatorFC[FinanceCode],""))</f>
        <v/>
      </c>
      <c r="R10" s="80" t="str" cm="1">
        <f t="array" ref="R10">_xlfn.TEXTJOIN(",",TRUE,IF(CalculatorFC[CalculatorCode]&amp;CalculatorFC[Type]=Calculators[[#This Row],[CalculatorCode]]&amp;Calculators[[#Headers],[MultiplierFinanceCodes]],CalculatorFC[FinanceCode],""))</f>
        <v>CENCHG</v>
      </c>
      <c r="S10" s="80" t="str" cm="1">
        <f t="array" ref="S10">_xlfn.TEXTJOIN(",",TRUE,IF(CalculatorFC[CalculatorCode]&amp;CalculatorFC[Type]=Calculators[[#This Row],[CalculatorCode]]&amp;Calculators[[#Headers],[MultiplierGroupingCodes]],CalculatorFC[FinanceCode],""))</f>
        <v/>
      </c>
      <c r="T10" t="s">
        <v>1186</v>
      </c>
      <c r="U10" t="s">
        <v>1187</v>
      </c>
      <c r="V10" t="b">
        <v>0</v>
      </c>
      <c r="W10" t="b">
        <v>1</v>
      </c>
      <c r="X10" t="b">
        <v>1</v>
      </c>
      <c r="Y10" t="b">
        <v>1</v>
      </c>
      <c r="Z10" t="b">
        <v>0</v>
      </c>
      <c r="AA10" t="b">
        <v>0</v>
      </c>
      <c r="AB10" t="b">
        <v>0</v>
      </c>
      <c r="AC10">
        <v>0</v>
      </c>
      <c r="AD10" t="b">
        <v>0</v>
      </c>
      <c r="AE10" t="b">
        <v>0</v>
      </c>
      <c r="AF10" t="b">
        <v>0</v>
      </c>
      <c r="AG10" t="b">
        <v>0</v>
      </c>
      <c r="AH10" t="b">
        <v>0</v>
      </c>
      <c r="AI10" t="b">
        <v>1</v>
      </c>
      <c r="AJ10" t="b">
        <v>0</v>
      </c>
      <c r="AK10" t="b">
        <v>1</v>
      </c>
      <c r="AL10" t="b">
        <v>0</v>
      </c>
      <c r="AM10">
        <v>-100</v>
      </c>
      <c r="AN10" t="b">
        <v>0</v>
      </c>
      <c r="AO10" t="b">
        <v>0</v>
      </c>
      <c r="AP10" t="b">
        <v>1</v>
      </c>
      <c r="AQ10" t="b">
        <v>1</v>
      </c>
      <c r="AR10" t="b">
        <v>1</v>
      </c>
      <c r="AS10" t="b">
        <v>1</v>
      </c>
      <c r="AT10" t="b">
        <v>0</v>
      </c>
      <c r="AU10" t="b">
        <v>0</v>
      </c>
      <c r="AV10" t="b">
        <v>0</v>
      </c>
      <c r="AW10">
        <v>0</v>
      </c>
      <c r="AX10" t="b">
        <v>0</v>
      </c>
      <c r="AY10" t="b">
        <v>0</v>
      </c>
      <c r="AZ10" t="b">
        <v>1</v>
      </c>
      <c r="BA10">
        <v>1</v>
      </c>
      <c r="BB10" t="s">
        <v>1476</v>
      </c>
      <c r="BC10">
        <v>1</v>
      </c>
    </row>
    <row r="11" spans="1:55" hidden="1" x14ac:dyDescent="0.3">
      <c r="A11" s="80">
        <f t="shared" si="0"/>
        <v>0</v>
      </c>
      <c r="B11" s="80">
        <f>SUMIFS(CalculatorFC[FinCodeIssue],CalculatorFC[CalculatorCode],Calculators[[#This Row],[CalculatorCode]])</f>
        <v>0</v>
      </c>
      <c r="C11" s="80">
        <f>IF(LEN(Calculators[[#This Row],[CalculatorCode]])&lt;100,0,1)</f>
        <v>0</v>
      </c>
      <c r="D11" s="86">
        <f>IF(LEN(Calculators[[#This Row],[Title]])&lt;100,0,1)</f>
        <v>0</v>
      </c>
      <c r="E11" s="86">
        <f>(COUNTIF(CalculatorTypeCode[CalculatorTypeCode],Calculators[[#This Row],[CalculatorTypeCode]])-1)*-1</f>
        <v>0</v>
      </c>
      <c r="F11"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11"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11"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11" s="86">
        <f>IF(OR(Calculators[[#This Row],[CalculatorEnabled]]=TRUE,Calculators[[#This Row],[CalculatorEnabled]]=FALSE),0,1)</f>
        <v>0</v>
      </c>
      <c r="J11" s="86">
        <f>IF(ISBLANK(Calculators[[#This Row],[Title]])=TRUE,1,0)</f>
        <v>0</v>
      </c>
      <c r="K11" s="86">
        <f>IF(EXACT(Calculators[[#This Row],[CalculatorCode]],UPPER(Calculators[[#This Row],[CalculatorCode]])),0,1)</f>
        <v>0</v>
      </c>
      <c r="L11" s="86">
        <f>IF(SUBSTITUTE(TEXT(Calculators[[#This Row],[CalculatorCode]],10)," ","")=TEXT(Calculators[[#This Row],[CalculatorCode]],10),0,1)</f>
        <v>0</v>
      </c>
      <c r="M11" s="80">
        <f>SUM(Calculators[[#This Row],[Blank Data]:[Space in Code]])</f>
        <v>0</v>
      </c>
      <c r="N11" s="80" t="str" cm="1">
        <f t="array" ref="N11">_xlfn.TEXTJOIN(",",TRUE,IF(CalculatorFC[CalculatorCode]&amp;CalculatorFC[Type]=Calculators[[#This Row],[CalculatorCode]]&amp;Calculators[[#Headers],[SourceFinanceCodes]],CalculatorFC[FinanceCode],""))</f>
        <v>DFC_CORE</v>
      </c>
      <c r="O11" s="80" t="str" cm="1">
        <f t="array" ref="O11">_xlfn.TEXTJOIN(",",TRUE,IF(CalculatorFC[CalculatorCode]&amp;CalculatorFC[Type]=Calculators[[#This Row],[CalculatorCode]]&amp;Calculators[[#Headers],[SourceGroupingCodes]],CalculatorFC[FinanceCode],""))</f>
        <v/>
      </c>
      <c r="P11" s="80" t="str" cm="1">
        <f t="array" ref="P11">_xlfn.TEXTJOIN(",",TRUE,IF(CalculatorFC[CalculatorCode]&amp;CalculatorFC[Type]=Calculators[[#This Row],[CalculatorCode]]&amp;Calculators[[#Headers],[DivisorFinanceCodes]],CalculatorFC[FinanceCode],""))</f>
        <v/>
      </c>
      <c r="Q11" s="80" t="str" cm="1">
        <f t="array" ref="Q11">_xlfn.TEXTJOIN(",",TRUE,IF(CalculatorFC[CalculatorCode]&amp;CalculatorFC[Type]=Calculators[[#This Row],[CalculatorCode]]&amp;Calculators[[#Headers],[DivisorGroupingCodes]],CalculatorFC[FinanceCode],""))</f>
        <v/>
      </c>
      <c r="R11" s="80" t="str" cm="1">
        <f t="array" ref="R11">_xlfn.TEXTJOIN(",",TRUE,IF(CalculatorFC[CalculatorCode]&amp;CalculatorFC[Type]=Calculators[[#This Row],[CalculatorCode]]&amp;Calculators[[#Headers],[MultiplierFinanceCodes]],CalculatorFC[FinanceCode],""))</f>
        <v/>
      </c>
      <c r="S11" s="80" t="str" cm="1">
        <f t="array" ref="S11">_xlfn.TEXTJOIN(",",TRUE,IF(CalculatorFC[CalculatorCode]&amp;CalculatorFC[Type]=Calculators[[#This Row],[CalculatorCode]]&amp;Calculators[[#Headers],[MultiplierGroupingCodes]],CalculatorFC[FinanceCode],""))</f>
        <v/>
      </c>
      <c r="T11" t="s">
        <v>999</v>
      </c>
      <c r="U11" t="s">
        <v>1188</v>
      </c>
      <c r="V11" t="b">
        <v>1</v>
      </c>
      <c r="W11" t="b">
        <v>1</v>
      </c>
      <c r="X11" t="b">
        <v>1</v>
      </c>
      <c r="Y11" t="b">
        <v>1</v>
      </c>
      <c r="Z11" t="b">
        <v>0</v>
      </c>
      <c r="AA11" t="b">
        <v>0</v>
      </c>
      <c r="AB11" t="b">
        <v>0</v>
      </c>
      <c r="AC11">
        <v>0</v>
      </c>
      <c r="AD11" t="b">
        <v>0</v>
      </c>
      <c r="AE11" t="b">
        <v>0</v>
      </c>
      <c r="AF11" t="b">
        <v>0</v>
      </c>
      <c r="AG11" t="b">
        <v>0</v>
      </c>
      <c r="AH11" t="b">
        <v>0</v>
      </c>
      <c r="AI11" t="b">
        <v>1</v>
      </c>
      <c r="AJ11" t="b">
        <v>0</v>
      </c>
      <c r="AK11" t="b">
        <v>1</v>
      </c>
      <c r="AL11" t="b">
        <v>0</v>
      </c>
      <c r="AM11">
        <v>1</v>
      </c>
      <c r="AN11" t="b">
        <v>0</v>
      </c>
      <c r="AO11" t="b">
        <v>0</v>
      </c>
      <c r="AP11" t="b">
        <v>0</v>
      </c>
      <c r="AQ11" t="b">
        <v>0</v>
      </c>
      <c r="AR11" t="b">
        <v>0</v>
      </c>
      <c r="AS11" t="b">
        <v>1</v>
      </c>
      <c r="AT11" t="b">
        <v>0</v>
      </c>
      <c r="AU11" t="b">
        <v>1</v>
      </c>
      <c r="AV11" t="b">
        <v>0</v>
      </c>
      <c r="AW11">
        <v>1</v>
      </c>
      <c r="AX11" t="b">
        <v>0</v>
      </c>
      <c r="AY11" t="b">
        <v>0</v>
      </c>
      <c r="AZ11" t="b">
        <v>1</v>
      </c>
      <c r="BA11">
        <v>1</v>
      </c>
      <c r="BB11" t="s">
        <v>900</v>
      </c>
      <c r="BC11">
        <v>1</v>
      </c>
    </row>
    <row r="12" spans="1:55" hidden="1" x14ac:dyDescent="0.3">
      <c r="A12" s="80">
        <f t="shared" si="0"/>
        <v>0</v>
      </c>
      <c r="B12" s="80">
        <f>SUMIFS(CalculatorFC[FinCodeIssue],CalculatorFC[CalculatorCode],Calculators[[#This Row],[CalculatorCode]])</f>
        <v>1</v>
      </c>
      <c r="C12" s="80">
        <f>IF(LEN(Calculators[[#This Row],[CalculatorCode]])&lt;100,0,1)</f>
        <v>0</v>
      </c>
      <c r="D12" s="86">
        <f>IF(LEN(Calculators[[#This Row],[Title]])&lt;100,0,1)</f>
        <v>0</v>
      </c>
      <c r="E12" s="86">
        <f>(COUNTIF(CalculatorTypeCode[CalculatorTypeCode],Calculators[[#This Row],[CalculatorTypeCode]])-1)*-1</f>
        <v>0</v>
      </c>
      <c r="F12"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12"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12"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12" s="86">
        <f>IF(OR(Calculators[[#This Row],[CalculatorEnabled]]=TRUE,Calculators[[#This Row],[CalculatorEnabled]]=FALSE),0,1)</f>
        <v>0</v>
      </c>
      <c r="J12" s="86">
        <f>IF(ISBLANK(Calculators[[#This Row],[Title]])=TRUE,1,0)</f>
        <v>0</v>
      </c>
      <c r="K12" s="86">
        <f>IF(EXACT(Calculators[[#This Row],[CalculatorCode]],UPPER(Calculators[[#This Row],[CalculatorCode]])),0,1)</f>
        <v>0</v>
      </c>
      <c r="L12" s="86">
        <f>IF(SUBSTITUTE(TEXT(Calculators[[#This Row],[CalculatorCode]],10)," ","")=TEXT(Calculators[[#This Row],[CalculatorCode]],10),0,1)</f>
        <v>0</v>
      </c>
      <c r="M12" s="80">
        <f>SUM(Calculators[[#This Row],[Blank Data]:[Space in Code]])</f>
        <v>1</v>
      </c>
      <c r="N12" s="80" t="str" cm="1">
        <f t="array" ref="N12">_xlfn.TEXTJOIN(",",TRUE,IF(CalculatorFC[CalculatorCode]&amp;CalculatorFC[Type]=Calculators[[#This Row],[CalculatorCode]]&amp;Calculators[[#Headers],[SourceFinanceCodes]],CalculatorFC[FinanceCode],""))</f>
        <v>550250</v>
      </c>
      <c r="O12" s="80" t="str" cm="1">
        <f t="array" ref="O12">_xlfn.TEXTJOIN(",",TRUE,IF(CalculatorFC[CalculatorCode]&amp;CalculatorFC[Type]=Calculators[[#This Row],[CalculatorCode]]&amp;Calculators[[#Headers],[SourceGroupingCodes]],CalculatorFC[FinanceCode],""))</f>
        <v/>
      </c>
      <c r="P12" s="80" t="str" cm="1">
        <f t="array" ref="P12">_xlfn.TEXTJOIN(",",TRUE,IF(CalculatorFC[CalculatorCode]&amp;CalculatorFC[Type]=Calculators[[#This Row],[CalculatorCode]]&amp;Calculators[[#Headers],[DivisorFinanceCodes]],CalculatorFC[FinanceCode],""))</f>
        <v/>
      </c>
      <c r="Q12" s="80" t="str" cm="1">
        <f t="array" ref="Q12">_xlfn.TEXTJOIN(",",TRUE,IF(CalculatorFC[CalculatorCode]&amp;CalculatorFC[Type]=Calculators[[#This Row],[CalculatorCode]]&amp;Calculators[[#Headers],[DivisorGroupingCodes]],CalculatorFC[FinanceCode],""))</f>
        <v/>
      </c>
      <c r="R12" s="80" t="str" cm="1">
        <f t="array" ref="R12">_xlfn.TEXTJOIN(",",TRUE,IF(CalculatorFC[CalculatorCode]&amp;CalculatorFC[Type]=Calculators[[#This Row],[CalculatorCode]]&amp;Calculators[[#Headers],[MultiplierFinanceCodes]],CalculatorFC[FinanceCode],""))</f>
        <v/>
      </c>
      <c r="S12" s="80" t="str" cm="1">
        <f t="array" ref="S12">_xlfn.TEXTJOIN(",",TRUE,IF(CalculatorFC[CalculatorCode]&amp;CalculatorFC[Type]=Calculators[[#This Row],[CalculatorCode]]&amp;Calculators[[#Headers],[MultiplierGroupingCodes]],CalculatorFC[FinanceCode],""))</f>
        <v/>
      </c>
      <c r="T12" t="s">
        <v>1994</v>
      </c>
      <c r="U12" t="s">
        <v>1995</v>
      </c>
      <c r="V12" t="b">
        <v>0</v>
      </c>
      <c r="W12" t="b">
        <v>1</v>
      </c>
      <c r="X12" t="b">
        <v>1</v>
      </c>
      <c r="Y12" t="b">
        <v>1</v>
      </c>
      <c r="Z12" t="b">
        <v>0</v>
      </c>
      <c r="AA12" t="b">
        <v>0</v>
      </c>
      <c r="AB12" t="b">
        <v>0</v>
      </c>
      <c r="AC12">
        <v>0</v>
      </c>
      <c r="AD12" t="b">
        <v>0</v>
      </c>
      <c r="AE12" t="b">
        <v>0</v>
      </c>
      <c r="AF12" t="b">
        <v>0</v>
      </c>
      <c r="AG12" t="b">
        <v>1</v>
      </c>
      <c r="AH12" t="b">
        <v>1</v>
      </c>
      <c r="AI12" t="b">
        <v>1</v>
      </c>
      <c r="AJ12" t="b">
        <v>0</v>
      </c>
      <c r="AK12" t="b">
        <v>1</v>
      </c>
      <c r="AL12" t="b">
        <v>0</v>
      </c>
      <c r="AM12">
        <v>1</v>
      </c>
      <c r="AN12" t="b">
        <v>0</v>
      </c>
      <c r="AO12" t="b">
        <v>0</v>
      </c>
      <c r="AP12" t="b">
        <v>1</v>
      </c>
      <c r="AQ12" t="b">
        <v>1</v>
      </c>
      <c r="AR12" t="b">
        <v>1</v>
      </c>
      <c r="AS12" t="b">
        <v>1</v>
      </c>
      <c r="AT12" t="b">
        <v>0</v>
      </c>
      <c r="AU12" t="b">
        <v>0</v>
      </c>
      <c r="AV12" t="b">
        <v>0</v>
      </c>
      <c r="AW12">
        <v>-1</v>
      </c>
      <c r="AX12" t="b">
        <v>0</v>
      </c>
      <c r="AY12" t="b">
        <v>0</v>
      </c>
      <c r="AZ12" t="b">
        <v>1</v>
      </c>
      <c r="BA12">
        <v>1</v>
      </c>
      <c r="BB12" t="s">
        <v>1476</v>
      </c>
      <c r="BC12">
        <v>1</v>
      </c>
    </row>
    <row r="13" spans="1:55" x14ac:dyDescent="0.3">
      <c r="A13" s="80">
        <f t="shared" si="0"/>
        <v>0</v>
      </c>
      <c r="B13" s="80">
        <f>SUMIFS(CalculatorFC[FinCodeIssue],CalculatorFC[CalculatorCode],Calculators[[#This Row],[CalculatorCode]])</f>
        <v>0</v>
      </c>
      <c r="C13" s="80">
        <f>IF(LEN(Calculators[[#This Row],[CalculatorCode]])&lt;100,0,1)</f>
        <v>0</v>
      </c>
      <c r="D13" s="86">
        <f>IF(LEN(Calculators[[#This Row],[Title]])&lt;100,0,1)</f>
        <v>0</v>
      </c>
      <c r="E13" s="86">
        <f>(COUNTIF(CalculatorTypeCode[CalculatorTypeCode],Calculators[[#This Row],[CalculatorTypeCode]])-1)*-1</f>
        <v>0</v>
      </c>
      <c r="F13"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13"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13"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13" s="86">
        <f>IF(OR(Calculators[[#This Row],[CalculatorEnabled]]=TRUE,Calculators[[#This Row],[CalculatorEnabled]]=FALSE),0,1)</f>
        <v>0</v>
      </c>
      <c r="J13" s="86">
        <f>IF(ISBLANK(Calculators[[#This Row],[Title]])=TRUE,1,0)</f>
        <v>0</v>
      </c>
      <c r="K13" s="86">
        <f>IF(EXACT(Calculators[[#This Row],[CalculatorCode]],UPPER(Calculators[[#This Row],[CalculatorCode]])),0,1)</f>
        <v>0</v>
      </c>
      <c r="L13" s="86">
        <f>IF(SUBSTITUTE(TEXT(Calculators[[#This Row],[CalculatorCode]],10)," ","")=TEXT(Calculators[[#This Row],[CalculatorCode]],10),0,1)</f>
        <v>0</v>
      </c>
      <c r="M13" s="80">
        <f>SUM(Calculators[[#This Row],[Blank Data]:[Space in Code]])</f>
        <v>0</v>
      </c>
      <c r="N13" s="80" t="str" cm="1">
        <f t="array" ref="N13">_xlfn.TEXTJOIN(",",TRUE,IF(CalculatorFC[CalculatorCode]&amp;CalculatorFC[Type]=Calculators[[#This Row],[CalculatorCode]]&amp;Calculators[[#Headers],[SourceFinanceCodes]],CalculatorFC[FinanceCode],""))</f>
        <v>PUPIL_SPRING_NUR</v>
      </c>
      <c r="O13" s="80" t="str" cm="1">
        <f t="array" ref="O13">_xlfn.TEXTJOIN(",",TRUE,IF(CalculatorFC[CalculatorCode]&amp;CalculatorFC[Type]=Calculators[[#This Row],[CalculatorCode]]&amp;Calculators[[#Headers],[SourceGroupingCodes]],CalculatorFC[FinanceCode],""))</f>
        <v/>
      </c>
      <c r="P13" s="80" t="str" cm="1">
        <f t="array" ref="P13">_xlfn.TEXTJOIN(",",TRUE,IF(CalculatorFC[CalculatorCode]&amp;CalculatorFC[Type]=Calculators[[#This Row],[CalculatorCode]]&amp;Calculators[[#Headers],[DivisorFinanceCodes]],CalculatorFC[FinanceCode],""))</f>
        <v/>
      </c>
      <c r="Q13" s="80" t="str" cm="1">
        <f t="array" ref="Q13">_xlfn.TEXTJOIN(",",TRUE,IF(CalculatorFC[CalculatorCode]&amp;CalculatorFC[Type]=Calculators[[#This Row],[CalculatorCode]]&amp;Calculators[[#Headers],[DivisorGroupingCodes]],CalculatorFC[FinanceCode],""))</f>
        <v/>
      </c>
      <c r="R13" s="80" t="str" cm="1">
        <f t="array" ref="R13">_xlfn.TEXTJOIN(",",TRUE,IF(CalculatorFC[CalculatorCode]&amp;CalculatorFC[Type]=Calculators[[#This Row],[CalculatorCode]]&amp;Calculators[[#Headers],[MultiplierFinanceCodes]],CalculatorFC[FinanceCode],""))</f>
        <v>DFC_PUPIL_NUR</v>
      </c>
      <c r="S13" s="80" t="str" cm="1">
        <f t="array" ref="S13">_xlfn.TEXTJOIN(",",TRUE,IF(CalculatorFC[CalculatorCode]&amp;CalculatorFC[Type]=Calculators[[#This Row],[CalculatorCode]]&amp;Calculators[[#Headers],[MultiplierGroupingCodes]],CalculatorFC[FinanceCode],""))</f>
        <v/>
      </c>
      <c r="T13" t="s">
        <v>1517</v>
      </c>
      <c r="U13" t="s">
        <v>1519</v>
      </c>
      <c r="V13" t="b">
        <v>0</v>
      </c>
      <c r="W13" t="b">
        <v>1</v>
      </c>
      <c r="X13" t="b">
        <v>1</v>
      </c>
      <c r="Y13" t="b">
        <v>1</v>
      </c>
      <c r="Z13" t="b">
        <v>0</v>
      </c>
      <c r="AA13" t="b">
        <v>1</v>
      </c>
      <c r="AB13" t="b">
        <v>0</v>
      </c>
      <c r="AC13">
        <v>0</v>
      </c>
      <c r="AD13" t="b">
        <v>0</v>
      </c>
      <c r="AE13" t="b">
        <v>0</v>
      </c>
      <c r="AF13" t="b">
        <v>0</v>
      </c>
      <c r="AG13" t="b">
        <v>0</v>
      </c>
      <c r="AH13" t="b">
        <v>0</v>
      </c>
      <c r="AI13" t="b">
        <v>1</v>
      </c>
      <c r="AJ13" t="b">
        <v>0</v>
      </c>
      <c r="AK13" t="b">
        <v>1</v>
      </c>
      <c r="AL13" t="b">
        <v>0</v>
      </c>
      <c r="AM13">
        <v>1</v>
      </c>
      <c r="AN13" t="b">
        <v>0</v>
      </c>
      <c r="AO13" t="b">
        <v>0</v>
      </c>
      <c r="AP13" t="b">
        <v>1</v>
      </c>
      <c r="AQ13" t="b">
        <v>1</v>
      </c>
      <c r="AR13" t="b">
        <v>1</v>
      </c>
      <c r="AS13" t="b">
        <v>1</v>
      </c>
      <c r="AT13" t="b">
        <v>0</v>
      </c>
      <c r="AU13" t="b">
        <v>0</v>
      </c>
      <c r="AV13" t="b">
        <v>0</v>
      </c>
      <c r="AW13">
        <v>0</v>
      </c>
      <c r="AX13" t="b">
        <v>0</v>
      </c>
      <c r="AY13" t="b">
        <v>0</v>
      </c>
      <c r="AZ13" t="b">
        <v>1</v>
      </c>
      <c r="BA13">
        <v>0</v>
      </c>
      <c r="BB13" t="s">
        <v>900</v>
      </c>
      <c r="BC13">
        <v>0</v>
      </c>
    </row>
    <row r="14" spans="1:55" x14ac:dyDescent="0.3">
      <c r="A14" s="80">
        <f t="shared" si="0"/>
        <v>0</v>
      </c>
      <c r="B14" s="80">
        <f>SUMIFS(CalculatorFC[FinCodeIssue],CalculatorFC[CalculatorCode],Calculators[[#This Row],[CalculatorCode]])</f>
        <v>0</v>
      </c>
      <c r="C14" s="80">
        <f>IF(LEN(Calculators[[#This Row],[CalculatorCode]])&lt;100,0,1)</f>
        <v>0</v>
      </c>
      <c r="D14" s="86">
        <f>IF(LEN(Calculators[[#This Row],[Title]])&lt;100,0,1)</f>
        <v>0</v>
      </c>
      <c r="E14" s="86">
        <f>(COUNTIF(CalculatorTypeCode[CalculatorTypeCode],Calculators[[#This Row],[CalculatorTypeCode]])-1)*-1</f>
        <v>0</v>
      </c>
      <c r="F14"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14"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14"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14" s="86">
        <f>IF(OR(Calculators[[#This Row],[CalculatorEnabled]]=TRUE,Calculators[[#This Row],[CalculatorEnabled]]=FALSE),0,1)</f>
        <v>0</v>
      </c>
      <c r="J14" s="86">
        <f>IF(ISBLANK(Calculators[[#This Row],[Title]])=TRUE,1,0)</f>
        <v>0</v>
      </c>
      <c r="K14" s="86">
        <f>IF(EXACT(Calculators[[#This Row],[CalculatorCode]],UPPER(Calculators[[#This Row],[CalculatorCode]])),0,1)</f>
        <v>0</v>
      </c>
      <c r="L14" s="86">
        <f>IF(SUBSTITUTE(TEXT(Calculators[[#This Row],[CalculatorCode]],10)," ","")=TEXT(Calculators[[#This Row],[CalculatorCode]],10),0,1)</f>
        <v>0</v>
      </c>
      <c r="M14" s="80">
        <f>SUM(Calculators[[#This Row],[Blank Data]:[Space in Code]])</f>
        <v>0</v>
      </c>
      <c r="N14" s="80" t="str" cm="1">
        <f t="array" ref="N14">_xlfn.TEXTJOIN(",",TRUE,IF(CalculatorFC[CalculatorCode]&amp;CalculatorFC[Type]=Calculators[[#This Row],[CalculatorCode]]&amp;Calculators[[#Headers],[SourceFinanceCodes]],CalculatorFC[FinanceCode],""))</f>
        <v>PUPIL_SPRING_FS,PUPIL_SPRING_KS1,PUPIL_SPRING_KS2</v>
      </c>
      <c r="O14" s="80" t="str" cm="1">
        <f t="array" ref="O14">_xlfn.TEXTJOIN(",",TRUE,IF(CalculatorFC[CalculatorCode]&amp;CalculatorFC[Type]=Calculators[[#This Row],[CalculatorCode]]&amp;Calculators[[#Headers],[SourceGroupingCodes]],CalculatorFC[FinanceCode],""))</f>
        <v/>
      </c>
      <c r="P14" s="80" t="str" cm="1">
        <f t="array" ref="P14">_xlfn.TEXTJOIN(",",TRUE,IF(CalculatorFC[CalculatorCode]&amp;CalculatorFC[Type]=Calculators[[#This Row],[CalculatorCode]]&amp;Calculators[[#Headers],[DivisorFinanceCodes]],CalculatorFC[FinanceCode],""))</f>
        <v/>
      </c>
      <c r="Q14" s="80" t="str" cm="1">
        <f t="array" ref="Q14">_xlfn.TEXTJOIN(",",TRUE,IF(CalculatorFC[CalculatorCode]&amp;CalculatorFC[Type]=Calculators[[#This Row],[CalculatorCode]]&amp;Calculators[[#Headers],[DivisorGroupingCodes]],CalculatorFC[FinanceCode],""))</f>
        <v/>
      </c>
      <c r="R14" s="80" t="str" cm="1">
        <f t="array" ref="R14">_xlfn.TEXTJOIN(",",TRUE,IF(CalculatorFC[CalculatorCode]&amp;CalculatorFC[Type]=Calculators[[#This Row],[CalculatorCode]]&amp;Calculators[[#Headers],[MultiplierFinanceCodes]],CalculatorFC[FinanceCode],""))</f>
        <v>DFC_PUPIL_PRI</v>
      </c>
      <c r="S14" s="80" t="str" cm="1">
        <f t="array" ref="S14">_xlfn.TEXTJOIN(",",TRUE,IF(CalculatorFC[CalculatorCode]&amp;CalculatorFC[Type]=Calculators[[#This Row],[CalculatorCode]]&amp;Calculators[[#Headers],[MultiplierGroupingCodes]],CalculatorFC[FinanceCode],""))</f>
        <v/>
      </c>
      <c r="T14" t="s">
        <v>1003</v>
      </c>
      <c r="U14" t="s">
        <v>1190</v>
      </c>
      <c r="V14" t="b">
        <v>0</v>
      </c>
      <c r="W14" t="b">
        <v>1</v>
      </c>
      <c r="X14" t="b">
        <v>1</v>
      </c>
      <c r="Y14" t="b">
        <v>1</v>
      </c>
      <c r="Z14" t="b">
        <v>0</v>
      </c>
      <c r="AA14" t="b">
        <v>1</v>
      </c>
      <c r="AB14" t="b">
        <v>0</v>
      </c>
      <c r="AC14">
        <v>0</v>
      </c>
      <c r="AD14" t="b">
        <v>0</v>
      </c>
      <c r="AE14" t="b">
        <v>0</v>
      </c>
      <c r="AF14" t="b">
        <v>0</v>
      </c>
      <c r="AG14" t="b">
        <v>0</v>
      </c>
      <c r="AH14" t="b">
        <v>0</v>
      </c>
      <c r="AI14" t="b">
        <v>1</v>
      </c>
      <c r="AJ14" t="b">
        <v>0</v>
      </c>
      <c r="AK14" t="b">
        <v>1</v>
      </c>
      <c r="AL14" t="b">
        <v>0</v>
      </c>
      <c r="AM14">
        <v>1</v>
      </c>
      <c r="AN14" t="b">
        <v>0</v>
      </c>
      <c r="AO14" t="b">
        <v>0</v>
      </c>
      <c r="AP14" t="b">
        <v>1</v>
      </c>
      <c r="AQ14" t="b">
        <v>1</v>
      </c>
      <c r="AR14" t="b">
        <v>1</v>
      </c>
      <c r="AS14" t="b">
        <v>1</v>
      </c>
      <c r="AT14" t="b">
        <v>0</v>
      </c>
      <c r="AU14" t="b">
        <v>0</v>
      </c>
      <c r="AV14" t="b">
        <v>0</v>
      </c>
      <c r="AW14">
        <v>0</v>
      </c>
      <c r="AX14" t="b">
        <v>0</v>
      </c>
      <c r="AY14" t="b">
        <v>0</v>
      </c>
      <c r="AZ14" t="b">
        <v>1</v>
      </c>
      <c r="BA14">
        <v>0</v>
      </c>
      <c r="BB14" t="s">
        <v>900</v>
      </c>
      <c r="BC14">
        <v>0</v>
      </c>
    </row>
    <row r="15" spans="1:55" hidden="1" x14ac:dyDescent="0.3">
      <c r="A15" s="80">
        <f t="shared" si="0"/>
        <v>0</v>
      </c>
      <c r="B15" s="80">
        <f>SUMIFS(CalculatorFC[FinCodeIssue],CalculatorFC[CalculatorCode],Calculators[[#This Row],[CalculatorCode]])</f>
        <v>0</v>
      </c>
      <c r="C15" s="80">
        <f>IF(LEN(Calculators[[#This Row],[CalculatorCode]])&lt;100,0,1)</f>
        <v>0</v>
      </c>
      <c r="D15" s="86">
        <f>IF(LEN(Calculators[[#This Row],[Title]])&lt;100,0,1)</f>
        <v>0</v>
      </c>
      <c r="E15" s="86">
        <f>(COUNTIF(CalculatorTypeCode[CalculatorTypeCode],Calculators[[#This Row],[CalculatorTypeCode]])-1)*-1</f>
        <v>0</v>
      </c>
      <c r="F15"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15"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15"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15" s="86">
        <f>IF(OR(Calculators[[#This Row],[CalculatorEnabled]]=TRUE,Calculators[[#This Row],[CalculatorEnabled]]=FALSE),0,1)</f>
        <v>0</v>
      </c>
      <c r="J15" s="86">
        <f>IF(ISBLANK(Calculators[[#This Row],[Title]])=TRUE,1,0)</f>
        <v>0</v>
      </c>
      <c r="K15" s="86">
        <f>IF(EXACT(Calculators[[#This Row],[CalculatorCode]],UPPER(Calculators[[#This Row],[CalculatorCode]])),0,1)</f>
        <v>0</v>
      </c>
      <c r="L15" s="86">
        <f>IF(SUBSTITUTE(TEXT(Calculators[[#This Row],[CalculatorCode]],10)," ","")=TEXT(Calculators[[#This Row],[CalculatorCode]],10),0,1)</f>
        <v>0</v>
      </c>
      <c r="M15" s="80">
        <f>SUM(Calculators[[#This Row],[Blank Data]:[Space in Code]])</f>
        <v>0</v>
      </c>
      <c r="N15" s="80" t="str" cm="1">
        <f t="array" ref="N15">_xlfn.TEXTJOIN(",",TRUE,IF(CalculatorFC[CalculatorCode]&amp;CalculatorFC[Type]=Calculators[[#This Row],[CalculatorCode]]&amp;Calculators[[#Headers],[SourceFinanceCodes]],CalculatorFC[FinanceCode],""))</f>
        <v>FUNDING_GAG,FUNDING_HNPRE16</v>
      </c>
      <c r="O15" s="80" t="str" cm="1">
        <f t="array" ref="O15">_xlfn.TEXTJOIN(",",TRUE,IF(CalculatorFC[CalculatorCode]&amp;CalculatorFC[Type]=Calculators[[#This Row],[CalculatorCode]]&amp;Calculators[[#Headers],[SourceGroupingCodes]],CalculatorFC[FinanceCode],""))</f>
        <v/>
      </c>
      <c r="P15" s="80" t="str" cm="1">
        <f t="array" ref="P15">_xlfn.TEXTJOIN(",",TRUE,IF(CalculatorFC[CalculatorCode]&amp;CalculatorFC[Type]=Calculators[[#This Row],[CalculatorCode]]&amp;Calculators[[#Headers],[DivisorFinanceCodes]],CalculatorFC[FinanceCode],""))</f>
        <v/>
      </c>
      <c r="Q15" s="80" t="str" cm="1">
        <f t="array" ref="Q15">_xlfn.TEXTJOIN(",",TRUE,IF(CalculatorFC[CalculatorCode]&amp;CalculatorFC[Type]=Calculators[[#This Row],[CalculatorCode]]&amp;Calculators[[#Headers],[DivisorGroupingCodes]],CalculatorFC[FinanceCode],""))</f>
        <v/>
      </c>
      <c r="R15" s="80" t="str" cm="1">
        <f t="array" ref="R15">_xlfn.TEXTJOIN(",",TRUE,IF(CalculatorFC[CalculatorCode]&amp;CalculatorFC[Type]=Calculators[[#This Row],[CalculatorCode]]&amp;Calculators[[#Headers],[MultiplierFinanceCodes]],CalculatorFC[FinanceCode],""))</f>
        <v/>
      </c>
      <c r="S15" s="80" t="str" cm="1">
        <f t="array" ref="S15">_xlfn.TEXTJOIN(",",TRUE,IF(CalculatorFC[CalculatorCode]&amp;CalculatorFC[Type]=Calculators[[#This Row],[CalculatorCode]]&amp;Calculators[[#Headers],[MultiplierGroupingCodes]],CalculatorFC[FinanceCode],""))</f>
        <v/>
      </c>
      <c r="T15" t="s">
        <v>2094</v>
      </c>
      <c r="U15" t="s">
        <v>2098</v>
      </c>
      <c r="V15" t="b">
        <v>0</v>
      </c>
      <c r="W15" t="b">
        <v>1</v>
      </c>
      <c r="X15" t="b">
        <v>1</v>
      </c>
      <c r="Y15" t="b">
        <v>1</v>
      </c>
      <c r="Z15" t="b">
        <v>0</v>
      </c>
      <c r="AA15" t="b">
        <v>0</v>
      </c>
      <c r="AB15" t="b">
        <v>0</v>
      </c>
      <c r="AC15">
        <v>0</v>
      </c>
      <c r="AD15" t="b">
        <v>0</v>
      </c>
      <c r="AE15" t="b">
        <v>0</v>
      </c>
      <c r="AF15" t="b">
        <v>0</v>
      </c>
      <c r="AG15" t="b">
        <v>1</v>
      </c>
      <c r="AH15" t="b">
        <v>1</v>
      </c>
      <c r="AI15" t="b">
        <v>1</v>
      </c>
      <c r="AJ15" t="b">
        <v>0</v>
      </c>
      <c r="AK15" t="b">
        <v>0</v>
      </c>
      <c r="AL15" t="b">
        <v>0</v>
      </c>
      <c r="AM15">
        <v>-1</v>
      </c>
      <c r="AN15" t="b">
        <v>0</v>
      </c>
      <c r="AO15" t="b">
        <v>0</v>
      </c>
      <c r="AP15" t="b">
        <v>0</v>
      </c>
      <c r="AQ15" t="b">
        <v>0</v>
      </c>
      <c r="AR15" t="b">
        <v>0</v>
      </c>
      <c r="AS15" t="b">
        <v>1</v>
      </c>
      <c r="AT15" t="b">
        <v>0</v>
      </c>
      <c r="AU15" t="b">
        <v>1</v>
      </c>
      <c r="AV15" t="b">
        <v>0</v>
      </c>
      <c r="AW15">
        <v>1</v>
      </c>
      <c r="AX15" t="b">
        <v>0</v>
      </c>
      <c r="AY15" t="b">
        <v>0</v>
      </c>
      <c r="AZ15" t="b">
        <v>1</v>
      </c>
      <c r="BA15">
        <v>1</v>
      </c>
      <c r="BB15" t="s">
        <v>900</v>
      </c>
      <c r="BC15">
        <v>1</v>
      </c>
    </row>
    <row r="16" spans="1:55" x14ac:dyDescent="0.3">
      <c r="A16" s="80">
        <f t="shared" si="0"/>
        <v>0</v>
      </c>
      <c r="B16" s="80">
        <f>SUMIFS(CalculatorFC[FinCodeIssue],CalculatorFC[CalculatorCode],Calculators[[#This Row],[CalculatorCode]])</f>
        <v>0</v>
      </c>
      <c r="C16" s="80">
        <f>IF(LEN(Calculators[[#This Row],[CalculatorCode]])&lt;100,0,1)</f>
        <v>0</v>
      </c>
      <c r="D16" s="86">
        <f>IF(LEN(Calculators[[#This Row],[Title]])&lt;100,0,1)</f>
        <v>0</v>
      </c>
      <c r="E16" s="86">
        <f>(COUNTIF(CalculatorTypeCode[CalculatorTypeCode],Calculators[[#This Row],[CalculatorTypeCode]])-1)*-1</f>
        <v>0</v>
      </c>
      <c r="F16"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16"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16"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16" s="86">
        <f>IF(OR(Calculators[[#This Row],[CalculatorEnabled]]=TRUE,Calculators[[#This Row],[CalculatorEnabled]]=FALSE),0,1)</f>
        <v>0</v>
      </c>
      <c r="J16" s="86">
        <f>IF(ISBLANK(Calculators[[#This Row],[Title]])=TRUE,1,0)</f>
        <v>0</v>
      </c>
      <c r="K16" s="86">
        <f>IF(EXACT(Calculators[[#This Row],[CalculatorCode]],UPPER(Calculators[[#This Row],[CalculatorCode]])),0,1)</f>
        <v>0</v>
      </c>
      <c r="L16" s="86">
        <f>IF(SUBSTITUTE(TEXT(Calculators[[#This Row],[CalculatorCode]],10)," ","")=TEXT(Calculators[[#This Row],[CalculatorCode]],10),0,1)</f>
        <v>0</v>
      </c>
      <c r="M16" s="80">
        <f>SUM(Calculators[[#This Row],[Blank Data]:[Space in Code]])</f>
        <v>0</v>
      </c>
      <c r="N16" s="80" t="str" cm="1">
        <f t="array" ref="N16">_xlfn.TEXTJOIN(",",TRUE,IF(CalculatorFC[CalculatorCode]&amp;CalculatorFC[Type]=Calculators[[#This Row],[CalculatorCode]]&amp;Calculators[[#Headers],[SourceFinanceCodes]],CalculatorFC[FinanceCode],""))</f>
        <v>PUPIL_CEN</v>
      </c>
      <c r="O16" s="80" t="str" cm="1">
        <f t="array" ref="O16">_xlfn.TEXTJOIN(",",TRUE,IF(CalculatorFC[CalculatorCode]&amp;CalculatorFC[Type]=Calculators[[#This Row],[CalculatorCode]]&amp;Calculators[[#Headers],[SourceGroupingCodes]],CalculatorFC[FinanceCode],""))</f>
        <v/>
      </c>
      <c r="P16" s="80" t="str" cm="1">
        <f t="array" ref="P16">_xlfn.TEXTJOIN(",",TRUE,IF(CalculatorFC[CalculatorCode]&amp;CalculatorFC[Type]=Calculators[[#This Row],[CalculatorCode]]&amp;Calculators[[#Headers],[DivisorFinanceCodes]],CalculatorFC[FinanceCode],""))</f>
        <v/>
      </c>
      <c r="Q16" s="80" t="str" cm="1">
        <f t="array" ref="Q16">_xlfn.TEXTJOIN(",",TRUE,IF(CalculatorFC[CalculatorCode]&amp;CalculatorFC[Type]=Calculators[[#This Row],[CalculatorCode]]&amp;Calculators[[#Headers],[DivisorGroupingCodes]],CalculatorFC[FinanceCode],""))</f>
        <v/>
      </c>
      <c r="R16" s="80" t="str" cm="1">
        <f t="array" ref="R16">_xlfn.TEXTJOIN(",",TRUE,IF(CalculatorFC[CalculatorCode]&amp;CalculatorFC[Type]=Calculators[[#This Row],[CalculatorCode]]&amp;Calculators[[#Headers],[MultiplierFinanceCodes]],CalculatorFC[FinanceCode],""))</f>
        <v/>
      </c>
      <c r="S16" s="80" t="str" cm="1">
        <f t="array" ref="S16">_xlfn.TEXTJOIN(",",TRUE,IF(CalculatorFC[CalculatorCode]&amp;CalculatorFC[Type]=Calculators[[#This Row],[CalculatorCode]]&amp;Calculators[[#Headers],[MultiplierGroupingCodes]],CalculatorFC[FinanceCode],""))</f>
        <v/>
      </c>
      <c r="T16" t="s">
        <v>2084</v>
      </c>
      <c r="U16" t="s">
        <v>2086</v>
      </c>
      <c r="V16" t="b">
        <v>0</v>
      </c>
      <c r="W16" t="b">
        <v>0</v>
      </c>
      <c r="X16" t="b">
        <v>0</v>
      </c>
      <c r="Y16" t="b">
        <v>1</v>
      </c>
      <c r="Z16" t="b">
        <v>0</v>
      </c>
      <c r="AA16" t="b">
        <v>1</v>
      </c>
      <c r="AB16" t="b">
        <v>0</v>
      </c>
      <c r="AC16">
        <v>0</v>
      </c>
      <c r="AD16" t="b">
        <v>0</v>
      </c>
      <c r="AE16" t="b">
        <v>0</v>
      </c>
      <c r="AF16" t="b">
        <v>0</v>
      </c>
      <c r="AG16" t="b">
        <v>0</v>
      </c>
      <c r="AH16" t="b">
        <v>0</v>
      </c>
      <c r="AI16" t="b">
        <v>1</v>
      </c>
      <c r="AJ16" t="b">
        <v>0</v>
      </c>
      <c r="AK16" t="b">
        <v>1</v>
      </c>
      <c r="AL16" t="b">
        <v>0</v>
      </c>
      <c r="AM16">
        <v>1</v>
      </c>
      <c r="AN16" t="b">
        <v>0</v>
      </c>
      <c r="AO16" t="b">
        <v>0</v>
      </c>
      <c r="AP16" t="b">
        <v>0</v>
      </c>
      <c r="AQ16" t="b">
        <v>0</v>
      </c>
      <c r="AR16" t="b">
        <v>0</v>
      </c>
      <c r="AS16" t="b">
        <v>1</v>
      </c>
      <c r="AT16" t="b">
        <v>0</v>
      </c>
      <c r="AU16" t="b">
        <v>1</v>
      </c>
      <c r="AV16" t="b">
        <v>0</v>
      </c>
      <c r="AW16">
        <v>1</v>
      </c>
      <c r="AX16" t="b">
        <v>0</v>
      </c>
      <c r="AY16" t="b">
        <v>0</v>
      </c>
      <c r="AZ16" t="b">
        <v>1</v>
      </c>
      <c r="BA16">
        <v>0</v>
      </c>
      <c r="BB16" t="s">
        <v>922</v>
      </c>
      <c r="BC16">
        <v>0</v>
      </c>
    </row>
    <row r="17" spans="1:55" x14ac:dyDescent="0.3">
      <c r="A17" s="80">
        <f t="shared" si="0"/>
        <v>0</v>
      </c>
      <c r="B17" s="80">
        <f>SUMIFS(CalculatorFC[FinCodeIssue],CalculatorFC[CalculatorCode],Calculators[[#This Row],[CalculatorCode]])</f>
        <v>0</v>
      </c>
      <c r="C17" s="80">
        <f>IF(LEN(Calculators[[#This Row],[CalculatorCode]])&lt;100,0,1)</f>
        <v>0</v>
      </c>
      <c r="D17" s="86">
        <f>IF(LEN(Calculators[[#This Row],[Title]])&lt;100,0,1)</f>
        <v>0</v>
      </c>
      <c r="E17" s="86">
        <f>(COUNTIF(CalculatorTypeCode[CalculatorTypeCode],Calculators[[#This Row],[CalculatorTypeCode]])-1)*-1</f>
        <v>0</v>
      </c>
      <c r="F17"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17"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17"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17" s="86">
        <f>IF(OR(Calculators[[#This Row],[CalculatorEnabled]]=TRUE,Calculators[[#This Row],[CalculatorEnabled]]=FALSE),0,1)</f>
        <v>0</v>
      </c>
      <c r="J17" s="86">
        <f>IF(ISBLANK(Calculators[[#This Row],[Title]])=TRUE,1,0)</f>
        <v>0</v>
      </c>
      <c r="K17" s="86">
        <f>IF(EXACT(Calculators[[#This Row],[CalculatorCode]],UPPER(Calculators[[#This Row],[CalculatorCode]])),0,1)</f>
        <v>0</v>
      </c>
      <c r="L17" s="86">
        <f>IF(SUBSTITUTE(TEXT(Calculators[[#This Row],[CalculatorCode]],10)," ","")=TEXT(Calculators[[#This Row],[CalculatorCode]],10),0,1)</f>
        <v>0</v>
      </c>
      <c r="M17" s="80">
        <f>SUM(Calculators[[#This Row],[Blank Data]:[Space in Code]])</f>
        <v>0</v>
      </c>
      <c r="N17" s="80" t="str" cm="1">
        <f t="array" ref="N17">_xlfn.TEXTJOIN(",",TRUE,IF(CalculatorFC[CalculatorCode]&amp;CalculatorFC[Type]=Calculators[[#This Row],[CalculatorCode]]&amp;Calculators[[#Headers],[SourceFinanceCodes]],CalculatorFC[FinanceCode],""))</f>
        <v>PUPIL_CEN_00</v>
      </c>
      <c r="O17" s="80" t="str" cm="1">
        <f t="array" ref="O17">_xlfn.TEXTJOIN(",",TRUE,IF(CalculatorFC[CalculatorCode]&amp;CalculatorFC[Type]=Calculators[[#This Row],[CalculatorCode]]&amp;Calculators[[#Headers],[SourceGroupingCodes]],CalculatorFC[FinanceCode],""))</f>
        <v/>
      </c>
      <c r="P17" s="80" t="str" cm="1">
        <f t="array" ref="P17">_xlfn.TEXTJOIN(",",TRUE,IF(CalculatorFC[CalculatorCode]&amp;CalculatorFC[Type]=Calculators[[#This Row],[CalculatorCode]]&amp;Calculators[[#Headers],[DivisorFinanceCodes]],CalculatorFC[FinanceCode],""))</f>
        <v/>
      </c>
      <c r="Q17" s="80" t="str" cm="1">
        <f t="array" ref="Q17">_xlfn.TEXTJOIN(",",TRUE,IF(CalculatorFC[CalculatorCode]&amp;CalculatorFC[Type]=Calculators[[#This Row],[CalculatorCode]]&amp;Calculators[[#Headers],[DivisorGroupingCodes]],CalculatorFC[FinanceCode],""))</f>
        <v/>
      </c>
      <c r="R17" s="80" t="str" cm="1">
        <f t="array" ref="R17">_xlfn.TEXTJOIN(",",TRUE,IF(CalculatorFC[CalculatorCode]&amp;CalculatorFC[Type]=Calculators[[#This Row],[CalculatorCode]]&amp;Calculators[[#Headers],[MultiplierFinanceCodes]],CalculatorFC[FinanceCode],""))</f>
        <v/>
      </c>
      <c r="S17" s="80" t="str" cm="1">
        <f t="array" ref="S17">_xlfn.TEXTJOIN(",",TRUE,IF(CalculatorFC[CalculatorCode]&amp;CalculatorFC[Type]=Calculators[[#This Row],[CalculatorCode]]&amp;Calculators[[#Headers],[MultiplierGroupingCodes]],CalculatorFC[FinanceCode],""))</f>
        <v/>
      </c>
      <c r="T17" t="s">
        <v>920</v>
      </c>
      <c r="U17" t="s">
        <v>1193</v>
      </c>
      <c r="V17" t="b">
        <v>0</v>
      </c>
      <c r="W17" t="b">
        <v>0</v>
      </c>
      <c r="X17" t="b">
        <v>0</v>
      </c>
      <c r="Y17" t="b">
        <v>1</v>
      </c>
      <c r="Z17" t="b">
        <v>0</v>
      </c>
      <c r="AA17" t="b">
        <v>1</v>
      </c>
      <c r="AB17" t="b">
        <v>0</v>
      </c>
      <c r="AC17">
        <v>0</v>
      </c>
      <c r="AD17" t="b">
        <v>0</v>
      </c>
      <c r="AE17" t="b">
        <v>0</v>
      </c>
      <c r="AF17" t="b">
        <v>0</v>
      </c>
      <c r="AG17" t="b">
        <v>0</v>
      </c>
      <c r="AH17" t="b">
        <v>0</v>
      </c>
      <c r="AI17" t="b">
        <v>1</v>
      </c>
      <c r="AJ17" t="b">
        <v>0</v>
      </c>
      <c r="AK17" t="b">
        <v>1</v>
      </c>
      <c r="AL17" t="b">
        <v>0</v>
      </c>
      <c r="AM17">
        <v>1</v>
      </c>
      <c r="AN17" t="b">
        <v>0</v>
      </c>
      <c r="AO17" t="b">
        <v>0</v>
      </c>
      <c r="AP17" t="b">
        <v>0</v>
      </c>
      <c r="AQ17" t="b">
        <v>0</v>
      </c>
      <c r="AR17" t="b">
        <v>0</v>
      </c>
      <c r="AS17" t="b">
        <v>1</v>
      </c>
      <c r="AT17" t="b">
        <v>0</v>
      </c>
      <c r="AU17" t="b">
        <v>1</v>
      </c>
      <c r="AV17" t="b">
        <v>0</v>
      </c>
      <c r="AW17">
        <v>1</v>
      </c>
      <c r="AX17" t="b">
        <v>0</v>
      </c>
      <c r="AY17" t="b">
        <v>0</v>
      </c>
      <c r="AZ17" t="b">
        <v>1</v>
      </c>
      <c r="BA17">
        <v>1</v>
      </c>
      <c r="BB17" t="s">
        <v>922</v>
      </c>
      <c r="BC17">
        <v>1</v>
      </c>
    </row>
    <row r="18" spans="1:55" x14ac:dyDescent="0.3">
      <c r="A18" s="80">
        <f t="shared" si="0"/>
        <v>0</v>
      </c>
      <c r="B18" s="80">
        <f>SUMIFS(CalculatorFC[FinCodeIssue],CalculatorFC[CalculatorCode],Calculators[[#This Row],[CalculatorCode]])</f>
        <v>0</v>
      </c>
      <c r="C18" s="80">
        <f>IF(LEN(Calculators[[#This Row],[CalculatorCode]])&lt;100,0,1)</f>
        <v>0</v>
      </c>
      <c r="D18" s="86">
        <f>IF(LEN(Calculators[[#This Row],[Title]])&lt;100,0,1)</f>
        <v>0</v>
      </c>
      <c r="E18" s="86">
        <f>(COUNTIF(CalculatorTypeCode[CalculatorTypeCode],Calculators[[#This Row],[CalculatorTypeCode]])-1)*-1</f>
        <v>0</v>
      </c>
      <c r="F18"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18"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18"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18" s="86">
        <f>IF(OR(Calculators[[#This Row],[CalculatorEnabled]]=TRUE,Calculators[[#This Row],[CalculatorEnabled]]=FALSE),0,1)</f>
        <v>0</v>
      </c>
      <c r="J18" s="86">
        <f>IF(ISBLANK(Calculators[[#This Row],[Title]])=TRUE,1,0)</f>
        <v>0</v>
      </c>
      <c r="K18" s="86">
        <f>IF(EXACT(Calculators[[#This Row],[CalculatorCode]],UPPER(Calculators[[#This Row],[CalculatorCode]])),0,1)</f>
        <v>0</v>
      </c>
      <c r="L18" s="86">
        <f>IF(SUBSTITUTE(TEXT(Calculators[[#This Row],[CalculatorCode]],10)," ","")=TEXT(Calculators[[#This Row],[CalculatorCode]],10),0,1)</f>
        <v>0</v>
      </c>
      <c r="M18" s="80">
        <f>SUM(Calculators[[#This Row],[Blank Data]:[Space in Code]])</f>
        <v>0</v>
      </c>
      <c r="N18" s="80" t="str" cm="1">
        <f t="array" ref="N18">_xlfn.TEXTJOIN(",",TRUE,IF(CalculatorFC[CalculatorCode]&amp;CalculatorFC[Type]=Calculators[[#This Row],[CalculatorCode]]&amp;Calculators[[#Headers],[SourceFinanceCodes]],CalculatorFC[FinanceCode],""))</f>
        <v>PUPIL_CEN_01,PUPIL_CEN_02</v>
      </c>
      <c r="O18" s="80" t="str" cm="1">
        <f t="array" ref="O18">_xlfn.TEXTJOIN(",",TRUE,IF(CalculatorFC[CalculatorCode]&amp;CalculatorFC[Type]=Calculators[[#This Row],[CalculatorCode]]&amp;Calculators[[#Headers],[SourceGroupingCodes]],CalculatorFC[FinanceCode],""))</f>
        <v/>
      </c>
      <c r="P18" s="80" t="str" cm="1">
        <f t="array" ref="P18">_xlfn.TEXTJOIN(",",TRUE,IF(CalculatorFC[CalculatorCode]&amp;CalculatorFC[Type]=Calculators[[#This Row],[CalculatorCode]]&amp;Calculators[[#Headers],[DivisorFinanceCodes]],CalculatorFC[FinanceCode],""))</f>
        <v/>
      </c>
      <c r="Q18" s="80" t="str" cm="1">
        <f t="array" ref="Q18">_xlfn.TEXTJOIN(",",TRUE,IF(CalculatorFC[CalculatorCode]&amp;CalculatorFC[Type]=Calculators[[#This Row],[CalculatorCode]]&amp;Calculators[[#Headers],[DivisorGroupingCodes]],CalculatorFC[FinanceCode],""))</f>
        <v/>
      </c>
      <c r="R18" s="80" t="str" cm="1">
        <f t="array" ref="R18">_xlfn.TEXTJOIN(",",TRUE,IF(CalculatorFC[CalculatorCode]&amp;CalculatorFC[Type]=Calculators[[#This Row],[CalculatorCode]]&amp;Calculators[[#Headers],[MultiplierFinanceCodes]],CalculatorFC[FinanceCode],""))</f>
        <v/>
      </c>
      <c r="S18" s="80" t="str" cm="1">
        <f t="array" ref="S18">_xlfn.TEXTJOIN(",",TRUE,IF(CalculatorFC[CalculatorCode]&amp;CalculatorFC[Type]=Calculators[[#This Row],[CalculatorCode]]&amp;Calculators[[#Headers],[MultiplierGroupingCodes]],CalculatorFC[FinanceCode],""))</f>
        <v/>
      </c>
      <c r="T18" t="s">
        <v>923</v>
      </c>
      <c r="U18" t="s">
        <v>1194</v>
      </c>
      <c r="V18" t="b">
        <v>0</v>
      </c>
      <c r="W18" t="b">
        <v>0</v>
      </c>
      <c r="X18" t="b">
        <v>0</v>
      </c>
      <c r="Y18" t="b">
        <v>1</v>
      </c>
      <c r="Z18" t="b">
        <v>0</v>
      </c>
      <c r="AA18" t="b">
        <v>1</v>
      </c>
      <c r="AB18" t="b">
        <v>0</v>
      </c>
      <c r="AC18">
        <v>0</v>
      </c>
      <c r="AD18" t="b">
        <v>0</v>
      </c>
      <c r="AE18" t="b">
        <v>0</v>
      </c>
      <c r="AF18" t="b">
        <v>0</v>
      </c>
      <c r="AG18" t="b">
        <v>0</v>
      </c>
      <c r="AH18" t="b">
        <v>0</v>
      </c>
      <c r="AI18" t="b">
        <v>1</v>
      </c>
      <c r="AJ18" t="b">
        <v>0</v>
      </c>
      <c r="AK18" t="b">
        <v>1</v>
      </c>
      <c r="AL18" t="b">
        <v>0</v>
      </c>
      <c r="AM18">
        <v>1</v>
      </c>
      <c r="AN18" t="b">
        <v>0</v>
      </c>
      <c r="AO18" t="b">
        <v>0</v>
      </c>
      <c r="AP18" t="b">
        <v>0</v>
      </c>
      <c r="AQ18" t="b">
        <v>0</v>
      </c>
      <c r="AR18" t="b">
        <v>0</v>
      </c>
      <c r="AS18" t="b">
        <v>1</v>
      </c>
      <c r="AT18" t="b">
        <v>0</v>
      </c>
      <c r="AU18" t="b">
        <v>1</v>
      </c>
      <c r="AV18" t="b">
        <v>0</v>
      </c>
      <c r="AW18">
        <v>1</v>
      </c>
      <c r="AX18" t="b">
        <v>0</v>
      </c>
      <c r="AY18" t="b">
        <v>0</v>
      </c>
      <c r="AZ18" t="b">
        <v>1</v>
      </c>
      <c r="BA18">
        <v>1</v>
      </c>
      <c r="BB18" t="s">
        <v>922</v>
      </c>
      <c r="BC18">
        <v>1</v>
      </c>
    </row>
    <row r="19" spans="1:55" x14ac:dyDescent="0.3">
      <c r="A19" s="80">
        <f t="shared" si="0"/>
        <v>0</v>
      </c>
      <c r="B19" s="80">
        <f>SUMIFS(CalculatorFC[FinCodeIssue],CalculatorFC[CalculatorCode],Calculators[[#This Row],[CalculatorCode]])</f>
        <v>0</v>
      </c>
      <c r="C19" s="80">
        <f>IF(LEN(Calculators[[#This Row],[CalculatorCode]])&lt;100,0,1)</f>
        <v>0</v>
      </c>
      <c r="D19" s="86">
        <f>IF(LEN(Calculators[[#This Row],[Title]])&lt;100,0,1)</f>
        <v>0</v>
      </c>
      <c r="E19" s="86">
        <f>(COUNTIF(CalculatorTypeCode[CalculatorTypeCode],Calculators[[#This Row],[CalculatorTypeCode]])-1)*-1</f>
        <v>0</v>
      </c>
      <c r="F19"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19"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19"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19" s="86">
        <f>IF(OR(Calculators[[#This Row],[CalculatorEnabled]]=TRUE,Calculators[[#This Row],[CalculatorEnabled]]=FALSE),0,1)</f>
        <v>0</v>
      </c>
      <c r="J19" s="86">
        <f>IF(ISBLANK(Calculators[[#This Row],[Title]])=TRUE,1,0)</f>
        <v>0</v>
      </c>
      <c r="K19" s="86">
        <f>IF(EXACT(Calculators[[#This Row],[CalculatorCode]],UPPER(Calculators[[#This Row],[CalculatorCode]])),0,1)</f>
        <v>0</v>
      </c>
      <c r="L19" s="86">
        <f>IF(SUBSTITUTE(TEXT(Calculators[[#This Row],[CalculatorCode]],10)," ","")=TEXT(Calculators[[#This Row],[CalculatorCode]],10),0,1)</f>
        <v>0</v>
      </c>
      <c r="M19" s="80">
        <f>SUM(Calculators[[#This Row],[Blank Data]:[Space in Code]])</f>
        <v>0</v>
      </c>
      <c r="N19" s="80" t="str" cm="1">
        <f t="array" ref="N19">_xlfn.TEXTJOIN(",",TRUE,IF(CalculatorFC[CalculatorCode]&amp;CalculatorFC[Type]=Calculators[[#This Row],[CalculatorCode]]&amp;Calculators[[#Headers],[SourceFinanceCodes]],CalculatorFC[FinanceCode],""))</f>
        <v>PUPIL_CEN_03,PUPIL_CEN_04,PUPIL_CEN_05,PUPIL_CEN_06</v>
      </c>
      <c r="O19" s="80" t="str" cm="1">
        <f t="array" ref="O19">_xlfn.TEXTJOIN(",",TRUE,IF(CalculatorFC[CalculatorCode]&amp;CalculatorFC[Type]=Calculators[[#This Row],[CalculatorCode]]&amp;Calculators[[#Headers],[SourceGroupingCodes]],CalculatorFC[FinanceCode],""))</f>
        <v/>
      </c>
      <c r="P19" s="80" t="str" cm="1">
        <f t="array" ref="P19">_xlfn.TEXTJOIN(",",TRUE,IF(CalculatorFC[CalculatorCode]&amp;CalculatorFC[Type]=Calculators[[#This Row],[CalculatorCode]]&amp;Calculators[[#Headers],[DivisorFinanceCodes]],CalculatorFC[FinanceCode],""))</f>
        <v/>
      </c>
      <c r="Q19" s="80" t="str" cm="1">
        <f t="array" ref="Q19">_xlfn.TEXTJOIN(",",TRUE,IF(CalculatorFC[CalculatorCode]&amp;CalculatorFC[Type]=Calculators[[#This Row],[CalculatorCode]]&amp;Calculators[[#Headers],[DivisorGroupingCodes]],CalculatorFC[FinanceCode],""))</f>
        <v/>
      </c>
      <c r="R19" s="80" t="str" cm="1">
        <f t="array" ref="R19">_xlfn.TEXTJOIN(",",TRUE,IF(CalculatorFC[CalculatorCode]&amp;CalculatorFC[Type]=Calculators[[#This Row],[CalculatorCode]]&amp;Calculators[[#Headers],[MultiplierFinanceCodes]],CalculatorFC[FinanceCode],""))</f>
        <v/>
      </c>
      <c r="S19" s="80" t="str" cm="1">
        <f t="array" ref="S19">_xlfn.TEXTJOIN(",",TRUE,IF(CalculatorFC[CalculatorCode]&amp;CalculatorFC[Type]=Calculators[[#This Row],[CalculatorCode]]&amp;Calculators[[#Headers],[MultiplierGroupingCodes]],CalculatorFC[FinanceCode],""))</f>
        <v/>
      </c>
      <c r="T19" t="s">
        <v>925</v>
      </c>
      <c r="U19" t="s">
        <v>1195</v>
      </c>
      <c r="V19" t="b">
        <v>0</v>
      </c>
      <c r="W19" t="b">
        <v>0</v>
      </c>
      <c r="X19" t="b">
        <v>0</v>
      </c>
      <c r="Y19" t="b">
        <v>1</v>
      </c>
      <c r="Z19" t="b">
        <v>0</v>
      </c>
      <c r="AA19" t="b">
        <v>1</v>
      </c>
      <c r="AB19" t="b">
        <v>0</v>
      </c>
      <c r="AC19">
        <v>0</v>
      </c>
      <c r="AD19" t="b">
        <v>0</v>
      </c>
      <c r="AE19" t="b">
        <v>0</v>
      </c>
      <c r="AF19" t="b">
        <v>0</v>
      </c>
      <c r="AG19" t="b">
        <v>0</v>
      </c>
      <c r="AH19" t="b">
        <v>0</v>
      </c>
      <c r="AI19" t="b">
        <v>1</v>
      </c>
      <c r="AJ19" t="b">
        <v>0</v>
      </c>
      <c r="AK19" t="b">
        <v>1</v>
      </c>
      <c r="AL19" t="b">
        <v>0</v>
      </c>
      <c r="AM19">
        <v>1</v>
      </c>
      <c r="AN19" t="b">
        <v>0</v>
      </c>
      <c r="AO19" t="b">
        <v>0</v>
      </c>
      <c r="AP19" t="b">
        <v>0</v>
      </c>
      <c r="AQ19" t="b">
        <v>0</v>
      </c>
      <c r="AR19" t="b">
        <v>0</v>
      </c>
      <c r="AS19" t="b">
        <v>1</v>
      </c>
      <c r="AT19" t="b">
        <v>0</v>
      </c>
      <c r="AU19" t="b">
        <v>1</v>
      </c>
      <c r="AV19" t="b">
        <v>0</v>
      </c>
      <c r="AW19">
        <v>1</v>
      </c>
      <c r="AX19" t="b">
        <v>0</v>
      </c>
      <c r="AY19" t="b">
        <v>0</v>
      </c>
      <c r="AZ19" t="b">
        <v>1</v>
      </c>
      <c r="BA19">
        <v>1</v>
      </c>
      <c r="BB19" t="s">
        <v>922</v>
      </c>
      <c r="BC19">
        <v>1</v>
      </c>
    </row>
    <row r="20" spans="1:55" x14ac:dyDescent="0.3">
      <c r="A20" s="80">
        <f t="shared" si="0"/>
        <v>0</v>
      </c>
      <c r="B20" s="80">
        <f>SUMIFS(CalculatorFC[FinCodeIssue],CalculatorFC[CalculatorCode],Calculators[[#This Row],[CalculatorCode]])</f>
        <v>0</v>
      </c>
      <c r="C20" s="80">
        <f>IF(LEN(Calculators[[#This Row],[CalculatorCode]])&lt;100,0,1)</f>
        <v>0</v>
      </c>
      <c r="D20" s="86">
        <f>IF(LEN(Calculators[[#This Row],[Title]])&lt;100,0,1)</f>
        <v>0</v>
      </c>
      <c r="E20" s="86">
        <f>(COUNTIF(CalculatorTypeCode[CalculatorTypeCode],Calculators[[#This Row],[CalculatorTypeCode]])-1)*-1</f>
        <v>0</v>
      </c>
      <c r="F20"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20"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20"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20" s="86">
        <f>IF(OR(Calculators[[#This Row],[CalculatorEnabled]]=TRUE,Calculators[[#This Row],[CalculatorEnabled]]=FALSE),0,1)</f>
        <v>0</v>
      </c>
      <c r="J20" s="86">
        <f>IF(ISBLANK(Calculators[[#This Row],[Title]])=TRUE,1,0)</f>
        <v>0</v>
      </c>
      <c r="K20" s="86">
        <f>IF(EXACT(Calculators[[#This Row],[CalculatorCode]],UPPER(Calculators[[#This Row],[CalculatorCode]])),0,1)</f>
        <v>0</v>
      </c>
      <c r="L20" s="86">
        <f>IF(SUBSTITUTE(TEXT(Calculators[[#This Row],[CalculatorCode]],10)," ","")=TEXT(Calculators[[#This Row],[CalculatorCode]],10),0,1)</f>
        <v>0</v>
      </c>
      <c r="M20" s="80">
        <f>SUM(Calculators[[#This Row],[Blank Data]:[Space in Code]])</f>
        <v>0</v>
      </c>
      <c r="N20" s="80" t="str" cm="1">
        <f t="array" ref="N20">_xlfn.TEXTJOIN(",",TRUE,IF(CalculatorFC[CalculatorCode]&amp;CalculatorFC[Type]=Calculators[[#This Row],[CalculatorCode]]&amp;Calculators[[#Headers],[SourceFinanceCodes]],CalculatorFC[FinanceCode],""))</f>
        <v>PUPIL_CEN_00,PUPIL_CEN_01,PUPIL_CEN_02,PUPIL_CEN_03,PUPIL_CEN_04,PUPIL_CEN_05,PUPIL_CEN_06</v>
      </c>
      <c r="O20" s="80" t="str" cm="1">
        <f t="array" ref="O20">_xlfn.TEXTJOIN(",",TRUE,IF(CalculatorFC[CalculatorCode]&amp;CalculatorFC[Type]=Calculators[[#This Row],[CalculatorCode]]&amp;Calculators[[#Headers],[SourceGroupingCodes]],CalculatorFC[FinanceCode],""))</f>
        <v/>
      </c>
      <c r="P20" s="80" t="str" cm="1">
        <f t="array" ref="P20">_xlfn.TEXTJOIN(",",TRUE,IF(CalculatorFC[CalculatorCode]&amp;CalculatorFC[Type]=Calculators[[#This Row],[CalculatorCode]]&amp;Calculators[[#Headers],[DivisorFinanceCodes]],CalculatorFC[FinanceCode],""))</f>
        <v/>
      </c>
      <c r="Q20" s="80" t="str" cm="1">
        <f t="array" ref="Q20">_xlfn.TEXTJOIN(",",TRUE,IF(CalculatorFC[CalculatorCode]&amp;CalculatorFC[Type]=Calculators[[#This Row],[CalculatorCode]]&amp;Calculators[[#Headers],[DivisorGroupingCodes]],CalculatorFC[FinanceCode],""))</f>
        <v/>
      </c>
      <c r="R20" s="80" t="str" cm="1">
        <f t="array" ref="R20">_xlfn.TEXTJOIN(",",TRUE,IF(CalculatorFC[CalculatorCode]&amp;CalculatorFC[Type]=Calculators[[#This Row],[CalculatorCode]]&amp;Calculators[[#Headers],[MultiplierFinanceCodes]],CalculatorFC[FinanceCode],""))</f>
        <v/>
      </c>
      <c r="S20" s="80" t="str" cm="1">
        <f t="array" ref="S20">_xlfn.TEXTJOIN(",",TRUE,IF(CalculatorFC[CalculatorCode]&amp;CalculatorFC[Type]=Calculators[[#This Row],[CalculatorCode]]&amp;Calculators[[#Headers],[MultiplierGroupingCodes]],CalculatorFC[FinanceCode],""))</f>
        <v/>
      </c>
      <c r="T20" t="s">
        <v>1563</v>
      </c>
      <c r="U20" t="s">
        <v>1565</v>
      </c>
      <c r="V20" t="b">
        <v>0</v>
      </c>
      <c r="W20" t="b">
        <v>0</v>
      </c>
      <c r="X20" t="b">
        <v>0</v>
      </c>
      <c r="Y20" t="b">
        <v>1</v>
      </c>
      <c r="Z20" t="b">
        <v>0</v>
      </c>
      <c r="AA20" t="b">
        <v>1</v>
      </c>
      <c r="AB20" t="b">
        <v>0</v>
      </c>
      <c r="AC20">
        <v>0</v>
      </c>
      <c r="AD20" t="b">
        <v>0</v>
      </c>
      <c r="AE20" t="b">
        <v>0</v>
      </c>
      <c r="AF20" t="b">
        <v>0</v>
      </c>
      <c r="AG20" t="b">
        <v>0</v>
      </c>
      <c r="AH20" t="b">
        <v>0</v>
      </c>
      <c r="AI20" t="b">
        <v>1</v>
      </c>
      <c r="AJ20" t="b">
        <v>0</v>
      </c>
      <c r="AK20" t="b">
        <v>1</v>
      </c>
      <c r="AL20" t="b">
        <v>0</v>
      </c>
      <c r="AM20">
        <v>1</v>
      </c>
      <c r="AN20" t="b">
        <v>0</v>
      </c>
      <c r="AO20" t="b">
        <v>0</v>
      </c>
      <c r="AP20" t="b">
        <v>0</v>
      </c>
      <c r="AQ20" t="b">
        <v>0</v>
      </c>
      <c r="AR20" t="b">
        <v>0</v>
      </c>
      <c r="AS20" t="b">
        <v>1</v>
      </c>
      <c r="AT20" t="b">
        <v>0</v>
      </c>
      <c r="AU20" t="b">
        <v>1</v>
      </c>
      <c r="AV20" t="b">
        <v>0</v>
      </c>
      <c r="AW20">
        <v>1</v>
      </c>
      <c r="AX20" t="b">
        <v>0</v>
      </c>
      <c r="AY20" t="b">
        <v>0</v>
      </c>
      <c r="AZ20" t="b">
        <v>1</v>
      </c>
      <c r="BA20">
        <v>1</v>
      </c>
      <c r="BB20" t="s">
        <v>922</v>
      </c>
      <c r="BC20">
        <v>1</v>
      </c>
    </row>
    <row r="21" spans="1:55" hidden="1" x14ac:dyDescent="0.3">
      <c r="A21" s="80">
        <f t="shared" si="0"/>
        <v>0</v>
      </c>
      <c r="B21" s="80">
        <f>SUMIFS(CalculatorFC[FinCodeIssue],CalculatorFC[CalculatorCode],Calculators[[#This Row],[CalculatorCode]])</f>
        <v>0</v>
      </c>
      <c r="C21" s="80">
        <f>IF(LEN(Calculators[[#This Row],[CalculatorCode]])&lt;100,0,1)</f>
        <v>0</v>
      </c>
      <c r="D21" s="86">
        <f>IF(LEN(Calculators[[#This Row],[Title]])&lt;100,0,1)</f>
        <v>0</v>
      </c>
      <c r="E21" s="86">
        <f>(COUNTIF(CalculatorTypeCode[CalculatorTypeCode],Calculators[[#This Row],[CalculatorTypeCode]])-1)*-1</f>
        <v>0</v>
      </c>
      <c r="F21"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21"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21"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21" s="86">
        <f>IF(OR(Calculators[[#This Row],[CalculatorEnabled]]=TRUE,Calculators[[#This Row],[CalculatorEnabled]]=FALSE),0,1)</f>
        <v>0</v>
      </c>
      <c r="J21" s="86">
        <f>IF(ISBLANK(Calculators[[#This Row],[Title]])=TRUE,1,0)</f>
        <v>0</v>
      </c>
      <c r="K21" s="86">
        <f>IF(EXACT(Calculators[[#This Row],[CalculatorCode]],UPPER(Calculators[[#This Row],[CalculatorCode]])),0,1)</f>
        <v>0</v>
      </c>
      <c r="L21" s="86">
        <f>IF(SUBSTITUTE(TEXT(Calculators[[#This Row],[CalculatorCode]],10)," ","")=TEXT(Calculators[[#This Row],[CalculatorCode]],10),0,1)</f>
        <v>0</v>
      </c>
      <c r="M21" s="80">
        <f>SUM(Calculators[[#This Row],[Blank Data]:[Space in Code]])</f>
        <v>0</v>
      </c>
      <c r="N21" s="80" t="str" cm="1">
        <f t="array" ref="N21">_xlfn.TEXTJOIN(",",TRUE,IF(CalculatorFC[CalculatorCode]&amp;CalculatorFC[Type]=Calculators[[#This Row],[CalculatorCode]]&amp;Calculators[[#Headers],[SourceFinanceCodes]],CalculatorFC[FinanceCode],""))</f>
        <v>FUNDING_GAG</v>
      </c>
      <c r="O21" s="80" t="str" cm="1">
        <f t="array" ref="O21">_xlfn.TEXTJOIN(",",TRUE,IF(CalculatorFC[CalculatorCode]&amp;CalculatorFC[Type]=Calculators[[#This Row],[CalculatorCode]]&amp;Calculators[[#Headers],[SourceGroupingCodes]],CalculatorFC[FinanceCode],""))</f>
        <v/>
      </c>
      <c r="P21" s="80" t="str" cm="1">
        <f t="array" ref="P21">_xlfn.TEXTJOIN(",",TRUE,IF(CalculatorFC[CalculatorCode]&amp;CalculatorFC[Type]=Calculators[[#This Row],[CalculatorCode]]&amp;Calculators[[#Headers],[DivisorFinanceCodes]],CalculatorFC[FinanceCode],""))</f>
        <v/>
      </c>
      <c r="Q21" s="80" t="str" cm="1">
        <f t="array" ref="Q21">_xlfn.TEXTJOIN(",",TRUE,IF(CalculatorFC[CalculatorCode]&amp;CalculatorFC[Type]=Calculators[[#This Row],[CalculatorCode]]&amp;Calculators[[#Headers],[DivisorGroupingCodes]],CalculatorFC[FinanceCode],""))</f>
        <v/>
      </c>
      <c r="R21" s="80" t="str" cm="1">
        <f t="array" ref="R21">_xlfn.TEXTJOIN(",",TRUE,IF(CalculatorFC[CalculatorCode]&amp;CalculatorFC[Type]=Calculators[[#This Row],[CalculatorCode]]&amp;Calculators[[#Headers],[MultiplierFinanceCodes]],CalculatorFC[FinanceCode],""))</f>
        <v/>
      </c>
      <c r="S21" s="80" t="str" cm="1">
        <f t="array" ref="S21">_xlfn.TEXTJOIN(",",TRUE,IF(CalculatorFC[CalculatorCode]&amp;CalculatorFC[Type]=Calculators[[#This Row],[CalculatorCode]]&amp;Calculators[[#Headers],[MultiplierGroupingCodes]],CalculatorFC[FinanceCode],""))</f>
        <v/>
      </c>
      <c r="T21" t="s">
        <v>1585</v>
      </c>
      <c r="U21" t="s">
        <v>2049</v>
      </c>
      <c r="V21" t="b">
        <v>0</v>
      </c>
      <c r="W21" t="b">
        <v>1</v>
      </c>
      <c r="X21" t="b">
        <v>1</v>
      </c>
      <c r="Y21" t="b">
        <v>1</v>
      </c>
      <c r="Z21" t="b">
        <v>0</v>
      </c>
      <c r="AA21" t="b">
        <v>0</v>
      </c>
      <c r="AB21" t="b">
        <v>0</v>
      </c>
      <c r="AC21">
        <v>0</v>
      </c>
      <c r="AD21" t="b">
        <v>0</v>
      </c>
      <c r="AE21" t="b">
        <v>0</v>
      </c>
      <c r="AF21" t="b">
        <v>0</v>
      </c>
      <c r="AG21" t="b">
        <v>1</v>
      </c>
      <c r="AH21" t="b">
        <v>1</v>
      </c>
      <c r="AI21" t="b">
        <v>1</v>
      </c>
      <c r="AJ21" t="b">
        <v>0</v>
      </c>
      <c r="AK21" t="b">
        <v>0</v>
      </c>
      <c r="AL21" t="b">
        <v>0</v>
      </c>
      <c r="AM21">
        <v>1</v>
      </c>
      <c r="AN21" t="b">
        <v>0</v>
      </c>
      <c r="AO21" t="b">
        <v>0</v>
      </c>
      <c r="AP21" t="b">
        <v>0</v>
      </c>
      <c r="AQ21" t="b">
        <v>0</v>
      </c>
      <c r="AR21" t="b">
        <v>0</v>
      </c>
      <c r="AS21" t="b">
        <v>1</v>
      </c>
      <c r="AT21" t="b">
        <v>0</v>
      </c>
      <c r="AU21" t="b">
        <v>1</v>
      </c>
      <c r="AV21" t="b">
        <v>0</v>
      </c>
      <c r="AW21">
        <v>1</v>
      </c>
      <c r="AX21" t="b">
        <v>0</v>
      </c>
      <c r="AY21" t="b">
        <v>0</v>
      </c>
      <c r="AZ21" t="b">
        <v>1</v>
      </c>
      <c r="BA21">
        <v>1</v>
      </c>
      <c r="BB21" t="s">
        <v>1476</v>
      </c>
      <c r="BC21">
        <v>1</v>
      </c>
    </row>
    <row r="22" spans="1:55" hidden="1" x14ac:dyDescent="0.3">
      <c r="A22" s="80">
        <f t="shared" si="0"/>
        <v>0</v>
      </c>
      <c r="B22" s="80">
        <f>SUMIFS(CalculatorFC[FinCodeIssue],CalculatorFC[CalculatorCode],Calculators[[#This Row],[CalculatorCode]])</f>
        <v>0</v>
      </c>
      <c r="C22" s="80">
        <f>IF(LEN(Calculators[[#This Row],[CalculatorCode]])&lt;100,0,1)</f>
        <v>0</v>
      </c>
      <c r="D22" s="86">
        <f>IF(LEN(Calculators[[#This Row],[Title]])&lt;100,0,1)</f>
        <v>0</v>
      </c>
      <c r="E22" s="86">
        <f>(COUNTIF(CalculatorTypeCode[CalculatorTypeCode],Calculators[[#This Row],[CalculatorTypeCode]])-1)*-1</f>
        <v>0</v>
      </c>
      <c r="F22"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22"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22"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22" s="86">
        <f>IF(OR(Calculators[[#This Row],[CalculatorEnabled]]=TRUE,Calculators[[#This Row],[CalculatorEnabled]]=FALSE),0,1)</f>
        <v>0</v>
      </c>
      <c r="J22" s="86">
        <f>IF(ISBLANK(Calculators[[#This Row],[Title]])=TRUE,1,0)</f>
        <v>0</v>
      </c>
      <c r="K22" s="86">
        <f>IF(EXACT(Calculators[[#This Row],[CalculatorCode]],UPPER(Calculators[[#This Row],[CalculatorCode]])),0,1)</f>
        <v>0</v>
      </c>
      <c r="L22" s="86">
        <f>IF(SUBSTITUTE(TEXT(Calculators[[#This Row],[CalculatorCode]],10)," ","")=TEXT(Calculators[[#This Row],[CalculatorCode]],10),0,1)</f>
        <v>0</v>
      </c>
      <c r="M22" s="80">
        <f>SUM(Calculators[[#This Row],[Blank Data]:[Space in Code]])</f>
        <v>0</v>
      </c>
      <c r="N22" s="80" t="str" cm="1">
        <f t="array" ref="N22">_xlfn.TEXTJOIN(",",TRUE,IF(CalculatorFC[CalculatorCode]&amp;CalculatorFC[Type]=Calculators[[#This Row],[CalculatorCode]]&amp;Calculators[[#Headers],[SourceFinanceCodes]],CalculatorFC[FinanceCode],""))</f>
        <v>FUNDING_HNPRE16</v>
      </c>
      <c r="O22" s="80" t="str" cm="1">
        <f t="array" ref="O22">_xlfn.TEXTJOIN(",",TRUE,IF(CalculatorFC[CalculatorCode]&amp;CalculatorFC[Type]=Calculators[[#This Row],[CalculatorCode]]&amp;Calculators[[#Headers],[SourceGroupingCodes]],CalculatorFC[FinanceCode],""))</f>
        <v/>
      </c>
      <c r="P22" s="80" t="str" cm="1">
        <f t="array" ref="P22">_xlfn.TEXTJOIN(",",TRUE,IF(CalculatorFC[CalculatorCode]&amp;CalculatorFC[Type]=Calculators[[#This Row],[CalculatorCode]]&amp;Calculators[[#Headers],[DivisorFinanceCodes]],CalculatorFC[FinanceCode],""))</f>
        <v/>
      </c>
      <c r="Q22" s="80" t="str" cm="1">
        <f t="array" ref="Q22">_xlfn.TEXTJOIN(",",TRUE,IF(CalculatorFC[CalculatorCode]&amp;CalculatorFC[Type]=Calculators[[#This Row],[CalculatorCode]]&amp;Calculators[[#Headers],[DivisorGroupingCodes]],CalculatorFC[FinanceCode],""))</f>
        <v/>
      </c>
      <c r="R22" s="80" t="str" cm="1">
        <f t="array" ref="R22">_xlfn.TEXTJOIN(",",TRUE,IF(CalculatorFC[CalculatorCode]&amp;CalculatorFC[Type]=Calculators[[#This Row],[CalculatorCode]]&amp;Calculators[[#Headers],[MultiplierFinanceCodes]],CalculatorFC[FinanceCode],""))</f>
        <v/>
      </c>
      <c r="S22" s="80" t="str" cm="1">
        <f t="array" ref="S22">_xlfn.TEXTJOIN(",",TRUE,IF(CalculatorFC[CalculatorCode]&amp;CalculatorFC[Type]=Calculators[[#This Row],[CalculatorCode]]&amp;Calculators[[#Headers],[MultiplierGroupingCodes]],CalculatorFC[FinanceCode],""))</f>
        <v/>
      </c>
      <c r="T22" t="s">
        <v>906</v>
      </c>
      <c r="U22" t="s">
        <v>1202</v>
      </c>
      <c r="V22" t="b">
        <v>0</v>
      </c>
      <c r="W22" t="b">
        <v>1</v>
      </c>
      <c r="X22" t="b">
        <v>1</v>
      </c>
      <c r="Y22" t="b">
        <v>1</v>
      </c>
      <c r="Z22" t="b">
        <v>0</v>
      </c>
      <c r="AA22" t="b">
        <v>0</v>
      </c>
      <c r="AB22" t="b">
        <v>0</v>
      </c>
      <c r="AC22">
        <v>0</v>
      </c>
      <c r="AD22" t="b">
        <v>0</v>
      </c>
      <c r="AE22" t="b">
        <v>0</v>
      </c>
      <c r="AF22" t="b">
        <v>0</v>
      </c>
      <c r="AG22" t="b">
        <v>1</v>
      </c>
      <c r="AH22" t="b">
        <v>1</v>
      </c>
      <c r="AI22" t="b">
        <v>1</v>
      </c>
      <c r="AJ22" t="b">
        <v>0</v>
      </c>
      <c r="AK22" t="b">
        <v>0</v>
      </c>
      <c r="AL22" t="b">
        <v>0</v>
      </c>
      <c r="AM22">
        <v>1</v>
      </c>
      <c r="AN22" t="b">
        <v>0</v>
      </c>
      <c r="AO22" t="b">
        <v>0</v>
      </c>
      <c r="AP22" t="b">
        <v>0</v>
      </c>
      <c r="AQ22" t="b">
        <v>0</v>
      </c>
      <c r="AR22" t="b">
        <v>0</v>
      </c>
      <c r="AS22" t="b">
        <v>1</v>
      </c>
      <c r="AT22" t="b">
        <v>0</v>
      </c>
      <c r="AU22" t="b">
        <v>1</v>
      </c>
      <c r="AV22" t="b">
        <v>0</v>
      </c>
      <c r="AW22">
        <v>1</v>
      </c>
      <c r="AX22" t="b">
        <v>0</v>
      </c>
      <c r="AY22" t="b">
        <v>0</v>
      </c>
      <c r="AZ22" t="b">
        <v>1</v>
      </c>
      <c r="BA22">
        <v>1</v>
      </c>
      <c r="BB22" t="s">
        <v>1476</v>
      </c>
      <c r="BC22">
        <v>1</v>
      </c>
    </row>
    <row r="23" spans="1:55" hidden="1" x14ac:dyDescent="0.3">
      <c r="A23" s="80">
        <f t="shared" si="0"/>
        <v>0</v>
      </c>
      <c r="B23" s="80">
        <f>SUMIFS(CalculatorFC[FinCodeIssue],CalculatorFC[CalculatorCode],Calculators[[#This Row],[CalculatorCode]])</f>
        <v>0</v>
      </c>
      <c r="C23" s="80">
        <f>IF(LEN(Calculators[[#This Row],[CalculatorCode]])&lt;100,0,1)</f>
        <v>0</v>
      </c>
      <c r="D23" s="86">
        <f>IF(LEN(Calculators[[#This Row],[Title]])&lt;100,0,1)</f>
        <v>0</v>
      </c>
      <c r="E23" s="86">
        <f>(COUNTIF(CalculatorTypeCode[CalculatorTypeCode],Calculators[[#This Row],[CalculatorTypeCode]])-1)*-1</f>
        <v>0</v>
      </c>
      <c r="F23"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23"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23"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23" s="86">
        <f>IF(OR(Calculators[[#This Row],[CalculatorEnabled]]=TRUE,Calculators[[#This Row],[CalculatorEnabled]]=FALSE),0,1)</f>
        <v>0</v>
      </c>
      <c r="J23" s="86">
        <f>IF(ISBLANK(Calculators[[#This Row],[Title]])=TRUE,1,0)</f>
        <v>0</v>
      </c>
      <c r="K23" s="86">
        <f>IF(EXACT(Calculators[[#This Row],[CalculatorCode]],UPPER(Calculators[[#This Row],[CalculatorCode]])),0,1)</f>
        <v>0</v>
      </c>
      <c r="L23" s="86">
        <f>IF(SUBSTITUTE(TEXT(Calculators[[#This Row],[CalculatorCode]],10)," ","")=TEXT(Calculators[[#This Row],[CalculatorCode]],10),0,1)</f>
        <v>0</v>
      </c>
      <c r="M23" s="80">
        <f>SUM(Calculators[[#This Row],[Blank Data]:[Space in Code]])</f>
        <v>0</v>
      </c>
      <c r="N23" s="80" t="str" cm="1">
        <f t="array" ref="N23">_xlfn.TEXTJOIN(",",TRUE,IF(CalculatorFC[CalculatorCode]&amp;CalculatorFC[Type]=Calculators[[#This Row],[CalculatorCode]]&amp;Calculators[[#Headers],[SourceFinanceCodes]],CalculatorFC[FinanceCode],""))</f>
        <v>FUNDING_HNPRE16O</v>
      </c>
      <c r="O23" s="80" t="str" cm="1">
        <f t="array" ref="O23">_xlfn.TEXTJOIN(",",TRUE,IF(CalculatorFC[CalculatorCode]&amp;CalculatorFC[Type]=Calculators[[#This Row],[CalculatorCode]]&amp;Calculators[[#Headers],[SourceGroupingCodes]],CalculatorFC[FinanceCode],""))</f>
        <v/>
      </c>
      <c r="P23" s="80" t="str" cm="1">
        <f t="array" ref="P23">_xlfn.TEXTJOIN(",",TRUE,IF(CalculatorFC[CalculatorCode]&amp;CalculatorFC[Type]=Calculators[[#This Row],[CalculatorCode]]&amp;Calculators[[#Headers],[DivisorFinanceCodes]],CalculatorFC[FinanceCode],""))</f>
        <v/>
      </c>
      <c r="Q23" s="80" t="str" cm="1">
        <f t="array" ref="Q23">_xlfn.TEXTJOIN(",",TRUE,IF(CalculatorFC[CalculatorCode]&amp;CalculatorFC[Type]=Calculators[[#This Row],[CalculatorCode]]&amp;Calculators[[#Headers],[DivisorGroupingCodes]],CalculatorFC[FinanceCode],""))</f>
        <v/>
      </c>
      <c r="R23" s="80" t="str" cm="1">
        <f t="array" ref="R23">_xlfn.TEXTJOIN(",",TRUE,IF(CalculatorFC[CalculatorCode]&amp;CalculatorFC[Type]=Calculators[[#This Row],[CalculatorCode]]&amp;Calculators[[#Headers],[MultiplierFinanceCodes]],CalculatorFC[FinanceCode],""))</f>
        <v/>
      </c>
      <c r="S23" s="80" t="str" cm="1">
        <f t="array" ref="S23">_xlfn.TEXTJOIN(",",TRUE,IF(CalculatorFC[CalculatorCode]&amp;CalculatorFC[Type]=Calculators[[#This Row],[CalculatorCode]]&amp;Calculators[[#Headers],[MultiplierGroupingCodes]],CalculatorFC[FinanceCode],""))</f>
        <v/>
      </c>
      <c r="T23" t="s">
        <v>910</v>
      </c>
      <c r="U23" t="s">
        <v>1200</v>
      </c>
      <c r="V23" t="b">
        <v>0</v>
      </c>
      <c r="W23" t="b">
        <v>1</v>
      </c>
      <c r="X23" t="b">
        <v>1</v>
      </c>
      <c r="Y23" t="b">
        <v>1</v>
      </c>
      <c r="Z23" t="b">
        <v>0</v>
      </c>
      <c r="AA23" t="b">
        <v>0</v>
      </c>
      <c r="AB23" t="b">
        <v>0</v>
      </c>
      <c r="AC23">
        <v>0</v>
      </c>
      <c r="AD23" t="b">
        <v>0</v>
      </c>
      <c r="AE23" t="b">
        <v>0</v>
      </c>
      <c r="AF23" t="b">
        <v>0</v>
      </c>
      <c r="AG23" t="b">
        <v>1</v>
      </c>
      <c r="AH23" t="b">
        <v>1</v>
      </c>
      <c r="AI23" t="b">
        <v>1</v>
      </c>
      <c r="AJ23" t="b">
        <v>0</v>
      </c>
      <c r="AK23" t="b">
        <v>0</v>
      </c>
      <c r="AL23" t="b">
        <v>0</v>
      </c>
      <c r="AM23">
        <v>1</v>
      </c>
      <c r="AN23" t="b">
        <v>0</v>
      </c>
      <c r="AO23" t="b">
        <v>0</v>
      </c>
      <c r="AP23" t="b">
        <v>0</v>
      </c>
      <c r="AQ23" t="b">
        <v>0</v>
      </c>
      <c r="AR23" t="b">
        <v>0</v>
      </c>
      <c r="AS23" t="b">
        <v>1</v>
      </c>
      <c r="AT23" t="b">
        <v>0</v>
      </c>
      <c r="AU23" t="b">
        <v>1</v>
      </c>
      <c r="AV23" t="b">
        <v>0</v>
      </c>
      <c r="AW23">
        <v>1</v>
      </c>
      <c r="AX23" t="b">
        <v>0</v>
      </c>
      <c r="AY23" t="b">
        <v>0</v>
      </c>
      <c r="AZ23" t="b">
        <v>1</v>
      </c>
      <c r="BA23">
        <v>1</v>
      </c>
      <c r="BB23" t="s">
        <v>1476</v>
      </c>
      <c r="BC23">
        <v>1</v>
      </c>
    </row>
    <row r="24" spans="1:55" hidden="1" x14ac:dyDescent="0.3">
      <c r="A24" s="80">
        <f t="shared" si="0"/>
        <v>0</v>
      </c>
      <c r="B24" s="80">
        <f>SUMIFS(CalculatorFC[FinCodeIssue],CalculatorFC[CalculatorCode],Calculators[[#This Row],[CalculatorCode]])</f>
        <v>0</v>
      </c>
      <c r="C24" s="80">
        <f>IF(LEN(Calculators[[#This Row],[CalculatorCode]])&lt;100,0,1)</f>
        <v>0</v>
      </c>
      <c r="D24" s="86">
        <f>IF(LEN(Calculators[[#This Row],[Title]])&lt;100,0,1)</f>
        <v>0</v>
      </c>
      <c r="E24" s="86">
        <f>(COUNTIF(CalculatorTypeCode[CalculatorTypeCode],Calculators[[#This Row],[CalculatorTypeCode]])-1)*-1</f>
        <v>0</v>
      </c>
      <c r="F24"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24"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24"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24" s="86">
        <f>IF(OR(Calculators[[#This Row],[CalculatorEnabled]]=TRUE,Calculators[[#This Row],[CalculatorEnabled]]=FALSE),0,1)</f>
        <v>0</v>
      </c>
      <c r="J24" s="86">
        <f>IF(ISBLANK(Calculators[[#This Row],[Title]])=TRUE,1,0)</f>
        <v>0</v>
      </c>
      <c r="K24" s="86">
        <f>IF(EXACT(Calculators[[#This Row],[CalculatorCode]],UPPER(Calculators[[#This Row],[CalculatorCode]])),0,1)</f>
        <v>0</v>
      </c>
      <c r="L24" s="86">
        <f>IF(SUBSTITUTE(TEXT(Calculators[[#This Row],[CalculatorCode]],10)," ","")=TEXT(Calculators[[#This Row],[CalculatorCode]],10),0,1)</f>
        <v>0</v>
      </c>
      <c r="M24" s="80">
        <f>SUM(Calculators[[#This Row],[Blank Data]:[Space in Code]])</f>
        <v>0</v>
      </c>
      <c r="N24" s="80" t="str" cm="1">
        <f t="array" ref="N24">_xlfn.TEXTJOIN(",",TRUE,IF(CalculatorFC[CalculatorCode]&amp;CalculatorFC[Type]=Calculators[[#This Row],[CalculatorCode]]&amp;Calculators[[#Headers],[SourceFinanceCodes]],CalculatorFC[FinanceCode],""))</f>
        <v>FUNDED_PPPRE16</v>
      </c>
      <c r="O24" s="80" t="str" cm="1">
        <f t="array" ref="O24">_xlfn.TEXTJOIN(",",TRUE,IF(CalculatorFC[CalculatorCode]&amp;CalculatorFC[Type]=Calculators[[#This Row],[CalculatorCode]]&amp;Calculators[[#Headers],[SourceGroupingCodes]],CalculatorFC[FinanceCode],""))</f>
        <v/>
      </c>
      <c r="P24" s="80" t="str" cm="1">
        <f t="array" ref="P24">_xlfn.TEXTJOIN(",",TRUE,IF(CalculatorFC[CalculatorCode]&amp;CalculatorFC[Type]=Calculators[[#This Row],[CalculatorCode]]&amp;Calculators[[#Headers],[DivisorFinanceCodes]],CalculatorFC[FinanceCode],""))</f>
        <v/>
      </c>
      <c r="Q24" s="80" t="str" cm="1">
        <f t="array" ref="Q24">_xlfn.TEXTJOIN(",",TRUE,IF(CalculatorFC[CalculatorCode]&amp;CalculatorFC[Type]=Calculators[[#This Row],[CalculatorCode]]&amp;Calculators[[#Headers],[DivisorGroupingCodes]],CalculatorFC[FinanceCode],""))</f>
        <v/>
      </c>
      <c r="R24" s="80" t="str" cm="1">
        <f t="array" ref="R24">_xlfn.TEXTJOIN(",",TRUE,IF(CalculatorFC[CalculatorCode]&amp;CalculatorFC[Type]=Calculators[[#This Row],[CalculatorCode]]&amp;Calculators[[#Headers],[MultiplierFinanceCodes]],CalculatorFC[FinanceCode],""))</f>
        <v>HNPF_RATE</v>
      </c>
      <c r="S24" s="80" t="str" cm="1">
        <f t="array" ref="S24">_xlfn.TEXTJOIN(",",TRUE,IF(CalculatorFC[CalculatorCode]&amp;CalculatorFC[Type]=Calculators[[#This Row],[CalculatorCode]]&amp;Calculators[[#Headers],[MultiplierGroupingCodes]],CalculatorFC[FinanceCode],""))</f>
        <v/>
      </c>
      <c r="T24" t="s">
        <v>1209</v>
      </c>
      <c r="U24" t="s">
        <v>1210</v>
      </c>
      <c r="V24" t="b">
        <v>0</v>
      </c>
      <c r="W24" t="b">
        <v>1</v>
      </c>
      <c r="X24" t="b">
        <v>1</v>
      </c>
      <c r="Y24" t="b">
        <v>1</v>
      </c>
      <c r="Z24" t="b">
        <v>0</v>
      </c>
      <c r="AA24" t="b">
        <v>0</v>
      </c>
      <c r="AB24" t="b">
        <v>0</v>
      </c>
      <c r="AC24">
        <v>0</v>
      </c>
      <c r="AD24" t="b">
        <v>0</v>
      </c>
      <c r="AE24" t="b">
        <v>0</v>
      </c>
      <c r="AF24" t="b">
        <v>0</v>
      </c>
      <c r="AG24" t="b">
        <v>0</v>
      </c>
      <c r="AH24" t="b">
        <v>0</v>
      </c>
      <c r="AI24" t="b">
        <v>1</v>
      </c>
      <c r="AJ24" t="b">
        <v>0</v>
      </c>
      <c r="AK24" t="b">
        <v>1</v>
      </c>
      <c r="AL24" t="b">
        <v>0</v>
      </c>
      <c r="AM24">
        <v>1</v>
      </c>
      <c r="AN24" t="b">
        <v>0</v>
      </c>
      <c r="AO24" t="b">
        <v>0</v>
      </c>
      <c r="AP24" t="b">
        <v>1</v>
      </c>
      <c r="AQ24" t="b">
        <v>1</v>
      </c>
      <c r="AR24" t="b">
        <v>1</v>
      </c>
      <c r="AS24" t="b">
        <v>1</v>
      </c>
      <c r="AT24" t="b">
        <v>0</v>
      </c>
      <c r="AU24" t="b">
        <v>0</v>
      </c>
      <c r="AV24" t="b">
        <v>0</v>
      </c>
      <c r="AW24">
        <v>0</v>
      </c>
      <c r="AX24" t="b">
        <v>0</v>
      </c>
      <c r="AY24" t="b">
        <v>0</v>
      </c>
      <c r="AZ24" t="b">
        <v>1</v>
      </c>
      <c r="BA24">
        <v>1</v>
      </c>
      <c r="BB24" t="s">
        <v>900</v>
      </c>
      <c r="BC24">
        <v>1</v>
      </c>
    </row>
    <row r="25" spans="1:55" hidden="1" x14ac:dyDescent="0.3">
      <c r="A25" s="80">
        <f t="shared" si="0"/>
        <v>0</v>
      </c>
      <c r="B25" s="80">
        <f>SUMIFS(CalculatorFC[FinCodeIssue],CalculatorFC[CalculatorCode],Calculators[[#This Row],[CalculatorCode]])</f>
        <v>0</v>
      </c>
      <c r="C25" s="80">
        <f>IF(LEN(Calculators[[#This Row],[CalculatorCode]])&lt;100,0,1)</f>
        <v>0</v>
      </c>
      <c r="D25" s="86">
        <f>IF(LEN(Calculators[[#This Row],[Title]])&lt;100,0,1)</f>
        <v>0</v>
      </c>
      <c r="E25" s="86">
        <f>(COUNTIF(CalculatorTypeCode[CalculatorTypeCode],Calculators[[#This Row],[CalculatorTypeCode]])-1)*-1</f>
        <v>0</v>
      </c>
      <c r="F25"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25"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25"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25" s="86">
        <f>IF(OR(Calculators[[#This Row],[CalculatorEnabled]]=TRUE,Calculators[[#This Row],[CalculatorEnabled]]=FALSE),0,1)</f>
        <v>0</v>
      </c>
      <c r="J25" s="86">
        <f>IF(ISBLANK(Calculators[[#This Row],[Title]])=TRUE,1,0)</f>
        <v>0</v>
      </c>
      <c r="K25" s="86">
        <f>IF(EXACT(Calculators[[#This Row],[CalculatorCode]],UPPER(Calculators[[#This Row],[CalculatorCode]])),0,1)</f>
        <v>0</v>
      </c>
      <c r="L25" s="86">
        <f>IF(SUBSTITUTE(TEXT(Calculators[[#This Row],[CalculatorCode]],10)," ","")=TEXT(Calculators[[#This Row],[CalculatorCode]],10),0,1)</f>
        <v>0</v>
      </c>
      <c r="M25" s="80">
        <f>SUM(Calculators[[#This Row],[Blank Data]:[Space in Code]])</f>
        <v>0</v>
      </c>
      <c r="N25" s="80" t="str" cm="1">
        <f t="array" ref="N25">_xlfn.TEXTJOIN(",",TRUE,IF(CalculatorFC[CalculatorCode]&amp;CalculatorFC[Type]=Calculators[[#This Row],[CalculatorCode]]&amp;Calculators[[#Headers],[SourceFinanceCodes]],CalculatorFC[FinanceCode],""))</f>
        <v>FUNDED_PPPRE16O</v>
      </c>
      <c r="O25" s="80" t="str" cm="1">
        <f t="array" ref="O25">_xlfn.TEXTJOIN(",",TRUE,IF(CalculatorFC[CalculatorCode]&amp;CalculatorFC[Type]=Calculators[[#This Row],[CalculatorCode]]&amp;Calculators[[#Headers],[SourceGroupingCodes]],CalculatorFC[FinanceCode],""))</f>
        <v/>
      </c>
      <c r="P25" s="80" t="str" cm="1">
        <f t="array" ref="P25">_xlfn.TEXTJOIN(",",TRUE,IF(CalculatorFC[CalculatorCode]&amp;CalculatorFC[Type]=Calculators[[#This Row],[CalculatorCode]]&amp;Calculators[[#Headers],[DivisorFinanceCodes]],CalculatorFC[FinanceCode],""))</f>
        <v/>
      </c>
      <c r="Q25" s="80" t="str" cm="1">
        <f t="array" ref="Q25">_xlfn.TEXTJOIN(",",TRUE,IF(CalculatorFC[CalculatorCode]&amp;CalculatorFC[Type]=Calculators[[#This Row],[CalculatorCode]]&amp;Calculators[[#Headers],[DivisorGroupingCodes]],CalculatorFC[FinanceCode],""))</f>
        <v/>
      </c>
      <c r="R25" s="80" t="str" cm="1">
        <f t="array" ref="R25">_xlfn.TEXTJOIN(",",TRUE,IF(CalculatorFC[CalculatorCode]&amp;CalculatorFC[Type]=Calculators[[#This Row],[CalculatorCode]]&amp;Calculators[[#Headers],[MultiplierFinanceCodes]],CalculatorFC[FinanceCode],""))</f>
        <v>HNPFO_RATE</v>
      </c>
      <c r="S25" s="80" t="str" cm="1">
        <f t="array" ref="S25">_xlfn.TEXTJOIN(",",TRUE,IF(CalculatorFC[CalculatorCode]&amp;CalculatorFC[Type]=Calculators[[#This Row],[CalculatorCode]]&amp;Calculators[[#Headers],[MultiplierGroupingCodes]],CalculatorFC[FinanceCode],""))</f>
        <v/>
      </c>
      <c r="T25" t="s">
        <v>1205</v>
      </c>
      <c r="U25" t="s">
        <v>1206</v>
      </c>
      <c r="V25" t="b">
        <v>0</v>
      </c>
      <c r="W25" t="b">
        <v>1</v>
      </c>
      <c r="X25" t="b">
        <v>1</v>
      </c>
      <c r="Y25" t="b">
        <v>1</v>
      </c>
      <c r="Z25" t="b">
        <v>0</v>
      </c>
      <c r="AA25" t="b">
        <v>0</v>
      </c>
      <c r="AB25" t="b">
        <v>0</v>
      </c>
      <c r="AC25">
        <v>0</v>
      </c>
      <c r="AD25" t="b">
        <v>0</v>
      </c>
      <c r="AE25" t="b">
        <v>0</v>
      </c>
      <c r="AF25" t="b">
        <v>0</v>
      </c>
      <c r="AG25" t="b">
        <v>0</v>
      </c>
      <c r="AH25" t="b">
        <v>0</v>
      </c>
      <c r="AI25" t="b">
        <v>1</v>
      </c>
      <c r="AJ25" t="b">
        <v>0</v>
      </c>
      <c r="AK25" t="b">
        <v>1</v>
      </c>
      <c r="AL25" t="b">
        <v>0</v>
      </c>
      <c r="AM25">
        <v>1</v>
      </c>
      <c r="AN25" t="b">
        <v>0</v>
      </c>
      <c r="AO25" t="b">
        <v>0</v>
      </c>
      <c r="AP25" t="b">
        <v>1</v>
      </c>
      <c r="AQ25" t="b">
        <v>1</v>
      </c>
      <c r="AR25" t="b">
        <v>1</v>
      </c>
      <c r="AS25" t="b">
        <v>1</v>
      </c>
      <c r="AT25" t="b">
        <v>0</v>
      </c>
      <c r="AU25" t="b">
        <v>0</v>
      </c>
      <c r="AV25" t="b">
        <v>0</v>
      </c>
      <c r="AW25">
        <v>0</v>
      </c>
      <c r="AX25" t="b">
        <v>0</v>
      </c>
      <c r="AY25" t="b">
        <v>0</v>
      </c>
      <c r="AZ25" t="b">
        <v>1</v>
      </c>
      <c r="BA25">
        <v>1</v>
      </c>
      <c r="BB25" t="s">
        <v>900</v>
      </c>
      <c r="BC25">
        <v>1</v>
      </c>
    </row>
    <row r="26" spans="1:55" hidden="1" x14ac:dyDescent="0.3">
      <c r="A26" s="80">
        <f t="shared" si="0"/>
        <v>0</v>
      </c>
      <c r="B26" s="80">
        <f>SUMIFS(CalculatorFC[FinCodeIssue],CalculatorFC[CalculatorCode],Calculators[[#This Row],[CalculatorCode]])</f>
        <v>2</v>
      </c>
      <c r="C26" s="80">
        <f>IF(LEN(Calculators[[#This Row],[CalculatorCode]])&lt;100,0,1)</f>
        <v>0</v>
      </c>
      <c r="D26" s="86">
        <f>IF(LEN(Calculators[[#This Row],[Title]])&lt;100,0,1)</f>
        <v>0</v>
      </c>
      <c r="E26" s="86">
        <f>(COUNTIF(CalculatorTypeCode[CalculatorTypeCode],Calculators[[#This Row],[CalculatorTypeCode]])-1)*-1</f>
        <v>0</v>
      </c>
      <c r="F26"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26"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26"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26" s="86">
        <f>IF(OR(Calculators[[#This Row],[CalculatorEnabled]]=TRUE,Calculators[[#This Row],[CalculatorEnabled]]=FALSE),0,1)</f>
        <v>0</v>
      </c>
      <c r="J26" s="86">
        <f>IF(ISBLANK(Calculators[[#This Row],[Title]])=TRUE,1,0)</f>
        <v>0</v>
      </c>
      <c r="K26" s="86">
        <f>IF(EXACT(Calculators[[#This Row],[CalculatorCode]],UPPER(Calculators[[#This Row],[CalculatorCode]])),0,1)</f>
        <v>0</v>
      </c>
      <c r="L26" s="86">
        <f>IF(SUBSTITUTE(TEXT(Calculators[[#This Row],[CalculatorCode]],10)," ","")=TEXT(Calculators[[#This Row],[CalculatorCode]],10),0,1)</f>
        <v>0</v>
      </c>
      <c r="M26" s="80">
        <f>SUM(Calculators[[#This Row],[Blank Data]:[Space in Code]])</f>
        <v>2</v>
      </c>
      <c r="N26" s="80" t="str" cm="1">
        <f t="array" ref="N26">_xlfn.TEXTJOIN(",",TRUE,IF(CalculatorFC[CalculatorCode]&amp;CalculatorFC[Type]=Calculators[[#This Row],[CalculatorCode]]&amp;Calculators[[#Headers],[SourceFinanceCodes]],CalculatorFC[FinanceCode],""))</f>
        <v>LEVY_ALL</v>
      </c>
      <c r="O26" s="80" t="str" cm="1">
        <f t="array" ref="O26">_xlfn.TEXTJOIN(",",TRUE,IF(CalculatorFC[CalculatorCode]&amp;CalculatorFC[Type]=Calculators[[#This Row],[CalculatorCode]]&amp;Calculators[[#Headers],[SourceGroupingCodes]],CalculatorFC[FinanceCode],""))</f>
        <v/>
      </c>
      <c r="P26" s="80" t="str" cm="1">
        <f t="array" ref="P26">_xlfn.TEXTJOIN(",",TRUE,IF(CalculatorFC[CalculatorCode]&amp;CalculatorFC[Type]=Calculators[[#This Row],[CalculatorCode]]&amp;Calculators[[#Headers],[DivisorFinanceCodes]],CalculatorFC[FinanceCode],""))</f>
        <v>A_FTE_LST,A_FTE_LSN,A_FTE_TEA,A_FTE_TA,A_FTE_LIB,A_FTE_TEC,A_FTE_COV,A_FTE_ADM,A_FTE_PRE,A_FTE_CLE,A_FTE_CAT,A_FTE_MDS,A_FTE_NUR,A_FTE_FSW,A_FTE_INV,A_FTE_EXT,A_FTE_OTH</v>
      </c>
      <c r="Q26" s="80" t="str" cm="1">
        <f t="array" ref="Q26">_xlfn.TEXTJOIN(",",TRUE,IF(CalculatorFC[CalculatorCode]&amp;CalculatorFC[Type]=Calculators[[#This Row],[CalculatorCode]]&amp;Calculators[[#Headers],[DivisorGroupingCodes]],CalculatorFC[FinanceCode],""))</f>
        <v/>
      </c>
      <c r="R26" s="80" t="str" cm="1">
        <f t="array" ref="R26">_xlfn.TEXTJOIN(",",TRUE,IF(CalculatorFC[CalculatorCode]&amp;CalculatorFC[Type]=Calculators[[#This Row],[CalculatorCode]]&amp;Calculators[[#Headers],[MultiplierFinanceCodes]],CalculatorFC[FinanceCode],""))</f>
        <v>0</v>
      </c>
      <c r="S26" s="80" t="str" cm="1">
        <f t="array" ref="S26">_xlfn.TEXTJOIN(",",TRUE,IF(CalculatorFC[CalculatorCode]&amp;CalculatorFC[Type]=Calculators[[#This Row],[CalculatorCode]]&amp;Calculators[[#Headers],[MultiplierGroupingCodes]],CalculatorFC[FinanceCode],""))</f>
        <v/>
      </c>
      <c r="T26" t="s">
        <v>2346</v>
      </c>
      <c r="U26" t="s">
        <v>2348</v>
      </c>
      <c r="V26" t="b">
        <v>1</v>
      </c>
      <c r="W26" t="b">
        <v>1</v>
      </c>
      <c r="X26" t="b">
        <v>1</v>
      </c>
      <c r="Y26" t="b">
        <v>1</v>
      </c>
      <c r="Z26" t="b">
        <v>0</v>
      </c>
      <c r="AA26" t="b">
        <v>0</v>
      </c>
      <c r="AB26" t="b">
        <v>0</v>
      </c>
      <c r="AC26">
        <v>0</v>
      </c>
      <c r="AD26" t="b">
        <v>0</v>
      </c>
      <c r="AE26" t="b">
        <v>0</v>
      </c>
      <c r="AF26" t="b">
        <v>1</v>
      </c>
      <c r="AG26" t="b">
        <v>1</v>
      </c>
      <c r="AH26" t="b">
        <v>1</v>
      </c>
      <c r="AI26" t="b">
        <v>1</v>
      </c>
      <c r="AJ26" t="b">
        <v>0</v>
      </c>
      <c r="AK26" t="b">
        <v>0</v>
      </c>
      <c r="AL26" t="b">
        <v>0</v>
      </c>
      <c r="AM26">
        <v>0</v>
      </c>
      <c r="AN26" t="b">
        <v>0</v>
      </c>
      <c r="AO26" t="b">
        <v>0</v>
      </c>
      <c r="AP26" t="b">
        <v>0</v>
      </c>
      <c r="AQ26" t="b">
        <v>1</v>
      </c>
      <c r="AR26" t="b">
        <v>1</v>
      </c>
      <c r="AS26" t="b">
        <v>1</v>
      </c>
      <c r="AT26" t="b">
        <v>0</v>
      </c>
      <c r="AU26" t="b">
        <v>0</v>
      </c>
      <c r="AV26" t="b">
        <v>0</v>
      </c>
      <c r="AW26">
        <v>0</v>
      </c>
      <c r="AX26" t="b">
        <v>0</v>
      </c>
      <c r="AY26" t="b">
        <v>0</v>
      </c>
      <c r="AZ26" t="b">
        <v>1</v>
      </c>
      <c r="BA26">
        <v>1</v>
      </c>
      <c r="BB26" t="s">
        <v>1476</v>
      </c>
      <c r="BC26">
        <v>1</v>
      </c>
    </row>
    <row r="27" spans="1:55" hidden="1" x14ac:dyDescent="0.3">
      <c r="A27" s="80">
        <f t="shared" si="0"/>
        <v>0</v>
      </c>
      <c r="B27" s="80">
        <f>SUMIFS(CalculatorFC[FinCodeIssue],CalculatorFC[CalculatorCode],Calculators[[#This Row],[CalculatorCode]])</f>
        <v>2</v>
      </c>
      <c r="C27" s="80">
        <f>IF(LEN(Calculators[[#This Row],[CalculatorCode]])&lt;100,0,1)</f>
        <v>0</v>
      </c>
      <c r="D27" s="86">
        <f>IF(LEN(Calculators[[#This Row],[Title]])&lt;100,0,1)</f>
        <v>0</v>
      </c>
      <c r="E27" s="86">
        <f>(COUNTIF(CalculatorTypeCode[CalculatorTypeCode],Calculators[[#This Row],[CalculatorTypeCode]])-1)*-1</f>
        <v>0</v>
      </c>
      <c r="F27"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27"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27"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27" s="86">
        <f>IF(OR(Calculators[[#This Row],[CalculatorEnabled]]=TRUE,Calculators[[#This Row],[CalculatorEnabled]]=FALSE),0,1)</f>
        <v>0</v>
      </c>
      <c r="J27" s="86">
        <f>IF(ISBLANK(Calculators[[#This Row],[Title]])=TRUE,1,0)</f>
        <v>0</v>
      </c>
      <c r="K27" s="86">
        <f>IF(EXACT(Calculators[[#This Row],[CalculatorCode]],UPPER(Calculators[[#This Row],[CalculatorCode]])),0,1)</f>
        <v>0</v>
      </c>
      <c r="L27" s="86">
        <f>IF(SUBSTITUTE(TEXT(Calculators[[#This Row],[CalculatorCode]],10)," ","")=TEXT(Calculators[[#This Row],[CalculatorCode]],10),0,1)</f>
        <v>0</v>
      </c>
      <c r="M27" s="80">
        <f>SUM(Calculators[[#This Row],[Blank Data]:[Space in Code]])</f>
        <v>2</v>
      </c>
      <c r="N27" s="80" t="str" cm="1">
        <f t="array" ref="N27">_xlfn.TEXTJOIN(",",TRUE,IF(CalculatorFC[CalculatorCode]&amp;CalculatorFC[Type]=Calculators[[#This Row],[CalculatorCode]]&amp;Calculators[[#Headers],[SourceFinanceCodes]],CalculatorFC[FinanceCode],""))</f>
        <v>LEVY_ALL</v>
      </c>
      <c r="O27" s="80" t="str" cm="1">
        <f t="array" ref="O27">_xlfn.TEXTJOIN(",",TRUE,IF(CalculatorFC[CalculatorCode]&amp;CalculatorFC[Type]=Calculators[[#This Row],[CalculatorCode]]&amp;Calculators[[#Headers],[SourceGroupingCodes]],CalculatorFC[FinanceCode],""))</f>
        <v/>
      </c>
      <c r="P27" s="80" t="str" cm="1">
        <f t="array" ref="P27">_xlfn.TEXTJOIN(",",TRUE,IF(CalculatorFC[CalculatorCode]&amp;CalculatorFC[Type]=Calculators[[#This Row],[CalculatorCode]]&amp;Calculators[[#Headers],[DivisorFinanceCodes]],CalculatorFC[FinanceCode],""))</f>
        <v>A_FTE_LST,A_FTE_LSN,A_FTE_TEA,A_FTE_TA,A_FTE_LIB,A_FTE_TEC,A_FTE_COV,A_FTE_ADM,A_FTE_PRE,A_FTE_CLE,A_FTE_CAT,A_FTE_MDS,A_FTE_NUR,A_FTE_FSW,A_FTE_INV,A_FTE_EXT,A_FTE_OTH</v>
      </c>
      <c r="Q27" s="80" t="str" cm="1">
        <f t="array" ref="Q27">_xlfn.TEXTJOIN(",",TRUE,IF(CalculatorFC[CalculatorCode]&amp;CalculatorFC[Type]=Calculators[[#This Row],[CalculatorCode]]&amp;Calculators[[#Headers],[DivisorGroupingCodes]],CalculatorFC[FinanceCode],""))</f>
        <v/>
      </c>
      <c r="R27" s="80" t="str" cm="1">
        <f t="array" ref="R27">_xlfn.TEXTJOIN(",",TRUE,IF(CalculatorFC[CalculatorCode]&amp;CalculatorFC[Type]=Calculators[[#This Row],[CalculatorCode]]&amp;Calculators[[#Headers],[MultiplierFinanceCodes]],CalculatorFC[FinanceCode],""))</f>
        <v>0</v>
      </c>
      <c r="S27" s="80" t="str" cm="1">
        <f t="array" ref="S27">_xlfn.TEXTJOIN(",",TRUE,IF(CalculatorFC[CalculatorCode]&amp;CalculatorFC[Type]=Calculators[[#This Row],[CalculatorCode]]&amp;Calculators[[#Headers],[MultiplierGroupingCodes]],CalculatorFC[FinanceCode],""))</f>
        <v/>
      </c>
      <c r="T27" t="s">
        <v>2347</v>
      </c>
      <c r="U27" t="s">
        <v>2349</v>
      </c>
      <c r="V27" t="b">
        <v>1</v>
      </c>
      <c r="W27" t="b">
        <v>1</v>
      </c>
      <c r="X27" t="b">
        <v>1</v>
      </c>
      <c r="Y27" t="b">
        <v>1</v>
      </c>
      <c r="Z27" t="b">
        <v>0</v>
      </c>
      <c r="AA27" t="b">
        <v>0</v>
      </c>
      <c r="AB27" t="b">
        <v>0</v>
      </c>
      <c r="AC27">
        <v>0</v>
      </c>
      <c r="AD27" t="b">
        <v>0</v>
      </c>
      <c r="AE27" t="b">
        <v>0</v>
      </c>
      <c r="AF27" t="b">
        <v>1</v>
      </c>
      <c r="AG27" t="b">
        <v>1</v>
      </c>
      <c r="AH27" t="b">
        <v>1</v>
      </c>
      <c r="AI27" t="b">
        <v>1</v>
      </c>
      <c r="AJ27" t="b">
        <v>0</v>
      </c>
      <c r="AK27" t="b">
        <v>0</v>
      </c>
      <c r="AL27" t="b">
        <v>0</v>
      </c>
      <c r="AM27">
        <v>0</v>
      </c>
      <c r="AN27" t="b">
        <v>0</v>
      </c>
      <c r="AO27" t="b">
        <v>0</v>
      </c>
      <c r="AP27" t="b">
        <v>0</v>
      </c>
      <c r="AQ27" t="b">
        <v>1</v>
      </c>
      <c r="AR27" t="b">
        <v>1</v>
      </c>
      <c r="AS27" t="b">
        <v>1</v>
      </c>
      <c r="AT27" t="b">
        <v>0</v>
      </c>
      <c r="AU27" t="b">
        <v>0</v>
      </c>
      <c r="AV27" t="b">
        <v>0</v>
      </c>
      <c r="AW27">
        <v>0</v>
      </c>
      <c r="AX27" t="b">
        <v>0</v>
      </c>
      <c r="AY27" t="b">
        <v>0</v>
      </c>
      <c r="AZ27" t="b">
        <v>1</v>
      </c>
      <c r="BA27">
        <v>1</v>
      </c>
      <c r="BB27" t="s">
        <v>1476</v>
      </c>
      <c r="BC27">
        <v>1</v>
      </c>
    </row>
    <row r="28" spans="1:55" hidden="1" x14ac:dyDescent="0.3">
      <c r="A28" s="80">
        <f t="shared" si="0"/>
        <v>0</v>
      </c>
      <c r="B28" s="80">
        <f>SUMIFS(CalculatorFC[FinCodeIssue],CalculatorFC[CalculatorCode],Calculators[[#This Row],[CalculatorCode]])</f>
        <v>0</v>
      </c>
      <c r="C28" s="80">
        <f>IF(LEN(Calculators[[#This Row],[CalculatorCode]])&lt;100,0,1)</f>
        <v>0</v>
      </c>
      <c r="D28" s="86">
        <f>IF(LEN(Calculators[[#This Row],[Title]])&lt;100,0,1)</f>
        <v>0</v>
      </c>
      <c r="E28" s="86">
        <f>(COUNTIF(CalculatorTypeCode[CalculatorTypeCode],Calculators[[#This Row],[CalculatorTypeCode]])-1)*-1</f>
        <v>0</v>
      </c>
      <c r="F28"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28"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28"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28" s="86">
        <f>IF(OR(Calculators[[#This Row],[CalculatorEnabled]]=TRUE,Calculators[[#This Row],[CalculatorEnabled]]=FALSE),0,1)</f>
        <v>0</v>
      </c>
      <c r="J28" s="86">
        <f>IF(ISBLANK(Calculators[[#This Row],[Title]])=TRUE,1,0)</f>
        <v>0</v>
      </c>
      <c r="K28" s="86">
        <f>IF(EXACT(Calculators[[#This Row],[CalculatorCode]],UPPER(Calculators[[#This Row],[CalculatorCode]])),0,1)</f>
        <v>0</v>
      </c>
      <c r="L28" s="86">
        <f>IF(SUBSTITUTE(TEXT(Calculators[[#This Row],[CalculatorCode]],10)," ","")=TEXT(Calculators[[#This Row],[CalculatorCode]],10),0,1)</f>
        <v>0</v>
      </c>
      <c r="M28" s="80">
        <f>SUM(Calculators[[#This Row],[Blank Data]:[Space in Code]])</f>
        <v>0</v>
      </c>
      <c r="N28" s="80" t="str" cm="1">
        <f t="array" ref="N28">_xlfn.TEXTJOIN(",",TRUE,IF(CalculatorFC[CalculatorCode]&amp;CalculatorFC[Type]=Calculators[[#This Row],[CalculatorCode]]&amp;Calculators[[#Headers],[SourceFinanceCodes]],CalculatorFC[FinanceCode],""))</f>
        <v/>
      </c>
      <c r="O28" s="80" t="str" cm="1">
        <f t="array" ref="O28">_xlfn.TEXTJOIN(",",TRUE,IF(CalculatorFC[CalculatorCode]&amp;CalculatorFC[Type]=Calculators[[#This Row],[CalculatorCode]]&amp;Calculators[[#Headers],[SourceGroupingCodes]],CalculatorFC[FinanceCode],""))</f>
        <v>611100,620100,622100,623100,624100,625100,627100,630100,632100,635100,637100,640100,645100,647100</v>
      </c>
      <c r="P28" s="80" t="str" cm="1">
        <f t="array" ref="P28">_xlfn.TEXTJOIN(",",TRUE,IF(CalculatorFC[CalculatorCode]&amp;CalculatorFC[Type]=Calculators[[#This Row],[CalculatorCode]]&amp;Calculators[[#Headers],[DivisorFinanceCodes]],CalculatorFC[FinanceCode],""))</f>
        <v/>
      </c>
      <c r="Q28" s="80" t="str" cm="1">
        <f t="array" ref="Q28">_xlfn.TEXTJOIN(",",TRUE,IF(CalculatorFC[CalculatorCode]&amp;CalculatorFC[Type]=Calculators[[#This Row],[CalculatorCode]]&amp;Calculators[[#Headers],[DivisorGroupingCodes]],CalculatorFC[FinanceCode],""))</f>
        <v/>
      </c>
      <c r="R28" s="80" t="str" cm="1">
        <f t="array" ref="R28">_xlfn.TEXTJOIN(",",TRUE,IF(CalculatorFC[CalculatorCode]&amp;CalculatorFC[Type]=Calculators[[#This Row],[CalculatorCode]]&amp;Calculators[[#Headers],[MultiplierFinanceCodes]],CalculatorFC[FinanceCode],""))</f>
        <v>LEVY_SUP</v>
      </c>
      <c r="S28" s="80" t="str" cm="1">
        <f t="array" ref="S28">_xlfn.TEXTJOIN(",",TRUE,IF(CalculatorFC[CalculatorCode]&amp;CalculatorFC[Type]=Calculators[[#This Row],[CalculatorCode]]&amp;Calculators[[#Headers],[MultiplierGroupingCodes]],CalculatorFC[FinanceCode],""))</f>
        <v/>
      </c>
      <c r="T28" t="s">
        <v>2343</v>
      </c>
      <c r="U28" t="s">
        <v>2345</v>
      </c>
      <c r="V28" t="b">
        <v>0</v>
      </c>
      <c r="W28" t="b">
        <v>1</v>
      </c>
      <c r="X28" t="b">
        <v>1</v>
      </c>
      <c r="Y28" t="b">
        <v>1</v>
      </c>
      <c r="Z28" t="b">
        <v>0</v>
      </c>
      <c r="AA28" t="b">
        <v>0</v>
      </c>
      <c r="AB28" t="b">
        <v>0</v>
      </c>
      <c r="AC28">
        <v>0</v>
      </c>
      <c r="AD28" t="b">
        <v>0</v>
      </c>
      <c r="AE28" t="b">
        <v>0</v>
      </c>
      <c r="AF28" t="b">
        <v>0</v>
      </c>
      <c r="AG28" t="b">
        <v>0</v>
      </c>
      <c r="AH28" t="b">
        <v>0</v>
      </c>
      <c r="AI28" t="b">
        <v>1</v>
      </c>
      <c r="AJ28" t="b">
        <v>0</v>
      </c>
      <c r="AK28" t="b">
        <v>0</v>
      </c>
      <c r="AL28" t="b">
        <v>0</v>
      </c>
      <c r="AM28">
        <v>100</v>
      </c>
      <c r="AN28" t="b">
        <v>0</v>
      </c>
      <c r="AO28" t="b">
        <v>0</v>
      </c>
      <c r="AP28" t="b">
        <v>1</v>
      </c>
      <c r="AQ28" t="b">
        <v>1</v>
      </c>
      <c r="AR28" t="b">
        <v>1</v>
      </c>
      <c r="AS28" t="b">
        <v>1</v>
      </c>
      <c r="AT28" t="b">
        <v>0</v>
      </c>
      <c r="AU28" t="b">
        <v>0</v>
      </c>
      <c r="AV28" t="b">
        <v>0</v>
      </c>
      <c r="AW28">
        <v>0</v>
      </c>
      <c r="AX28" t="b">
        <v>0</v>
      </c>
      <c r="AY28" t="b">
        <v>0</v>
      </c>
      <c r="AZ28" t="b">
        <v>1</v>
      </c>
      <c r="BA28">
        <v>1</v>
      </c>
      <c r="BB28" t="s">
        <v>1476</v>
      </c>
      <c r="BC28">
        <v>1</v>
      </c>
    </row>
    <row r="29" spans="1:55" hidden="1" x14ac:dyDescent="0.3">
      <c r="A29" s="80">
        <f t="shared" si="0"/>
        <v>0</v>
      </c>
      <c r="B29" s="80">
        <f>SUMIFS(CalculatorFC[FinCodeIssue],CalculatorFC[CalculatorCode],Calculators[[#This Row],[CalculatorCode]])</f>
        <v>0</v>
      </c>
      <c r="C29" s="80">
        <f>IF(LEN(Calculators[[#This Row],[CalculatorCode]])&lt;100,0,1)</f>
        <v>0</v>
      </c>
      <c r="D29" s="86">
        <f>IF(LEN(Calculators[[#This Row],[Title]])&lt;100,0,1)</f>
        <v>0</v>
      </c>
      <c r="E29" s="86">
        <f>(COUNTIF(CalculatorTypeCode[CalculatorTypeCode],Calculators[[#This Row],[CalculatorTypeCode]])-1)*-1</f>
        <v>0</v>
      </c>
      <c r="F29"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29"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29"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29" s="86">
        <f>IF(OR(Calculators[[#This Row],[CalculatorEnabled]]=TRUE,Calculators[[#This Row],[CalculatorEnabled]]=FALSE),0,1)</f>
        <v>0</v>
      </c>
      <c r="J29" s="86">
        <f>IF(ISBLANK(Calculators[[#This Row],[Title]])=TRUE,1,0)</f>
        <v>0</v>
      </c>
      <c r="K29" s="86">
        <f>IF(EXACT(Calculators[[#This Row],[CalculatorCode]],UPPER(Calculators[[#This Row],[CalculatorCode]])),0,1)</f>
        <v>0</v>
      </c>
      <c r="L29" s="86">
        <f>IF(SUBSTITUTE(TEXT(Calculators[[#This Row],[CalculatorCode]],10)," ","")=TEXT(Calculators[[#This Row],[CalculatorCode]],10),0,1)</f>
        <v>0</v>
      </c>
      <c r="M29" s="80">
        <f>SUM(Calculators[[#This Row],[Blank Data]:[Space in Code]])</f>
        <v>0</v>
      </c>
      <c r="N29" s="80" t="str" cm="1">
        <f t="array" ref="N29">_xlfn.TEXTJOIN(",",TRUE,IF(CalculatorFC[CalculatorCode]&amp;CalculatorFC[Type]=Calculators[[#This Row],[CalculatorCode]]&amp;Calculators[[#Headers],[SourceFinanceCodes]],CalculatorFC[FinanceCode],""))</f>
        <v/>
      </c>
      <c r="O29" s="80" t="str" cm="1">
        <f t="array" ref="O29">_xlfn.TEXTJOIN(",",TRUE,IF(CalculatorFC[CalculatorCode]&amp;CalculatorFC[Type]=Calculators[[#This Row],[CalculatorCode]]&amp;Calculators[[#Headers],[SourceGroupingCodes]],CalculatorFC[FinanceCode],""))</f>
        <v>610100,612100,615100</v>
      </c>
      <c r="P29" s="80" t="str" cm="1">
        <f t="array" ref="P29">_xlfn.TEXTJOIN(",",TRUE,IF(CalculatorFC[CalculatorCode]&amp;CalculatorFC[Type]=Calculators[[#This Row],[CalculatorCode]]&amp;Calculators[[#Headers],[DivisorFinanceCodes]],CalculatorFC[FinanceCode],""))</f>
        <v/>
      </c>
      <c r="Q29" s="80" t="str" cm="1">
        <f t="array" ref="Q29">_xlfn.TEXTJOIN(",",TRUE,IF(CalculatorFC[CalculatorCode]&amp;CalculatorFC[Type]=Calculators[[#This Row],[CalculatorCode]]&amp;Calculators[[#Headers],[DivisorGroupingCodes]],CalculatorFC[FinanceCode],""))</f>
        <v/>
      </c>
      <c r="R29" s="80" t="str" cm="1">
        <f t="array" ref="R29">_xlfn.TEXTJOIN(",",TRUE,IF(CalculatorFC[CalculatorCode]&amp;CalculatorFC[Type]=Calculators[[#This Row],[CalculatorCode]]&amp;Calculators[[#Headers],[MultiplierFinanceCodes]],CalculatorFC[FinanceCode],""))</f>
        <v>LEVY_TEA</v>
      </c>
      <c r="S29" s="80" t="str" cm="1">
        <f t="array" ref="S29">_xlfn.TEXTJOIN(",",TRUE,IF(CalculatorFC[CalculatorCode]&amp;CalculatorFC[Type]=Calculators[[#This Row],[CalculatorCode]]&amp;Calculators[[#Headers],[MultiplierGroupingCodes]],CalculatorFC[FinanceCode],""))</f>
        <v/>
      </c>
      <c r="T29" t="s">
        <v>2342</v>
      </c>
      <c r="U29" t="s">
        <v>2344</v>
      </c>
      <c r="V29" t="b">
        <v>0</v>
      </c>
      <c r="W29" t="b">
        <v>1</v>
      </c>
      <c r="X29" t="b">
        <v>1</v>
      </c>
      <c r="Y29" t="b">
        <v>1</v>
      </c>
      <c r="Z29" t="b">
        <v>0</v>
      </c>
      <c r="AA29" t="b">
        <v>0</v>
      </c>
      <c r="AB29" t="b">
        <v>0</v>
      </c>
      <c r="AC29">
        <v>0</v>
      </c>
      <c r="AD29" t="b">
        <v>0</v>
      </c>
      <c r="AE29" t="b">
        <v>0</v>
      </c>
      <c r="AF29" t="b">
        <v>0</v>
      </c>
      <c r="AG29" t="b">
        <v>0</v>
      </c>
      <c r="AH29" t="b">
        <v>0</v>
      </c>
      <c r="AI29" t="b">
        <v>1</v>
      </c>
      <c r="AJ29" t="b">
        <v>0</v>
      </c>
      <c r="AK29" t="b">
        <v>0</v>
      </c>
      <c r="AL29" t="b">
        <v>0</v>
      </c>
      <c r="AM29">
        <v>100</v>
      </c>
      <c r="AN29" t="b">
        <v>0</v>
      </c>
      <c r="AO29" t="b">
        <v>0</v>
      </c>
      <c r="AP29" t="b">
        <v>1</v>
      </c>
      <c r="AQ29" t="b">
        <v>1</v>
      </c>
      <c r="AR29" t="b">
        <v>1</v>
      </c>
      <c r="AS29" t="b">
        <v>1</v>
      </c>
      <c r="AT29" t="b">
        <v>0</v>
      </c>
      <c r="AU29" t="b">
        <v>0</v>
      </c>
      <c r="AV29" t="b">
        <v>0</v>
      </c>
      <c r="AW29">
        <v>0</v>
      </c>
      <c r="AX29" t="b">
        <v>0</v>
      </c>
      <c r="AY29" t="b">
        <v>0</v>
      </c>
      <c r="AZ29" t="b">
        <v>1</v>
      </c>
      <c r="BA29">
        <v>1</v>
      </c>
      <c r="BB29" t="s">
        <v>1476</v>
      </c>
      <c r="BC29">
        <v>1</v>
      </c>
    </row>
    <row r="30" spans="1:55" hidden="1" x14ac:dyDescent="0.3">
      <c r="A30" s="80">
        <f t="shared" si="0"/>
        <v>0</v>
      </c>
      <c r="B30" s="80">
        <f>SUMIFS(CalculatorFC[FinCodeIssue],CalculatorFC[CalculatorCode],Calculators[[#This Row],[CalculatorCode]])</f>
        <v>0</v>
      </c>
      <c r="C30" s="80">
        <f>IF(LEN(Calculators[[#This Row],[CalculatorCode]])&lt;100,0,1)</f>
        <v>0</v>
      </c>
      <c r="D30" s="86">
        <f>IF(LEN(Calculators[[#This Row],[Title]])&lt;100,0,1)</f>
        <v>0</v>
      </c>
      <c r="E30" s="86">
        <f>(COUNTIF(CalculatorTypeCode[CalculatorTypeCode],Calculators[[#This Row],[CalculatorTypeCode]])-1)*-1</f>
        <v>0</v>
      </c>
      <c r="F30"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30"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30"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30" s="86">
        <f>IF(OR(Calculators[[#This Row],[CalculatorEnabled]]=TRUE,Calculators[[#This Row],[CalculatorEnabled]]=FALSE),0,1)</f>
        <v>0</v>
      </c>
      <c r="J30" s="86">
        <f>IF(ISBLANK(Calculators[[#This Row],[Title]])=TRUE,1,0)</f>
        <v>0</v>
      </c>
      <c r="K30" s="86">
        <f>IF(EXACT(Calculators[[#This Row],[CalculatorCode]],UPPER(Calculators[[#This Row],[CalculatorCode]])),0,1)</f>
        <v>0</v>
      </c>
      <c r="L30" s="86">
        <f>IF(SUBSTITUTE(TEXT(Calculators[[#This Row],[CalculatorCode]],10)," ","")=TEXT(Calculators[[#This Row],[CalculatorCode]],10),0,1)</f>
        <v>0</v>
      </c>
      <c r="M30" s="80">
        <f>SUM(Calculators[[#This Row],[Blank Data]:[Space in Code]])</f>
        <v>0</v>
      </c>
      <c r="N30" s="80" t="str" cm="1">
        <f t="array" ref="N30">_xlfn.TEXTJOIN(",",TRUE,IF(CalculatorFC[CalculatorCode]&amp;CalculatorFC[Type]=Calculators[[#This Row],[CalculatorCode]]&amp;Calculators[[#Headers],[SourceFinanceCodes]],CalculatorFC[FinanceCode],""))</f>
        <v/>
      </c>
      <c r="O30" s="80" t="str" cm="1">
        <f t="array" ref="O30">_xlfn.TEXTJOIN(",",TRUE,IF(CalculatorFC[CalculatorCode]&amp;CalculatorFC[Type]=Calculators[[#This Row],[CalculatorCode]]&amp;Calculators[[#Headers],[SourceGroupingCodes]],CalculatorFC[FinanceCode],""))</f>
        <v/>
      </c>
      <c r="P30" s="80" t="str" cm="1">
        <f t="array" ref="P30">_xlfn.TEXTJOIN(",",TRUE,IF(CalculatorFC[CalculatorCode]&amp;CalculatorFC[Type]=Calculators[[#This Row],[CalculatorCode]]&amp;Calculators[[#Headers],[DivisorFinanceCodes]],CalculatorFC[FinanceCode],""))</f>
        <v/>
      </c>
      <c r="Q30" s="80" t="str" cm="1">
        <f t="array" ref="Q30">_xlfn.TEXTJOIN(",",TRUE,IF(CalculatorFC[CalculatorCode]&amp;CalculatorFC[Type]=Calculators[[#This Row],[CalculatorCode]]&amp;Calculators[[#Headers],[DivisorGroupingCodes]],CalculatorFC[FinanceCode],""))</f>
        <v/>
      </c>
      <c r="R30" s="80" t="str" cm="1">
        <f t="array" ref="R30">_xlfn.TEXTJOIN(",",TRUE,IF(CalculatorFC[CalculatorCode]&amp;CalculatorFC[Type]=Calculators[[#This Row],[CalculatorCode]]&amp;Calculators[[#Headers],[MultiplierFinanceCodes]],CalculatorFC[FinanceCode],""))</f>
        <v/>
      </c>
      <c r="S30" s="80" t="str" cm="1">
        <f t="array" ref="S30">_xlfn.TEXTJOIN(",",TRUE,IF(CalculatorFC[CalculatorCode]&amp;CalculatorFC[Type]=Calculators[[#This Row],[CalculatorCode]]&amp;Calculators[[#Headers],[MultiplierGroupingCodes]],CalculatorFC[FinanceCode],""))</f>
        <v/>
      </c>
      <c r="T30" t="s">
        <v>2579</v>
      </c>
      <c r="U30" t="s">
        <v>2585</v>
      </c>
      <c r="V30" t="b">
        <v>1</v>
      </c>
      <c r="W30" t="b">
        <v>1</v>
      </c>
      <c r="X30" t="b">
        <v>1</v>
      </c>
      <c r="Y30" t="b">
        <v>1</v>
      </c>
      <c r="Z30" t="b">
        <v>0</v>
      </c>
      <c r="AA30" t="b">
        <v>0</v>
      </c>
      <c r="AB30" t="b">
        <v>0</v>
      </c>
      <c r="AC30">
        <v>0</v>
      </c>
      <c r="AD30" t="b">
        <v>0</v>
      </c>
      <c r="AE30" t="b">
        <v>0</v>
      </c>
      <c r="AF30" t="b">
        <v>0</v>
      </c>
      <c r="AG30" t="b">
        <v>0</v>
      </c>
      <c r="AH30" t="b">
        <v>0</v>
      </c>
      <c r="AI30" t="b">
        <v>1</v>
      </c>
      <c r="AJ30" t="b">
        <v>0</v>
      </c>
      <c r="AK30" t="b">
        <v>1</v>
      </c>
      <c r="AL30" t="b">
        <v>0</v>
      </c>
      <c r="AM30">
        <v>1</v>
      </c>
      <c r="AN30" t="b">
        <v>0</v>
      </c>
      <c r="AO30" t="b">
        <v>0</v>
      </c>
      <c r="AP30" t="b">
        <v>0</v>
      </c>
      <c r="AQ30" t="b">
        <v>0</v>
      </c>
      <c r="AR30" t="b">
        <v>0</v>
      </c>
      <c r="AS30" t="b">
        <v>1</v>
      </c>
      <c r="AT30" t="b">
        <v>0</v>
      </c>
      <c r="AU30" t="b">
        <v>1</v>
      </c>
      <c r="AV30" t="b">
        <v>1</v>
      </c>
      <c r="AW30">
        <v>1</v>
      </c>
      <c r="AX30" t="b">
        <v>0</v>
      </c>
      <c r="AY30" t="b">
        <v>0</v>
      </c>
      <c r="AZ30" t="b">
        <v>1</v>
      </c>
      <c r="BA30">
        <v>1</v>
      </c>
      <c r="BB30" t="s">
        <v>900</v>
      </c>
      <c r="BC30">
        <v>1</v>
      </c>
    </row>
    <row r="31" spans="1:55" x14ac:dyDescent="0.3">
      <c r="A31" s="80">
        <f t="shared" si="0"/>
        <v>0</v>
      </c>
      <c r="B31" s="80">
        <f>SUMIFS(CalculatorFC[FinCodeIssue],CalculatorFC[CalculatorCode],Calculators[[#This Row],[CalculatorCode]])</f>
        <v>0</v>
      </c>
      <c r="C31" s="80">
        <f>IF(LEN(Calculators[[#This Row],[CalculatorCode]])&lt;100,0,1)</f>
        <v>0</v>
      </c>
      <c r="D31" s="86">
        <f>IF(LEN(Calculators[[#This Row],[Title]])&lt;100,0,1)</f>
        <v>0</v>
      </c>
      <c r="E31" s="86">
        <f>(COUNTIF(CalculatorTypeCode[CalculatorTypeCode],Calculators[[#This Row],[CalculatorTypeCode]])-1)*-1</f>
        <v>0</v>
      </c>
      <c r="F31"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31"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31"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31" s="86">
        <f>IF(OR(Calculators[[#This Row],[CalculatorEnabled]]=TRUE,Calculators[[#This Row],[CalculatorEnabled]]=FALSE),0,1)</f>
        <v>0</v>
      </c>
      <c r="J31" s="86">
        <f>IF(ISBLANK(Calculators[[#This Row],[Title]])=TRUE,1,0)</f>
        <v>0</v>
      </c>
      <c r="K31" s="86">
        <f>IF(EXACT(Calculators[[#This Row],[CalculatorCode]],UPPER(Calculators[[#This Row],[CalculatorCode]])),0,1)</f>
        <v>0</v>
      </c>
      <c r="L31" s="86">
        <f>IF(SUBSTITUTE(TEXT(Calculators[[#This Row],[CalculatorCode]],10)," ","")=TEXT(Calculators[[#This Row],[CalculatorCode]],10),0,1)</f>
        <v>0</v>
      </c>
      <c r="M31" s="80">
        <f>SUM(Calculators[[#This Row],[Blank Data]:[Space in Code]])</f>
        <v>0</v>
      </c>
      <c r="N31" s="80" t="str" cm="1">
        <f t="array" ref="N31">_xlfn.TEXTJOIN(",",TRUE,IF(CalculatorFC[CalculatorCode]&amp;CalculatorFC[Type]=Calculators[[#This Row],[CalculatorCode]]&amp;Calculators[[#Headers],[SourceFinanceCodes]],CalculatorFC[FinanceCode],""))</f>
        <v>PEG_CORE</v>
      </c>
      <c r="O31" s="80" t="str" cm="1">
        <f t="array" ref="O31">_xlfn.TEXTJOIN(",",TRUE,IF(CalculatorFC[CalculatorCode]&amp;CalculatorFC[Type]=Calculators[[#This Row],[CalculatorCode]]&amp;Calculators[[#Headers],[SourceGroupingCodes]],CalculatorFC[FinanceCode],""))</f>
        <v/>
      </c>
      <c r="P31" s="80" t="str" cm="1">
        <f t="array" ref="P31">_xlfn.TEXTJOIN(",",TRUE,IF(CalculatorFC[CalculatorCode]&amp;CalculatorFC[Type]=Calculators[[#This Row],[CalculatorCode]]&amp;Calculators[[#Headers],[DivisorFinanceCodes]],CalculatorFC[FinanceCode],""))</f>
        <v/>
      </c>
      <c r="Q31" s="80" t="str" cm="1">
        <f t="array" ref="Q31">_xlfn.TEXTJOIN(",",TRUE,IF(CalculatorFC[CalculatorCode]&amp;CalculatorFC[Type]=Calculators[[#This Row],[CalculatorCode]]&amp;Calculators[[#Headers],[DivisorGroupingCodes]],CalculatorFC[FinanceCode],""))</f>
        <v/>
      </c>
      <c r="R31" s="80" t="str" cm="1">
        <f t="array" ref="R31">_xlfn.TEXTJOIN(",",TRUE,IF(CalculatorFC[CalculatorCode]&amp;CalculatorFC[Type]=Calculators[[#This Row],[CalculatorCode]]&amp;Calculators[[#Headers],[MultiplierFinanceCodes]],CalculatorFC[FinanceCode],""))</f>
        <v/>
      </c>
      <c r="S31" s="80" t="str" cm="1">
        <f t="array" ref="S31">_xlfn.TEXTJOIN(",",TRUE,IF(CalculatorFC[CalculatorCode]&amp;CalculatorFC[Type]=Calculators[[#This Row],[CalculatorCode]]&amp;Calculators[[#Headers],[MultiplierGroupingCodes]],CalculatorFC[FinanceCode],""))</f>
        <v/>
      </c>
      <c r="T31" t="s">
        <v>1017</v>
      </c>
      <c r="U31" t="s">
        <v>1233</v>
      </c>
      <c r="V31" t="b">
        <v>1</v>
      </c>
      <c r="W31" t="b">
        <v>1</v>
      </c>
      <c r="X31" t="b">
        <v>1</v>
      </c>
      <c r="Y31" t="b">
        <v>1</v>
      </c>
      <c r="Z31" t="b">
        <v>0</v>
      </c>
      <c r="AA31" t="b">
        <v>0</v>
      </c>
      <c r="AB31" t="b">
        <v>0</v>
      </c>
      <c r="AC31">
        <v>0</v>
      </c>
      <c r="AD31" t="b">
        <v>0</v>
      </c>
      <c r="AE31" t="b">
        <v>0</v>
      </c>
      <c r="AF31" t="b">
        <v>0</v>
      </c>
      <c r="AG31" t="b">
        <v>0</v>
      </c>
      <c r="AH31" t="b">
        <v>0</v>
      </c>
      <c r="AI31" t="b">
        <v>1</v>
      </c>
      <c r="AJ31" t="b">
        <v>0</v>
      </c>
      <c r="AK31" t="b">
        <v>1</v>
      </c>
      <c r="AL31" t="b">
        <v>0</v>
      </c>
      <c r="AM31">
        <v>1</v>
      </c>
      <c r="AN31" t="b">
        <v>0</v>
      </c>
      <c r="AO31" t="b">
        <v>0</v>
      </c>
      <c r="AP31" t="b">
        <v>0</v>
      </c>
      <c r="AQ31" t="b">
        <v>0</v>
      </c>
      <c r="AR31" t="b">
        <v>0</v>
      </c>
      <c r="AS31" t="b">
        <v>1</v>
      </c>
      <c r="AT31" t="b">
        <v>0</v>
      </c>
      <c r="AU31" t="b">
        <v>1</v>
      </c>
      <c r="AV31" t="b">
        <v>0</v>
      </c>
      <c r="AW31">
        <v>1</v>
      </c>
      <c r="AX31" t="b">
        <v>0</v>
      </c>
      <c r="AY31" t="b">
        <v>0</v>
      </c>
      <c r="AZ31" t="b">
        <v>1</v>
      </c>
      <c r="BA31">
        <v>1</v>
      </c>
      <c r="BB31" t="s">
        <v>900</v>
      </c>
      <c r="BC31">
        <v>1</v>
      </c>
    </row>
    <row r="32" spans="1:55" x14ac:dyDescent="0.3">
      <c r="A32" s="80">
        <f t="shared" si="0"/>
        <v>0</v>
      </c>
      <c r="B32" s="80">
        <f>SUMIFS(CalculatorFC[FinCodeIssue],CalculatorFC[CalculatorCode],Calculators[[#This Row],[CalculatorCode]])</f>
        <v>0</v>
      </c>
      <c r="C32" s="80">
        <f>IF(LEN(Calculators[[#This Row],[CalculatorCode]])&lt;100,0,1)</f>
        <v>0</v>
      </c>
      <c r="D32" s="86">
        <f>IF(LEN(Calculators[[#This Row],[Title]])&lt;100,0,1)</f>
        <v>0</v>
      </c>
      <c r="E32" s="86">
        <f>(COUNTIF(CalculatorTypeCode[CalculatorTypeCode],Calculators[[#This Row],[CalculatorTypeCode]])-1)*-1</f>
        <v>0</v>
      </c>
      <c r="F32"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32"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32"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32" s="86">
        <f>IF(OR(Calculators[[#This Row],[CalculatorEnabled]]=TRUE,Calculators[[#This Row],[CalculatorEnabled]]=FALSE),0,1)</f>
        <v>0</v>
      </c>
      <c r="J32" s="86">
        <f>IF(ISBLANK(Calculators[[#This Row],[Title]])=TRUE,1,0)</f>
        <v>0</v>
      </c>
      <c r="K32" s="86">
        <f>IF(EXACT(Calculators[[#This Row],[CalculatorCode]],UPPER(Calculators[[#This Row],[CalculatorCode]])),0,1)</f>
        <v>0</v>
      </c>
      <c r="L32" s="86">
        <f>IF(SUBSTITUTE(TEXT(Calculators[[#This Row],[CalculatorCode]],10)," ","")=TEXT(Calculators[[#This Row],[CalculatorCode]],10),0,1)</f>
        <v>0</v>
      </c>
      <c r="M32" s="80">
        <f>SUM(Calculators[[#This Row],[Blank Data]:[Space in Code]])</f>
        <v>0</v>
      </c>
      <c r="N32" s="80" t="str" cm="1">
        <f t="array" ref="N32">_xlfn.TEXTJOIN(",",TRUE,IF(CalculatorFC[CalculatorCode]&amp;CalculatorFC[Type]=Calculators[[#This Row],[CalculatorCode]]&amp;Calculators[[#Headers],[SourceFinanceCodes]],CalculatorFC[FinanceCode],""))</f>
        <v>PUPIL_SPRING_KS1,PUPIL_SPRING_KS2</v>
      </c>
      <c r="O32" s="80" t="str" cm="1">
        <f t="array" ref="O32">_xlfn.TEXTJOIN(",",TRUE,IF(CalculatorFC[CalculatorCode]&amp;CalculatorFC[Type]=Calculators[[#This Row],[CalculatorCode]]&amp;Calculators[[#Headers],[SourceGroupingCodes]],CalculatorFC[FinanceCode],""))</f>
        <v/>
      </c>
      <c r="P32" s="80" t="str" cm="1">
        <f t="array" ref="P32">_xlfn.TEXTJOIN(",",TRUE,IF(CalculatorFC[CalculatorCode]&amp;CalculatorFC[Type]=Calculators[[#This Row],[CalculatorCode]]&amp;Calculators[[#Headers],[DivisorFinanceCodes]],CalculatorFC[FinanceCode],""))</f>
        <v/>
      </c>
      <c r="Q32" s="80" t="str" cm="1">
        <f t="array" ref="Q32">_xlfn.TEXTJOIN(",",TRUE,IF(CalculatorFC[CalculatorCode]&amp;CalculatorFC[Type]=Calculators[[#This Row],[CalculatorCode]]&amp;Calculators[[#Headers],[DivisorGroupingCodes]],CalculatorFC[FinanceCode],""))</f>
        <v/>
      </c>
      <c r="R32" s="80" t="str" cm="1">
        <f t="array" ref="R32">_xlfn.TEXTJOIN(",",TRUE,IF(CalculatorFC[CalculatorCode]&amp;CalculatorFC[Type]=Calculators[[#This Row],[CalculatorCode]]&amp;Calculators[[#Headers],[MultiplierFinanceCodes]],CalculatorFC[FinanceCode],""))</f>
        <v>PEG_PUPIL</v>
      </c>
      <c r="S32" s="80" t="str" cm="1">
        <f t="array" ref="S32">_xlfn.TEXTJOIN(",",TRUE,IF(CalculatorFC[CalculatorCode]&amp;CalculatorFC[Type]=Calculators[[#This Row],[CalculatorCode]]&amp;Calculators[[#Headers],[MultiplierGroupingCodes]],CalculatorFC[FinanceCode],""))</f>
        <v/>
      </c>
      <c r="T32" t="s">
        <v>1019</v>
      </c>
      <c r="U32" t="s">
        <v>1234</v>
      </c>
      <c r="V32" t="b">
        <v>0</v>
      </c>
      <c r="W32" t="b">
        <v>1</v>
      </c>
      <c r="X32" t="b">
        <v>1</v>
      </c>
      <c r="Y32" t="b">
        <v>1</v>
      </c>
      <c r="Z32" t="b">
        <v>0</v>
      </c>
      <c r="AA32" t="b">
        <v>1</v>
      </c>
      <c r="AB32" t="b">
        <v>0</v>
      </c>
      <c r="AC32">
        <v>0</v>
      </c>
      <c r="AD32" t="b">
        <v>0</v>
      </c>
      <c r="AE32" t="b">
        <v>0</v>
      </c>
      <c r="AF32" t="b">
        <v>0</v>
      </c>
      <c r="AG32" t="b">
        <v>0</v>
      </c>
      <c r="AH32" t="b">
        <v>0</v>
      </c>
      <c r="AI32" t="b">
        <v>1</v>
      </c>
      <c r="AJ32" t="b">
        <v>0</v>
      </c>
      <c r="AK32" t="b">
        <v>1</v>
      </c>
      <c r="AL32" t="b">
        <v>0</v>
      </c>
      <c r="AM32">
        <v>1</v>
      </c>
      <c r="AN32" t="b">
        <v>0</v>
      </c>
      <c r="AO32" t="b">
        <v>0</v>
      </c>
      <c r="AP32" t="b">
        <v>1</v>
      </c>
      <c r="AQ32" t="b">
        <v>1</v>
      </c>
      <c r="AR32" t="b">
        <v>1</v>
      </c>
      <c r="AS32" t="b">
        <v>1</v>
      </c>
      <c r="AT32" t="b">
        <v>0</v>
      </c>
      <c r="AU32" t="b">
        <v>0</v>
      </c>
      <c r="AV32" t="b">
        <v>0</v>
      </c>
      <c r="AW32">
        <v>0</v>
      </c>
      <c r="AX32" t="b">
        <v>0</v>
      </c>
      <c r="AY32" t="b">
        <v>0</v>
      </c>
      <c r="AZ32" t="b">
        <v>1</v>
      </c>
      <c r="BA32">
        <v>1</v>
      </c>
      <c r="BB32" t="s">
        <v>900</v>
      </c>
      <c r="BC32">
        <v>1</v>
      </c>
    </row>
    <row r="33" spans="1:55" hidden="1" x14ac:dyDescent="0.3">
      <c r="A33" s="80">
        <f t="shared" si="0"/>
        <v>0</v>
      </c>
      <c r="B33" s="80">
        <f>SUMIFS(CalculatorFC[FinCodeIssue],CalculatorFC[CalculatorCode],Calculators[[#This Row],[CalculatorCode]])</f>
        <v>0</v>
      </c>
      <c r="C33" s="80">
        <f>IF(LEN(Calculators[[#This Row],[CalculatorCode]])&lt;100,0,1)</f>
        <v>0</v>
      </c>
      <c r="D33" s="86">
        <f>IF(LEN(Calculators[[#This Row],[Title]])&lt;100,0,1)</f>
        <v>0</v>
      </c>
      <c r="E33" s="86">
        <f>(COUNTIF(CalculatorTypeCode[CalculatorTypeCode],Calculators[[#This Row],[CalculatorTypeCode]])-1)*-1</f>
        <v>0</v>
      </c>
      <c r="F33"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33"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33"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33" s="86">
        <f>IF(OR(Calculators[[#This Row],[CalculatorEnabled]]=TRUE,Calculators[[#This Row],[CalculatorEnabled]]=FALSE),0,1)</f>
        <v>0</v>
      </c>
      <c r="J33" s="86">
        <f>IF(ISBLANK(Calculators[[#This Row],[Title]])=TRUE,1,0)</f>
        <v>0</v>
      </c>
      <c r="K33" s="86">
        <f>IF(EXACT(Calculators[[#This Row],[CalculatorCode]],UPPER(Calculators[[#This Row],[CalculatorCode]])),0,1)</f>
        <v>0</v>
      </c>
      <c r="L33" s="86">
        <f>IF(SUBSTITUTE(TEXT(Calculators[[#This Row],[CalculatorCode]],10)," ","")=TEXT(Calculators[[#This Row],[CalculatorCode]],10),0,1)</f>
        <v>0</v>
      </c>
      <c r="M33" s="80">
        <f>SUM(Calculators[[#This Row],[Blank Data]:[Space in Code]])</f>
        <v>0</v>
      </c>
      <c r="N33" s="80" t="str" cm="1">
        <f t="array" ref="N33">_xlfn.TEXTJOIN(",",TRUE,IF(CalculatorFC[CalculatorCode]&amp;CalculatorFC[Type]=Calculators[[#This Row],[CalculatorCode]]&amp;Calculators[[#Headers],[SourceFinanceCodes]],CalculatorFC[FinanceCode],""))</f>
        <v/>
      </c>
      <c r="O33" s="80" t="str" cm="1">
        <f t="array" ref="O33">_xlfn.TEXTJOIN(",",TRUE,IF(CalculatorFC[CalculatorCode]&amp;CalculatorFC[Type]=Calculators[[#This Row],[CalculatorCode]]&amp;Calculators[[#Headers],[SourceGroupingCodes]],CalculatorFC[FinanceCode],""))</f>
        <v>Z10</v>
      </c>
      <c r="P33" s="80" t="str" cm="1">
        <f t="array" ref="P33">_xlfn.TEXTJOIN(",",TRUE,IF(CalculatorFC[CalculatorCode]&amp;CalculatorFC[Type]=Calculators[[#This Row],[CalculatorCode]]&amp;Calculators[[#Headers],[DivisorFinanceCodes]],CalculatorFC[FinanceCode],""))</f>
        <v/>
      </c>
      <c r="Q33" s="80" t="str" cm="1">
        <f t="array" ref="Q33">_xlfn.TEXTJOIN(",",TRUE,IF(CalculatorFC[CalculatorCode]&amp;CalculatorFC[Type]=Calculators[[#This Row],[CalculatorCode]]&amp;Calculators[[#Headers],[DivisorGroupingCodes]],CalculatorFC[FinanceCode],""))</f>
        <v>Z10</v>
      </c>
      <c r="R33" s="80" t="str" cm="1">
        <f t="array" ref="R33">_xlfn.TEXTJOIN(",",TRUE,IF(CalculatorFC[CalculatorCode]&amp;CalculatorFC[Type]=Calculators[[#This Row],[CalculatorCode]]&amp;Calculators[[#Headers],[MultiplierFinanceCodes]],CalculatorFC[FinanceCode],""))</f>
        <v>UPLIFT_ASCL</v>
      </c>
      <c r="S33" s="80" t="str" cm="1">
        <f t="array" ref="S33">_xlfn.TEXTJOIN(",",TRUE,IF(CalculatorFC[CalculatorCode]&amp;CalculatorFC[Type]=Calculators[[#This Row],[CalculatorCode]]&amp;Calculators[[#Headers],[MultiplierGroupingCodes]],CalculatorFC[FinanceCode],""))</f>
        <v/>
      </c>
      <c r="T33" t="s">
        <v>1242</v>
      </c>
      <c r="U33" t="s">
        <v>1243</v>
      </c>
      <c r="V33" t="b">
        <v>0</v>
      </c>
      <c r="W33" t="b">
        <v>1</v>
      </c>
      <c r="X33" t="b">
        <v>1</v>
      </c>
      <c r="Y33" t="b">
        <v>1</v>
      </c>
      <c r="Z33" t="b">
        <v>0</v>
      </c>
      <c r="AA33" t="b">
        <v>0</v>
      </c>
      <c r="AB33" t="b">
        <v>0</v>
      </c>
      <c r="AC33">
        <v>0</v>
      </c>
      <c r="AD33" t="b">
        <v>0</v>
      </c>
      <c r="AE33" t="b">
        <v>0</v>
      </c>
      <c r="AF33" t="b">
        <v>0</v>
      </c>
      <c r="AG33" t="b">
        <v>1</v>
      </c>
      <c r="AH33" t="b">
        <v>1</v>
      </c>
      <c r="AI33" t="b">
        <v>1</v>
      </c>
      <c r="AJ33" t="b">
        <v>0</v>
      </c>
      <c r="AK33" t="b">
        <v>1</v>
      </c>
      <c r="AL33" t="b">
        <v>0</v>
      </c>
      <c r="AM33">
        <v>0</v>
      </c>
      <c r="AN33" t="b">
        <v>0</v>
      </c>
      <c r="AO33" t="b">
        <v>0</v>
      </c>
      <c r="AP33" t="b">
        <v>1</v>
      </c>
      <c r="AQ33" t="b">
        <v>1</v>
      </c>
      <c r="AR33" t="b">
        <v>1</v>
      </c>
      <c r="AS33" t="b">
        <v>1</v>
      </c>
      <c r="AT33" t="b">
        <v>0</v>
      </c>
      <c r="AU33" t="b">
        <v>0</v>
      </c>
      <c r="AV33" t="b">
        <v>0</v>
      </c>
      <c r="AW33">
        <v>100</v>
      </c>
      <c r="AX33" t="b">
        <v>0</v>
      </c>
      <c r="AY33" t="b">
        <v>0</v>
      </c>
      <c r="AZ33" t="b">
        <v>1</v>
      </c>
      <c r="BA33">
        <v>1</v>
      </c>
      <c r="BB33" t="s">
        <v>978</v>
      </c>
      <c r="BC33">
        <v>1</v>
      </c>
    </row>
    <row r="34" spans="1:55" hidden="1" x14ac:dyDescent="0.3">
      <c r="A34" s="80">
        <f t="shared" ref="A34:A65" si="1">COUNTBLANK(V34:AD34)+COUNTBLANK(AF34:AN34)+COUNTBLANK(AP34:AX34)+COUNTBLANK(AZ34:AZ34)</f>
        <v>0</v>
      </c>
      <c r="B34" s="80">
        <f>SUMIFS(CalculatorFC[FinCodeIssue],CalculatorFC[CalculatorCode],Calculators[[#This Row],[CalculatorCode]])</f>
        <v>0</v>
      </c>
      <c r="C34" s="80">
        <f>IF(LEN(Calculators[[#This Row],[CalculatorCode]])&lt;100,0,1)</f>
        <v>0</v>
      </c>
      <c r="D34" s="86">
        <f>IF(LEN(Calculators[[#This Row],[Title]])&lt;100,0,1)</f>
        <v>0</v>
      </c>
      <c r="E34" s="86">
        <f>(COUNTIF(CalculatorTypeCode[CalculatorTypeCode],Calculators[[#This Row],[CalculatorTypeCode]])-1)*-1</f>
        <v>0</v>
      </c>
      <c r="F34"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34"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34"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34" s="86">
        <f>IF(OR(Calculators[[#This Row],[CalculatorEnabled]]=TRUE,Calculators[[#This Row],[CalculatorEnabled]]=FALSE),0,1)</f>
        <v>0</v>
      </c>
      <c r="J34" s="86">
        <f>IF(ISBLANK(Calculators[[#This Row],[Title]])=TRUE,1,0)</f>
        <v>0</v>
      </c>
      <c r="K34" s="86">
        <f>IF(EXACT(Calculators[[#This Row],[CalculatorCode]],UPPER(Calculators[[#This Row],[CalculatorCode]])),0,1)</f>
        <v>0</v>
      </c>
      <c r="L34" s="86">
        <f>IF(SUBSTITUTE(TEXT(Calculators[[#This Row],[CalculatorCode]],10)," ","")=TEXT(Calculators[[#This Row],[CalculatorCode]],10),0,1)</f>
        <v>0</v>
      </c>
      <c r="M34" s="80">
        <f>SUM(Calculators[[#This Row],[Blank Data]:[Space in Code]])</f>
        <v>0</v>
      </c>
      <c r="N34" s="80" t="str" cm="1">
        <f t="array" ref="N34">_xlfn.TEXTJOIN(",",TRUE,IF(CalculatorFC[CalculatorCode]&amp;CalculatorFC[Type]=Calculators[[#This Row],[CalculatorCode]]&amp;Calculators[[#Headers],[SourceFinanceCodes]],CalculatorFC[FinanceCode],""))</f>
        <v/>
      </c>
      <c r="O34" s="80" t="str" cm="1">
        <f t="array" ref="O34">_xlfn.TEXTJOIN(",",TRUE,IF(CalculatorFC[CalculatorCode]&amp;CalculatorFC[Type]=Calculators[[#This Row],[CalculatorCode]]&amp;Calculators[[#Headers],[SourceGroupingCodes]],CalculatorFC[FinanceCode],""))</f>
        <v>Z10</v>
      </c>
      <c r="P34" s="80" t="str" cm="1">
        <f t="array" ref="P34">_xlfn.TEXTJOIN(",",TRUE,IF(CalculatorFC[CalculatorCode]&amp;CalculatorFC[Type]=Calculators[[#This Row],[CalculatorCode]]&amp;Calculators[[#Headers],[DivisorFinanceCodes]],CalculatorFC[FinanceCode],""))</f>
        <v/>
      </c>
      <c r="Q34" s="80" t="str" cm="1">
        <f t="array" ref="Q34">_xlfn.TEXTJOIN(",",TRUE,IF(CalculatorFC[CalculatorCode]&amp;CalculatorFC[Type]=Calculators[[#This Row],[CalculatorCode]]&amp;Calculators[[#Headers],[DivisorGroupingCodes]],CalculatorFC[FinanceCode],""))</f>
        <v>Z10</v>
      </c>
      <c r="R34" s="80" t="str" cm="1">
        <f t="array" ref="R34">_xlfn.TEXTJOIN(",",TRUE,IF(CalculatorFC[CalculatorCode]&amp;CalculatorFC[Type]=Calculators[[#This Row],[CalculatorCode]]&amp;Calculators[[#Headers],[MultiplierFinanceCodes]],CalculatorFC[FinanceCode],""))</f>
        <v>UPLIFT_EXP</v>
      </c>
      <c r="S34" s="80" t="str" cm="1">
        <f t="array" ref="S34">_xlfn.TEXTJOIN(",",TRUE,IF(CalculatorFC[CalculatorCode]&amp;CalculatorFC[Type]=Calculators[[#This Row],[CalculatorCode]]&amp;Calculators[[#Headers],[MultiplierGroupingCodes]],CalculatorFC[FinanceCode],""))</f>
        <v/>
      </c>
      <c r="T34" t="s">
        <v>1244</v>
      </c>
      <c r="U34" t="s">
        <v>1245</v>
      </c>
      <c r="V34" t="b">
        <v>0</v>
      </c>
      <c r="W34" t="b">
        <v>1</v>
      </c>
      <c r="X34" t="b">
        <v>1</v>
      </c>
      <c r="Y34" t="b">
        <v>1</v>
      </c>
      <c r="Z34" t="b">
        <v>0</v>
      </c>
      <c r="AA34" t="b">
        <v>0</v>
      </c>
      <c r="AB34" t="b">
        <v>0</v>
      </c>
      <c r="AC34">
        <v>0</v>
      </c>
      <c r="AD34" t="b">
        <v>0</v>
      </c>
      <c r="AE34" t="b">
        <v>0</v>
      </c>
      <c r="AF34" t="b">
        <v>0</v>
      </c>
      <c r="AG34" t="b">
        <v>1</v>
      </c>
      <c r="AH34" t="b">
        <v>1</v>
      </c>
      <c r="AI34" t="b">
        <v>1</v>
      </c>
      <c r="AJ34" t="b">
        <v>0</v>
      </c>
      <c r="AK34" t="b">
        <v>1</v>
      </c>
      <c r="AL34" t="b">
        <v>0</v>
      </c>
      <c r="AM34">
        <v>0</v>
      </c>
      <c r="AN34" t="b">
        <v>0</v>
      </c>
      <c r="AO34" t="b">
        <v>0</v>
      </c>
      <c r="AP34" t="b">
        <v>1</v>
      </c>
      <c r="AQ34" t="b">
        <v>1</v>
      </c>
      <c r="AR34" t="b">
        <v>1</v>
      </c>
      <c r="AS34" t="b">
        <v>1</v>
      </c>
      <c r="AT34" t="b">
        <v>0</v>
      </c>
      <c r="AU34" t="b">
        <v>0</v>
      </c>
      <c r="AV34" t="b">
        <v>0</v>
      </c>
      <c r="AW34">
        <v>100</v>
      </c>
      <c r="AX34" t="b">
        <v>0</v>
      </c>
      <c r="AY34" t="b">
        <v>0</v>
      </c>
      <c r="AZ34" t="b">
        <v>1</v>
      </c>
      <c r="BA34">
        <v>1</v>
      </c>
      <c r="BB34" t="s">
        <v>978</v>
      </c>
      <c r="BC34">
        <v>1</v>
      </c>
    </row>
    <row r="35" spans="1:55" hidden="1" x14ac:dyDescent="0.3">
      <c r="A35" s="80">
        <f t="shared" si="1"/>
        <v>0</v>
      </c>
      <c r="B35" s="80">
        <f>SUMIFS(CalculatorFC[FinCodeIssue],CalculatorFC[CalculatorCode],Calculators[[#This Row],[CalculatorCode]])</f>
        <v>8</v>
      </c>
      <c r="C35" s="80">
        <f>IF(LEN(Calculators[[#This Row],[CalculatorCode]])&lt;100,0,1)</f>
        <v>0</v>
      </c>
      <c r="D35" s="86">
        <f>IF(LEN(Calculators[[#This Row],[Title]])&lt;100,0,1)</f>
        <v>0</v>
      </c>
      <c r="E35" s="86">
        <f>(COUNTIF(CalculatorTypeCode[CalculatorTypeCode],Calculators[[#This Row],[CalculatorTypeCode]])-1)*-1</f>
        <v>0</v>
      </c>
      <c r="F35"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35"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35"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35" s="86">
        <f>IF(OR(Calculators[[#This Row],[CalculatorEnabled]]=TRUE,Calculators[[#This Row],[CalculatorEnabled]]=FALSE),0,1)</f>
        <v>0</v>
      </c>
      <c r="J35" s="86">
        <f>IF(ISBLANK(Calculators[[#This Row],[Title]])=TRUE,1,0)</f>
        <v>0</v>
      </c>
      <c r="K35" s="86">
        <f>IF(EXACT(Calculators[[#This Row],[CalculatorCode]],UPPER(Calculators[[#This Row],[CalculatorCode]])),0,1)</f>
        <v>0</v>
      </c>
      <c r="L35" s="86">
        <f>IF(SUBSTITUTE(TEXT(Calculators[[#This Row],[CalculatorCode]],10)," ","")=TEXT(Calculators[[#This Row],[CalculatorCode]],10),0,1)</f>
        <v>0</v>
      </c>
      <c r="M35" s="80">
        <f>SUM(Calculators[[#This Row],[Blank Data]:[Space in Code]])</f>
        <v>8</v>
      </c>
      <c r="N35" s="80" t="str" cm="1">
        <f t="array" ref="N35">_xlfn.TEXTJOIN(",",TRUE,IF(CalculatorFC[CalculatorCode]&amp;CalculatorFC[Type]=Calculators[[#This Row],[CalculatorCode]]&amp;Calculators[[#Headers],[SourceFinanceCodes]],CalculatorFC[FinanceCode],""))</f>
        <v>FUNDED_FS,FUNDED_KS1,FUNDED_KS2,FUNDED_KS3,FUNDED_KS3_ADJ,FUNDED_KS4,FUNDED_KS4_ADJ,FUNDED_PRI_ADJ</v>
      </c>
      <c r="O35" s="80" t="str" cm="1">
        <f t="array" ref="O35">_xlfn.TEXTJOIN(",",TRUE,IF(CalculatorFC[CalculatorCode]&amp;CalculatorFC[Type]=Calculators[[#This Row],[CalculatorCode]]&amp;Calculators[[#Headers],[SourceGroupingCodes]],CalculatorFC[FinanceCode],""))</f>
        <v/>
      </c>
      <c r="P35" s="80" t="str" cm="1">
        <f t="array" ref="P35">_xlfn.TEXTJOIN(",",TRUE,IF(CalculatorFC[CalculatorCode]&amp;CalculatorFC[Type]=Calculators[[#This Row],[CalculatorCode]]&amp;Calculators[[#Headers],[DivisorFinanceCodes]],CalculatorFC[FinanceCode],""))</f>
        <v>FUNDED_FS,FUNDED_KS1,FUNDED_KS2,FUNDED_KS3,FUNDED_KS3_ADJ,FUNDED_KS4,FUNDED_KS4_ADJ,FUNDED_PRI_ADJ</v>
      </c>
      <c r="Q35" s="80" t="str" cm="1">
        <f t="array" ref="Q35">_xlfn.TEXTJOIN(",",TRUE,IF(CalculatorFC[CalculatorCode]&amp;CalculatorFC[Type]=Calculators[[#This Row],[CalculatorCode]]&amp;Calculators[[#Headers],[DivisorGroupingCodes]],CalculatorFC[FinanceCode],""))</f>
        <v/>
      </c>
      <c r="R35" s="80" t="str" cm="1">
        <f t="array" ref="R35">_xlfn.TEXTJOIN(",",TRUE,IF(CalculatorFC[CalculatorCode]&amp;CalculatorFC[Type]=Calculators[[#This Row],[CalculatorCode]]&amp;Calculators[[#Headers],[MultiplierFinanceCodes]],CalculatorFC[FinanceCode],""))</f>
        <v>UPLIFT_GAG</v>
      </c>
      <c r="S35" s="80" t="str" cm="1">
        <f t="array" ref="S35">_xlfn.TEXTJOIN(",",TRUE,IF(CalculatorFC[CalculatorCode]&amp;CalculatorFC[Type]=Calculators[[#This Row],[CalculatorCode]]&amp;Calculators[[#Headers],[MultiplierGroupingCodes]],CalculatorFC[FinanceCode],""))</f>
        <v/>
      </c>
      <c r="T35" t="s">
        <v>1248</v>
      </c>
      <c r="U35" t="s">
        <v>1249</v>
      </c>
      <c r="V35" t="b">
        <v>0</v>
      </c>
      <c r="W35" t="b">
        <v>1</v>
      </c>
      <c r="X35" t="b">
        <v>1</v>
      </c>
      <c r="Y35" t="b">
        <v>1</v>
      </c>
      <c r="Z35" t="b">
        <v>0</v>
      </c>
      <c r="AA35" t="b">
        <v>0</v>
      </c>
      <c r="AB35" t="b">
        <v>0</v>
      </c>
      <c r="AC35">
        <v>0</v>
      </c>
      <c r="AD35" t="b">
        <v>0</v>
      </c>
      <c r="AE35" t="b">
        <v>0</v>
      </c>
      <c r="AF35" t="b">
        <v>0</v>
      </c>
      <c r="AG35" t="b">
        <v>1</v>
      </c>
      <c r="AH35" t="b">
        <v>1</v>
      </c>
      <c r="AI35" t="b">
        <v>1</v>
      </c>
      <c r="AJ35" t="b">
        <v>0</v>
      </c>
      <c r="AK35" t="b">
        <v>1</v>
      </c>
      <c r="AL35" t="b">
        <v>0</v>
      </c>
      <c r="AM35">
        <v>0</v>
      </c>
      <c r="AN35" t="b">
        <v>0</v>
      </c>
      <c r="AO35" t="b">
        <v>0</v>
      </c>
      <c r="AP35" t="b">
        <v>1</v>
      </c>
      <c r="AQ35" t="b">
        <v>1</v>
      </c>
      <c r="AR35" t="b">
        <v>1</v>
      </c>
      <c r="AS35" t="b">
        <v>1</v>
      </c>
      <c r="AT35" t="b">
        <v>0</v>
      </c>
      <c r="AU35" t="b">
        <v>0</v>
      </c>
      <c r="AV35" t="b">
        <v>0</v>
      </c>
      <c r="AW35">
        <v>100</v>
      </c>
      <c r="AX35" t="b">
        <v>0</v>
      </c>
      <c r="AY35" t="b">
        <v>0</v>
      </c>
      <c r="AZ35" t="b">
        <v>1</v>
      </c>
      <c r="BA35">
        <v>1</v>
      </c>
      <c r="BB35" t="s">
        <v>978</v>
      </c>
      <c r="BC35">
        <v>1</v>
      </c>
    </row>
    <row r="36" spans="1:55" hidden="1" x14ac:dyDescent="0.3">
      <c r="A36" s="80">
        <f t="shared" si="1"/>
        <v>0</v>
      </c>
      <c r="B36" s="80">
        <f>SUMIFS(CalculatorFC[FinCodeIssue],CalculatorFC[CalculatorCode],Calculators[[#This Row],[CalculatorCode]])</f>
        <v>0</v>
      </c>
      <c r="C36" s="80">
        <f>IF(LEN(Calculators[[#This Row],[CalculatorCode]])&lt;100,0,1)</f>
        <v>0</v>
      </c>
      <c r="D36" s="86">
        <f>IF(LEN(Calculators[[#This Row],[Title]])&lt;100,0,1)</f>
        <v>0</v>
      </c>
      <c r="E36" s="86">
        <f>(COUNTIF(CalculatorTypeCode[CalculatorTypeCode],Calculators[[#This Row],[CalculatorTypeCode]])-1)*-1</f>
        <v>0</v>
      </c>
      <c r="F36"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36"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36"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36" s="86">
        <f>IF(OR(Calculators[[#This Row],[CalculatorEnabled]]=TRUE,Calculators[[#This Row],[CalculatorEnabled]]=FALSE),0,1)</f>
        <v>0</v>
      </c>
      <c r="J36" s="86">
        <f>IF(ISBLANK(Calculators[[#This Row],[Title]])=TRUE,1,0)</f>
        <v>0</v>
      </c>
      <c r="K36" s="86">
        <f>IF(EXACT(Calculators[[#This Row],[CalculatorCode]],UPPER(Calculators[[#This Row],[CalculatorCode]])),0,1)</f>
        <v>0</v>
      </c>
      <c r="L36" s="86">
        <f>IF(SUBSTITUTE(TEXT(Calculators[[#This Row],[CalculatorCode]],10)," ","")=TEXT(Calculators[[#This Row],[CalculatorCode]],10),0,1)</f>
        <v>0</v>
      </c>
      <c r="M36" s="80">
        <f>SUM(Calculators[[#This Row],[Blank Data]:[Space in Code]])</f>
        <v>0</v>
      </c>
      <c r="N36" s="80" t="str" cm="1">
        <f t="array" ref="N36">_xlfn.TEXTJOIN(",",TRUE,IF(CalculatorFC[CalculatorCode]&amp;CalculatorFC[Type]=Calculators[[#This Row],[CalculatorCode]]&amp;Calculators[[#Headers],[SourceFinanceCodes]],CalculatorFC[FinanceCode],""))</f>
        <v/>
      </c>
      <c r="O36" s="80" t="str" cm="1">
        <f t="array" ref="O36">_xlfn.TEXTJOIN(",",TRUE,IF(CalculatorFC[CalculatorCode]&amp;CalculatorFC[Type]=Calculators[[#This Row],[CalculatorCode]]&amp;Calculators[[#Headers],[SourceGroupingCodes]],CalculatorFC[FinanceCode],""))</f>
        <v>Z10</v>
      </c>
      <c r="P36" s="80" t="str" cm="1">
        <f t="array" ref="P36">_xlfn.TEXTJOIN(",",TRUE,IF(CalculatorFC[CalculatorCode]&amp;CalculatorFC[Type]=Calculators[[#This Row],[CalculatorCode]]&amp;Calculators[[#Headers],[DivisorFinanceCodes]],CalculatorFC[FinanceCode],""))</f>
        <v/>
      </c>
      <c r="Q36" s="80" t="str" cm="1">
        <f t="array" ref="Q36">_xlfn.TEXTJOIN(",",TRUE,IF(CalculatorFC[CalculatorCode]&amp;CalculatorFC[Type]=Calculators[[#This Row],[CalculatorCode]]&amp;Calculators[[#Headers],[DivisorGroupingCodes]],CalculatorFC[FinanceCode],""))</f>
        <v>Z10</v>
      </c>
      <c r="R36" s="80" t="str" cm="1">
        <f t="array" ref="R36">_xlfn.TEXTJOIN(",",TRUE,IF(CalculatorFC[CalculatorCode]&amp;CalculatorFC[Type]=Calculators[[#This Row],[CalculatorCode]]&amp;Calculators[[#Headers],[MultiplierFinanceCodes]],CalculatorFC[FinanceCode],""))</f>
        <v>UPLIFT_INC</v>
      </c>
      <c r="S36" s="80" t="str" cm="1">
        <f t="array" ref="S36">_xlfn.TEXTJOIN(",",TRUE,IF(CalculatorFC[CalculatorCode]&amp;CalculatorFC[Type]=Calculators[[#This Row],[CalculatorCode]]&amp;Calculators[[#Headers],[MultiplierGroupingCodes]],CalculatorFC[FinanceCode],""))</f>
        <v/>
      </c>
      <c r="T36" t="s">
        <v>1250</v>
      </c>
      <c r="U36" t="s">
        <v>1251</v>
      </c>
      <c r="V36" t="b">
        <v>0</v>
      </c>
      <c r="W36" t="b">
        <v>1</v>
      </c>
      <c r="X36" t="b">
        <v>1</v>
      </c>
      <c r="Y36" t="b">
        <v>1</v>
      </c>
      <c r="Z36" t="b">
        <v>0</v>
      </c>
      <c r="AA36" t="b">
        <v>0</v>
      </c>
      <c r="AB36" t="b">
        <v>0</v>
      </c>
      <c r="AC36">
        <v>0</v>
      </c>
      <c r="AD36" t="b">
        <v>0</v>
      </c>
      <c r="AE36" t="b">
        <v>0</v>
      </c>
      <c r="AF36" t="b">
        <v>0</v>
      </c>
      <c r="AG36" t="b">
        <v>1</v>
      </c>
      <c r="AH36" t="b">
        <v>1</v>
      </c>
      <c r="AI36" t="b">
        <v>1</v>
      </c>
      <c r="AJ36" t="b">
        <v>0</v>
      </c>
      <c r="AK36" t="b">
        <v>1</v>
      </c>
      <c r="AL36" t="b">
        <v>0</v>
      </c>
      <c r="AM36">
        <v>0</v>
      </c>
      <c r="AN36" t="b">
        <v>0</v>
      </c>
      <c r="AO36" t="b">
        <v>0</v>
      </c>
      <c r="AP36" t="b">
        <v>1</v>
      </c>
      <c r="AQ36" t="b">
        <v>1</v>
      </c>
      <c r="AR36" t="b">
        <v>1</v>
      </c>
      <c r="AS36" t="b">
        <v>1</v>
      </c>
      <c r="AT36" t="b">
        <v>0</v>
      </c>
      <c r="AU36" t="b">
        <v>0</v>
      </c>
      <c r="AV36" t="b">
        <v>0</v>
      </c>
      <c r="AW36">
        <v>100</v>
      </c>
      <c r="AX36" t="b">
        <v>0</v>
      </c>
      <c r="AY36" t="b">
        <v>0</v>
      </c>
      <c r="AZ36" t="b">
        <v>1</v>
      </c>
      <c r="BA36">
        <v>1</v>
      </c>
      <c r="BB36" t="s">
        <v>978</v>
      </c>
      <c r="BC36">
        <v>1</v>
      </c>
    </row>
    <row r="37" spans="1:55" hidden="1" x14ac:dyDescent="0.3">
      <c r="A37" s="80">
        <f t="shared" si="1"/>
        <v>0</v>
      </c>
      <c r="B37" s="80">
        <f>SUMIFS(CalculatorFC[FinCodeIssue],CalculatorFC[CalculatorCode],Calculators[[#This Row],[CalculatorCode]])</f>
        <v>0</v>
      </c>
      <c r="C37" s="80">
        <f>IF(LEN(Calculators[[#This Row],[CalculatorCode]])&lt;100,0,1)</f>
        <v>0</v>
      </c>
      <c r="D37" s="86">
        <f>IF(LEN(Calculators[[#This Row],[Title]])&lt;100,0,1)</f>
        <v>0</v>
      </c>
      <c r="E37" s="86">
        <f>(COUNTIF(CalculatorTypeCode[CalculatorTypeCode],Calculators[[#This Row],[CalculatorTypeCode]])-1)*-1</f>
        <v>0</v>
      </c>
      <c r="F37"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37"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37"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37" s="86">
        <f>IF(OR(Calculators[[#This Row],[CalculatorEnabled]]=TRUE,Calculators[[#This Row],[CalculatorEnabled]]=FALSE),0,1)</f>
        <v>0</v>
      </c>
      <c r="J37" s="86">
        <f>IF(ISBLANK(Calculators[[#This Row],[Title]])=TRUE,1,0)</f>
        <v>0</v>
      </c>
      <c r="K37" s="86">
        <f>IF(EXACT(Calculators[[#This Row],[CalculatorCode]],UPPER(Calculators[[#This Row],[CalculatorCode]])),0,1)</f>
        <v>0</v>
      </c>
      <c r="L37" s="86">
        <f>IF(SUBSTITUTE(TEXT(Calculators[[#This Row],[CalculatorCode]],10)," ","")=TEXT(Calculators[[#This Row],[CalculatorCode]],10),0,1)</f>
        <v>0</v>
      </c>
      <c r="M37" s="80">
        <f>SUM(Calculators[[#This Row],[Blank Data]:[Space in Code]])</f>
        <v>0</v>
      </c>
      <c r="N37" s="80" t="str" cm="1">
        <f t="array" ref="N37">_xlfn.TEXTJOIN(",",TRUE,IF(CalculatorFC[CalculatorCode]&amp;CalculatorFC[Type]=Calculators[[#This Row],[CalculatorCode]]&amp;Calculators[[#Headers],[SourceFinanceCodes]],CalculatorFC[FinanceCode],""))</f>
        <v/>
      </c>
      <c r="O37" s="80" t="str" cm="1">
        <f t="array" ref="O37">_xlfn.TEXTJOIN(",",TRUE,IF(CalculatorFC[CalculatorCode]&amp;CalculatorFC[Type]=Calculators[[#This Row],[CalculatorCode]]&amp;Calculators[[#Headers],[SourceGroupingCodes]],CalculatorFC[FinanceCode],""))</f>
        <v>Z10</v>
      </c>
      <c r="P37" s="80" t="str" cm="1">
        <f t="array" ref="P37">_xlfn.TEXTJOIN(",",TRUE,IF(CalculatorFC[CalculatorCode]&amp;CalculatorFC[Type]=Calculators[[#This Row],[CalculatorCode]]&amp;Calculators[[#Headers],[DivisorFinanceCodes]],CalculatorFC[FinanceCode],""))</f>
        <v/>
      </c>
      <c r="Q37" s="80" t="str" cm="1">
        <f t="array" ref="Q37">_xlfn.TEXTJOIN(",",TRUE,IF(CalculatorFC[CalculatorCode]&amp;CalculatorFC[Type]=Calculators[[#This Row],[CalculatorCode]]&amp;Calculators[[#Headers],[DivisorGroupingCodes]],CalculatorFC[FinanceCode],""))</f>
        <v>Z10</v>
      </c>
      <c r="R37" s="80" t="str" cm="1">
        <f t="array" ref="R37">_xlfn.TEXTJOIN(",",TRUE,IF(CalculatorFC[CalculatorCode]&amp;CalculatorFC[Type]=Calculators[[#This Row],[CalculatorCode]]&amp;Calculators[[#Headers],[MultiplierFinanceCodes]],CalculatorFC[FinanceCode],""))</f>
        <v>UPLIFT_RPI</v>
      </c>
      <c r="S37" s="80" t="str" cm="1">
        <f t="array" ref="S37">_xlfn.TEXTJOIN(",",TRUE,IF(CalculatorFC[CalculatorCode]&amp;CalculatorFC[Type]=Calculators[[#This Row],[CalculatorCode]]&amp;Calculators[[#Headers],[MultiplierGroupingCodes]],CalculatorFC[FinanceCode],""))</f>
        <v/>
      </c>
      <c r="T37" t="s">
        <v>1252</v>
      </c>
      <c r="U37" t="s">
        <v>1253</v>
      </c>
      <c r="V37" t="b">
        <v>0</v>
      </c>
      <c r="W37" t="b">
        <v>1</v>
      </c>
      <c r="X37" t="b">
        <v>1</v>
      </c>
      <c r="Y37" t="b">
        <v>1</v>
      </c>
      <c r="Z37" t="b">
        <v>0</v>
      </c>
      <c r="AA37" t="b">
        <v>0</v>
      </c>
      <c r="AB37" t="b">
        <v>0</v>
      </c>
      <c r="AC37">
        <v>0</v>
      </c>
      <c r="AD37" t="b">
        <v>0</v>
      </c>
      <c r="AE37" t="b">
        <v>0</v>
      </c>
      <c r="AF37" t="b">
        <v>0</v>
      </c>
      <c r="AG37" t="b">
        <v>1</v>
      </c>
      <c r="AH37" t="b">
        <v>1</v>
      </c>
      <c r="AI37" t="b">
        <v>1</v>
      </c>
      <c r="AJ37" t="b">
        <v>0</v>
      </c>
      <c r="AK37" t="b">
        <v>1</v>
      </c>
      <c r="AL37" t="b">
        <v>0</v>
      </c>
      <c r="AM37">
        <v>0</v>
      </c>
      <c r="AN37" t="b">
        <v>0</v>
      </c>
      <c r="AO37" t="b">
        <v>0</v>
      </c>
      <c r="AP37" t="b">
        <v>1</v>
      </c>
      <c r="AQ37" t="b">
        <v>1</v>
      </c>
      <c r="AR37" t="b">
        <v>1</v>
      </c>
      <c r="AS37" t="b">
        <v>1</v>
      </c>
      <c r="AT37" t="b">
        <v>0</v>
      </c>
      <c r="AU37" t="b">
        <v>0</v>
      </c>
      <c r="AV37" t="b">
        <v>0</v>
      </c>
      <c r="AW37">
        <v>100</v>
      </c>
      <c r="AX37" t="b">
        <v>0</v>
      </c>
      <c r="AY37" t="b">
        <v>0</v>
      </c>
      <c r="AZ37" t="b">
        <v>1</v>
      </c>
      <c r="BA37">
        <v>1</v>
      </c>
      <c r="BB37" t="s">
        <v>978</v>
      </c>
      <c r="BC37">
        <v>1</v>
      </c>
    </row>
    <row r="38" spans="1:55" x14ac:dyDescent="0.3">
      <c r="A38" s="80">
        <f t="shared" si="1"/>
        <v>0</v>
      </c>
      <c r="B38" s="80">
        <f>SUMIFS(CalculatorFC[FinCodeIssue],CalculatorFC[CalculatorCode],Calculators[[#This Row],[CalculatorCode]])</f>
        <v>0</v>
      </c>
      <c r="C38" s="80">
        <f>IF(LEN(Calculators[[#This Row],[CalculatorCode]])&lt;100,0,1)</f>
        <v>0</v>
      </c>
      <c r="D38" s="86">
        <f>IF(LEN(Calculators[[#This Row],[Title]])&lt;100,0,1)</f>
        <v>0</v>
      </c>
      <c r="E38" s="86">
        <f>(COUNTIF(CalculatorTypeCode[CalculatorTypeCode],Calculators[[#This Row],[CalculatorTypeCode]])-1)*-1</f>
        <v>0</v>
      </c>
      <c r="F38"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38"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38"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38" s="86">
        <f>IF(OR(Calculators[[#This Row],[CalculatorEnabled]]=TRUE,Calculators[[#This Row],[CalculatorEnabled]]=FALSE),0,1)</f>
        <v>0</v>
      </c>
      <c r="J38" s="86">
        <f>IF(ISBLANK(Calculators[[#This Row],[Title]])=TRUE,1,0)</f>
        <v>0</v>
      </c>
      <c r="K38" s="86">
        <f>IF(EXACT(Calculators[[#This Row],[CalculatorCode]],UPPER(Calculators[[#This Row],[CalculatorCode]])),0,1)</f>
        <v>0</v>
      </c>
      <c r="L38" s="86">
        <f>IF(SUBSTITUTE(TEXT(Calculators[[#This Row],[CalculatorCode]],10)," ","")=TEXT(Calculators[[#This Row],[CalculatorCode]],10),0,1)</f>
        <v>0</v>
      </c>
      <c r="M38" s="80">
        <f>SUM(Calculators[[#This Row],[Blank Data]:[Space in Code]])</f>
        <v>0</v>
      </c>
      <c r="N38" s="80" t="str" cm="1">
        <f t="array" ref="N38">_xlfn.TEXTJOIN(",",TRUE,IF(CalculatorFC[CalculatorCode]&amp;CalculatorFC[Type]=Calculators[[#This Row],[CalculatorCode]]&amp;Calculators[[#Headers],[SourceFinanceCodes]],CalculatorFC[FinanceCode],""))</f>
        <v>PUPIL_CEN_00</v>
      </c>
      <c r="O38" s="80" t="str" cm="1">
        <f t="array" ref="O38">_xlfn.TEXTJOIN(",",TRUE,IF(CalculatorFC[CalculatorCode]&amp;CalculatorFC[Type]=Calculators[[#This Row],[CalculatorCode]]&amp;Calculators[[#Headers],[SourceGroupingCodes]],CalculatorFC[FinanceCode],""))</f>
        <v/>
      </c>
      <c r="P38" s="80" t="str" cm="1">
        <f t="array" ref="P38">_xlfn.TEXTJOIN(",",TRUE,IF(CalculatorFC[CalculatorCode]&amp;CalculatorFC[Type]=Calculators[[#This Row],[CalculatorCode]]&amp;Calculators[[#Headers],[DivisorFinanceCodes]],CalculatorFC[FinanceCode],""))</f>
        <v/>
      </c>
      <c r="Q38" s="80" t="str" cm="1">
        <f t="array" ref="Q38">_xlfn.TEXTJOIN(",",TRUE,IF(CalculatorFC[CalculatorCode]&amp;CalculatorFC[Type]=Calculators[[#This Row],[CalculatorCode]]&amp;Calculators[[#Headers],[DivisorGroupingCodes]],CalculatorFC[FinanceCode],""))</f>
        <v/>
      </c>
      <c r="R38" s="80" t="str" cm="1">
        <f t="array" ref="R38">_xlfn.TEXTJOIN(",",TRUE,IF(CalculatorFC[CalculatorCode]&amp;CalculatorFC[Type]=Calculators[[#This Row],[CalculatorCode]]&amp;Calculators[[#Headers],[MultiplierFinanceCodes]],CalculatorFC[FinanceCode],""))</f>
        <v/>
      </c>
      <c r="S38" s="80" t="str" cm="1">
        <f t="array" ref="S38">_xlfn.TEXTJOIN(",",TRUE,IF(CalculatorFC[CalculatorCode]&amp;CalculatorFC[Type]=Calculators[[#This Row],[CalculatorCode]]&amp;Calculators[[#Headers],[MultiplierGroupingCodes]],CalculatorFC[FinanceCode],""))</f>
        <v/>
      </c>
      <c r="T38" t="s">
        <v>1254</v>
      </c>
      <c r="U38" t="s">
        <v>1255</v>
      </c>
      <c r="V38" t="b">
        <v>0</v>
      </c>
      <c r="W38" t="b">
        <v>0</v>
      </c>
      <c r="X38" t="b">
        <v>0</v>
      </c>
      <c r="Y38" t="b">
        <v>1</v>
      </c>
      <c r="Z38" t="b">
        <v>0</v>
      </c>
      <c r="AA38" t="b">
        <v>1</v>
      </c>
      <c r="AB38" t="b">
        <v>0</v>
      </c>
      <c r="AC38">
        <v>0</v>
      </c>
      <c r="AD38" t="b">
        <v>0</v>
      </c>
      <c r="AE38" t="b">
        <v>0</v>
      </c>
      <c r="AF38" t="b">
        <v>0</v>
      </c>
      <c r="AG38" t="b">
        <v>0</v>
      </c>
      <c r="AH38" t="b">
        <v>0</v>
      </c>
      <c r="AI38" t="b">
        <v>1</v>
      </c>
      <c r="AJ38" t="b">
        <v>0</v>
      </c>
      <c r="AK38" t="b">
        <v>1</v>
      </c>
      <c r="AL38" t="b">
        <v>0</v>
      </c>
      <c r="AM38">
        <v>1</v>
      </c>
      <c r="AN38" t="b">
        <v>0</v>
      </c>
      <c r="AO38" t="b">
        <v>0</v>
      </c>
      <c r="AP38" t="b">
        <v>0</v>
      </c>
      <c r="AQ38" t="b">
        <v>0</v>
      </c>
      <c r="AR38" t="b">
        <v>0</v>
      </c>
      <c r="AS38" t="b">
        <v>1</v>
      </c>
      <c r="AT38" t="b">
        <v>0</v>
      </c>
      <c r="AU38" t="b">
        <v>1</v>
      </c>
      <c r="AV38" t="b">
        <v>0</v>
      </c>
      <c r="AW38">
        <v>1</v>
      </c>
      <c r="AX38" t="b">
        <v>0</v>
      </c>
      <c r="AY38" t="b">
        <v>0</v>
      </c>
      <c r="AZ38" t="b">
        <v>1</v>
      </c>
      <c r="BA38">
        <v>0</v>
      </c>
      <c r="BB38" t="s">
        <v>922</v>
      </c>
      <c r="BC38">
        <v>0</v>
      </c>
    </row>
    <row r="39" spans="1:55" x14ac:dyDescent="0.3">
      <c r="A39" s="80">
        <f t="shared" si="1"/>
        <v>0</v>
      </c>
      <c r="B39" s="80">
        <f>SUMIFS(CalculatorFC[FinCodeIssue],CalculatorFC[CalculatorCode],Calculators[[#This Row],[CalculatorCode]])</f>
        <v>0</v>
      </c>
      <c r="C39" s="80">
        <f>IF(LEN(Calculators[[#This Row],[CalculatorCode]])&lt;100,0,1)</f>
        <v>0</v>
      </c>
      <c r="D39" s="86">
        <f>IF(LEN(Calculators[[#This Row],[Title]])&lt;100,0,1)</f>
        <v>0</v>
      </c>
      <c r="E39" s="86">
        <f>(COUNTIF(CalculatorTypeCode[CalculatorTypeCode],Calculators[[#This Row],[CalculatorTypeCode]])-1)*-1</f>
        <v>0</v>
      </c>
      <c r="F39"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39"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39"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39" s="86">
        <f>IF(OR(Calculators[[#This Row],[CalculatorEnabled]]=TRUE,Calculators[[#This Row],[CalculatorEnabled]]=FALSE),0,1)</f>
        <v>0</v>
      </c>
      <c r="J39" s="86">
        <f>IF(ISBLANK(Calculators[[#This Row],[Title]])=TRUE,1,0)</f>
        <v>0</v>
      </c>
      <c r="K39" s="86">
        <f>IF(EXACT(Calculators[[#This Row],[CalculatorCode]],UPPER(Calculators[[#This Row],[CalculatorCode]])),0,1)</f>
        <v>0</v>
      </c>
      <c r="L39" s="86">
        <f>IF(SUBSTITUTE(TEXT(Calculators[[#This Row],[CalculatorCode]],10)," ","")=TEXT(Calculators[[#This Row],[CalculatorCode]],10),0,1)</f>
        <v>0</v>
      </c>
      <c r="M39" s="80">
        <f>SUM(Calculators[[#This Row],[Blank Data]:[Space in Code]])</f>
        <v>0</v>
      </c>
      <c r="N39" s="80" t="str" cm="1">
        <f t="array" ref="N39">_xlfn.TEXTJOIN(",",TRUE,IF(CalculatorFC[CalculatorCode]&amp;CalculatorFC[Type]=Calculators[[#This Row],[CalculatorCode]]&amp;Calculators[[#Headers],[SourceFinanceCodes]],CalculatorFC[FinanceCode],""))</f>
        <v>PUPIL_CEN_01</v>
      </c>
      <c r="O39" s="80" t="str" cm="1">
        <f t="array" ref="O39">_xlfn.TEXTJOIN(",",TRUE,IF(CalculatorFC[CalculatorCode]&amp;CalculatorFC[Type]=Calculators[[#This Row],[CalculatorCode]]&amp;Calculators[[#Headers],[SourceGroupingCodes]],CalculatorFC[FinanceCode],""))</f>
        <v/>
      </c>
      <c r="P39" s="80" t="str" cm="1">
        <f t="array" ref="P39">_xlfn.TEXTJOIN(",",TRUE,IF(CalculatorFC[CalculatorCode]&amp;CalculatorFC[Type]=Calculators[[#This Row],[CalculatorCode]]&amp;Calculators[[#Headers],[DivisorFinanceCodes]],CalculatorFC[FinanceCode],""))</f>
        <v/>
      </c>
      <c r="Q39" s="80" t="str" cm="1">
        <f t="array" ref="Q39">_xlfn.TEXTJOIN(",",TRUE,IF(CalculatorFC[CalculatorCode]&amp;CalculatorFC[Type]=Calculators[[#This Row],[CalculatorCode]]&amp;Calculators[[#Headers],[DivisorGroupingCodes]],CalculatorFC[FinanceCode],""))</f>
        <v/>
      </c>
      <c r="R39" s="80" t="str" cm="1">
        <f t="array" ref="R39">_xlfn.TEXTJOIN(",",TRUE,IF(CalculatorFC[CalculatorCode]&amp;CalculatorFC[Type]=Calculators[[#This Row],[CalculatorCode]]&amp;Calculators[[#Headers],[MultiplierFinanceCodes]],CalculatorFC[FinanceCode],""))</f>
        <v/>
      </c>
      <c r="S39" s="80" t="str" cm="1">
        <f t="array" ref="S39">_xlfn.TEXTJOIN(",",TRUE,IF(CalculatorFC[CalculatorCode]&amp;CalculatorFC[Type]=Calculators[[#This Row],[CalculatorCode]]&amp;Calculators[[#Headers],[MultiplierGroupingCodes]],CalculatorFC[FinanceCode],""))</f>
        <v/>
      </c>
      <c r="T39" t="s">
        <v>1256</v>
      </c>
      <c r="U39" t="s">
        <v>1257</v>
      </c>
      <c r="V39" t="b">
        <v>0</v>
      </c>
      <c r="W39" t="b">
        <v>0</v>
      </c>
      <c r="X39" t="b">
        <v>0</v>
      </c>
      <c r="Y39" t="b">
        <v>1</v>
      </c>
      <c r="Z39" t="b">
        <v>0</v>
      </c>
      <c r="AA39" t="b">
        <v>1</v>
      </c>
      <c r="AB39" t="b">
        <v>0</v>
      </c>
      <c r="AC39">
        <v>0</v>
      </c>
      <c r="AD39" t="b">
        <v>0</v>
      </c>
      <c r="AE39" t="b">
        <v>0</v>
      </c>
      <c r="AF39" t="b">
        <v>0</v>
      </c>
      <c r="AG39" t="b">
        <v>0</v>
      </c>
      <c r="AH39" t="b">
        <v>0</v>
      </c>
      <c r="AI39" t="b">
        <v>1</v>
      </c>
      <c r="AJ39" t="b">
        <v>0</v>
      </c>
      <c r="AK39" t="b">
        <v>1</v>
      </c>
      <c r="AL39" t="b">
        <v>0</v>
      </c>
      <c r="AM39">
        <v>1</v>
      </c>
      <c r="AN39" t="b">
        <v>0</v>
      </c>
      <c r="AO39" t="b">
        <v>0</v>
      </c>
      <c r="AP39" t="b">
        <v>0</v>
      </c>
      <c r="AQ39" t="b">
        <v>0</v>
      </c>
      <c r="AR39" t="b">
        <v>0</v>
      </c>
      <c r="AS39" t="b">
        <v>1</v>
      </c>
      <c r="AT39" t="b">
        <v>0</v>
      </c>
      <c r="AU39" t="b">
        <v>1</v>
      </c>
      <c r="AV39" t="b">
        <v>0</v>
      </c>
      <c r="AW39">
        <v>1</v>
      </c>
      <c r="AX39" t="b">
        <v>0</v>
      </c>
      <c r="AY39" t="b">
        <v>0</v>
      </c>
      <c r="AZ39" t="b">
        <v>1</v>
      </c>
      <c r="BA39">
        <v>0</v>
      </c>
      <c r="BB39" t="s">
        <v>922</v>
      </c>
      <c r="BC39">
        <v>0</v>
      </c>
    </row>
    <row r="40" spans="1:55" x14ac:dyDescent="0.3">
      <c r="A40" s="80">
        <f t="shared" si="1"/>
        <v>0</v>
      </c>
      <c r="B40" s="80">
        <f>SUMIFS(CalculatorFC[FinCodeIssue],CalculatorFC[CalculatorCode],Calculators[[#This Row],[CalculatorCode]])</f>
        <v>0</v>
      </c>
      <c r="C40" s="80">
        <f>IF(LEN(Calculators[[#This Row],[CalculatorCode]])&lt;100,0,1)</f>
        <v>0</v>
      </c>
      <c r="D40" s="86">
        <f>IF(LEN(Calculators[[#This Row],[Title]])&lt;100,0,1)</f>
        <v>0</v>
      </c>
      <c r="E40" s="86">
        <f>(COUNTIF(CalculatorTypeCode[CalculatorTypeCode],Calculators[[#This Row],[CalculatorTypeCode]])-1)*-1</f>
        <v>0</v>
      </c>
      <c r="F40"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40"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40"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40" s="86">
        <f>IF(OR(Calculators[[#This Row],[CalculatorEnabled]]=TRUE,Calculators[[#This Row],[CalculatorEnabled]]=FALSE),0,1)</f>
        <v>0</v>
      </c>
      <c r="J40" s="86">
        <f>IF(ISBLANK(Calculators[[#This Row],[Title]])=TRUE,1,0)</f>
        <v>0</v>
      </c>
      <c r="K40" s="86">
        <f>IF(EXACT(Calculators[[#This Row],[CalculatorCode]],UPPER(Calculators[[#This Row],[CalculatorCode]])),0,1)</f>
        <v>0</v>
      </c>
      <c r="L40" s="86">
        <f>IF(SUBSTITUTE(TEXT(Calculators[[#This Row],[CalculatorCode]],10)," ","")=TEXT(Calculators[[#This Row],[CalculatorCode]],10),0,1)</f>
        <v>0</v>
      </c>
      <c r="M40" s="80">
        <f>SUM(Calculators[[#This Row],[Blank Data]:[Space in Code]])</f>
        <v>0</v>
      </c>
      <c r="N40" s="80" t="str" cm="1">
        <f t="array" ref="N40">_xlfn.TEXTJOIN(",",TRUE,IF(CalculatorFC[CalculatorCode]&amp;CalculatorFC[Type]=Calculators[[#This Row],[CalculatorCode]]&amp;Calculators[[#Headers],[SourceFinanceCodes]],CalculatorFC[FinanceCode],""))</f>
        <v>PUPIL_CEN_02</v>
      </c>
      <c r="O40" s="80" t="str" cm="1">
        <f t="array" ref="O40">_xlfn.TEXTJOIN(",",TRUE,IF(CalculatorFC[CalculatorCode]&amp;CalculatorFC[Type]=Calculators[[#This Row],[CalculatorCode]]&amp;Calculators[[#Headers],[SourceGroupingCodes]],CalculatorFC[FinanceCode],""))</f>
        <v/>
      </c>
      <c r="P40" s="80" t="str" cm="1">
        <f t="array" ref="P40">_xlfn.TEXTJOIN(",",TRUE,IF(CalculatorFC[CalculatorCode]&amp;CalculatorFC[Type]=Calculators[[#This Row],[CalculatorCode]]&amp;Calculators[[#Headers],[DivisorFinanceCodes]],CalculatorFC[FinanceCode],""))</f>
        <v/>
      </c>
      <c r="Q40" s="80" t="str" cm="1">
        <f t="array" ref="Q40">_xlfn.TEXTJOIN(",",TRUE,IF(CalculatorFC[CalculatorCode]&amp;CalculatorFC[Type]=Calculators[[#This Row],[CalculatorCode]]&amp;Calculators[[#Headers],[DivisorGroupingCodes]],CalculatorFC[FinanceCode],""))</f>
        <v/>
      </c>
      <c r="R40" s="80" t="str" cm="1">
        <f t="array" ref="R40">_xlfn.TEXTJOIN(",",TRUE,IF(CalculatorFC[CalculatorCode]&amp;CalculatorFC[Type]=Calculators[[#This Row],[CalculatorCode]]&amp;Calculators[[#Headers],[MultiplierFinanceCodes]],CalculatorFC[FinanceCode],""))</f>
        <v/>
      </c>
      <c r="S40" s="80" t="str" cm="1">
        <f t="array" ref="S40">_xlfn.TEXTJOIN(",",TRUE,IF(CalculatorFC[CalculatorCode]&amp;CalculatorFC[Type]=Calculators[[#This Row],[CalculatorCode]]&amp;Calculators[[#Headers],[MultiplierGroupingCodes]],CalculatorFC[FinanceCode],""))</f>
        <v/>
      </c>
      <c r="T40" t="s">
        <v>1258</v>
      </c>
      <c r="U40" t="s">
        <v>1259</v>
      </c>
      <c r="V40" t="b">
        <v>0</v>
      </c>
      <c r="W40" t="b">
        <v>0</v>
      </c>
      <c r="X40" t="b">
        <v>0</v>
      </c>
      <c r="Y40" t="b">
        <v>1</v>
      </c>
      <c r="Z40" t="b">
        <v>0</v>
      </c>
      <c r="AA40" t="b">
        <v>1</v>
      </c>
      <c r="AB40" t="b">
        <v>0</v>
      </c>
      <c r="AC40">
        <v>0</v>
      </c>
      <c r="AD40" t="b">
        <v>0</v>
      </c>
      <c r="AE40" t="b">
        <v>0</v>
      </c>
      <c r="AF40" t="b">
        <v>0</v>
      </c>
      <c r="AG40" t="b">
        <v>0</v>
      </c>
      <c r="AH40" t="b">
        <v>0</v>
      </c>
      <c r="AI40" t="b">
        <v>1</v>
      </c>
      <c r="AJ40" t="b">
        <v>0</v>
      </c>
      <c r="AK40" t="b">
        <v>1</v>
      </c>
      <c r="AL40" t="b">
        <v>0</v>
      </c>
      <c r="AM40">
        <v>1</v>
      </c>
      <c r="AN40" t="b">
        <v>0</v>
      </c>
      <c r="AO40" t="b">
        <v>0</v>
      </c>
      <c r="AP40" t="b">
        <v>0</v>
      </c>
      <c r="AQ40" t="b">
        <v>0</v>
      </c>
      <c r="AR40" t="b">
        <v>0</v>
      </c>
      <c r="AS40" t="b">
        <v>1</v>
      </c>
      <c r="AT40" t="b">
        <v>0</v>
      </c>
      <c r="AU40" t="b">
        <v>1</v>
      </c>
      <c r="AV40" t="b">
        <v>0</v>
      </c>
      <c r="AW40">
        <v>1</v>
      </c>
      <c r="AX40" t="b">
        <v>0</v>
      </c>
      <c r="AY40" t="b">
        <v>0</v>
      </c>
      <c r="AZ40" t="b">
        <v>1</v>
      </c>
      <c r="BA40">
        <v>0</v>
      </c>
      <c r="BB40" t="s">
        <v>922</v>
      </c>
      <c r="BC40">
        <v>0</v>
      </c>
    </row>
    <row r="41" spans="1:55" x14ac:dyDescent="0.3">
      <c r="A41" s="80">
        <f t="shared" si="1"/>
        <v>0</v>
      </c>
      <c r="B41" s="80">
        <f>SUMIFS(CalculatorFC[FinCodeIssue],CalculatorFC[CalculatorCode],Calculators[[#This Row],[CalculatorCode]])</f>
        <v>0</v>
      </c>
      <c r="C41" s="80">
        <f>IF(LEN(Calculators[[#This Row],[CalculatorCode]])&lt;100,0,1)</f>
        <v>0</v>
      </c>
      <c r="D41" s="86">
        <f>IF(LEN(Calculators[[#This Row],[Title]])&lt;100,0,1)</f>
        <v>0</v>
      </c>
      <c r="E41" s="86">
        <f>(COUNTIF(CalculatorTypeCode[CalculatorTypeCode],Calculators[[#This Row],[CalculatorTypeCode]])-1)*-1</f>
        <v>0</v>
      </c>
      <c r="F41"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41"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41"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41" s="86">
        <f>IF(OR(Calculators[[#This Row],[CalculatorEnabled]]=TRUE,Calculators[[#This Row],[CalculatorEnabled]]=FALSE),0,1)</f>
        <v>0</v>
      </c>
      <c r="J41" s="86">
        <f>IF(ISBLANK(Calculators[[#This Row],[Title]])=TRUE,1,0)</f>
        <v>0</v>
      </c>
      <c r="K41" s="86">
        <f>IF(EXACT(Calculators[[#This Row],[CalculatorCode]],UPPER(Calculators[[#This Row],[CalculatorCode]])),0,1)</f>
        <v>0</v>
      </c>
      <c r="L41" s="86">
        <f>IF(SUBSTITUTE(TEXT(Calculators[[#This Row],[CalculatorCode]],10)," ","")=TEXT(Calculators[[#This Row],[CalculatorCode]],10),0,1)</f>
        <v>0</v>
      </c>
      <c r="M41" s="80">
        <f>SUM(Calculators[[#This Row],[Blank Data]:[Space in Code]])</f>
        <v>0</v>
      </c>
      <c r="N41" s="80" t="str" cm="1">
        <f t="array" ref="N41">_xlfn.TEXTJOIN(",",TRUE,IF(CalculatorFC[CalculatorCode]&amp;CalculatorFC[Type]=Calculators[[#This Row],[CalculatorCode]]&amp;Calculators[[#Headers],[SourceFinanceCodes]],CalculatorFC[FinanceCode],""))</f>
        <v>PUPIL_CEN_03</v>
      </c>
      <c r="O41" s="80" t="str" cm="1">
        <f t="array" ref="O41">_xlfn.TEXTJOIN(",",TRUE,IF(CalculatorFC[CalculatorCode]&amp;CalculatorFC[Type]=Calculators[[#This Row],[CalculatorCode]]&amp;Calculators[[#Headers],[SourceGroupingCodes]],CalculatorFC[FinanceCode],""))</f>
        <v/>
      </c>
      <c r="P41" s="80" t="str" cm="1">
        <f t="array" ref="P41">_xlfn.TEXTJOIN(",",TRUE,IF(CalculatorFC[CalculatorCode]&amp;CalculatorFC[Type]=Calculators[[#This Row],[CalculatorCode]]&amp;Calculators[[#Headers],[DivisorFinanceCodes]],CalculatorFC[FinanceCode],""))</f>
        <v/>
      </c>
      <c r="Q41" s="80" t="str" cm="1">
        <f t="array" ref="Q41">_xlfn.TEXTJOIN(",",TRUE,IF(CalculatorFC[CalculatorCode]&amp;CalculatorFC[Type]=Calculators[[#This Row],[CalculatorCode]]&amp;Calculators[[#Headers],[DivisorGroupingCodes]],CalculatorFC[FinanceCode],""))</f>
        <v/>
      </c>
      <c r="R41" s="80" t="str" cm="1">
        <f t="array" ref="R41">_xlfn.TEXTJOIN(",",TRUE,IF(CalculatorFC[CalculatorCode]&amp;CalculatorFC[Type]=Calculators[[#This Row],[CalculatorCode]]&amp;Calculators[[#Headers],[MultiplierFinanceCodes]],CalculatorFC[FinanceCode],""))</f>
        <v/>
      </c>
      <c r="S41" s="80" t="str" cm="1">
        <f t="array" ref="S41">_xlfn.TEXTJOIN(",",TRUE,IF(CalculatorFC[CalculatorCode]&amp;CalculatorFC[Type]=Calculators[[#This Row],[CalculatorCode]]&amp;Calculators[[#Headers],[MultiplierGroupingCodes]],CalculatorFC[FinanceCode],""))</f>
        <v/>
      </c>
      <c r="T41" t="s">
        <v>1260</v>
      </c>
      <c r="U41" t="s">
        <v>1261</v>
      </c>
      <c r="V41" t="b">
        <v>0</v>
      </c>
      <c r="W41" t="b">
        <v>0</v>
      </c>
      <c r="X41" t="b">
        <v>0</v>
      </c>
      <c r="Y41" t="b">
        <v>1</v>
      </c>
      <c r="Z41" t="b">
        <v>0</v>
      </c>
      <c r="AA41" t="b">
        <v>1</v>
      </c>
      <c r="AB41" t="b">
        <v>0</v>
      </c>
      <c r="AC41">
        <v>0</v>
      </c>
      <c r="AD41" t="b">
        <v>0</v>
      </c>
      <c r="AE41" t="b">
        <v>0</v>
      </c>
      <c r="AF41" t="b">
        <v>0</v>
      </c>
      <c r="AG41" t="b">
        <v>0</v>
      </c>
      <c r="AH41" t="b">
        <v>0</v>
      </c>
      <c r="AI41" t="b">
        <v>1</v>
      </c>
      <c r="AJ41" t="b">
        <v>0</v>
      </c>
      <c r="AK41" t="b">
        <v>1</v>
      </c>
      <c r="AL41" t="b">
        <v>0</v>
      </c>
      <c r="AM41">
        <v>1</v>
      </c>
      <c r="AN41" t="b">
        <v>0</v>
      </c>
      <c r="AO41" t="b">
        <v>0</v>
      </c>
      <c r="AP41" t="b">
        <v>0</v>
      </c>
      <c r="AQ41" t="b">
        <v>0</v>
      </c>
      <c r="AR41" t="b">
        <v>0</v>
      </c>
      <c r="AS41" t="b">
        <v>1</v>
      </c>
      <c r="AT41" t="b">
        <v>0</v>
      </c>
      <c r="AU41" t="b">
        <v>1</v>
      </c>
      <c r="AV41" t="b">
        <v>0</v>
      </c>
      <c r="AW41">
        <v>1</v>
      </c>
      <c r="AX41" t="b">
        <v>0</v>
      </c>
      <c r="AY41" t="b">
        <v>0</v>
      </c>
      <c r="AZ41" t="b">
        <v>1</v>
      </c>
      <c r="BA41">
        <v>0</v>
      </c>
      <c r="BB41" t="s">
        <v>922</v>
      </c>
      <c r="BC41">
        <v>0</v>
      </c>
    </row>
    <row r="42" spans="1:55" x14ac:dyDescent="0.3">
      <c r="A42" s="80">
        <f t="shared" si="1"/>
        <v>0</v>
      </c>
      <c r="B42" s="80">
        <f>SUMIFS(CalculatorFC[FinCodeIssue],CalculatorFC[CalculatorCode],Calculators[[#This Row],[CalculatorCode]])</f>
        <v>0</v>
      </c>
      <c r="C42" s="80">
        <f>IF(LEN(Calculators[[#This Row],[CalculatorCode]])&lt;100,0,1)</f>
        <v>0</v>
      </c>
      <c r="D42" s="86">
        <f>IF(LEN(Calculators[[#This Row],[Title]])&lt;100,0,1)</f>
        <v>0</v>
      </c>
      <c r="E42" s="86">
        <f>(COUNTIF(CalculatorTypeCode[CalculatorTypeCode],Calculators[[#This Row],[CalculatorTypeCode]])-1)*-1</f>
        <v>0</v>
      </c>
      <c r="F42"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42"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42"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42" s="86">
        <f>IF(OR(Calculators[[#This Row],[CalculatorEnabled]]=TRUE,Calculators[[#This Row],[CalculatorEnabled]]=FALSE),0,1)</f>
        <v>0</v>
      </c>
      <c r="J42" s="86">
        <f>IF(ISBLANK(Calculators[[#This Row],[Title]])=TRUE,1,0)</f>
        <v>0</v>
      </c>
      <c r="K42" s="86">
        <f>IF(EXACT(Calculators[[#This Row],[CalculatorCode]],UPPER(Calculators[[#This Row],[CalculatorCode]])),0,1)</f>
        <v>0</v>
      </c>
      <c r="L42" s="86">
        <f>IF(SUBSTITUTE(TEXT(Calculators[[#This Row],[CalculatorCode]],10)," ","")=TEXT(Calculators[[#This Row],[CalculatorCode]],10),0,1)</f>
        <v>0</v>
      </c>
      <c r="M42" s="80">
        <f>SUM(Calculators[[#This Row],[Blank Data]:[Space in Code]])</f>
        <v>0</v>
      </c>
      <c r="N42" s="80" t="str" cm="1">
        <f t="array" ref="N42">_xlfn.TEXTJOIN(",",TRUE,IF(CalculatorFC[CalculatorCode]&amp;CalculatorFC[Type]=Calculators[[#This Row],[CalculatorCode]]&amp;Calculators[[#Headers],[SourceFinanceCodes]],CalculatorFC[FinanceCode],""))</f>
        <v>PUPIL_CEN_04</v>
      </c>
      <c r="O42" s="80" t="str" cm="1">
        <f t="array" ref="O42">_xlfn.TEXTJOIN(",",TRUE,IF(CalculatorFC[CalculatorCode]&amp;CalculatorFC[Type]=Calculators[[#This Row],[CalculatorCode]]&amp;Calculators[[#Headers],[SourceGroupingCodes]],CalculatorFC[FinanceCode],""))</f>
        <v/>
      </c>
      <c r="P42" s="80" t="str" cm="1">
        <f t="array" ref="P42">_xlfn.TEXTJOIN(",",TRUE,IF(CalculatorFC[CalculatorCode]&amp;CalculatorFC[Type]=Calculators[[#This Row],[CalculatorCode]]&amp;Calculators[[#Headers],[DivisorFinanceCodes]],CalculatorFC[FinanceCode],""))</f>
        <v/>
      </c>
      <c r="Q42" s="80" t="str" cm="1">
        <f t="array" ref="Q42">_xlfn.TEXTJOIN(",",TRUE,IF(CalculatorFC[CalculatorCode]&amp;CalculatorFC[Type]=Calculators[[#This Row],[CalculatorCode]]&amp;Calculators[[#Headers],[DivisorGroupingCodes]],CalculatorFC[FinanceCode],""))</f>
        <v/>
      </c>
      <c r="R42" s="80" t="str" cm="1">
        <f t="array" ref="R42">_xlfn.TEXTJOIN(",",TRUE,IF(CalculatorFC[CalculatorCode]&amp;CalculatorFC[Type]=Calculators[[#This Row],[CalculatorCode]]&amp;Calculators[[#Headers],[MultiplierFinanceCodes]],CalculatorFC[FinanceCode],""))</f>
        <v/>
      </c>
      <c r="S42" s="80" t="str" cm="1">
        <f t="array" ref="S42">_xlfn.TEXTJOIN(",",TRUE,IF(CalculatorFC[CalculatorCode]&amp;CalculatorFC[Type]=Calculators[[#This Row],[CalculatorCode]]&amp;Calculators[[#Headers],[MultiplierGroupingCodes]],CalculatorFC[FinanceCode],""))</f>
        <v/>
      </c>
      <c r="T42" t="s">
        <v>1262</v>
      </c>
      <c r="U42" t="s">
        <v>1263</v>
      </c>
      <c r="V42" t="b">
        <v>0</v>
      </c>
      <c r="W42" t="b">
        <v>0</v>
      </c>
      <c r="X42" t="b">
        <v>0</v>
      </c>
      <c r="Y42" t="b">
        <v>1</v>
      </c>
      <c r="Z42" t="b">
        <v>0</v>
      </c>
      <c r="AA42" t="b">
        <v>1</v>
      </c>
      <c r="AB42" t="b">
        <v>0</v>
      </c>
      <c r="AC42">
        <v>0</v>
      </c>
      <c r="AD42" t="b">
        <v>0</v>
      </c>
      <c r="AE42" t="b">
        <v>0</v>
      </c>
      <c r="AF42" t="b">
        <v>0</v>
      </c>
      <c r="AG42" t="b">
        <v>0</v>
      </c>
      <c r="AH42" t="b">
        <v>0</v>
      </c>
      <c r="AI42" t="b">
        <v>1</v>
      </c>
      <c r="AJ42" t="b">
        <v>0</v>
      </c>
      <c r="AK42" t="b">
        <v>1</v>
      </c>
      <c r="AL42" t="b">
        <v>0</v>
      </c>
      <c r="AM42">
        <v>1</v>
      </c>
      <c r="AN42" t="b">
        <v>0</v>
      </c>
      <c r="AO42" t="b">
        <v>0</v>
      </c>
      <c r="AP42" t="b">
        <v>0</v>
      </c>
      <c r="AQ42" t="b">
        <v>0</v>
      </c>
      <c r="AR42" t="b">
        <v>0</v>
      </c>
      <c r="AS42" t="b">
        <v>1</v>
      </c>
      <c r="AT42" t="b">
        <v>0</v>
      </c>
      <c r="AU42" t="b">
        <v>1</v>
      </c>
      <c r="AV42" t="b">
        <v>0</v>
      </c>
      <c r="AW42">
        <v>1</v>
      </c>
      <c r="AX42" t="b">
        <v>0</v>
      </c>
      <c r="AY42" t="b">
        <v>0</v>
      </c>
      <c r="AZ42" t="b">
        <v>1</v>
      </c>
      <c r="BA42">
        <v>0</v>
      </c>
      <c r="BB42" t="s">
        <v>922</v>
      </c>
      <c r="BC42">
        <v>0</v>
      </c>
    </row>
    <row r="43" spans="1:55" x14ac:dyDescent="0.3">
      <c r="A43" s="80">
        <f t="shared" si="1"/>
        <v>0</v>
      </c>
      <c r="B43" s="80">
        <f>SUMIFS(CalculatorFC[FinCodeIssue],CalculatorFC[CalculatorCode],Calculators[[#This Row],[CalculatorCode]])</f>
        <v>0</v>
      </c>
      <c r="C43" s="80">
        <f>IF(LEN(Calculators[[#This Row],[CalculatorCode]])&lt;100,0,1)</f>
        <v>0</v>
      </c>
      <c r="D43" s="86">
        <f>IF(LEN(Calculators[[#This Row],[Title]])&lt;100,0,1)</f>
        <v>0</v>
      </c>
      <c r="E43" s="86">
        <f>(COUNTIF(CalculatorTypeCode[CalculatorTypeCode],Calculators[[#This Row],[CalculatorTypeCode]])-1)*-1</f>
        <v>0</v>
      </c>
      <c r="F43"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43"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43"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43" s="86">
        <f>IF(OR(Calculators[[#This Row],[CalculatorEnabled]]=TRUE,Calculators[[#This Row],[CalculatorEnabled]]=FALSE),0,1)</f>
        <v>0</v>
      </c>
      <c r="J43" s="86">
        <f>IF(ISBLANK(Calculators[[#This Row],[Title]])=TRUE,1,0)</f>
        <v>0</v>
      </c>
      <c r="K43" s="86">
        <f>IF(EXACT(Calculators[[#This Row],[CalculatorCode]],UPPER(Calculators[[#This Row],[CalculatorCode]])),0,1)</f>
        <v>0</v>
      </c>
      <c r="L43" s="86">
        <f>IF(SUBSTITUTE(TEXT(Calculators[[#This Row],[CalculatorCode]],10)," ","")=TEXT(Calculators[[#This Row],[CalculatorCode]],10),0,1)</f>
        <v>0</v>
      </c>
      <c r="M43" s="80">
        <f>SUM(Calculators[[#This Row],[Blank Data]:[Space in Code]])</f>
        <v>0</v>
      </c>
      <c r="N43" s="80" t="str" cm="1">
        <f t="array" ref="N43">_xlfn.TEXTJOIN(",",TRUE,IF(CalculatorFC[CalculatorCode]&amp;CalculatorFC[Type]=Calculators[[#This Row],[CalculatorCode]]&amp;Calculators[[#Headers],[SourceFinanceCodes]],CalculatorFC[FinanceCode],""))</f>
        <v>PUPIL_CEN_05</v>
      </c>
      <c r="O43" s="80" t="str" cm="1">
        <f t="array" ref="O43">_xlfn.TEXTJOIN(",",TRUE,IF(CalculatorFC[CalculatorCode]&amp;CalculatorFC[Type]=Calculators[[#This Row],[CalculatorCode]]&amp;Calculators[[#Headers],[SourceGroupingCodes]],CalculatorFC[FinanceCode],""))</f>
        <v/>
      </c>
      <c r="P43" s="80" t="str" cm="1">
        <f t="array" ref="P43">_xlfn.TEXTJOIN(",",TRUE,IF(CalculatorFC[CalculatorCode]&amp;CalculatorFC[Type]=Calculators[[#This Row],[CalculatorCode]]&amp;Calculators[[#Headers],[DivisorFinanceCodes]],CalculatorFC[FinanceCode],""))</f>
        <v/>
      </c>
      <c r="Q43" s="80" t="str" cm="1">
        <f t="array" ref="Q43">_xlfn.TEXTJOIN(",",TRUE,IF(CalculatorFC[CalculatorCode]&amp;CalculatorFC[Type]=Calculators[[#This Row],[CalculatorCode]]&amp;Calculators[[#Headers],[DivisorGroupingCodes]],CalculatorFC[FinanceCode],""))</f>
        <v/>
      </c>
      <c r="R43" s="80" t="str" cm="1">
        <f t="array" ref="R43">_xlfn.TEXTJOIN(",",TRUE,IF(CalculatorFC[CalculatorCode]&amp;CalculatorFC[Type]=Calculators[[#This Row],[CalculatorCode]]&amp;Calculators[[#Headers],[MultiplierFinanceCodes]],CalculatorFC[FinanceCode],""))</f>
        <v/>
      </c>
      <c r="S43" s="80" t="str" cm="1">
        <f t="array" ref="S43">_xlfn.TEXTJOIN(",",TRUE,IF(CalculatorFC[CalculatorCode]&amp;CalculatorFC[Type]=Calculators[[#This Row],[CalculatorCode]]&amp;Calculators[[#Headers],[MultiplierGroupingCodes]],CalculatorFC[FinanceCode],""))</f>
        <v/>
      </c>
      <c r="T43" t="s">
        <v>1264</v>
      </c>
      <c r="U43" t="s">
        <v>1265</v>
      </c>
      <c r="V43" t="b">
        <v>0</v>
      </c>
      <c r="W43" t="b">
        <v>0</v>
      </c>
      <c r="X43" t="b">
        <v>0</v>
      </c>
      <c r="Y43" t="b">
        <v>1</v>
      </c>
      <c r="Z43" t="b">
        <v>0</v>
      </c>
      <c r="AA43" t="b">
        <v>1</v>
      </c>
      <c r="AB43" t="b">
        <v>0</v>
      </c>
      <c r="AC43">
        <v>0</v>
      </c>
      <c r="AD43" t="b">
        <v>0</v>
      </c>
      <c r="AE43" t="b">
        <v>0</v>
      </c>
      <c r="AF43" t="b">
        <v>0</v>
      </c>
      <c r="AG43" t="b">
        <v>0</v>
      </c>
      <c r="AH43" t="b">
        <v>0</v>
      </c>
      <c r="AI43" t="b">
        <v>1</v>
      </c>
      <c r="AJ43" t="b">
        <v>0</v>
      </c>
      <c r="AK43" t="b">
        <v>1</v>
      </c>
      <c r="AL43" t="b">
        <v>0</v>
      </c>
      <c r="AM43">
        <v>1</v>
      </c>
      <c r="AN43" t="b">
        <v>0</v>
      </c>
      <c r="AO43" t="b">
        <v>0</v>
      </c>
      <c r="AP43" t="b">
        <v>0</v>
      </c>
      <c r="AQ43" t="b">
        <v>0</v>
      </c>
      <c r="AR43" t="b">
        <v>0</v>
      </c>
      <c r="AS43" t="b">
        <v>1</v>
      </c>
      <c r="AT43" t="b">
        <v>0</v>
      </c>
      <c r="AU43" t="b">
        <v>1</v>
      </c>
      <c r="AV43" t="b">
        <v>0</v>
      </c>
      <c r="AW43">
        <v>1</v>
      </c>
      <c r="AX43" t="b">
        <v>0</v>
      </c>
      <c r="AY43" t="b">
        <v>0</v>
      </c>
      <c r="AZ43" t="b">
        <v>1</v>
      </c>
      <c r="BA43">
        <v>0</v>
      </c>
      <c r="BB43" t="s">
        <v>922</v>
      </c>
      <c r="BC43">
        <v>0</v>
      </c>
    </row>
    <row r="44" spans="1:55" x14ac:dyDescent="0.3">
      <c r="A44" s="80">
        <f t="shared" si="1"/>
        <v>0</v>
      </c>
      <c r="B44" s="80">
        <f>SUMIFS(CalculatorFC[FinCodeIssue],CalculatorFC[CalculatorCode],Calculators[[#This Row],[CalculatorCode]])</f>
        <v>0</v>
      </c>
      <c r="C44" s="80">
        <f>IF(LEN(Calculators[[#This Row],[CalculatorCode]])&lt;100,0,1)</f>
        <v>0</v>
      </c>
      <c r="D44" s="86">
        <f>IF(LEN(Calculators[[#This Row],[Title]])&lt;100,0,1)</f>
        <v>0</v>
      </c>
      <c r="E44" s="86">
        <f>(COUNTIF(CalculatorTypeCode[CalculatorTypeCode],Calculators[[#This Row],[CalculatorTypeCode]])-1)*-1</f>
        <v>0</v>
      </c>
      <c r="F44"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44"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44"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44" s="86">
        <f>IF(OR(Calculators[[#This Row],[CalculatorEnabled]]=TRUE,Calculators[[#This Row],[CalculatorEnabled]]=FALSE),0,1)</f>
        <v>0</v>
      </c>
      <c r="J44" s="86">
        <f>IF(ISBLANK(Calculators[[#This Row],[Title]])=TRUE,1,0)</f>
        <v>0</v>
      </c>
      <c r="K44" s="86">
        <f>IF(EXACT(Calculators[[#This Row],[CalculatorCode]],UPPER(Calculators[[#This Row],[CalculatorCode]])),0,1)</f>
        <v>0</v>
      </c>
      <c r="L44" s="86">
        <f>IF(SUBSTITUTE(TEXT(Calculators[[#This Row],[CalculatorCode]],10)," ","")=TEXT(Calculators[[#This Row],[CalculatorCode]],10),0,1)</f>
        <v>0</v>
      </c>
      <c r="M44" s="80">
        <f>SUM(Calculators[[#This Row],[Blank Data]:[Space in Code]])</f>
        <v>0</v>
      </c>
      <c r="N44" s="80" t="str" cm="1">
        <f t="array" ref="N44">_xlfn.TEXTJOIN(",",TRUE,IF(CalculatorFC[CalculatorCode]&amp;CalculatorFC[Type]=Calculators[[#This Row],[CalculatorCode]]&amp;Calculators[[#Headers],[SourceFinanceCodes]],CalculatorFC[FinanceCode],""))</f>
        <v>PUPIL_CEN_06</v>
      </c>
      <c r="O44" s="80" t="str" cm="1">
        <f t="array" ref="O44">_xlfn.TEXTJOIN(",",TRUE,IF(CalculatorFC[CalculatorCode]&amp;CalculatorFC[Type]=Calculators[[#This Row],[CalculatorCode]]&amp;Calculators[[#Headers],[SourceGroupingCodes]],CalculatorFC[FinanceCode],""))</f>
        <v/>
      </c>
      <c r="P44" s="80" t="str" cm="1">
        <f t="array" ref="P44">_xlfn.TEXTJOIN(",",TRUE,IF(CalculatorFC[CalculatorCode]&amp;CalculatorFC[Type]=Calculators[[#This Row],[CalculatorCode]]&amp;Calculators[[#Headers],[DivisorFinanceCodes]],CalculatorFC[FinanceCode],""))</f>
        <v/>
      </c>
      <c r="Q44" s="80" t="str" cm="1">
        <f t="array" ref="Q44">_xlfn.TEXTJOIN(",",TRUE,IF(CalculatorFC[CalculatorCode]&amp;CalculatorFC[Type]=Calculators[[#This Row],[CalculatorCode]]&amp;Calculators[[#Headers],[DivisorGroupingCodes]],CalculatorFC[FinanceCode],""))</f>
        <v/>
      </c>
      <c r="R44" s="80" t="str" cm="1">
        <f t="array" ref="R44">_xlfn.TEXTJOIN(",",TRUE,IF(CalculatorFC[CalculatorCode]&amp;CalculatorFC[Type]=Calculators[[#This Row],[CalculatorCode]]&amp;Calculators[[#Headers],[MultiplierFinanceCodes]],CalculatorFC[FinanceCode],""))</f>
        <v/>
      </c>
      <c r="S44" s="80" t="str" cm="1">
        <f t="array" ref="S44">_xlfn.TEXTJOIN(",",TRUE,IF(CalculatorFC[CalculatorCode]&amp;CalculatorFC[Type]=Calculators[[#This Row],[CalculatorCode]]&amp;Calculators[[#Headers],[MultiplierGroupingCodes]],CalculatorFC[FinanceCode],""))</f>
        <v/>
      </c>
      <c r="T44" t="s">
        <v>1266</v>
      </c>
      <c r="U44" t="s">
        <v>1267</v>
      </c>
      <c r="V44" t="b">
        <v>0</v>
      </c>
      <c r="W44" t="b">
        <v>0</v>
      </c>
      <c r="X44" t="b">
        <v>0</v>
      </c>
      <c r="Y44" t="b">
        <v>1</v>
      </c>
      <c r="Z44" t="b">
        <v>0</v>
      </c>
      <c r="AA44" t="b">
        <v>1</v>
      </c>
      <c r="AB44" t="b">
        <v>0</v>
      </c>
      <c r="AC44">
        <v>0</v>
      </c>
      <c r="AD44" t="b">
        <v>0</v>
      </c>
      <c r="AE44" t="b">
        <v>0</v>
      </c>
      <c r="AF44" t="b">
        <v>0</v>
      </c>
      <c r="AG44" t="b">
        <v>0</v>
      </c>
      <c r="AH44" t="b">
        <v>0</v>
      </c>
      <c r="AI44" t="b">
        <v>1</v>
      </c>
      <c r="AJ44" t="b">
        <v>0</v>
      </c>
      <c r="AK44" t="b">
        <v>1</v>
      </c>
      <c r="AL44" t="b">
        <v>0</v>
      </c>
      <c r="AM44">
        <v>1</v>
      </c>
      <c r="AN44" t="b">
        <v>0</v>
      </c>
      <c r="AO44" t="b">
        <v>0</v>
      </c>
      <c r="AP44" t="b">
        <v>0</v>
      </c>
      <c r="AQ44" t="b">
        <v>0</v>
      </c>
      <c r="AR44" t="b">
        <v>0</v>
      </c>
      <c r="AS44" t="b">
        <v>1</v>
      </c>
      <c r="AT44" t="b">
        <v>0</v>
      </c>
      <c r="AU44" t="b">
        <v>1</v>
      </c>
      <c r="AV44" t="b">
        <v>0</v>
      </c>
      <c r="AW44">
        <v>1</v>
      </c>
      <c r="AX44" t="b">
        <v>0</v>
      </c>
      <c r="AY44" t="b">
        <v>0</v>
      </c>
      <c r="AZ44" t="b">
        <v>1</v>
      </c>
      <c r="BA44">
        <v>0</v>
      </c>
      <c r="BB44" t="s">
        <v>922</v>
      </c>
      <c r="BC44">
        <v>0</v>
      </c>
    </row>
    <row r="45" spans="1:55" x14ac:dyDescent="0.3">
      <c r="A45" s="80">
        <f t="shared" si="1"/>
        <v>0</v>
      </c>
      <c r="B45" s="80">
        <f>SUMIFS(CalculatorFC[FinCodeIssue],CalculatorFC[CalculatorCode],Calculators[[#This Row],[CalculatorCode]])</f>
        <v>0</v>
      </c>
      <c r="C45" s="80">
        <f>IF(LEN(Calculators[[#This Row],[CalculatorCode]])&lt;100,0,1)</f>
        <v>0</v>
      </c>
      <c r="D45" s="86">
        <f>IF(LEN(Calculators[[#This Row],[Title]])&lt;100,0,1)</f>
        <v>0</v>
      </c>
      <c r="E45" s="86">
        <f>(COUNTIF(CalculatorTypeCode[CalculatorTypeCode],Calculators[[#This Row],[CalculatorTypeCode]])-1)*-1</f>
        <v>0</v>
      </c>
      <c r="F45"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45"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45"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45" s="86">
        <f>IF(OR(Calculators[[#This Row],[CalculatorEnabled]]=TRUE,Calculators[[#This Row],[CalculatorEnabled]]=FALSE),0,1)</f>
        <v>0</v>
      </c>
      <c r="J45" s="86">
        <f>IF(ISBLANK(Calculators[[#This Row],[Title]])=TRUE,1,0)</f>
        <v>0</v>
      </c>
      <c r="K45" s="86">
        <f>IF(EXACT(Calculators[[#This Row],[CalculatorCode]],UPPER(Calculators[[#This Row],[CalculatorCode]])),0,1)</f>
        <v>0</v>
      </c>
      <c r="L45" s="86">
        <f>IF(SUBSTITUTE(TEXT(Calculators[[#This Row],[CalculatorCode]],10)," ","")=TEXT(Calculators[[#This Row],[CalculatorCode]],10),0,1)</f>
        <v>0</v>
      </c>
      <c r="M45" s="80">
        <f>SUM(Calculators[[#This Row],[Blank Data]:[Space in Code]])</f>
        <v>0</v>
      </c>
      <c r="N45" s="80" t="str" cm="1">
        <f t="array" ref="N45">_xlfn.TEXTJOIN(",",TRUE,IF(CalculatorFC[CalculatorCode]&amp;CalculatorFC[Type]=Calculators[[#This Row],[CalculatorCode]]&amp;Calculators[[#Headers],[SourceFinanceCodes]],CalculatorFC[FinanceCode],""))</f>
        <v>PUPIL_CEN</v>
      </c>
      <c r="O45" s="80" t="str" cm="1">
        <f t="array" ref="O45">_xlfn.TEXTJOIN(",",TRUE,IF(CalculatorFC[CalculatorCode]&amp;CalculatorFC[Type]=Calculators[[#This Row],[CalculatorCode]]&amp;Calculators[[#Headers],[SourceGroupingCodes]],CalculatorFC[FinanceCode],""))</f>
        <v/>
      </c>
      <c r="P45" s="80" t="str" cm="1">
        <f t="array" ref="P45">_xlfn.TEXTJOIN(",",TRUE,IF(CalculatorFC[CalculatorCode]&amp;CalculatorFC[Type]=Calculators[[#This Row],[CalculatorCode]]&amp;Calculators[[#Headers],[DivisorFinanceCodes]],CalculatorFC[FinanceCode],""))</f>
        <v/>
      </c>
      <c r="Q45" s="80" t="str" cm="1">
        <f t="array" ref="Q45">_xlfn.TEXTJOIN(",",TRUE,IF(CalculatorFC[CalculatorCode]&amp;CalculatorFC[Type]=Calculators[[#This Row],[CalculatorCode]]&amp;Calculators[[#Headers],[DivisorGroupingCodes]],CalculatorFC[FinanceCode],""))</f>
        <v/>
      </c>
      <c r="R45" s="80" t="str" cm="1">
        <f t="array" ref="R45">_xlfn.TEXTJOIN(",",TRUE,IF(CalculatorFC[CalculatorCode]&amp;CalculatorFC[Type]=Calculators[[#This Row],[CalculatorCode]]&amp;Calculators[[#Headers],[MultiplierFinanceCodes]],CalculatorFC[FinanceCode],""))</f>
        <v/>
      </c>
      <c r="S45" s="80" t="str" cm="1">
        <f t="array" ref="S45">_xlfn.TEXTJOIN(",",TRUE,IF(CalculatorFC[CalculatorCode]&amp;CalculatorFC[Type]=Calculators[[#This Row],[CalculatorCode]]&amp;Calculators[[#Headers],[MultiplierGroupingCodes]],CalculatorFC[FinanceCode],""))</f>
        <v/>
      </c>
      <c r="T45" t="s">
        <v>1282</v>
      </c>
      <c r="U45" t="s">
        <v>1283</v>
      </c>
      <c r="V45" t="b">
        <v>0</v>
      </c>
      <c r="W45" t="b">
        <v>0</v>
      </c>
      <c r="X45" t="b">
        <v>0</v>
      </c>
      <c r="Y45" t="b">
        <v>1</v>
      </c>
      <c r="Z45" t="b">
        <v>0</v>
      </c>
      <c r="AA45" t="b">
        <v>1</v>
      </c>
      <c r="AB45" t="b">
        <v>0</v>
      </c>
      <c r="AC45">
        <v>0</v>
      </c>
      <c r="AD45" t="b">
        <v>0</v>
      </c>
      <c r="AE45" t="b">
        <v>0</v>
      </c>
      <c r="AF45" t="b">
        <v>0</v>
      </c>
      <c r="AG45" t="b">
        <v>0</v>
      </c>
      <c r="AH45" t="b">
        <v>0</v>
      </c>
      <c r="AI45" t="b">
        <v>1</v>
      </c>
      <c r="AJ45" t="b">
        <v>0</v>
      </c>
      <c r="AK45" t="b">
        <v>1</v>
      </c>
      <c r="AL45" t="b">
        <v>0</v>
      </c>
      <c r="AM45">
        <v>1</v>
      </c>
      <c r="AN45" t="b">
        <v>0</v>
      </c>
      <c r="AO45" t="b">
        <v>0</v>
      </c>
      <c r="AP45" t="b">
        <v>0</v>
      </c>
      <c r="AQ45" t="b">
        <v>0</v>
      </c>
      <c r="AR45" t="b">
        <v>0</v>
      </c>
      <c r="AS45" t="b">
        <v>1</v>
      </c>
      <c r="AT45" t="b">
        <v>0</v>
      </c>
      <c r="AU45" t="b">
        <v>1</v>
      </c>
      <c r="AV45" t="b">
        <v>0</v>
      </c>
      <c r="AW45">
        <v>1</v>
      </c>
      <c r="AX45" t="b">
        <v>0</v>
      </c>
      <c r="AY45" t="b">
        <v>0</v>
      </c>
      <c r="AZ45" t="b">
        <v>1</v>
      </c>
      <c r="BA45">
        <v>0</v>
      </c>
      <c r="BB45" t="s">
        <v>922</v>
      </c>
      <c r="BC45">
        <v>0</v>
      </c>
    </row>
    <row r="46" spans="1:55" x14ac:dyDescent="0.3">
      <c r="A46" s="80">
        <f t="shared" si="1"/>
        <v>0</v>
      </c>
      <c r="B46" s="80">
        <f>SUMIFS(CalculatorFC[FinCodeIssue],CalculatorFC[CalculatorCode],Calculators[[#This Row],[CalculatorCode]])</f>
        <v>0</v>
      </c>
      <c r="C46" s="80">
        <f>IF(LEN(Calculators[[#This Row],[CalculatorCode]])&lt;100,0,1)</f>
        <v>0</v>
      </c>
      <c r="D46" s="86">
        <f>IF(LEN(Calculators[[#This Row],[Title]])&lt;100,0,1)</f>
        <v>0</v>
      </c>
      <c r="E46" s="86">
        <f>(COUNTIF(CalculatorTypeCode[CalculatorTypeCode],Calculators[[#This Row],[CalculatorTypeCode]])-1)*-1</f>
        <v>0</v>
      </c>
      <c r="F46"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46"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46"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46" s="86">
        <f>IF(OR(Calculators[[#This Row],[CalculatorEnabled]]=TRUE,Calculators[[#This Row],[CalculatorEnabled]]=FALSE),0,1)</f>
        <v>0</v>
      </c>
      <c r="J46" s="86">
        <f>IF(ISBLANK(Calculators[[#This Row],[Title]])=TRUE,1,0)</f>
        <v>0</v>
      </c>
      <c r="K46" s="86">
        <f>IF(EXACT(Calculators[[#This Row],[CalculatorCode]],UPPER(Calculators[[#This Row],[CalculatorCode]])),0,1)</f>
        <v>0</v>
      </c>
      <c r="L46" s="86">
        <f>IF(SUBSTITUTE(TEXT(Calculators[[#This Row],[CalculatorCode]],10)," ","")=TEXT(Calculators[[#This Row],[CalculatorCode]],10),0,1)</f>
        <v>0</v>
      </c>
      <c r="M46" s="80">
        <f>SUM(Calculators[[#This Row],[Blank Data]:[Space in Code]])</f>
        <v>0</v>
      </c>
      <c r="N46" s="80" t="str" cm="1">
        <f t="array" ref="N46">_xlfn.TEXTJOIN(",",TRUE,IF(CalculatorFC[CalculatorCode]&amp;CalculatorFC[Type]=Calculators[[#This Row],[CalculatorCode]]&amp;Calculators[[#Headers],[SourceFinanceCodes]],CalculatorFC[FinanceCode],""))</f>
        <v>PUPIL_CEN_00</v>
      </c>
      <c r="O46" s="80" t="str" cm="1">
        <f t="array" ref="O46">_xlfn.TEXTJOIN(",",TRUE,IF(CalculatorFC[CalculatorCode]&amp;CalculatorFC[Type]=Calculators[[#This Row],[CalculatorCode]]&amp;Calculators[[#Headers],[SourceGroupingCodes]],CalculatorFC[FinanceCode],""))</f>
        <v/>
      </c>
      <c r="P46" s="80" t="str" cm="1">
        <f t="array" ref="P46">_xlfn.TEXTJOIN(",",TRUE,IF(CalculatorFC[CalculatorCode]&amp;CalculatorFC[Type]=Calculators[[#This Row],[CalculatorCode]]&amp;Calculators[[#Headers],[DivisorFinanceCodes]],CalculatorFC[FinanceCode],""))</f>
        <v/>
      </c>
      <c r="Q46" s="80" t="str" cm="1">
        <f t="array" ref="Q46">_xlfn.TEXTJOIN(",",TRUE,IF(CalculatorFC[CalculatorCode]&amp;CalculatorFC[Type]=Calculators[[#This Row],[CalculatorCode]]&amp;Calculators[[#Headers],[DivisorGroupingCodes]],CalculatorFC[FinanceCode],""))</f>
        <v/>
      </c>
      <c r="R46" s="80" t="str" cm="1">
        <f t="array" ref="R46">_xlfn.TEXTJOIN(",",TRUE,IF(CalculatorFC[CalculatorCode]&amp;CalculatorFC[Type]=Calculators[[#This Row],[CalculatorCode]]&amp;Calculators[[#Headers],[MultiplierFinanceCodes]],CalculatorFC[FinanceCode],""))</f>
        <v/>
      </c>
      <c r="S46" s="80" t="str" cm="1">
        <f t="array" ref="S46">_xlfn.TEXTJOIN(",",TRUE,IF(CalculatorFC[CalculatorCode]&amp;CalculatorFC[Type]=Calculators[[#This Row],[CalculatorCode]]&amp;Calculators[[#Headers],[MultiplierGroupingCodes]],CalculatorFC[FinanceCode],""))</f>
        <v/>
      </c>
      <c r="T46" t="s">
        <v>1528</v>
      </c>
      <c r="U46" t="s">
        <v>1566</v>
      </c>
      <c r="V46" t="b">
        <v>0</v>
      </c>
      <c r="W46" t="b">
        <v>1</v>
      </c>
      <c r="X46" t="b">
        <v>1</v>
      </c>
      <c r="Y46" t="b">
        <v>1</v>
      </c>
      <c r="Z46" t="b">
        <v>0</v>
      </c>
      <c r="AA46" t="b">
        <v>0</v>
      </c>
      <c r="AB46" t="b">
        <v>0</v>
      </c>
      <c r="AC46">
        <v>0</v>
      </c>
      <c r="AD46" t="b">
        <v>0</v>
      </c>
      <c r="AE46" t="b">
        <v>0</v>
      </c>
      <c r="AF46" t="b">
        <v>0</v>
      </c>
      <c r="AG46" t="b">
        <v>0</v>
      </c>
      <c r="AH46" t="b">
        <v>0</v>
      </c>
      <c r="AI46" t="b">
        <v>0</v>
      </c>
      <c r="AJ46" t="b">
        <v>0</v>
      </c>
      <c r="AK46" t="b">
        <v>0</v>
      </c>
      <c r="AL46" t="b">
        <v>0</v>
      </c>
      <c r="AM46">
        <v>1</v>
      </c>
      <c r="AN46" t="b">
        <v>0</v>
      </c>
      <c r="AO46" t="b">
        <v>0</v>
      </c>
      <c r="AP46" t="b">
        <v>1</v>
      </c>
      <c r="AQ46" t="b">
        <v>1</v>
      </c>
      <c r="AR46" t="b">
        <v>1</v>
      </c>
      <c r="AS46" t="b">
        <v>1</v>
      </c>
      <c r="AT46" t="b">
        <v>0</v>
      </c>
      <c r="AU46" t="b">
        <v>0</v>
      </c>
      <c r="AV46" t="b">
        <v>0</v>
      </c>
      <c r="AW46">
        <v>1</v>
      </c>
      <c r="AX46" t="b">
        <v>0</v>
      </c>
      <c r="AY46" t="b">
        <v>0</v>
      </c>
      <c r="AZ46" t="b">
        <v>1</v>
      </c>
      <c r="BA46">
        <v>0</v>
      </c>
      <c r="BB46" t="s">
        <v>922</v>
      </c>
      <c r="BC46">
        <v>0</v>
      </c>
    </row>
    <row r="47" spans="1:55" x14ac:dyDescent="0.3">
      <c r="A47" s="80">
        <f t="shared" si="1"/>
        <v>0</v>
      </c>
      <c r="B47" s="80">
        <f>SUMIFS(CalculatorFC[FinCodeIssue],CalculatorFC[CalculatorCode],Calculators[[#This Row],[CalculatorCode]])</f>
        <v>0</v>
      </c>
      <c r="C47" s="80">
        <f>IF(LEN(Calculators[[#This Row],[CalculatorCode]])&lt;100,0,1)</f>
        <v>0</v>
      </c>
      <c r="D47" s="86">
        <f>IF(LEN(Calculators[[#This Row],[Title]])&lt;100,0,1)</f>
        <v>0</v>
      </c>
      <c r="E47" s="86">
        <f>(COUNTIF(CalculatorTypeCode[CalculatorTypeCode],Calculators[[#This Row],[CalculatorTypeCode]])-1)*-1</f>
        <v>0</v>
      </c>
      <c r="F47"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47"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47"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47" s="86">
        <f>IF(OR(Calculators[[#This Row],[CalculatorEnabled]]=TRUE,Calculators[[#This Row],[CalculatorEnabled]]=FALSE),0,1)</f>
        <v>0</v>
      </c>
      <c r="J47" s="86">
        <f>IF(ISBLANK(Calculators[[#This Row],[Title]])=TRUE,1,0)</f>
        <v>0</v>
      </c>
      <c r="K47" s="86">
        <f>IF(EXACT(Calculators[[#This Row],[CalculatorCode]],UPPER(Calculators[[#This Row],[CalculatorCode]])),0,1)</f>
        <v>0</v>
      </c>
      <c r="L47" s="86">
        <f>IF(SUBSTITUTE(TEXT(Calculators[[#This Row],[CalculatorCode]],10)," ","")=TEXT(Calculators[[#This Row],[CalculatorCode]],10),0,1)</f>
        <v>0</v>
      </c>
      <c r="M47" s="80">
        <f>SUM(Calculators[[#This Row],[Blank Data]:[Space in Code]])</f>
        <v>0</v>
      </c>
      <c r="N47" s="80" t="str" cm="1">
        <f t="array" ref="N47">_xlfn.TEXTJOIN(",",TRUE,IF(CalculatorFC[CalculatorCode]&amp;CalculatorFC[Type]=Calculators[[#This Row],[CalculatorCode]]&amp;Calculators[[#Headers],[SourceFinanceCodes]],CalculatorFC[FinanceCode],""))</f>
        <v>PUPIL_CEN_01,PUPIL_CEN_02</v>
      </c>
      <c r="O47" s="80" t="str" cm="1">
        <f t="array" ref="O47">_xlfn.TEXTJOIN(",",TRUE,IF(CalculatorFC[CalculatorCode]&amp;CalculatorFC[Type]=Calculators[[#This Row],[CalculatorCode]]&amp;Calculators[[#Headers],[SourceGroupingCodes]],CalculatorFC[FinanceCode],""))</f>
        <v/>
      </c>
      <c r="P47" s="80" t="str" cm="1">
        <f t="array" ref="P47">_xlfn.TEXTJOIN(",",TRUE,IF(CalculatorFC[CalculatorCode]&amp;CalculatorFC[Type]=Calculators[[#This Row],[CalculatorCode]]&amp;Calculators[[#Headers],[DivisorFinanceCodes]],CalculatorFC[FinanceCode],""))</f>
        <v/>
      </c>
      <c r="Q47" s="80" t="str" cm="1">
        <f t="array" ref="Q47">_xlfn.TEXTJOIN(",",TRUE,IF(CalculatorFC[CalculatorCode]&amp;CalculatorFC[Type]=Calculators[[#This Row],[CalculatorCode]]&amp;Calculators[[#Headers],[DivisorGroupingCodes]],CalculatorFC[FinanceCode],""))</f>
        <v/>
      </c>
      <c r="R47" s="80" t="str" cm="1">
        <f t="array" ref="R47">_xlfn.TEXTJOIN(",",TRUE,IF(CalculatorFC[CalculatorCode]&amp;CalculatorFC[Type]=Calculators[[#This Row],[CalculatorCode]]&amp;Calculators[[#Headers],[MultiplierFinanceCodes]],CalculatorFC[FinanceCode],""))</f>
        <v/>
      </c>
      <c r="S47" s="80" t="str" cm="1">
        <f t="array" ref="S47">_xlfn.TEXTJOIN(",",TRUE,IF(CalculatorFC[CalculatorCode]&amp;CalculatorFC[Type]=Calculators[[#This Row],[CalculatorCode]]&amp;Calculators[[#Headers],[MultiplierGroupingCodes]],CalculatorFC[FinanceCode],""))</f>
        <v/>
      </c>
      <c r="T47" t="s">
        <v>1523</v>
      </c>
      <c r="U47" t="s">
        <v>1567</v>
      </c>
      <c r="V47" t="b">
        <v>0</v>
      </c>
      <c r="W47" t="b">
        <v>1</v>
      </c>
      <c r="X47" t="b">
        <v>1</v>
      </c>
      <c r="Y47" t="b">
        <v>1</v>
      </c>
      <c r="Z47" t="b">
        <v>0</v>
      </c>
      <c r="AA47" t="b">
        <v>0</v>
      </c>
      <c r="AB47" t="b">
        <v>0</v>
      </c>
      <c r="AC47">
        <v>0</v>
      </c>
      <c r="AD47" t="b">
        <v>0</v>
      </c>
      <c r="AE47" t="b">
        <v>0</v>
      </c>
      <c r="AF47" t="b">
        <v>0</v>
      </c>
      <c r="AG47" t="b">
        <v>0</v>
      </c>
      <c r="AH47" t="b">
        <v>0</v>
      </c>
      <c r="AI47" t="b">
        <v>0</v>
      </c>
      <c r="AJ47" t="b">
        <v>0</v>
      </c>
      <c r="AK47" t="b">
        <v>0</v>
      </c>
      <c r="AL47" t="b">
        <v>0</v>
      </c>
      <c r="AM47">
        <v>1</v>
      </c>
      <c r="AN47" t="b">
        <v>0</v>
      </c>
      <c r="AO47" t="b">
        <v>0</v>
      </c>
      <c r="AP47" t="b">
        <v>1</v>
      </c>
      <c r="AQ47" t="b">
        <v>1</v>
      </c>
      <c r="AR47" t="b">
        <v>1</v>
      </c>
      <c r="AS47" t="b">
        <v>1</v>
      </c>
      <c r="AT47" t="b">
        <v>0</v>
      </c>
      <c r="AU47" t="b">
        <v>0</v>
      </c>
      <c r="AV47" t="b">
        <v>0</v>
      </c>
      <c r="AW47">
        <v>1</v>
      </c>
      <c r="AX47" t="b">
        <v>0</v>
      </c>
      <c r="AY47" t="b">
        <v>0</v>
      </c>
      <c r="AZ47" t="b">
        <v>1</v>
      </c>
      <c r="BA47">
        <v>0</v>
      </c>
      <c r="BB47" t="s">
        <v>922</v>
      </c>
      <c r="BC47">
        <v>0</v>
      </c>
    </row>
    <row r="48" spans="1:55" x14ac:dyDescent="0.3">
      <c r="A48" s="80">
        <f t="shared" si="1"/>
        <v>0</v>
      </c>
      <c r="B48" s="80">
        <f>SUMIFS(CalculatorFC[FinCodeIssue],CalculatorFC[CalculatorCode],Calculators[[#This Row],[CalculatorCode]])</f>
        <v>0</v>
      </c>
      <c r="C48" s="80">
        <f>IF(LEN(Calculators[[#This Row],[CalculatorCode]])&lt;100,0,1)</f>
        <v>0</v>
      </c>
      <c r="D48" s="86">
        <f>IF(LEN(Calculators[[#This Row],[Title]])&lt;100,0,1)</f>
        <v>0</v>
      </c>
      <c r="E48" s="86">
        <f>(COUNTIF(CalculatorTypeCode[CalculatorTypeCode],Calculators[[#This Row],[CalculatorTypeCode]])-1)*-1</f>
        <v>0</v>
      </c>
      <c r="F48"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48"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48"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48" s="86">
        <f>IF(OR(Calculators[[#This Row],[CalculatorEnabled]]=TRUE,Calculators[[#This Row],[CalculatorEnabled]]=FALSE),0,1)</f>
        <v>0</v>
      </c>
      <c r="J48" s="86">
        <f>IF(ISBLANK(Calculators[[#This Row],[Title]])=TRUE,1,0)</f>
        <v>0</v>
      </c>
      <c r="K48" s="86">
        <f>IF(EXACT(Calculators[[#This Row],[CalculatorCode]],UPPER(Calculators[[#This Row],[CalculatorCode]])),0,1)</f>
        <v>0</v>
      </c>
      <c r="L48" s="86">
        <f>IF(SUBSTITUTE(TEXT(Calculators[[#This Row],[CalculatorCode]],10)," ","")=TEXT(Calculators[[#This Row],[CalculatorCode]],10),0,1)</f>
        <v>0</v>
      </c>
      <c r="M48" s="80">
        <f>SUM(Calculators[[#This Row],[Blank Data]:[Space in Code]])</f>
        <v>0</v>
      </c>
      <c r="N48" s="80" t="str" cm="1">
        <f t="array" ref="N48">_xlfn.TEXTJOIN(",",TRUE,IF(CalculatorFC[CalculatorCode]&amp;CalculatorFC[Type]=Calculators[[#This Row],[CalculatorCode]]&amp;Calculators[[#Headers],[SourceFinanceCodes]],CalculatorFC[FinanceCode],""))</f>
        <v>PUPIL_CEN_03,PUPIL_CEN_04,PUPIL_CEN_05,PUPIL_CEN_06</v>
      </c>
      <c r="O48" s="80" t="str" cm="1">
        <f t="array" ref="O48">_xlfn.TEXTJOIN(",",TRUE,IF(CalculatorFC[CalculatorCode]&amp;CalculatorFC[Type]=Calculators[[#This Row],[CalculatorCode]]&amp;Calculators[[#Headers],[SourceGroupingCodes]],CalculatorFC[FinanceCode],""))</f>
        <v/>
      </c>
      <c r="P48" s="80" t="str" cm="1">
        <f t="array" ref="P48">_xlfn.TEXTJOIN(",",TRUE,IF(CalculatorFC[CalculatorCode]&amp;CalculatorFC[Type]=Calculators[[#This Row],[CalculatorCode]]&amp;Calculators[[#Headers],[DivisorFinanceCodes]],CalculatorFC[FinanceCode],""))</f>
        <v/>
      </c>
      <c r="Q48" s="80" t="str" cm="1">
        <f t="array" ref="Q48">_xlfn.TEXTJOIN(",",TRUE,IF(CalculatorFC[CalculatorCode]&amp;CalculatorFC[Type]=Calculators[[#This Row],[CalculatorCode]]&amp;Calculators[[#Headers],[DivisorGroupingCodes]],CalculatorFC[FinanceCode],""))</f>
        <v/>
      </c>
      <c r="R48" s="80" t="str" cm="1">
        <f t="array" ref="R48">_xlfn.TEXTJOIN(",",TRUE,IF(CalculatorFC[CalculatorCode]&amp;CalculatorFC[Type]=Calculators[[#This Row],[CalculatorCode]]&amp;Calculators[[#Headers],[MultiplierFinanceCodes]],CalculatorFC[FinanceCode],""))</f>
        <v/>
      </c>
      <c r="S48" s="80" t="str" cm="1">
        <f t="array" ref="S48">_xlfn.TEXTJOIN(",",TRUE,IF(CalculatorFC[CalculatorCode]&amp;CalculatorFC[Type]=Calculators[[#This Row],[CalculatorCode]]&amp;Calculators[[#Headers],[MultiplierGroupingCodes]],CalculatorFC[FinanceCode],""))</f>
        <v/>
      </c>
      <c r="T48" t="s">
        <v>1524</v>
      </c>
      <c r="U48" t="s">
        <v>1568</v>
      </c>
      <c r="V48" t="b">
        <v>0</v>
      </c>
      <c r="W48" t="b">
        <v>1</v>
      </c>
      <c r="X48" t="b">
        <v>1</v>
      </c>
      <c r="Y48" t="b">
        <v>1</v>
      </c>
      <c r="Z48" t="b">
        <v>0</v>
      </c>
      <c r="AA48" t="b">
        <v>0</v>
      </c>
      <c r="AB48" t="b">
        <v>0</v>
      </c>
      <c r="AC48">
        <v>0</v>
      </c>
      <c r="AD48" t="b">
        <v>0</v>
      </c>
      <c r="AE48" t="b">
        <v>0</v>
      </c>
      <c r="AF48" t="b">
        <v>0</v>
      </c>
      <c r="AG48" t="b">
        <v>0</v>
      </c>
      <c r="AH48" t="b">
        <v>0</v>
      </c>
      <c r="AI48" t="b">
        <v>0</v>
      </c>
      <c r="AJ48" t="b">
        <v>0</v>
      </c>
      <c r="AK48" t="b">
        <v>0</v>
      </c>
      <c r="AL48" t="b">
        <v>0</v>
      </c>
      <c r="AM48">
        <v>1</v>
      </c>
      <c r="AN48" t="b">
        <v>0</v>
      </c>
      <c r="AO48" t="b">
        <v>0</v>
      </c>
      <c r="AP48" t="b">
        <v>1</v>
      </c>
      <c r="AQ48" t="b">
        <v>1</v>
      </c>
      <c r="AR48" t="b">
        <v>1</v>
      </c>
      <c r="AS48" t="b">
        <v>1</v>
      </c>
      <c r="AT48" t="b">
        <v>0</v>
      </c>
      <c r="AU48" t="b">
        <v>0</v>
      </c>
      <c r="AV48" t="b">
        <v>0</v>
      </c>
      <c r="AW48">
        <v>1</v>
      </c>
      <c r="AX48" t="b">
        <v>0</v>
      </c>
      <c r="AY48" t="b">
        <v>0</v>
      </c>
      <c r="AZ48" t="b">
        <v>1</v>
      </c>
      <c r="BA48">
        <v>0</v>
      </c>
      <c r="BB48" t="s">
        <v>922</v>
      </c>
      <c r="BC48">
        <v>0</v>
      </c>
    </row>
    <row r="49" spans="1:55" x14ac:dyDescent="0.3">
      <c r="A49" s="80">
        <f t="shared" si="1"/>
        <v>0</v>
      </c>
      <c r="B49" s="80">
        <f>SUMIFS(CalculatorFC[FinCodeIssue],CalculatorFC[CalculatorCode],Calculators[[#This Row],[CalculatorCode]])</f>
        <v>0</v>
      </c>
      <c r="C49" s="80">
        <f>IF(LEN(Calculators[[#This Row],[CalculatorCode]])&lt;100,0,1)</f>
        <v>0</v>
      </c>
      <c r="D49" s="86">
        <f>IF(LEN(Calculators[[#This Row],[Title]])&lt;100,0,1)</f>
        <v>0</v>
      </c>
      <c r="E49" s="86">
        <f>(COUNTIF(CalculatorTypeCode[CalculatorTypeCode],Calculators[[#This Row],[CalculatorTypeCode]])-1)*-1</f>
        <v>0</v>
      </c>
      <c r="F49"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49"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49"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49" s="86">
        <f>IF(OR(Calculators[[#This Row],[CalculatorEnabled]]=TRUE,Calculators[[#This Row],[CalculatorEnabled]]=FALSE),0,1)</f>
        <v>0</v>
      </c>
      <c r="J49" s="86">
        <f>IF(ISBLANK(Calculators[[#This Row],[Title]])=TRUE,1,0)</f>
        <v>0</v>
      </c>
      <c r="K49" s="86">
        <f>IF(EXACT(Calculators[[#This Row],[CalculatorCode]],UPPER(Calculators[[#This Row],[CalculatorCode]])),0,1)</f>
        <v>0</v>
      </c>
      <c r="L49" s="86">
        <f>IF(SUBSTITUTE(TEXT(Calculators[[#This Row],[CalculatorCode]],10)," ","")=TEXT(Calculators[[#This Row],[CalculatorCode]],10),0,1)</f>
        <v>0</v>
      </c>
      <c r="M49" s="80">
        <f>SUM(Calculators[[#This Row],[Blank Data]:[Space in Code]])</f>
        <v>0</v>
      </c>
      <c r="N49" s="80" t="str" cm="1">
        <f t="array" ref="N49">_xlfn.TEXTJOIN(",",TRUE,IF(CalculatorFC[CalculatorCode]&amp;CalculatorFC[Type]=Calculators[[#This Row],[CalculatorCode]]&amp;Calculators[[#Headers],[SourceFinanceCodes]],CalculatorFC[FinanceCode],""))</f>
        <v>PUPIL_CEN</v>
      </c>
      <c r="O49" s="80" t="str" cm="1">
        <f t="array" ref="O49">_xlfn.TEXTJOIN(",",TRUE,IF(CalculatorFC[CalculatorCode]&amp;CalculatorFC[Type]=Calculators[[#This Row],[CalculatorCode]]&amp;Calculators[[#Headers],[SourceGroupingCodes]],CalculatorFC[FinanceCode],""))</f>
        <v/>
      </c>
      <c r="P49" s="80" t="str" cm="1">
        <f t="array" ref="P49">_xlfn.TEXTJOIN(",",TRUE,IF(CalculatorFC[CalculatorCode]&amp;CalculatorFC[Type]=Calculators[[#This Row],[CalculatorCode]]&amp;Calculators[[#Headers],[DivisorFinanceCodes]],CalculatorFC[FinanceCode],""))</f>
        <v/>
      </c>
      <c r="Q49" s="80" t="str" cm="1">
        <f t="array" ref="Q49">_xlfn.TEXTJOIN(",",TRUE,IF(CalculatorFC[CalculatorCode]&amp;CalculatorFC[Type]=Calculators[[#This Row],[CalculatorCode]]&amp;Calculators[[#Headers],[DivisorGroupingCodes]],CalculatorFC[FinanceCode],""))</f>
        <v/>
      </c>
      <c r="R49" s="80" t="str" cm="1">
        <f t="array" ref="R49">_xlfn.TEXTJOIN(",",TRUE,IF(CalculatorFC[CalculatorCode]&amp;CalculatorFC[Type]=Calculators[[#This Row],[CalculatorCode]]&amp;Calculators[[#Headers],[MultiplierFinanceCodes]],CalculatorFC[FinanceCode],""))</f>
        <v/>
      </c>
      <c r="S49" s="80" t="str" cm="1">
        <f t="array" ref="S49">_xlfn.TEXTJOIN(",",TRUE,IF(CalculatorFC[CalculatorCode]&amp;CalculatorFC[Type]=Calculators[[#This Row],[CalculatorCode]]&amp;Calculators[[#Headers],[MultiplierGroupingCodes]],CalculatorFC[FinanceCode],""))</f>
        <v/>
      </c>
      <c r="T49" t="s">
        <v>1522</v>
      </c>
      <c r="U49" t="s">
        <v>1572</v>
      </c>
      <c r="V49" t="b">
        <v>0</v>
      </c>
      <c r="W49" t="b">
        <v>1</v>
      </c>
      <c r="X49" t="b">
        <v>1</v>
      </c>
      <c r="Y49" t="b">
        <v>1</v>
      </c>
      <c r="Z49" t="b">
        <v>0</v>
      </c>
      <c r="AA49" t="b">
        <v>0</v>
      </c>
      <c r="AB49" t="b">
        <v>0</v>
      </c>
      <c r="AC49">
        <v>0</v>
      </c>
      <c r="AD49" t="b">
        <v>0</v>
      </c>
      <c r="AE49" t="b">
        <v>0</v>
      </c>
      <c r="AF49" t="b">
        <v>0</v>
      </c>
      <c r="AG49" t="b">
        <v>0</v>
      </c>
      <c r="AH49" t="b">
        <v>0</v>
      </c>
      <c r="AI49" t="b">
        <v>0</v>
      </c>
      <c r="AJ49" t="b">
        <v>0</v>
      </c>
      <c r="AK49" t="b">
        <v>0</v>
      </c>
      <c r="AL49" t="b">
        <v>0</v>
      </c>
      <c r="AM49">
        <v>1</v>
      </c>
      <c r="AN49" t="b">
        <v>0</v>
      </c>
      <c r="AO49" t="b">
        <v>0</v>
      </c>
      <c r="AP49" t="b">
        <v>1</v>
      </c>
      <c r="AQ49" t="b">
        <v>1</v>
      </c>
      <c r="AR49" t="b">
        <v>1</v>
      </c>
      <c r="AS49" t="b">
        <v>1</v>
      </c>
      <c r="AT49" t="b">
        <v>0</v>
      </c>
      <c r="AU49" t="b">
        <v>0</v>
      </c>
      <c r="AV49" t="b">
        <v>0</v>
      </c>
      <c r="AW49">
        <v>1</v>
      </c>
      <c r="AX49" t="b">
        <v>0</v>
      </c>
      <c r="AY49" t="b">
        <v>0</v>
      </c>
      <c r="AZ49" t="b">
        <v>1</v>
      </c>
      <c r="BA49">
        <v>0</v>
      </c>
      <c r="BB49" t="s">
        <v>922</v>
      </c>
      <c r="BC49">
        <v>0</v>
      </c>
    </row>
    <row r="50" spans="1:55" x14ac:dyDescent="0.3">
      <c r="A50" s="80">
        <f t="shared" si="1"/>
        <v>0</v>
      </c>
      <c r="B50" s="80">
        <f>SUMIFS(CalculatorFC[FinCodeIssue],CalculatorFC[CalculatorCode],Calculators[[#This Row],[CalculatorCode]])</f>
        <v>0</v>
      </c>
      <c r="C50" s="80">
        <f>IF(LEN(Calculators[[#This Row],[CalculatorCode]])&lt;100,0,1)</f>
        <v>0</v>
      </c>
      <c r="D50" s="86">
        <f>IF(LEN(Calculators[[#This Row],[Title]])&lt;100,0,1)</f>
        <v>0</v>
      </c>
      <c r="E50" s="86">
        <f>(COUNTIF(CalculatorTypeCode[CalculatorTypeCode],Calculators[[#This Row],[CalculatorTypeCode]])-1)*-1</f>
        <v>0</v>
      </c>
      <c r="F50"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50"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50"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50" s="86">
        <f>IF(OR(Calculators[[#This Row],[CalculatorEnabled]]=TRUE,Calculators[[#This Row],[CalculatorEnabled]]=FALSE),0,1)</f>
        <v>0</v>
      </c>
      <c r="J50" s="86">
        <f>IF(ISBLANK(Calculators[[#This Row],[Title]])=TRUE,1,0)</f>
        <v>0</v>
      </c>
      <c r="K50" s="86">
        <f>IF(EXACT(Calculators[[#This Row],[CalculatorCode]],UPPER(Calculators[[#This Row],[CalculatorCode]])),0,1)</f>
        <v>0</v>
      </c>
      <c r="L50" s="86">
        <f>IF(SUBSTITUTE(TEXT(Calculators[[#This Row],[CalculatorCode]],10)," ","")=TEXT(Calculators[[#This Row],[CalculatorCode]],10),0,1)</f>
        <v>0</v>
      </c>
      <c r="M50" s="80">
        <f>SUM(Calculators[[#This Row],[Blank Data]:[Space in Code]])</f>
        <v>0</v>
      </c>
      <c r="N50" s="80" t="str" cm="1">
        <f t="array" ref="N50">_xlfn.TEXTJOIN(",",TRUE,IF(CalculatorFC[CalculatorCode]&amp;CalculatorFC[Type]=Calculators[[#This Row],[CalculatorCode]]&amp;Calculators[[#Headers],[SourceFinanceCodes]],CalculatorFC[FinanceCode],""))</f>
        <v>PUPILPREMIUM_PRI</v>
      </c>
      <c r="O50" s="80" t="str" cm="1">
        <f t="array" ref="O50">_xlfn.TEXTJOIN(",",TRUE,IF(CalculatorFC[CalculatorCode]&amp;CalculatorFC[Type]=Calculators[[#This Row],[CalculatorCode]]&amp;Calculators[[#Headers],[SourceGroupingCodes]],CalculatorFC[FinanceCode],""))</f>
        <v/>
      </c>
      <c r="P50" s="80" t="str" cm="1">
        <f t="array" ref="P50">_xlfn.TEXTJOIN(",",TRUE,IF(CalculatorFC[CalculatorCode]&amp;CalculatorFC[Type]=Calculators[[#This Row],[CalculatorCode]]&amp;Calculators[[#Headers],[DivisorFinanceCodes]],CalculatorFC[FinanceCode],""))</f>
        <v/>
      </c>
      <c r="Q50" s="80" t="str" cm="1">
        <f t="array" ref="Q50">_xlfn.TEXTJOIN(",",TRUE,IF(CalculatorFC[CalculatorCode]&amp;CalculatorFC[Type]=Calculators[[#This Row],[CalculatorCode]]&amp;Calculators[[#Headers],[DivisorGroupingCodes]],CalculatorFC[FinanceCode],""))</f>
        <v/>
      </c>
      <c r="R50" s="80" t="str" cm="1">
        <f t="array" ref="R50">_xlfn.TEXTJOIN(",",TRUE,IF(CalculatorFC[CalculatorCode]&amp;CalculatorFC[Type]=Calculators[[#This Row],[CalculatorCode]]&amp;Calculators[[#Headers],[MultiplierFinanceCodes]],CalculatorFC[FinanceCode],""))</f>
        <v>PUPPRI_RATE</v>
      </c>
      <c r="S50" s="80" t="str" cm="1">
        <f t="array" ref="S50">_xlfn.TEXTJOIN(",",TRUE,IF(CalculatorFC[CalculatorCode]&amp;CalculatorFC[Type]=Calculators[[#This Row],[CalculatorCode]]&amp;Calculators[[#Headers],[MultiplierGroupingCodes]],CalculatorFC[FinanceCode],""))</f>
        <v/>
      </c>
      <c r="T50" t="s">
        <v>1284</v>
      </c>
      <c r="U50" t="s">
        <v>1285</v>
      </c>
      <c r="V50" t="b">
        <v>0</v>
      </c>
      <c r="W50" t="b">
        <v>1</v>
      </c>
      <c r="X50" t="b">
        <v>1</v>
      </c>
      <c r="Y50" t="b">
        <v>1</v>
      </c>
      <c r="Z50" t="b">
        <v>0</v>
      </c>
      <c r="AA50" t="b">
        <v>0</v>
      </c>
      <c r="AB50" t="b">
        <v>0</v>
      </c>
      <c r="AC50">
        <v>0</v>
      </c>
      <c r="AD50" t="b">
        <v>0</v>
      </c>
      <c r="AE50" t="b">
        <v>0</v>
      </c>
      <c r="AF50" t="b">
        <v>0</v>
      </c>
      <c r="AG50" t="b">
        <v>0</v>
      </c>
      <c r="AH50" t="b">
        <v>0</v>
      </c>
      <c r="AI50" t="b">
        <v>1</v>
      </c>
      <c r="AJ50" t="b">
        <v>0</v>
      </c>
      <c r="AK50" t="b">
        <v>1</v>
      </c>
      <c r="AL50" t="b">
        <v>0</v>
      </c>
      <c r="AM50">
        <v>1</v>
      </c>
      <c r="AN50" t="b">
        <v>0</v>
      </c>
      <c r="AO50" t="b">
        <v>0</v>
      </c>
      <c r="AP50" t="b">
        <v>1</v>
      </c>
      <c r="AQ50" t="b">
        <v>1</v>
      </c>
      <c r="AR50" t="b">
        <v>1</v>
      </c>
      <c r="AS50" t="b">
        <v>1</v>
      </c>
      <c r="AT50" t="b">
        <v>0</v>
      </c>
      <c r="AU50" t="b">
        <v>0</v>
      </c>
      <c r="AV50" t="b">
        <v>0</v>
      </c>
      <c r="AW50">
        <v>0</v>
      </c>
      <c r="AX50" t="b">
        <v>0</v>
      </c>
      <c r="AY50" t="b">
        <v>0</v>
      </c>
      <c r="AZ50" t="b">
        <v>1</v>
      </c>
      <c r="BA50">
        <v>0</v>
      </c>
      <c r="BB50" t="s">
        <v>900</v>
      </c>
      <c r="BC50">
        <v>0</v>
      </c>
    </row>
    <row r="51" spans="1:55" hidden="1" x14ac:dyDescent="0.3">
      <c r="A51" s="80">
        <f t="shared" si="1"/>
        <v>0</v>
      </c>
      <c r="B51" s="80">
        <f>SUMIFS(CalculatorFC[FinCodeIssue],CalculatorFC[CalculatorCode],Calculators[[#This Row],[CalculatorCode]])</f>
        <v>0</v>
      </c>
      <c r="C51" s="80">
        <f>IF(LEN(Calculators[[#This Row],[CalculatorCode]])&lt;100,0,1)</f>
        <v>0</v>
      </c>
      <c r="D51" s="86">
        <f>IF(LEN(Calculators[[#This Row],[Title]])&lt;100,0,1)</f>
        <v>0</v>
      </c>
      <c r="E51" s="86">
        <f>(COUNTIF(CalculatorTypeCode[CalculatorTypeCode],Calculators[[#This Row],[CalculatorTypeCode]])-1)*-1</f>
        <v>0</v>
      </c>
      <c r="F51"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51"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51"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51" s="86">
        <f>IF(OR(Calculators[[#This Row],[CalculatorEnabled]]=TRUE,Calculators[[#This Row],[CalculatorEnabled]]=FALSE),0,1)</f>
        <v>0</v>
      </c>
      <c r="J51" s="86">
        <f>IF(ISBLANK(Calculators[[#This Row],[Title]])=TRUE,1,0)</f>
        <v>0</v>
      </c>
      <c r="K51" s="86">
        <f>IF(EXACT(Calculators[[#This Row],[CalculatorCode]],UPPER(Calculators[[#This Row],[CalculatorCode]])),0,1)</f>
        <v>0</v>
      </c>
      <c r="L51" s="86">
        <f>IF(SUBSTITUTE(TEXT(Calculators[[#This Row],[CalculatorCode]],10)," ","")=TEXT(Calculators[[#This Row],[CalculatorCode]],10),0,1)</f>
        <v>0</v>
      </c>
      <c r="M51" s="80">
        <f>SUM(Calculators[[#This Row],[Blank Data]:[Space in Code]])</f>
        <v>0</v>
      </c>
      <c r="N51" s="80" t="str" cm="1">
        <f t="array" ref="N51">_xlfn.TEXTJOIN(",",TRUE,IF(CalculatorFC[CalculatorCode]&amp;CalculatorFC[Type]=Calculators[[#This Row],[CalculatorCode]]&amp;Calculators[[#Headers],[SourceFinanceCodes]],CalculatorFC[FinanceCode],""))</f>
        <v>PUPILPREMIUMPLAC</v>
      </c>
      <c r="O51" s="80" t="str" cm="1">
        <f t="array" ref="O51">_xlfn.TEXTJOIN(",",TRUE,IF(CalculatorFC[CalculatorCode]&amp;CalculatorFC[Type]=Calculators[[#This Row],[CalculatorCode]]&amp;Calculators[[#Headers],[SourceGroupingCodes]],CalculatorFC[FinanceCode],""))</f>
        <v/>
      </c>
      <c r="P51" s="80" t="str" cm="1">
        <f t="array" ref="P51">_xlfn.TEXTJOIN(",",TRUE,IF(CalculatorFC[CalculatorCode]&amp;CalculatorFC[Type]=Calculators[[#This Row],[CalculatorCode]]&amp;Calculators[[#Headers],[DivisorFinanceCodes]],CalculatorFC[FinanceCode],""))</f>
        <v/>
      </c>
      <c r="Q51" s="80" t="str" cm="1">
        <f t="array" ref="Q51">_xlfn.TEXTJOIN(",",TRUE,IF(CalculatorFC[CalculatorCode]&amp;CalculatorFC[Type]=Calculators[[#This Row],[CalculatorCode]]&amp;Calculators[[#Headers],[DivisorGroupingCodes]],CalculatorFC[FinanceCode],""))</f>
        <v/>
      </c>
      <c r="R51" s="80" t="str" cm="1">
        <f t="array" ref="R51">_xlfn.TEXTJOIN(",",TRUE,IF(CalculatorFC[CalculatorCode]&amp;CalculatorFC[Type]=Calculators[[#This Row],[CalculatorCode]]&amp;Calculators[[#Headers],[MultiplierFinanceCodes]],CalculatorFC[FinanceCode],""))</f>
        <v>PUPLAC_RATE</v>
      </c>
      <c r="S51" s="80" t="str" cm="1">
        <f t="array" ref="S51">_xlfn.TEXTJOIN(",",TRUE,IF(CalculatorFC[CalculatorCode]&amp;CalculatorFC[Type]=Calculators[[#This Row],[CalculatorCode]]&amp;Calculators[[#Headers],[MultiplierGroupingCodes]],CalculatorFC[FinanceCode],""))</f>
        <v/>
      </c>
      <c r="T51" t="s">
        <v>1949</v>
      </c>
      <c r="U51" t="s">
        <v>1950</v>
      </c>
      <c r="V51" t="b">
        <v>0</v>
      </c>
      <c r="W51" t="b">
        <v>1</v>
      </c>
      <c r="X51" t="b">
        <v>1</v>
      </c>
      <c r="Y51" t="b">
        <v>1</v>
      </c>
      <c r="Z51" t="b">
        <v>0</v>
      </c>
      <c r="AA51" t="b">
        <v>0</v>
      </c>
      <c r="AB51" t="b">
        <v>0</v>
      </c>
      <c r="AC51">
        <v>0</v>
      </c>
      <c r="AD51" t="b">
        <v>0</v>
      </c>
      <c r="AE51" t="b">
        <v>0</v>
      </c>
      <c r="AF51" t="b">
        <v>0</v>
      </c>
      <c r="AG51" t="b">
        <v>0</v>
      </c>
      <c r="AH51" t="b">
        <v>0</v>
      </c>
      <c r="AI51" t="b">
        <v>1</v>
      </c>
      <c r="AJ51" t="b">
        <v>0</v>
      </c>
      <c r="AK51" t="b">
        <v>1</v>
      </c>
      <c r="AL51" t="b">
        <v>0</v>
      </c>
      <c r="AM51">
        <v>1</v>
      </c>
      <c r="AN51" t="b">
        <v>0</v>
      </c>
      <c r="AO51" t="b">
        <v>0</v>
      </c>
      <c r="AP51" t="b">
        <v>1</v>
      </c>
      <c r="AQ51" t="b">
        <v>1</v>
      </c>
      <c r="AR51" t="b">
        <v>1</v>
      </c>
      <c r="AS51" t="b">
        <v>1</v>
      </c>
      <c r="AT51" t="b">
        <v>0</v>
      </c>
      <c r="AU51" t="b">
        <v>0</v>
      </c>
      <c r="AV51" t="b">
        <v>0</v>
      </c>
      <c r="AW51">
        <v>0</v>
      </c>
      <c r="AX51" t="b">
        <v>0</v>
      </c>
      <c r="AY51" t="b">
        <v>0</v>
      </c>
      <c r="AZ51" t="b">
        <v>1</v>
      </c>
      <c r="BA51">
        <v>0</v>
      </c>
      <c r="BB51" t="s">
        <v>900</v>
      </c>
      <c r="BC51">
        <v>0</v>
      </c>
    </row>
    <row r="52" spans="1:55" hidden="1" x14ac:dyDescent="0.3">
      <c r="A52" s="80">
        <f t="shared" si="1"/>
        <v>0</v>
      </c>
      <c r="B52" s="80">
        <f>SUMIFS(CalculatorFC[FinCodeIssue],CalculatorFC[CalculatorCode],Calculators[[#This Row],[CalculatorCode]])</f>
        <v>10</v>
      </c>
      <c r="C52" s="80">
        <f>IF(LEN(Calculators[[#This Row],[CalculatorCode]])&lt;100,0,1)</f>
        <v>0</v>
      </c>
      <c r="D52" s="86">
        <f>IF(LEN(Calculators[[#This Row],[Title]])&lt;100,0,1)</f>
        <v>0</v>
      </c>
      <c r="E52" s="86">
        <f>(COUNTIF(CalculatorTypeCode[CalculatorTypeCode],Calculators[[#This Row],[CalculatorTypeCode]])-1)*-1</f>
        <v>0</v>
      </c>
      <c r="F52"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52"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52"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52" s="86">
        <f>IF(OR(Calculators[[#This Row],[CalculatorEnabled]]=TRUE,Calculators[[#This Row],[CalculatorEnabled]]=FALSE),0,1)</f>
        <v>0</v>
      </c>
      <c r="J52" s="86">
        <f>IF(ISBLANK(Calculators[[#This Row],[Title]])=TRUE,1,0)</f>
        <v>0</v>
      </c>
      <c r="K52" s="86">
        <f>IF(EXACT(Calculators[[#This Row],[CalculatorCode]],UPPER(Calculators[[#This Row],[CalculatorCode]])),0,1)</f>
        <v>0</v>
      </c>
      <c r="L52" s="86">
        <f>IF(SUBSTITUTE(TEXT(Calculators[[#This Row],[CalculatorCode]],10)," ","")=TEXT(Calculators[[#This Row],[CalculatorCode]],10),0,1)</f>
        <v>0</v>
      </c>
      <c r="M52" s="80">
        <f>SUM(Calculators[[#This Row],[Blank Data]:[Space in Code]])</f>
        <v>10</v>
      </c>
      <c r="N52" s="80" t="str" cm="1">
        <f t="array" ref="N52">_xlfn.TEXTJOIN(",",TRUE,IF(CalculatorFC[CalculatorCode]&amp;CalculatorFC[Type]=Calculators[[#This Row],[CalculatorCode]]&amp;Calculators[[#Headers],[SourceFinanceCodes]],CalculatorFC[FinanceCode],""))</f>
        <v/>
      </c>
      <c r="O52" s="80" t="str" cm="1">
        <f t="array" ref="O52">_xlfn.TEXTJOIN(",",TRUE,IF(CalculatorFC[CalculatorCode]&amp;CalculatorFC[Type]=Calculators[[#This Row],[CalculatorCode]]&amp;Calculators[[#Headers],[SourceGroupingCodes]],CalculatorFC[FinanceCode],""))</f>
        <v/>
      </c>
      <c r="P52" s="80" t="str" cm="1">
        <f t="array" ref="P52">_xlfn.TEXTJOIN(",",TRUE,IF(CalculatorFC[CalculatorCode]&amp;CalculatorFC[Type]=Calculators[[#This Row],[CalculatorCode]]&amp;Calculators[[#Headers],[DivisorFinanceCodes]],CalculatorFC[FinanceCode],""))</f>
        <v>PUPIL_CEN_00,PUPIL_CEN_01,PUPIL_CEN_02,PUPIL_CEN_03,PUPIL_CEN_04,PUPIL_CEN_05,PUPIL_CEN_06,PUPIL_CEN_07,PUPIL_CEN_08,PUPIL_CEN_09,PUPIL_CEN_10,PUPIL_CEN_11</v>
      </c>
      <c r="Q52" s="80" t="str" cm="1">
        <f t="array" ref="Q52">_xlfn.TEXTJOIN(",",TRUE,IF(CalculatorFC[CalculatorCode]&amp;CalculatorFC[Type]=Calculators[[#This Row],[CalculatorCode]]&amp;Calculators[[#Headers],[DivisorGroupingCodes]],CalculatorFC[FinanceCode],""))</f>
        <v/>
      </c>
      <c r="R52" s="80" t="str" cm="1">
        <f t="array" ref="R52">_xlfn.TEXTJOIN(",",TRUE,IF(CalculatorFC[CalculatorCode]&amp;CalculatorFC[Type]=Calculators[[#This Row],[CalculatorCode]]&amp;Calculators[[#Headers],[MultiplierFinanceCodes]],CalculatorFC[FinanceCode],""))</f>
        <v>PUPIL_CEN_00,PUPIL_CEN_01,PUPIL_CEN_02,PUPIL_CEN_03,PUPIL_CEN_04,PUPIL_CEN_05,PUPIL_CEN_06,PUPIL_CEN_07,PUPIL_CEN_08,PUPIL_CEN_09,PUPIL_CEN_10,PUPIL_CEN_11</v>
      </c>
      <c r="S52" s="80" t="str" cm="1">
        <f t="array" ref="S52">_xlfn.TEXTJOIN(",",TRUE,IF(CalculatorFC[CalculatorCode]&amp;CalculatorFC[Type]=Calculators[[#This Row],[CalculatorCode]]&amp;Calculators[[#Headers],[MultiplierGroupingCodes]],CalculatorFC[FinanceCode],""))</f>
        <v/>
      </c>
      <c r="T52" t="s">
        <v>1236</v>
      </c>
      <c r="U52" t="s">
        <v>1237</v>
      </c>
      <c r="V52" t="b">
        <v>0</v>
      </c>
      <c r="W52" t="b">
        <v>1</v>
      </c>
      <c r="X52" t="b">
        <v>1</v>
      </c>
      <c r="Y52" t="b">
        <v>1</v>
      </c>
      <c r="Z52" t="b">
        <v>1</v>
      </c>
      <c r="AA52" t="b">
        <v>1</v>
      </c>
      <c r="AB52" t="b">
        <v>0</v>
      </c>
      <c r="AC52">
        <v>0</v>
      </c>
      <c r="AD52" t="b">
        <v>0</v>
      </c>
      <c r="AE52" t="b">
        <v>0</v>
      </c>
      <c r="AF52" t="b">
        <v>0</v>
      </c>
      <c r="AG52" t="b">
        <v>1</v>
      </c>
      <c r="AH52" t="b">
        <v>1</v>
      </c>
      <c r="AI52" t="b">
        <v>1</v>
      </c>
      <c r="AJ52" t="b">
        <v>0</v>
      </c>
      <c r="AK52" t="b">
        <v>1</v>
      </c>
      <c r="AL52" t="b">
        <v>0</v>
      </c>
      <c r="AM52">
        <v>0</v>
      </c>
      <c r="AN52" t="b">
        <v>0</v>
      </c>
      <c r="AO52" t="b">
        <v>0</v>
      </c>
      <c r="AP52" t="b">
        <v>0</v>
      </c>
      <c r="AQ52" t="b">
        <v>1</v>
      </c>
      <c r="AR52" t="b">
        <v>1</v>
      </c>
      <c r="AS52" t="b">
        <v>1</v>
      </c>
      <c r="AT52" t="b">
        <v>0</v>
      </c>
      <c r="AU52" t="b">
        <v>0</v>
      </c>
      <c r="AV52" t="b">
        <v>0</v>
      </c>
      <c r="AW52">
        <v>0</v>
      </c>
      <c r="AX52" t="b">
        <v>0</v>
      </c>
      <c r="AY52" t="b">
        <v>0</v>
      </c>
      <c r="AZ52" t="b">
        <v>1</v>
      </c>
      <c r="BA52">
        <v>0</v>
      </c>
      <c r="BB52" t="s">
        <v>922</v>
      </c>
      <c r="BC52">
        <v>0</v>
      </c>
    </row>
    <row r="53" spans="1:55" hidden="1" x14ac:dyDescent="0.3">
      <c r="A53" s="80">
        <f t="shared" si="1"/>
        <v>0</v>
      </c>
      <c r="B53" s="80">
        <f>SUMIFS(CalculatorFC[FinCodeIssue],CalculatorFC[CalculatorCode],Calculators[[#This Row],[CalculatorCode]])</f>
        <v>0</v>
      </c>
      <c r="C53" s="80">
        <f>IF(LEN(Calculators[[#This Row],[CalculatorCode]])&lt;100,0,1)</f>
        <v>0</v>
      </c>
      <c r="D53" s="86">
        <f>IF(LEN(Calculators[[#This Row],[Title]])&lt;100,0,1)</f>
        <v>0</v>
      </c>
      <c r="E53" s="86">
        <f>(COUNTIF(CalculatorTypeCode[CalculatorTypeCode],Calculators[[#This Row],[CalculatorTypeCode]])-1)*-1</f>
        <v>0</v>
      </c>
      <c r="F53"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53"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53"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53" s="86">
        <f>IF(OR(Calculators[[#This Row],[CalculatorEnabled]]=TRUE,Calculators[[#This Row],[CalculatorEnabled]]=FALSE),0,1)</f>
        <v>0</v>
      </c>
      <c r="J53" s="86">
        <f>IF(ISBLANK(Calculators[[#This Row],[Title]])=TRUE,1,0)</f>
        <v>0</v>
      </c>
      <c r="K53" s="86">
        <f>IF(EXACT(Calculators[[#This Row],[CalculatorCode]],UPPER(Calculators[[#This Row],[CalculatorCode]])),0,1)</f>
        <v>0</v>
      </c>
      <c r="L53" s="86">
        <f>IF(SUBSTITUTE(TEXT(Calculators[[#This Row],[CalculatorCode]],10)," ","")=TEXT(Calculators[[#This Row],[CalculatorCode]],10),0,1)</f>
        <v>0</v>
      </c>
      <c r="M53" s="80">
        <f>SUM(Calculators[[#This Row],[Blank Data]:[Space in Code]])</f>
        <v>0</v>
      </c>
      <c r="N53" s="80" t="str" cm="1">
        <f t="array" ref="N53">_xlfn.TEXTJOIN(",",TRUE,IF(CalculatorFC[CalculatorCode]&amp;CalculatorFC[Type]=Calculators[[#This Row],[CalculatorCode]]&amp;Calculators[[#Headers],[SourceFinanceCodes]],CalculatorFC[FinanceCode],""))</f>
        <v>PUPILPREMIUMSER</v>
      </c>
      <c r="O53" s="80" t="str" cm="1">
        <f t="array" ref="O53">_xlfn.TEXTJOIN(",",TRUE,IF(CalculatorFC[CalculatorCode]&amp;CalculatorFC[Type]=Calculators[[#This Row],[CalculatorCode]]&amp;Calculators[[#Headers],[SourceGroupingCodes]],CalculatorFC[FinanceCode],""))</f>
        <v/>
      </c>
      <c r="P53" s="80" t="str" cm="1">
        <f t="array" ref="P53">_xlfn.TEXTJOIN(",",TRUE,IF(CalculatorFC[CalculatorCode]&amp;CalculatorFC[Type]=Calculators[[#This Row],[CalculatorCode]]&amp;Calculators[[#Headers],[DivisorFinanceCodes]],CalculatorFC[FinanceCode],""))</f>
        <v/>
      </c>
      <c r="Q53" s="80" t="str" cm="1">
        <f t="array" ref="Q53">_xlfn.TEXTJOIN(",",TRUE,IF(CalculatorFC[CalculatorCode]&amp;CalculatorFC[Type]=Calculators[[#This Row],[CalculatorCode]]&amp;Calculators[[#Headers],[DivisorGroupingCodes]],CalculatorFC[FinanceCode],""))</f>
        <v/>
      </c>
      <c r="R53" s="80" t="str" cm="1">
        <f t="array" ref="R53">_xlfn.TEXTJOIN(",",TRUE,IF(CalculatorFC[CalculatorCode]&amp;CalculatorFC[Type]=Calculators[[#This Row],[CalculatorCode]]&amp;Calculators[[#Headers],[MultiplierFinanceCodes]],CalculatorFC[FinanceCode],""))</f>
        <v>PUPSER_RATE</v>
      </c>
      <c r="S53" s="80" t="str" cm="1">
        <f t="array" ref="S53">_xlfn.TEXTJOIN(",",TRUE,IF(CalculatorFC[CalculatorCode]&amp;CalculatorFC[Type]=Calculators[[#This Row],[CalculatorCode]]&amp;Calculators[[#Headers],[MultiplierGroupingCodes]],CalculatorFC[FinanceCode],""))</f>
        <v/>
      </c>
      <c r="T53" t="s">
        <v>1288</v>
      </c>
      <c r="U53" t="s">
        <v>1289</v>
      </c>
      <c r="V53" t="b">
        <v>0</v>
      </c>
      <c r="W53" t="b">
        <v>1</v>
      </c>
      <c r="X53" t="b">
        <v>1</v>
      </c>
      <c r="Y53" t="b">
        <v>1</v>
      </c>
      <c r="Z53" t="b">
        <v>0</v>
      </c>
      <c r="AA53" t="b">
        <v>0</v>
      </c>
      <c r="AB53" t="b">
        <v>0</v>
      </c>
      <c r="AC53">
        <v>0</v>
      </c>
      <c r="AD53" t="b">
        <v>0</v>
      </c>
      <c r="AE53" t="b">
        <v>0</v>
      </c>
      <c r="AF53" t="b">
        <v>0</v>
      </c>
      <c r="AG53" t="b">
        <v>0</v>
      </c>
      <c r="AH53" t="b">
        <v>0</v>
      </c>
      <c r="AI53" t="b">
        <v>1</v>
      </c>
      <c r="AJ53" t="b">
        <v>0</v>
      </c>
      <c r="AK53" t="b">
        <v>1</v>
      </c>
      <c r="AL53" t="b">
        <v>0</v>
      </c>
      <c r="AM53">
        <v>1</v>
      </c>
      <c r="AN53" t="b">
        <v>0</v>
      </c>
      <c r="AO53" t="b">
        <v>0</v>
      </c>
      <c r="AP53" t="b">
        <v>1</v>
      </c>
      <c r="AQ53" t="b">
        <v>1</v>
      </c>
      <c r="AR53" t="b">
        <v>1</v>
      </c>
      <c r="AS53" t="b">
        <v>1</v>
      </c>
      <c r="AT53" t="b">
        <v>0</v>
      </c>
      <c r="AU53" t="b">
        <v>0</v>
      </c>
      <c r="AV53" t="b">
        <v>0</v>
      </c>
      <c r="AW53">
        <v>0</v>
      </c>
      <c r="AX53" t="b">
        <v>0</v>
      </c>
      <c r="AY53" t="b">
        <v>0</v>
      </c>
      <c r="AZ53" t="b">
        <v>1</v>
      </c>
      <c r="BA53">
        <v>0</v>
      </c>
      <c r="BB53" t="s">
        <v>900</v>
      </c>
      <c r="BC53">
        <v>0</v>
      </c>
    </row>
    <row r="54" spans="1:55" hidden="1" x14ac:dyDescent="0.3">
      <c r="A54" s="80">
        <f t="shared" si="1"/>
        <v>0</v>
      </c>
      <c r="B54" s="80">
        <f>SUMIFS(CalculatorFC[FinCodeIssue],CalculatorFC[CalculatorCode],Calculators[[#This Row],[CalculatorCode]])</f>
        <v>0</v>
      </c>
      <c r="C54" s="80">
        <f>IF(LEN(Calculators[[#This Row],[CalculatorCode]])&lt;100,0,1)</f>
        <v>0</v>
      </c>
      <c r="D54" s="86">
        <f>IF(LEN(Calculators[[#This Row],[Title]])&lt;100,0,1)</f>
        <v>0</v>
      </c>
      <c r="E54" s="86">
        <f>(COUNTIF(CalculatorTypeCode[CalculatorTypeCode],Calculators[[#This Row],[CalculatorTypeCode]])-1)*-1</f>
        <v>0</v>
      </c>
      <c r="F54"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54"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54"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54" s="86">
        <f>IF(OR(Calculators[[#This Row],[CalculatorEnabled]]=TRUE,Calculators[[#This Row],[CalculatorEnabled]]=FALSE),0,1)</f>
        <v>0</v>
      </c>
      <c r="J54" s="86">
        <f>IF(ISBLANK(Calculators[[#This Row],[Title]])=TRUE,1,0)</f>
        <v>0</v>
      </c>
      <c r="K54" s="86">
        <f>IF(EXACT(Calculators[[#This Row],[CalculatorCode]],UPPER(Calculators[[#This Row],[CalculatorCode]])),0,1)</f>
        <v>0</v>
      </c>
      <c r="L54" s="86">
        <f>IF(SUBSTITUTE(TEXT(Calculators[[#This Row],[CalculatorCode]],10)," ","")=TEXT(Calculators[[#This Row],[CalculatorCode]],10),0,1)</f>
        <v>0</v>
      </c>
      <c r="M54" s="80">
        <f>SUM(Calculators[[#This Row],[Blank Data]:[Space in Code]])</f>
        <v>0</v>
      </c>
      <c r="N54" s="80" t="str" cm="1">
        <f t="array" ref="N54">_xlfn.TEXTJOIN(",",TRUE,IF(CalculatorFC[CalculatorCode]&amp;CalculatorFC[Type]=Calculators[[#This Row],[CalculatorCode]]&amp;Calculators[[#Headers],[SourceFinanceCodes]],CalculatorFC[FinanceCode],""))</f>
        <v>FUNDING_PUPPREM_PLAC</v>
      </c>
      <c r="O54" s="80" t="str" cm="1">
        <f t="array" ref="O54">_xlfn.TEXTJOIN(",",TRUE,IF(CalculatorFC[CalculatorCode]&amp;CalculatorFC[Type]=Calculators[[#This Row],[CalculatorCode]]&amp;Calculators[[#Headers],[SourceGroupingCodes]],CalculatorFC[FinanceCode],""))</f>
        <v/>
      </c>
      <c r="P54" s="80" t="str" cm="1">
        <f t="array" ref="P54">_xlfn.TEXTJOIN(",",TRUE,IF(CalculatorFC[CalculatorCode]&amp;CalculatorFC[Type]=Calculators[[#This Row],[CalculatorCode]]&amp;Calculators[[#Headers],[DivisorFinanceCodes]],CalculatorFC[FinanceCode],""))</f>
        <v/>
      </c>
      <c r="Q54" s="80" t="str" cm="1">
        <f t="array" ref="Q54">_xlfn.TEXTJOIN(",",TRUE,IF(CalculatorFC[CalculatorCode]&amp;CalculatorFC[Type]=Calculators[[#This Row],[CalculatorCode]]&amp;Calculators[[#Headers],[DivisorGroupingCodes]],CalculatorFC[FinanceCode],""))</f>
        <v/>
      </c>
      <c r="R54" s="80" t="str" cm="1">
        <f t="array" ref="R54">_xlfn.TEXTJOIN(",",TRUE,IF(CalculatorFC[CalculatorCode]&amp;CalculatorFC[Type]=Calculators[[#This Row],[CalculatorCode]]&amp;Calculators[[#Headers],[MultiplierFinanceCodes]],CalculatorFC[FinanceCode],""))</f>
        <v/>
      </c>
      <c r="S54" s="80" t="str" cm="1">
        <f t="array" ref="S54">_xlfn.TEXTJOIN(",",TRUE,IF(CalculatorFC[CalculatorCode]&amp;CalculatorFC[Type]=Calculators[[#This Row],[CalculatorCode]]&amp;Calculators[[#Headers],[MultiplierGroupingCodes]],CalculatorFC[FinanceCode],""))</f>
        <v/>
      </c>
      <c r="T54" t="s">
        <v>1945</v>
      </c>
      <c r="U54" t="s">
        <v>1946</v>
      </c>
      <c r="V54" t="b">
        <v>0</v>
      </c>
      <c r="W54" t="b">
        <v>1</v>
      </c>
      <c r="X54" t="b">
        <v>1</v>
      </c>
      <c r="Y54" t="b">
        <v>1</v>
      </c>
      <c r="Z54" t="b">
        <v>0</v>
      </c>
      <c r="AA54" t="b">
        <v>0</v>
      </c>
      <c r="AB54" t="b">
        <v>0</v>
      </c>
      <c r="AC54">
        <v>0</v>
      </c>
      <c r="AD54" t="b">
        <v>0</v>
      </c>
      <c r="AE54" t="b">
        <v>0</v>
      </c>
      <c r="AF54" t="b">
        <v>0</v>
      </c>
      <c r="AG54" t="b">
        <v>0</v>
      </c>
      <c r="AH54" t="b">
        <v>0</v>
      </c>
      <c r="AI54" t="b">
        <v>0</v>
      </c>
      <c r="AJ54" t="b">
        <v>0</v>
      </c>
      <c r="AK54" t="b">
        <v>0</v>
      </c>
      <c r="AL54" t="b">
        <v>0</v>
      </c>
      <c r="AM54">
        <v>12</v>
      </c>
      <c r="AN54" t="b">
        <v>0</v>
      </c>
      <c r="AO54" t="b">
        <v>0</v>
      </c>
      <c r="AP54" t="b">
        <v>0</v>
      </c>
      <c r="AQ54" t="b">
        <v>0</v>
      </c>
      <c r="AR54" t="b">
        <v>0</v>
      </c>
      <c r="AS54" t="b">
        <v>0</v>
      </c>
      <c r="AT54" t="b">
        <v>0</v>
      </c>
      <c r="AU54" t="b">
        <v>0</v>
      </c>
      <c r="AV54" t="b">
        <v>0</v>
      </c>
      <c r="AW54">
        <v>5</v>
      </c>
      <c r="AX54" t="b">
        <v>0</v>
      </c>
      <c r="AY54" t="b">
        <v>0</v>
      </c>
      <c r="AZ54" t="b">
        <v>1</v>
      </c>
      <c r="BA54">
        <v>1</v>
      </c>
      <c r="BB54" t="s">
        <v>1476</v>
      </c>
      <c r="BC54">
        <v>1</v>
      </c>
    </row>
    <row r="55" spans="1:55" hidden="1" x14ac:dyDescent="0.3">
      <c r="A55" s="80">
        <f t="shared" si="1"/>
        <v>0</v>
      </c>
      <c r="B55" s="80">
        <f>SUMIFS(CalculatorFC[FinCodeIssue],CalculatorFC[CalculatorCode],Calculators[[#This Row],[CalculatorCode]])</f>
        <v>0</v>
      </c>
      <c r="C55" s="80">
        <f>IF(LEN(Calculators[[#This Row],[CalculatorCode]])&lt;100,0,1)</f>
        <v>0</v>
      </c>
      <c r="D55" s="86">
        <f>IF(LEN(Calculators[[#This Row],[Title]])&lt;100,0,1)</f>
        <v>0</v>
      </c>
      <c r="E55" s="86">
        <f>(COUNTIF(CalculatorTypeCode[CalculatorTypeCode],Calculators[[#This Row],[CalculatorTypeCode]])-1)*-1</f>
        <v>0</v>
      </c>
      <c r="F55"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55"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55"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55" s="86">
        <f>IF(OR(Calculators[[#This Row],[CalculatorEnabled]]=TRUE,Calculators[[#This Row],[CalculatorEnabled]]=FALSE),0,1)</f>
        <v>0</v>
      </c>
      <c r="J55" s="86">
        <f>IF(ISBLANK(Calculators[[#This Row],[Title]])=TRUE,1,0)</f>
        <v>0</v>
      </c>
      <c r="K55" s="86">
        <f>IF(EXACT(Calculators[[#This Row],[CalculatorCode]],UPPER(Calculators[[#This Row],[CalculatorCode]])),0,1)</f>
        <v>0</v>
      </c>
      <c r="L55" s="86">
        <f>IF(SUBSTITUTE(TEXT(Calculators[[#This Row],[CalculatorCode]],10)," ","")=TEXT(Calculators[[#This Row],[CalculatorCode]],10),0,1)</f>
        <v>0</v>
      </c>
      <c r="M55" s="80">
        <f>SUM(Calculators[[#This Row],[Blank Data]:[Space in Code]])</f>
        <v>0</v>
      </c>
      <c r="N55" s="80" t="str" cm="1">
        <f t="array" ref="N55">_xlfn.TEXTJOIN(",",TRUE,IF(CalculatorFC[CalculatorCode]&amp;CalculatorFC[Type]=Calculators[[#This Row],[CalculatorCode]]&amp;Calculators[[#Headers],[SourceFinanceCodes]],CalculatorFC[FinanceCode],""))</f>
        <v>FUNDING_PUPPREM_PLAC</v>
      </c>
      <c r="O55" s="80" t="str" cm="1">
        <f t="array" ref="O55">_xlfn.TEXTJOIN(",",TRUE,IF(CalculatorFC[CalculatorCode]&amp;CalculatorFC[Type]=Calculators[[#This Row],[CalculatorCode]]&amp;Calculators[[#Headers],[SourceGroupingCodes]],CalculatorFC[FinanceCode],""))</f>
        <v/>
      </c>
      <c r="P55" s="80" t="str" cm="1">
        <f t="array" ref="P55">_xlfn.TEXTJOIN(",",TRUE,IF(CalculatorFC[CalculatorCode]&amp;CalculatorFC[Type]=Calculators[[#This Row],[CalculatorCode]]&amp;Calculators[[#Headers],[DivisorFinanceCodes]],CalculatorFC[FinanceCode],""))</f>
        <v/>
      </c>
      <c r="Q55" s="80" t="str" cm="1">
        <f t="array" ref="Q55">_xlfn.TEXTJOIN(",",TRUE,IF(CalculatorFC[CalculatorCode]&amp;CalculatorFC[Type]=Calculators[[#This Row],[CalculatorCode]]&amp;Calculators[[#Headers],[DivisorGroupingCodes]],CalculatorFC[FinanceCode],""))</f>
        <v/>
      </c>
      <c r="R55" s="80" t="str" cm="1">
        <f t="array" ref="R55">_xlfn.TEXTJOIN(",",TRUE,IF(CalculatorFC[CalculatorCode]&amp;CalculatorFC[Type]=Calculators[[#This Row],[CalculatorCode]]&amp;Calculators[[#Headers],[MultiplierFinanceCodes]],CalculatorFC[FinanceCode],""))</f>
        <v/>
      </c>
      <c r="S55" s="80" t="str" cm="1">
        <f t="array" ref="S55">_xlfn.TEXTJOIN(",",TRUE,IF(CalculatorFC[CalculatorCode]&amp;CalculatorFC[Type]=Calculators[[#This Row],[CalculatorCode]]&amp;Calculators[[#Headers],[MultiplierGroupingCodes]],CalculatorFC[FinanceCode],""))</f>
        <v/>
      </c>
      <c r="T55" t="s">
        <v>1947</v>
      </c>
      <c r="U55" t="s">
        <v>1948</v>
      </c>
      <c r="V55" t="b">
        <v>0</v>
      </c>
      <c r="W55" t="b">
        <v>1</v>
      </c>
      <c r="X55" t="b">
        <v>1</v>
      </c>
      <c r="Y55" t="b">
        <v>1</v>
      </c>
      <c r="Z55" t="b">
        <v>0</v>
      </c>
      <c r="AA55" t="b">
        <v>1</v>
      </c>
      <c r="AB55" t="b">
        <v>0</v>
      </c>
      <c r="AC55">
        <v>0</v>
      </c>
      <c r="AD55" t="b">
        <v>0</v>
      </c>
      <c r="AE55" t="b">
        <v>0</v>
      </c>
      <c r="AF55" t="b">
        <v>0</v>
      </c>
      <c r="AG55" t="b">
        <v>0</v>
      </c>
      <c r="AH55" t="b">
        <v>0</v>
      </c>
      <c r="AI55" t="b">
        <v>0</v>
      </c>
      <c r="AJ55" t="b">
        <v>0</v>
      </c>
      <c r="AK55" t="b">
        <v>0</v>
      </c>
      <c r="AL55" t="b">
        <v>0</v>
      </c>
      <c r="AM55">
        <v>12</v>
      </c>
      <c r="AN55" t="b">
        <v>0</v>
      </c>
      <c r="AO55" t="b">
        <v>0</v>
      </c>
      <c r="AP55" t="b">
        <v>0</v>
      </c>
      <c r="AQ55" t="b">
        <v>0</v>
      </c>
      <c r="AR55" t="b">
        <v>0</v>
      </c>
      <c r="AS55" t="b">
        <v>0</v>
      </c>
      <c r="AT55" t="b">
        <v>0</v>
      </c>
      <c r="AU55" t="b">
        <v>0</v>
      </c>
      <c r="AV55" t="b">
        <v>0</v>
      </c>
      <c r="AW55">
        <v>7</v>
      </c>
      <c r="AX55" t="b">
        <v>0</v>
      </c>
      <c r="AY55" t="b">
        <v>0</v>
      </c>
      <c r="AZ55" t="b">
        <v>1</v>
      </c>
      <c r="BA55">
        <v>1</v>
      </c>
      <c r="BB55" t="s">
        <v>1476</v>
      </c>
      <c r="BC55">
        <v>1</v>
      </c>
    </row>
    <row r="56" spans="1:55" x14ac:dyDescent="0.3">
      <c r="A56" s="80">
        <f t="shared" si="1"/>
        <v>0</v>
      </c>
      <c r="B56" s="80">
        <f>SUMIFS(CalculatorFC[FinCodeIssue],CalculatorFC[CalculatorCode],Calculators[[#This Row],[CalculatorCode]])</f>
        <v>0</v>
      </c>
      <c r="C56" s="80">
        <f>IF(LEN(Calculators[[#This Row],[CalculatorCode]])&lt;100,0,1)</f>
        <v>0</v>
      </c>
      <c r="D56" s="86">
        <f>IF(LEN(Calculators[[#This Row],[Title]])&lt;100,0,1)</f>
        <v>0</v>
      </c>
      <c r="E56" s="86">
        <f>(COUNTIF(CalculatorTypeCode[CalculatorTypeCode],Calculators[[#This Row],[CalculatorTypeCode]])-1)*-1</f>
        <v>0</v>
      </c>
      <c r="F56"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56"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56"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56" s="86">
        <f>IF(OR(Calculators[[#This Row],[CalculatorEnabled]]=TRUE,Calculators[[#This Row],[CalculatorEnabled]]=FALSE),0,1)</f>
        <v>0</v>
      </c>
      <c r="J56" s="86">
        <f>IF(ISBLANK(Calculators[[#This Row],[Title]])=TRUE,1,0)</f>
        <v>0</v>
      </c>
      <c r="K56" s="86">
        <f>IF(EXACT(Calculators[[#This Row],[CalculatorCode]],UPPER(Calculators[[#This Row],[CalculatorCode]])),0,1)</f>
        <v>0</v>
      </c>
      <c r="L56" s="86">
        <f>IF(SUBSTITUTE(TEXT(Calculators[[#This Row],[CalculatorCode]],10)," ","")=TEXT(Calculators[[#This Row],[CalculatorCode]],10),0,1)</f>
        <v>0</v>
      </c>
      <c r="M56" s="80">
        <f>SUM(Calculators[[#This Row],[Blank Data]:[Space in Code]])</f>
        <v>0</v>
      </c>
      <c r="N56" s="80" t="str" cm="1">
        <f t="array" ref="N56">_xlfn.TEXTJOIN(",",TRUE,IF(CalculatorFC[CalculatorCode]&amp;CalculatorFC[Type]=Calculators[[#This Row],[CalculatorCode]]&amp;Calculators[[#Headers],[SourceFinanceCodes]],CalculatorFC[FinanceCode],""))</f>
        <v>FUNDING_PUPPREM_PRI</v>
      </c>
      <c r="O56" s="80" t="str" cm="1">
        <f t="array" ref="O56">_xlfn.TEXTJOIN(",",TRUE,IF(CalculatorFC[CalculatorCode]&amp;CalculatorFC[Type]=Calculators[[#This Row],[CalculatorCode]]&amp;Calculators[[#Headers],[SourceGroupingCodes]],CalculatorFC[FinanceCode],""))</f>
        <v/>
      </c>
      <c r="P56" s="80" t="str" cm="1">
        <f t="array" ref="P56">_xlfn.TEXTJOIN(",",TRUE,IF(CalculatorFC[CalculatorCode]&amp;CalculatorFC[Type]=Calculators[[#This Row],[CalculatorCode]]&amp;Calculators[[#Headers],[DivisorFinanceCodes]],CalculatorFC[FinanceCode],""))</f>
        <v/>
      </c>
      <c r="Q56" s="80" t="str" cm="1">
        <f t="array" ref="Q56">_xlfn.TEXTJOIN(",",TRUE,IF(CalculatorFC[CalculatorCode]&amp;CalculatorFC[Type]=Calculators[[#This Row],[CalculatorCode]]&amp;Calculators[[#Headers],[DivisorGroupingCodes]],CalculatorFC[FinanceCode],""))</f>
        <v/>
      </c>
      <c r="R56" s="80" t="str" cm="1">
        <f t="array" ref="R56">_xlfn.TEXTJOIN(",",TRUE,IF(CalculatorFC[CalculatorCode]&amp;CalculatorFC[Type]=Calculators[[#This Row],[CalculatorCode]]&amp;Calculators[[#Headers],[MultiplierFinanceCodes]],CalculatorFC[FinanceCode],""))</f>
        <v/>
      </c>
      <c r="S56" s="80" t="str" cm="1">
        <f t="array" ref="S56">_xlfn.TEXTJOIN(",",TRUE,IF(CalculatorFC[CalculatorCode]&amp;CalculatorFC[Type]=Calculators[[#This Row],[CalculatorCode]]&amp;Calculators[[#Headers],[MultiplierGroupingCodes]],CalculatorFC[FinanceCode],""))</f>
        <v/>
      </c>
      <c r="T56" t="s">
        <v>1314</v>
      </c>
      <c r="U56" t="s">
        <v>1315</v>
      </c>
      <c r="V56" t="b">
        <v>0</v>
      </c>
      <c r="W56" t="b">
        <v>1</v>
      </c>
      <c r="X56" t="b">
        <v>1</v>
      </c>
      <c r="Y56" t="b">
        <v>1</v>
      </c>
      <c r="Z56" t="b">
        <v>0</v>
      </c>
      <c r="AA56" t="b">
        <v>0</v>
      </c>
      <c r="AB56" t="b">
        <v>0</v>
      </c>
      <c r="AC56">
        <v>0</v>
      </c>
      <c r="AD56" t="b">
        <v>0</v>
      </c>
      <c r="AE56" t="b">
        <v>0</v>
      </c>
      <c r="AF56" t="b">
        <v>0</v>
      </c>
      <c r="AG56" t="b">
        <v>0</v>
      </c>
      <c r="AH56" t="b">
        <v>0</v>
      </c>
      <c r="AI56" t="b">
        <v>0</v>
      </c>
      <c r="AJ56" t="b">
        <v>0</v>
      </c>
      <c r="AK56" t="b">
        <v>0</v>
      </c>
      <c r="AL56" t="b">
        <v>0</v>
      </c>
      <c r="AM56">
        <v>12</v>
      </c>
      <c r="AN56" t="b">
        <v>0</v>
      </c>
      <c r="AO56" t="b">
        <v>0</v>
      </c>
      <c r="AP56" t="b">
        <v>0</v>
      </c>
      <c r="AQ56" t="b">
        <v>0</v>
      </c>
      <c r="AR56" t="b">
        <v>0</v>
      </c>
      <c r="AS56" t="b">
        <v>0</v>
      </c>
      <c r="AT56" t="b">
        <v>0</v>
      </c>
      <c r="AU56" t="b">
        <v>0</v>
      </c>
      <c r="AV56" t="b">
        <v>0</v>
      </c>
      <c r="AW56">
        <v>5</v>
      </c>
      <c r="AX56" t="b">
        <v>0</v>
      </c>
      <c r="AY56" t="b">
        <v>0</v>
      </c>
      <c r="AZ56" t="b">
        <v>1</v>
      </c>
      <c r="BA56">
        <v>1</v>
      </c>
      <c r="BB56" t="s">
        <v>1476</v>
      </c>
      <c r="BC56">
        <v>1</v>
      </c>
    </row>
    <row r="57" spans="1:55" x14ac:dyDescent="0.3">
      <c r="A57" s="80">
        <f t="shared" si="1"/>
        <v>0</v>
      </c>
      <c r="B57" s="80">
        <f>SUMIFS(CalculatorFC[FinCodeIssue],CalculatorFC[CalculatorCode],Calculators[[#This Row],[CalculatorCode]])</f>
        <v>0</v>
      </c>
      <c r="C57" s="80">
        <f>IF(LEN(Calculators[[#This Row],[CalculatorCode]])&lt;100,0,1)</f>
        <v>0</v>
      </c>
      <c r="D57" s="86">
        <f>IF(LEN(Calculators[[#This Row],[Title]])&lt;100,0,1)</f>
        <v>0</v>
      </c>
      <c r="E57" s="86">
        <f>(COUNTIF(CalculatorTypeCode[CalculatorTypeCode],Calculators[[#This Row],[CalculatorTypeCode]])-1)*-1</f>
        <v>0</v>
      </c>
      <c r="F57"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57"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57"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57" s="86">
        <f>IF(OR(Calculators[[#This Row],[CalculatorEnabled]]=TRUE,Calculators[[#This Row],[CalculatorEnabled]]=FALSE),0,1)</f>
        <v>0</v>
      </c>
      <c r="J57" s="86">
        <f>IF(ISBLANK(Calculators[[#This Row],[Title]])=TRUE,1,0)</f>
        <v>0</v>
      </c>
      <c r="K57" s="86">
        <f>IF(EXACT(Calculators[[#This Row],[CalculatorCode]],UPPER(Calculators[[#This Row],[CalculatorCode]])),0,1)</f>
        <v>0</v>
      </c>
      <c r="L57" s="86">
        <f>IF(SUBSTITUTE(TEXT(Calculators[[#This Row],[CalculatorCode]],10)," ","")=TEXT(Calculators[[#This Row],[CalculatorCode]],10),0,1)</f>
        <v>0</v>
      </c>
      <c r="M57" s="80">
        <f>SUM(Calculators[[#This Row],[Blank Data]:[Space in Code]])</f>
        <v>0</v>
      </c>
      <c r="N57" s="80" t="str" cm="1">
        <f t="array" ref="N57">_xlfn.TEXTJOIN(",",TRUE,IF(CalculatorFC[CalculatorCode]&amp;CalculatorFC[Type]=Calculators[[#This Row],[CalculatorCode]]&amp;Calculators[[#Headers],[SourceFinanceCodes]],CalculatorFC[FinanceCode],""))</f>
        <v>FUNDING_PUPPREM_PRI</v>
      </c>
      <c r="O57" s="80" t="str" cm="1">
        <f t="array" ref="O57">_xlfn.TEXTJOIN(",",TRUE,IF(CalculatorFC[CalculatorCode]&amp;CalculatorFC[Type]=Calculators[[#This Row],[CalculatorCode]]&amp;Calculators[[#Headers],[SourceGroupingCodes]],CalculatorFC[FinanceCode],""))</f>
        <v/>
      </c>
      <c r="P57" s="80" t="str" cm="1">
        <f t="array" ref="P57">_xlfn.TEXTJOIN(",",TRUE,IF(CalculatorFC[CalculatorCode]&amp;CalculatorFC[Type]=Calculators[[#This Row],[CalculatorCode]]&amp;Calculators[[#Headers],[DivisorFinanceCodes]],CalculatorFC[FinanceCode],""))</f>
        <v/>
      </c>
      <c r="Q57" s="80" t="str" cm="1">
        <f t="array" ref="Q57">_xlfn.TEXTJOIN(",",TRUE,IF(CalculatorFC[CalculatorCode]&amp;CalculatorFC[Type]=Calculators[[#This Row],[CalculatorCode]]&amp;Calculators[[#Headers],[DivisorGroupingCodes]],CalculatorFC[FinanceCode],""))</f>
        <v/>
      </c>
      <c r="R57" s="80" t="str" cm="1">
        <f t="array" ref="R57">_xlfn.TEXTJOIN(",",TRUE,IF(CalculatorFC[CalculatorCode]&amp;CalculatorFC[Type]=Calculators[[#This Row],[CalculatorCode]]&amp;Calculators[[#Headers],[MultiplierFinanceCodes]],CalculatorFC[FinanceCode],""))</f>
        <v/>
      </c>
      <c r="S57" s="80" t="str" cm="1">
        <f t="array" ref="S57">_xlfn.TEXTJOIN(",",TRUE,IF(CalculatorFC[CalculatorCode]&amp;CalculatorFC[Type]=Calculators[[#This Row],[CalculatorCode]]&amp;Calculators[[#Headers],[MultiplierGroupingCodes]],CalculatorFC[FinanceCode],""))</f>
        <v/>
      </c>
      <c r="T57" t="s">
        <v>1316</v>
      </c>
      <c r="U57" t="s">
        <v>1317</v>
      </c>
      <c r="V57" t="b">
        <v>0</v>
      </c>
      <c r="W57" t="b">
        <v>1</v>
      </c>
      <c r="X57" t="b">
        <v>1</v>
      </c>
      <c r="Y57" t="b">
        <v>1</v>
      </c>
      <c r="Z57" t="b">
        <v>0</v>
      </c>
      <c r="AA57" t="b">
        <v>1</v>
      </c>
      <c r="AB57" t="b">
        <v>0</v>
      </c>
      <c r="AC57">
        <v>0</v>
      </c>
      <c r="AD57" t="b">
        <v>0</v>
      </c>
      <c r="AE57" t="b">
        <v>0</v>
      </c>
      <c r="AF57" t="b">
        <v>0</v>
      </c>
      <c r="AG57" t="b">
        <v>0</v>
      </c>
      <c r="AH57" t="b">
        <v>0</v>
      </c>
      <c r="AI57" t="b">
        <v>0</v>
      </c>
      <c r="AJ57" t="b">
        <v>0</v>
      </c>
      <c r="AK57" t="b">
        <v>0</v>
      </c>
      <c r="AL57" t="b">
        <v>0</v>
      </c>
      <c r="AM57">
        <v>12</v>
      </c>
      <c r="AN57" t="b">
        <v>0</v>
      </c>
      <c r="AO57" t="b">
        <v>0</v>
      </c>
      <c r="AP57" t="b">
        <v>0</v>
      </c>
      <c r="AQ57" t="b">
        <v>0</v>
      </c>
      <c r="AR57" t="b">
        <v>0</v>
      </c>
      <c r="AS57" t="b">
        <v>0</v>
      </c>
      <c r="AT57" t="b">
        <v>0</v>
      </c>
      <c r="AU57" t="b">
        <v>0</v>
      </c>
      <c r="AV57" t="b">
        <v>0</v>
      </c>
      <c r="AW57">
        <v>7</v>
      </c>
      <c r="AX57" t="b">
        <v>0</v>
      </c>
      <c r="AY57" t="b">
        <v>0</v>
      </c>
      <c r="AZ57" t="b">
        <v>1</v>
      </c>
      <c r="BA57">
        <v>1</v>
      </c>
      <c r="BB57" t="s">
        <v>1476</v>
      </c>
      <c r="BC57">
        <v>1</v>
      </c>
    </row>
    <row r="58" spans="1:55" hidden="1" x14ac:dyDescent="0.3">
      <c r="A58" s="80">
        <f t="shared" si="1"/>
        <v>0</v>
      </c>
      <c r="B58" s="80">
        <f>SUMIFS(CalculatorFC[FinCodeIssue],CalculatorFC[CalculatorCode],Calculators[[#This Row],[CalculatorCode]])</f>
        <v>0</v>
      </c>
      <c r="C58" s="80">
        <f>IF(LEN(Calculators[[#This Row],[CalculatorCode]])&lt;100,0,1)</f>
        <v>0</v>
      </c>
      <c r="D58" s="86">
        <f>IF(LEN(Calculators[[#This Row],[Title]])&lt;100,0,1)</f>
        <v>0</v>
      </c>
      <c r="E58" s="86">
        <f>(COUNTIF(CalculatorTypeCode[CalculatorTypeCode],Calculators[[#This Row],[CalculatorTypeCode]])-1)*-1</f>
        <v>0</v>
      </c>
      <c r="F58"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58"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58"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58" s="86">
        <f>IF(OR(Calculators[[#This Row],[CalculatorEnabled]]=TRUE,Calculators[[#This Row],[CalculatorEnabled]]=FALSE),0,1)</f>
        <v>0</v>
      </c>
      <c r="J58" s="86">
        <f>IF(ISBLANK(Calculators[[#This Row],[Title]])=TRUE,1,0)</f>
        <v>0</v>
      </c>
      <c r="K58" s="86">
        <f>IF(EXACT(Calculators[[#This Row],[CalculatorCode]],UPPER(Calculators[[#This Row],[CalculatorCode]])),0,1)</f>
        <v>0</v>
      </c>
      <c r="L58" s="86">
        <f>IF(SUBSTITUTE(TEXT(Calculators[[#This Row],[CalculatorCode]],10)," ","")=TEXT(Calculators[[#This Row],[CalculatorCode]],10),0,1)</f>
        <v>0</v>
      </c>
      <c r="M58" s="80">
        <f>SUM(Calculators[[#This Row],[Blank Data]:[Space in Code]])</f>
        <v>0</v>
      </c>
      <c r="N58" s="80" t="str" cm="1">
        <f t="array" ref="N58">_xlfn.TEXTJOIN(",",TRUE,IF(CalculatorFC[CalculatorCode]&amp;CalculatorFC[Type]=Calculators[[#This Row],[CalculatorCode]]&amp;Calculators[[#Headers],[SourceFinanceCodes]],CalculatorFC[FinanceCode],""))</f>
        <v>FUNDING_PUPPREM_SER</v>
      </c>
      <c r="O58" s="80" t="str" cm="1">
        <f t="array" ref="O58">_xlfn.TEXTJOIN(",",TRUE,IF(CalculatorFC[CalculatorCode]&amp;CalculatorFC[Type]=Calculators[[#This Row],[CalculatorCode]]&amp;Calculators[[#Headers],[SourceGroupingCodes]],CalculatorFC[FinanceCode],""))</f>
        <v/>
      </c>
      <c r="P58" s="80" t="str" cm="1">
        <f t="array" ref="P58">_xlfn.TEXTJOIN(",",TRUE,IF(CalculatorFC[CalculatorCode]&amp;CalculatorFC[Type]=Calculators[[#This Row],[CalculatorCode]]&amp;Calculators[[#Headers],[DivisorFinanceCodes]],CalculatorFC[FinanceCode],""))</f>
        <v/>
      </c>
      <c r="Q58" s="80" t="str" cm="1">
        <f t="array" ref="Q58">_xlfn.TEXTJOIN(",",TRUE,IF(CalculatorFC[CalculatorCode]&amp;CalculatorFC[Type]=Calculators[[#This Row],[CalculatorCode]]&amp;Calculators[[#Headers],[DivisorGroupingCodes]],CalculatorFC[FinanceCode],""))</f>
        <v/>
      </c>
      <c r="R58" s="80" t="str" cm="1">
        <f t="array" ref="R58">_xlfn.TEXTJOIN(",",TRUE,IF(CalculatorFC[CalculatorCode]&amp;CalculatorFC[Type]=Calculators[[#This Row],[CalculatorCode]]&amp;Calculators[[#Headers],[MultiplierFinanceCodes]],CalculatorFC[FinanceCode],""))</f>
        <v/>
      </c>
      <c r="S58" s="80" t="str" cm="1">
        <f t="array" ref="S58">_xlfn.TEXTJOIN(",",TRUE,IF(CalculatorFC[CalculatorCode]&amp;CalculatorFC[Type]=Calculators[[#This Row],[CalculatorCode]]&amp;Calculators[[#Headers],[MultiplierGroupingCodes]],CalculatorFC[FinanceCode],""))</f>
        <v/>
      </c>
      <c r="T58" t="s">
        <v>1324</v>
      </c>
      <c r="U58" t="s">
        <v>1325</v>
      </c>
      <c r="V58" t="b">
        <v>0</v>
      </c>
      <c r="W58" t="b">
        <v>1</v>
      </c>
      <c r="X58" t="b">
        <v>1</v>
      </c>
      <c r="Y58" t="b">
        <v>1</v>
      </c>
      <c r="Z58" t="b">
        <v>0</v>
      </c>
      <c r="AA58" t="b">
        <v>0</v>
      </c>
      <c r="AB58" t="b">
        <v>0</v>
      </c>
      <c r="AC58">
        <v>0</v>
      </c>
      <c r="AD58" t="b">
        <v>0</v>
      </c>
      <c r="AE58" t="b">
        <v>0</v>
      </c>
      <c r="AF58" t="b">
        <v>0</v>
      </c>
      <c r="AG58" t="b">
        <v>0</v>
      </c>
      <c r="AH58" t="b">
        <v>0</v>
      </c>
      <c r="AI58" t="b">
        <v>0</v>
      </c>
      <c r="AJ58" t="b">
        <v>0</v>
      </c>
      <c r="AK58" t="b">
        <v>0</v>
      </c>
      <c r="AL58" t="b">
        <v>0</v>
      </c>
      <c r="AM58">
        <v>12</v>
      </c>
      <c r="AN58" t="b">
        <v>0</v>
      </c>
      <c r="AO58" t="b">
        <v>0</v>
      </c>
      <c r="AP58" t="b">
        <v>0</v>
      </c>
      <c r="AQ58" t="b">
        <v>0</v>
      </c>
      <c r="AR58" t="b">
        <v>0</v>
      </c>
      <c r="AS58" t="b">
        <v>0</v>
      </c>
      <c r="AT58" t="b">
        <v>0</v>
      </c>
      <c r="AU58" t="b">
        <v>0</v>
      </c>
      <c r="AV58" t="b">
        <v>0</v>
      </c>
      <c r="AW58">
        <v>5</v>
      </c>
      <c r="AX58" t="b">
        <v>0</v>
      </c>
      <c r="AY58" t="b">
        <v>0</v>
      </c>
      <c r="AZ58" t="b">
        <v>1</v>
      </c>
      <c r="BA58">
        <v>1</v>
      </c>
      <c r="BB58" t="s">
        <v>1476</v>
      </c>
      <c r="BC58">
        <v>1</v>
      </c>
    </row>
    <row r="59" spans="1:55" hidden="1" x14ac:dyDescent="0.3">
      <c r="A59" s="80">
        <f t="shared" si="1"/>
        <v>0</v>
      </c>
      <c r="B59" s="80">
        <f>SUMIFS(CalculatorFC[FinCodeIssue],CalculatorFC[CalculatorCode],Calculators[[#This Row],[CalculatorCode]])</f>
        <v>0</v>
      </c>
      <c r="C59" s="80">
        <f>IF(LEN(Calculators[[#This Row],[CalculatorCode]])&lt;100,0,1)</f>
        <v>0</v>
      </c>
      <c r="D59" s="86">
        <f>IF(LEN(Calculators[[#This Row],[Title]])&lt;100,0,1)</f>
        <v>0</v>
      </c>
      <c r="E59" s="86">
        <f>(COUNTIF(CalculatorTypeCode[CalculatorTypeCode],Calculators[[#This Row],[CalculatorTypeCode]])-1)*-1</f>
        <v>0</v>
      </c>
      <c r="F59"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59"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59"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59" s="86">
        <f>IF(OR(Calculators[[#This Row],[CalculatorEnabled]]=TRUE,Calculators[[#This Row],[CalculatorEnabled]]=FALSE),0,1)</f>
        <v>0</v>
      </c>
      <c r="J59" s="86">
        <f>IF(ISBLANK(Calculators[[#This Row],[Title]])=TRUE,1,0)</f>
        <v>0</v>
      </c>
      <c r="K59" s="86">
        <f>IF(EXACT(Calculators[[#This Row],[CalculatorCode]],UPPER(Calculators[[#This Row],[CalculatorCode]])),0,1)</f>
        <v>0</v>
      </c>
      <c r="L59" s="86">
        <f>IF(SUBSTITUTE(TEXT(Calculators[[#This Row],[CalculatorCode]],10)," ","")=TEXT(Calculators[[#This Row],[CalculatorCode]],10),0,1)</f>
        <v>0</v>
      </c>
      <c r="M59" s="80">
        <f>SUM(Calculators[[#This Row],[Blank Data]:[Space in Code]])</f>
        <v>0</v>
      </c>
      <c r="N59" s="80" t="str" cm="1">
        <f t="array" ref="N59">_xlfn.TEXTJOIN(",",TRUE,IF(CalculatorFC[CalculatorCode]&amp;CalculatorFC[Type]=Calculators[[#This Row],[CalculatorCode]]&amp;Calculators[[#Headers],[SourceFinanceCodes]],CalculatorFC[FinanceCode],""))</f>
        <v>FUNDING_PUPPREM_SER</v>
      </c>
      <c r="O59" s="80" t="str" cm="1">
        <f t="array" ref="O59">_xlfn.TEXTJOIN(",",TRUE,IF(CalculatorFC[CalculatorCode]&amp;CalculatorFC[Type]=Calculators[[#This Row],[CalculatorCode]]&amp;Calculators[[#Headers],[SourceGroupingCodes]],CalculatorFC[FinanceCode],""))</f>
        <v/>
      </c>
      <c r="P59" s="80" t="str" cm="1">
        <f t="array" ref="P59">_xlfn.TEXTJOIN(",",TRUE,IF(CalculatorFC[CalculatorCode]&amp;CalculatorFC[Type]=Calculators[[#This Row],[CalculatorCode]]&amp;Calculators[[#Headers],[DivisorFinanceCodes]],CalculatorFC[FinanceCode],""))</f>
        <v/>
      </c>
      <c r="Q59" s="80" t="str" cm="1">
        <f t="array" ref="Q59">_xlfn.TEXTJOIN(",",TRUE,IF(CalculatorFC[CalculatorCode]&amp;CalculatorFC[Type]=Calculators[[#This Row],[CalculatorCode]]&amp;Calculators[[#Headers],[DivisorGroupingCodes]],CalculatorFC[FinanceCode],""))</f>
        <v/>
      </c>
      <c r="R59" s="80" t="str" cm="1">
        <f t="array" ref="R59">_xlfn.TEXTJOIN(",",TRUE,IF(CalculatorFC[CalculatorCode]&amp;CalculatorFC[Type]=Calculators[[#This Row],[CalculatorCode]]&amp;Calculators[[#Headers],[MultiplierFinanceCodes]],CalculatorFC[FinanceCode],""))</f>
        <v/>
      </c>
      <c r="S59" s="80" t="str" cm="1">
        <f t="array" ref="S59">_xlfn.TEXTJOIN(",",TRUE,IF(CalculatorFC[CalculatorCode]&amp;CalculatorFC[Type]=Calculators[[#This Row],[CalculatorCode]]&amp;Calculators[[#Headers],[MultiplierGroupingCodes]],CalculatorFC[FinanceCode],""))</f>
        <v/>
      </c>
      <c r="T59" t="s">
        <v>1326</v>
      </c>
      <c r="U59" t="s">
        <v>1327</v>
      </c>
      <c r="V59" t="b">
        <v>0</v>
      </c>
      <c r="W59" t="b">
        <v>1</v>
      </c>
      <c r="X59" t="b">
        <v>1</v>
      </c>
      <c r="Y59" t="b">
        <v>1</v>
      </c>
      <c r="Z59" t="b">
        <v>0</v>
      </c>
      <c r="AA59" t="b">
        <v>1</v>
      </c>
      <c r="AB59" t="b">
        <v>0</v>
      </c>
      <c r="AC59">
        <v>0</v>
      </c>
      <c r="AD59" t="b">
        <v>0</v>
      </c>
      <c r="AE59" t="b">
        <v>0</v>
      </c>
      <c r="AF59" t="b">
        <v>0</v>
      </c>
      <c r="AG59" t="b">
        <v>0</v>
      </c>
      <c r="AH59" t="b">
        <v>0</v>
      </c>
      <c r="AI59" t="b">
        <v>0</v>
      </c>
      <c r="AJ59" t="b">
        <v>0</v>
      </c>
      <c r="AK59" t="b">
        <v>0</v>
      </c>
      <c r="AL59" t="b">
        <v>0</v>
      </c>
      <c r="AM59">
        <v>12</v>
      </c>
      <c r="AN59" t="b">
        <v>0</v>
      </c>
      <c r="AO59" t="b">
        <v>0</v>
      </c>
      <c r="AP59" t="b">
        <v>0</v>
      </c>
      <c r="AQ59" t="b">
        <v>0</v>
      </c>
      <c r="AR59" t="b">
        <v>0</v>
      </c>
      <c r="AS59" t="b">
        <v>0</v>
      </c>
      <c r="AT59" t="b">
        <v>0</v>
      </c>
      <c r="AU59" t="b">
        <v>0</v>
      </c>
      <c r="AV59" t="b">
        <v>0</v>
      </c>
      <c r="AW59">
        <v>7</v>
      </c>
      <c r="AX59" t="b">
        <v>0</v>
      </c>
      <c r="AY59" t="b">
        <v>0</v>
      </c>
      <c r="AZ59" t="b">
        <v>1</v>
      </c>
      <c r="BA59">
        <v>1</v>
      </c>
      <c r="BB59" t="s">
        <v>1476</v>
      </c>
      <c r="BC59">
        <v>1</v>
      </c>
    </row>
    <row r="60" spans="1:55" hidden="1" x14ac:dyDescent="0.3">
      <c r="A60" s="80">
        <f t="shared" si="1"/>
        <v>0</v>
      </c>
      <c r="B60" s="80">
        <f>SUMIFS(CalculatorFC[FinCodeIssue],CalculatorFC[CalculatorCode],Calculators[[#This Row],[CalculatorCode]])</f>
        <v>1</v>
      </c>
      <c r="C60" s="80">
        <f>IF(LEN(Calculators[[#This Row],[CalculatorCode]])&lt;100,0,1)</f>
        <v>0</v>
      </c>
      <c r="D60" s="86">
        <f>IF(LEN(Calculators[[#This Row],[Title]])&lt;100,0,1)</f>
        <v>0</v>
      </c>
      <c r="E60" s="86">
        <f>(COUNTIF(CalculatorTypeCode[CalculatorTypeCode],Calculators[[#This Row],[CalculatorTypeCode]])-1)*-1</f>
        <v>0</v>
      </c>
      <c r="F60"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60"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60"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60" s="86">
        <f>IF(OR(Calculators[[#This Row],[CalculatorEnabled]]=TRUE,Calculators[[#This Row],[CalculatorEnabled]]=FALSE),0,1)</f>
        <v>0</v>
      </c>
      <c r="J60" s="86">
        <f>IF(ISBLANK(Calculators[[#This Row],[Title]])=TRUE,1,0)</f>
        <v>0</v>
      </c>
      <c r="K60" s="86">
        <f>IF(EXACT(Calculators[[#This Row],[CalculatorCode]],UPPER(Calculators[[#This Row],[CalculatorCode]])),0,1)</f>
        <v>0</v>
      </c>
      <c r="L60" s="86">
        <f>IF(SUBSTITUTE(TEXT(Calculators[[#This Row],[CalculatorCode]],10)," ","")=TEXT(Calculators[[#This Row],[CalculatorCode]],10),0,1)</f>
        <v>0</v>
      </c>
      <c r="M60" s="80">
        <f>SUM(Calculators[[#This Row],[Blank Data]:[Space in Code]])</f>
        <v>1</v>
      </c>
      <c r="N60" s="80" t="str" cm="1">
        <f t="array" ref="N60">_xlfn.TEXTJOIN(",",TRUE,IF(CalculatorFC[CalculatorCode]&amp;CalculatorFC[Type]=Calculators[[#This Row],[CalculatorCode]]&amp;Calculators[[#Headers],[SourceFinanceCodes]],CalculatorFC[FinanceCode],""))</f>
        <v>0</v>
      </c>
      <c r="O60" s="80" t="str" cm="1">
        <f t="array" ref="O60">_xlfn.TEXTJOIN(",",TRUE,IF(CalculatorFC[CalculatorCode]&amp;CalculatorFC[Type]=Calculators[[#This Row],[CalculatorCode]]&amp;Calculators[[#Headers],[SourceGroupingCodes]],CalculatorFC[FinanceCode],""))</f>
        <v/>
      </c>
      <c r="P60" s="80" t="str" cm="1">
        <f t="array" ref="P60">_xlfn.TEXTJOIN(",",TRUE,IF(CalculatorFC[CalculatorCode]&amp;CalculatorFC[Type]=Calculators[[#This Row],[CalculatorCode]]&amp;Calculators[[#Headers],[DivisorFinanceCodes]],CalculatorFC[FinanceCode],""))</f>
        <v/>
      </c>
      <c r="Q60" s="80" t="str" cm="1">
        <f t="array" ref="Q60">_xlfn.TEXTJOIN(",",TRUE,IF(CalculatorFC[CalculatorCode]&amp;CalculatorFC[Type]=Calculators[[#This Row],[CalculatorCode]]&amp;Calculators[[#Headers],[DivisorGroupingCodes]],CalculatorFC[FinanceCode],""))</f>
        <v/>
      </c>
      <c r="R60" s="80" t="str" cm="1">
        <f t="array" ref="R60">_xlfn.TEXTJOIN(",",TRUE,IF(CalculatorFC[CalculatorCode]&amp;CalculatorFC[Type]=Calculators[[#This Row],[CalculatorCode]]&amp;Calculators[[#Headers],[MultiplierFinanceCodes]],CalculatorFC[FinanceCode],""))</f>
        <v/>
      </c>
      <c r="S60" s="80" t="str" cm="1">
        <f t="array" ref="S60">_xlfn.TEXTJOIN(",",TRUE,IF(CalculatorFC[CalculatorCode]&amp;CalculatorFC[Type]=Calculators[[#This Row],[CalculatorCode]]&amp;Calculators[[#Headers],[MultiplierGroupingCodes]],CalculatorFC[FinanceCode],""))</f>
        <v/>
      </c>
      <c r="T60" t="s">
        <v>1515</v>
      </c>
      <c r="U60" t="s">
        <v>1516</v>
      </c>
      <c r="V60" t="b">
        <v>0</v>
      </c>
      <c r="W60" t="b">
        <v>1</v>
      </c>
      <c r="X60" t="b">
        <v>0</v>
      </c>
      <c r="Y60" t="b">
        <v>1</v>
      </c>
      <c r="Z60" t="b">
        <v>0</v>
      </c>
      <c r="AA60" t="b">
        <v>0</v>
      </c>
      <c r="AB60" t="b">
        <v>0</v>
      </c>
      <c r="AC60">
        <v>0</v>
      </c>
      <c r="AD60" t="b">
        <v>0</v>
      </c>
      <c r="AE60" t="b">
        <v>0</v>
      </c>
      <c r="AF60" t="b">
        <v>0</v>
      </c>
      <c r="AG60" t="b">
        <v>0</v>
      </c>
      <c r="AH60" t="b">
        <v>0</v>
      </c>
      <c r="AI60" t="b">
        <v>0</v>
      </c>
      <c r="AJ60" t="b">
        <v>0</v>
      </c>
      <c r="AK60" t="b">
        <v>1</v>
      </c>
      <c r="AL60" t="b">
        <v>0</v>
      </c>
      <c r="AM60">
        <v>1</v>
      </c>
      <c r="AN60" t="b">
        <v>0</v>
      </c>
      <c r="AO60" t="b">
        <v>0</v>
      </c>
      <c r="AP60" t="b">
        <v>0</v>
      </c>
      <c r="AQ60" t="b">
        <v>0</v>
      </c>
      <c r="AR60" t="b">
        <v>0</v>
      </c>
      <c r="AS60" t="b">
        <v>0</v>
      </c>
      <c r="AT60" t="b">
        <v>0</v>
      </c>
      <c r="AU60" t="b">
        <v>1</v>
      </c>
      <c r="AV60" t="b">
        <v>0</v>
      </c>
      <c r="AW60">
        <v>-1</v>
      </c>
      <c r="AX60" t="b">
        <v>0</v>
      </c>
      <c r="AY60" t="b">
        <v>0</v>
      </c>
      <c r="AZ60" t="b">
        <v>1</v>
      </c>
      <c r="BA60">
        <v>0</v>
      </c>
      <c r="BB60" t="s">
        <v>1476</v>
      </c>
      <c r="BC60">
        <v>0</v>
      </c>
    </row>
    <row r="61" spans="1:55" hidden="1" x14ac:dyDescent="0.3">
      <c r="A61" s="80">
        <f t="shared" si="1"/>
        <v>0</v>
      </c>
      <c r="B61" s="80">
        <f>SUMIFS(CalculatorFC[FinCodeIssue],CalculatorFC[CalculatorCode],Calculators[[#This Row],[CalculatorCode]])</f>
        <v>6</v>
      </c>
      <c r="C61" s="80">
        <f>IF(LEN(Calculators[[#This Row],[CalculatorCode]])&lt;100,0,1)</f>
        <v>0</v>
      </c>
      <c r="D61" s="86">
        <f>IF(LEN(Calculators[[#This Row],[Title]])&lt;100,0,1)</f>
        <v>0</v>
      </c>
      <c r="E61" s="86">
        <f>(COUNTIF(CalculatorTypeCode[CalculatorTypeCode],Calculators[[#This Row],[CalculatorTypeCode]])-1)*-1</f>
        <v>0</v>
      </c>
      <c r="F61"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61"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61"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61" s="86">
        <f>IF(OR(Calculators[[#This Row],[CalculatorEnabled]]=TRUE,Calculators[[#This Row],[CalculatorEnabled]]=FALSE),0,1)</f>
        <v>0</v>
      </c>
      <c r="J61" s="86">
        <f>IF(ISBLANK(Calculators[[#This Row],[Title]])=TRUE,1,0)</f>
        <v>0</v>
      </c>
      <c r="K61" s="86">
        <f>IF(EXACT(Calculators[[#This Row],[CalculatorCode]],UPPER(Calculators[[#This Row],[CalculatorCode]])),0,1)</f>
        <v>0</v>
      </c>
      <c r="L61" s="86">
        <f>IF(SUBSTITUTE(TEXT(Calculators[[#This Row],[CalculatorCode]],10)," ","")=TEXT(Calculators[[#This Row],[CalculatorCode]],10),0,1)</f>
        <v>0</v>
      </c>
      <c r="M61" s="80">
        <f>SUM(Calculators[[#This Row],[Blank Data]:[Space in Code]])</f>
        <v>6</v>
      </c>
      <c r="N61" s="80" t="str" cm="1">
        <f t="array" ref="N61">_xlfn.TEXTJOIN(",",TRUE,IF(CalculatorFC[CalculatorCode]&amp;CalculatorFC[Type]=Calculators[[#This Row],[CalculatorCode]]&amp;Calculators[[#Headers],[SourceFinanceCodes]],CalculatorFC[FinanceCode],""))</f>
        <v>FUNDED_FS,FUNDED_KS1,FUNDED_KS2,FUNDED_KS3,FUNDED_KS3_ADJ,FUNDED_KS4,FUNDED_KS4_ADJ,FUNDED_KS5,FUNDED_KS5_ADJ,FUNDED_PRI_ADJ</v>
      </c>
      <c r="O61" s="80" t="str" cm="1">
        <f t="array" ref="O61">_xlfn.TEXTJOIN(",",TRUE,IF(CalculatorFC[CalculatorCode]&amp;CalculatorFC[Type]=Calculators[[#This Row],[CalculatorCode]]&amp;Calculators[[#Headers],[SourceGroupingCodes]],CalculatorFC[FinanceCode],""))</f>
        <v/>
      </c>
      <c r="P61" s="80" t="str" cm="1">
        <f t="array" ref="P61">_xlfn.TEXTJOIN(",",TRUE,IF(CalculatorFC[CalculatorCode]&amp;CalculatorFC[Type]=Calculators[[#This Row],[CalculatorCode]]&amp;Calculators[[#Headers],[DivisorFinanceCodes]],CalculatorFC[FinanceCode],""))</f>
        <v/>
      </c>
      <c r="Q61" s="80" t="str" cm="1">
        <f t="array" ref="Q61">_xlfn.TEXTJOIN(",",TRUE,IF(CalculatorFC[CalculatorCode]&amp;CalculatorFC[Type]=Calculators[[#This Row],[CalculatorCode]]&amp;Calculators[[#Headers],[DivisorGroupingCodes]],CalculatorFC[FinanceCode],""))</f>
        <v/>
      </c>
      <c r="R61" s="80" t="str" cm="1">
        <f t="array" ref="R61">_xlfn.TEXTJOIN(",",TRUE,IF(CalculatorFC[CalculatorCode]&amp;CalculatorFC[Type]=Calculators[[#This Row],[CalculatorCode]]&amp;Calculators[[#Headers],[MultiplierFinanceCodes]],CalculatorFC[FinanceCode],""))</f>
        <v>RPA_RATE</v>
      </c>
      <c r="S61" s="80" t="str" cm="1">
        <f t="array" ref="S61">_xlfn.TEXTJOIN(",",TRUE,IF(CalculatorFC[CalculatorCode]&amp;CalculatorFC[Type]=Calculators[[#This Row],[CalculatorCode]]&amp;Calculators[[#Headers],[MultiplierGroupingCodes]],CalculatorFC[FinanceCode],""))</f>
        <v/>
      </c>
      <c r="T61" t="s">
        <v>1290</v>
      </c>
      <c r="U61" t="s">
        <v>1291</v>
      </c>
      <c r="V61" t="b">
        <v>0</v>
      </c>
      <c r="W61" t="b">
        <v>1</v>
      </c>
      <c r="X61" t="b">
        <v>1</v>
      </c>
      <c r="Y61" t="b">
        <v>1</v>
      </c>
      <c r="Z61" t="b">
        <v>0</v>
      </c>
      <c r="AA61" t="b">
        <v>0</v>
      </c>
      <c r="AB61" t="b">
        <v>0</v>
      </c>
      <c r="AC61">
        <v>0</v>
      </c>
      <c r="AD61" t="b">
        <v>0</v>
      </c>
      <c r="AE61" t="b">
        <v>0</v>
      </c>
      <c r="AF61" t="b">
        <v>0</v>
      </c>
      <c r="AG61" t="b">
        <v>0</v>
      </c>
      <c r="AH61" t="b">
        <v>0</v>
      </c>
      <c r="AI61" t="b">
        <v>1</v>
      </c>
      <c r="AJ61" t="b">
        <v>0</v>
      </c>
      <c r="AK61" t="b">
        <v>1</v>
      </c>
      <c r="AL61" t="b">
        <v>0</v>
      </c>
      <c r="AM61">
        <v>1</v>
      </c>
      <c r="AN61" t="b">
        <v>0</v>
      </c>
      <c r="AO61" t="b">
        <v>0</v>
      </c>
      <c r="AP61" t="b">
        <v>1</v>
      </c>
      <c r="AQ61" t="b">
        <v>1</v>
      </c>
      <c r="AR61" t="b">
        <v>1</v>
      </c>
      <c r="AS61" t="b">
        <v>1</v>
      </c>
      <c r="AT61" t="b">
        <v>0</v>
      </c>
      <c r="AU61" t="b">
        <v>0</v>
      </c>
      <c r="AV61" t="b">
        <v>0</v>
      </c>
      <c r="AW61">
        <v>0</v>
      </c>
      <c r="AX61" t="b">
        <v>0</v>
      </c>
      <c r="AY61" t="b">
        <v>0</v>
      </c>
      <c r="AZ61" t="b">
        <v>1</v>
      </c>
      <c r="BA61">
        <v>0</v>
      </c>
      <c r="BB61" t="s">
        <v>1476</v>
      </c>
      <c r="BC61">
        <v>0</v>
      </c>
    </row>
    <row r="62" spans="1:55" x14ac:dyDescent="0.3">
      <c r="A62" s="80">
        <f t="shared" si="1"/>
        <v>0</v>
      </c>
      <c r="B62" s="80">
        <f>SUMIFS(CalculatorFC[FinCodeIssue],CalculatorFC[CalculatorCode],Calculators[[#This Row],[CalculatorCode]])</f>
        <v>0</v>
      </c>
      <c r="C62" s="80">
        <f>IF(LEN(Calculators[[#This Row],[CalculatorCode]])&lt;100,0,1)</f>
        <v>0</v>
      </c>
      <c r="D62" s="86">
        <f>IF(LEN(Calculators[[#This Row],[Title]])&lt;100,0,1)</f>
        <v>0</v>
      </c>
      <c r="E62" s="86">
        <f>(COUNTIF(CalculatorTypeCode[CalculatorTypeCode],Calculators[[#This Row],[CalculatorTypeCode]])-1)*-1</f>
        <v>0</v>
      </c>
      <c r="F62"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62"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62"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62" s="86">
        <f>IF(OR(Calculators[[#This Row],[CalculatorEnabled]]=TRUE,Calculators[[#This Row],[CalculatorEnabled]]=FALSE),0,1)</f>
        <v>0</v>
      </c>
      <c r="J62" s="86">
        <f>IF(ISBLANK(Calculators[[#This Row],[Title]])=TRUE,1,0)</f>
        <v>0</v>
      </c>
      <c r="K62" s="86">
        <f>IF(EXACT(Calculators[[#This Row],[CalculatorCode]],UPPER(Calculators[[#This Row],[CalculatorCode]])),0,1)</f>
        <v>0</v>
      </c>
      <c r="L62" s="86">
        <f>IF(SUBSTITUTE(TEXT(Calculators[[#This Row],[CalculatorCode]],10)," ","")=TEXT(Calculators[[#This Row],[CalculatorCode]],10),0,1)</f>
        <v>0</v>
      </c>
      <c r="M62" s="80">
        <f>SUM(Calculators[[#This Row],[Blank Data]:[Space in Code]])</f>
        <v>0</v>
      </c>
      <c r="N62" s="80" t="str" cm="1">
        <f t="array" ref="N62">_xlfn.TEXTJOIN(",",TRUE,IF(CalculatorFC[CalculatorCode]&amp;CalculatorFC[Type]=Calculators[[#This Row],[CalculatorCode]]&amp;Calculators[[#Headers],[SourceFinanceCodes]],CalculatorFC[FinanceCode],""))</f>
        <v>FTE_NUR</v>
      </c>
      <c r="O62" s="80" t="str" cm="1">
        <f t="array" ref="O62">_xlfn.TEXTJOIN(",",TRUE,IF(CalculatorFC[CalculatorCode]&amp;CalculatorFC[Type]=Calculators[[#This Row],[CalculatorCode]]&amp;Calculators[[#Headers],[SourceGroupingCodes]],CalculatorFC[FinanceCode],""))</f>
        <v/>
      </c>
      <c r="P62" s="80" t="str" cm="1">
        <f t="array" ref="P62">_xlfn.TEXTJOIN(",",TRUE,IF(CalculatorFC[CalculatorCode]&amp;CalculatorFC[Type]=Calculators[[#This Row],[CalculatorCode]]&amp;Calculators[[#Headers],[DivisorFinanceCodes]],CalculatorFC[FinanceCode],""))</f>
        <v/>
      </c>
      <c r="Q62" s="80" t="str" cm="1">
        <f t="array" ref="Q62">_xlfn.TEXTJOIN(",",TRUE,IF(CalculatorFC[CalculatorCode]&amp;CalculatorFC[Type]=Calculators[[#This Row],[CalculatorCode]]&amp;Calculators[[#Headers],[DivisorGroupingCodes]],CalculatorFC[FinanceCode],""))</f>
        <v/>
      </c>
      <c r="R62" s="80" t="str" cm="1">
        <f t="array" ref="R62">_xlfn.TEXTJOIN(",",TRUE,IF(CalculatorFC[CalculatorCode]&amp;CalculatorFC[Type]=Calculators[[#This Row],[CalculatorCode]]&amp;Calculators[[#Headers],[MultiplierFinanceCodes]],CalculatorFC[FinanceCode],""))</f>
        <v>RPA_RATE</v>
      </c>
      <c r="S62" s="80" t="str" cm="1">
        <f t="array" ref="S62">_xlfn.TEXTJOIN(",",TRUE,IF(CalculatorFC[CalculatorCode]&amp;CalculatorFC[Type]=Calculators[[#This Row],[CalculatorCode]]&amp;Calculators[[#Headers],[MultiplierGroupingCodes]],CalculatorFC[FinanceCode],""))</f>
        <v/>
      </c>
      <c r="T62" t="s">
        <v>2083</v>
      </c>
      <c r="U62" t="s">
        <v>2087</v>
      </c>
      <c r="V62" t="b">
        <v>0</v>
      </c>
      <c r="W62" t="b">
        <v>1</v>
      </c>
      <c r="X62" t="b">
        <v>1</v>
      </c>
      <c r="Y62" t="b">
        <v>1</v>
      </c>
      <c r="Z62" t="b">
        <v>0</v>
      </c>
      <c r="AA62" t="b">
        <v>0</v>
      </c>
      <c r="AB62" t="b">
        <v>0</v>
      </c>
      <c r="AC62">
        <v>0</v>
      </c>
      <c r="AD62" t="b">
        <v>0</v>
      </c>
      <c r="AE62" t="b">
        <v>0</v>
      </c>
      <c r="AF62" t="b">
        <v>0</v>
      </c>
      <c r="AG62" t="b">
        <v>0</v>
      </c>
      <c r="AH62" t="b">
        <v>0</v>
      </c>
      <c r="AI62" t="b">
        <v>1</v>
      </c>
      <c r="AJ62" t="b">
        <v>0</v>
      </c>
      <c r="AK62" t="b">
        <v>1</v>
      </c>
      <c r="AL62" t="b">
        <v>0</v>
      </c>
      <c r="AM62">
        <v>1</v>
      </c>
      <c r="AN62" t="b">
        <v>0</v>
      </c>
      <c r="AO62" t="b">
        <v>0</v>
      </c>
      <c r="AP62" t="b">
        <v>1</v>
      </c>
      <c r="AQ62" t="b">
        <v>1</v>
      </c>
      <c r="AR62" t="b">
        <v>1</v>
      </c>
      <c r="AS62" t="b">
        <v>1</v>
      </c>
      <c r="AT62" t="b">
        <v>0</v>
      </c>
      <c r="AU62" t="b">
        <v>0</v>
      </c>
      <c r="AV62" t="b">
        <v>0</v>
      </c>
      <c r="AW62">
        <v>0</v>
      </c>
      <c r="AX62" t="b">
        <v>0</v>
      </c>
      <c r="AY62" t="b">
        <v>0</v>
      </c>
      <c r="AZ62" t="b">
        <v>1</v>
      </c>
      <c r="BA62">
        <v>0</v>
      </c>
      <c r="BB62" t="s">
        <v>1476</v>
      </c>
      <c r="BC62">
        <v>0</v>
      </c>
    </row>
    <row r="63" spans="1:55" hidden="1" x14ac:dyDescent="0.3">
      <c r="A63" s="80">
        <f t="shared" si="1"/>
        <v>0</v>
      </c>
      <c r="B63" s="80">
        <f>SUMIFS(CalculatorFC[FinCodeIssue],CalculatorFC[CalculatorCode],Calculators[[#This Row],[CalculatorCode]])</f>
        <v>0</v>
      </c>
      <c r="C63" s="80">
        <f>IF(LEN(Calculators[[#This Row],[CalculatorCode]])&lt;100,0,1)</f>
        <v>0</v>
      </c>
      <c r="D63" s="86">
        <f>IF(LEN(Calculators[[#This Row],[Title]])&lt;100,0,1)</f>
        <v>0</v>
      </c>
      <c r="E63" s="86">
        <f>(COUNTIF(CalculatorTypeCode[CalculatorTypeCode],Calculators[[#This Row],[CalculatorTypeCode]])-1)*-1</f>
        <v>0</v>
      </c>
      <c r="F63"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63"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63"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63" s="86">
        <f>IF(OR(Calculators[[#This Row],[CalculatorEnabled]]=TRUE,Calculators[[#This Row],[CalculatorEnabled]]=FALSE),0,1)</f>
        <v>0</v>
      </c>
      <c r="J63" s="86">
        <f>IF(ISBLANK(Calculators[[#This Row],[Title]])=TRUE,1,0)</f>
        <v>0</v>
      </c>
      <c r="K63" s="86">
        <f>IF(EXACT(Calculators[[#This Row],[CalculatorCode]],UPPER(Calculators[[#This Row],[CalculatorCode]])),0,1)</f>
        <v>0</v>
      </c>
      <c r="L63" s="86">
        <f>IF(SUBSTITUTE(TEXT(Calculators[[#This Row],[CalculatorCode]],10)," ","")=TEXT(Calculators[[#This Row],[CalculatorCode]],10),0,1)</f>
        <v>0</v>
      </c>
      <c r="M63" s="80">
        <f>SUM(Calculators[[#This Row],[Blank Data]:[Space in Code]])</f>
        <v>0</v>
      </c>
      <c r="N63" s="80" t="str" cm="1">
        <f t="array" ref="N63">_xlfn.TEXTJOIN(",",TRUE,IF(CalculatorFC[CalculatorCode]&amp;CalculatorFC[Type]=Calculators[[#This Row],[CalculatorCode]]&amp;Calculators[[#Headers],[SourceFinanceCodes]],CalculatorFC[FinanceCode],""))</f>
        <v/>
      </c>
      <c r="O63" s="80" t="str" cm="1">
        <f t="array" ref="O63">_xlfn.TEXTJOIN(",",TRUE,IF(CalculatorFC[CalculatorCode]&amp;CalculatorFC[Type]=Calculators[[#This Row],[CalculatorCode]]&amp;Calculators[[#Headers],[SourceGroupingCodes]],CalculatorFC[FinanceCode],""))</f>
        <v/>
      </c>
      <c r="P63" s="80" t="str" cm="1">
        <f t="array" ref="P63">_xlfn.TEXTJOIN(",",TRUE,IF(CalculatorFC[CalculatorCode]&amp;CalculatorFC[Type]=Calculators[[#This Row],[CalculatorCode]]&amp;Calculators[[#Headers],[DivisorFinanceCodes]],CalculatorFC[FinanceCode],""))</f>
        <v/>
      </c>
      <c r="Q63" s="80" t="str" cm="1">
        <f t="array" ref="Q63">_xlfn.TEXTJOIN(",",TRUE,IF(CalculatorFC[CalculatorCode]&amp;CalculatorFC[Type]=Calculators[[#This Row],[CalculatorCode]]&amp;Calculators[[#Headers],[DivisorGroupingCodes]],CalculatorFC[FinanceCode],""))</f>
        <v/>
      </c>
      <c r="R63" s="80" t="str" cm="1">
        <f t="array" ref="R63">_xlfn.TEXTJOIN(",",TRUE,IF(CalculatorFC[CalculatorCode]&amp;CalculatorFC[Type]=Calculators[[#This Row],[CalculatorCode]]&amp;Calculators[[#Headers],[MultiplierFinanceCodes]],CalculatorFC[FinanceCode],""))</f>
        <v>UPLIFT_PUPILRPI%</v>
      </c>
      <c r="S63" s="80" t="str" cm="1">
        <f t="array" ref="S63">_xlfn.TEXTJOIN(",",TRUE,IF(CalculatorFC[CalculatorCode]&amp;CalculatorFC[Type]=Calculators[[#This Row],[CalculatorCode]]&amp;Calculators[[#Headers],[MultiplierGroupingCodes]],CalculatorFC[FinanceCode],""))</f>
        <v/>
      </c>
      <c r="T63" t="s">
        <v>1292</v>
      </c>
      <c r="U63" t="s">
        <v>1293</v>
      </c>
      <c r="V63" t="b">
        <v>0</v>
      </c>
      <c r="W63" t="b">
        <v>1</v>
      </c>
      <c r="X63" t="b">
        <v>1</v>
      </c>
      <c r="Y63" t="b">
        <v>1</v>
      </c>
      <c r="Z63" t="b">
        <v>1</v>
      </c>
      <c r="AA63" t="b">
        <v>1</v>
      </c>
      <c r="AB63" t="b">
        <v>0</v>
      </c>
      <c r="AC63">
        <v>0</v>
      </c>
      <c r="AD63" t="b">
        <v>0</v>
      </c>
      <c r="AE63" t="b">
        <v>0</v>
      </c>
      <c r="AF63" t="b">
        <v>0</v>
      </c>
      <c r="AG63" t="b">
        <v>1</v>
      </c>
      <c r="AH63" t="b">
        <v>1</v>
      </c>
      <c r="AI63" t="b">
        <v>1</v>
      </c>
      <c r="AJ63" t="b">
        <v>0</v>
      </c>
      <c r="AK63" t="b">
        <v>1</v>
      </c>
      <c r="AL63" t="b">
        <v>0</v>
      </c>
      <c r="AM63">
        <v>100</v>
      </c>
      <c r="AN63" t="b">
        <v>0</v>
      </c>
      <c r="AO63" t="b">
        <v>0</v>
      </c>
      <c r="AP63" t="b">
        <v>0</v>
      </c>
      <c r="AQ63" t="b">
        <v>1</v>
      </c>
      <c r="AR63" t="b">
        <v>1</v>
      </c>
      <c r="AS63" t="b">
        <v>1</v>
      </c>
      <c r="AT63" t="b">
        <v>0</v>
      </c>
      <c r="AU63" t="b">
        <v>0</v>
      </c>
      <c r="AV63" t="b">
        <v>0</v>
      </c>
      <c r="AW63">
        <v>0</v>
      </c>
      <c r="AX63" t="b">
        <v>0</v>
      </c>
      <c r="AY63" t="b">
        <v>0</v>
      </c>
      <c r="AZ63" t="b">
        <v>1</v>
      </c>
      <c r="BA63">
        <v>0</v>
      </c>
      <c r="BB63" t="s">
        <v>51</v>
      </c>
      <c r="BC63">
        <v>0</v>
      </c>
    </row>
    <row r="64" spans="1:55" hidden="1" x14ac:dyDescent="0.3">
      <c r="A64" s="80">
        <f t="shared" si="1"/>
        <v>0</v>
      </c>
      <c r="B64" s="80">
        <f>SUMIFS(CalculatorFC[FinCodeIssue],CalculatorFC[CalculatorCode],Calculators[[#This Row],[CalculatorCode]])</f>
        <v>0</v>
      </c>
      <c r="C64" s="80">
        <f>IF(LEN(Calculators[[#This Row],[CalculatorCode]])&lt;100,0,1)</f>
        <v>0</v>
      </c>
      <c r="D64" s="86">
        <f>IF(LEN(Calculators[[#This Row],[Title]])&lt;100,0,1)</f>
        <v>0</v>
      </c>
      <c r="E64" s="86">
        <f>(COUNTIF(CalculatorTypeCode[CalculatorTypeCode],Calculators[[#This Row],[CalculatorTypeCode]])-1)*-1</f>
        <v>0</v>
      </c>
      <c r="F64"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64"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64"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64" s="86">
        <f>IF(OR(Calculators[[#This Row],[CalculatorEnabled]]=TRUE,Calculators[[#This Row],[CalculatorEnabled]]=FALSE),0,1)</f>
        <v>0</v>
      </c>
      <c r="J64" s="86">
        <f>IF(ISBLANK(Calculators[[#This Row],[Title]])=TRUE,1,0)</f>
        <v>0</v>
      </c>
      <c r="K64" s="86">
        <f>IF(EXACT(Calculators[[#This Row],[CalculatorCode]],UPPER(Calculators[[#This Row],[CalculatorCode]])),0,1)</f>
        <v>0</v>
      </c>
      <c r="L64" s="86">
        <f>IF(SUBSTITUTE(TEXT(Calculators[[#This Row],[CalculatorCode]],10)," ","")=TEXT(Calculators[[#This Row],[CalculatorCode]],10),0,1)</f>
        <v>0</v>
      </c>
      <c r="M64" s="80">
        <f>SUM(Calculators[[#This Row],[Blank Data]:[Space in Code]])</f>
        <v>0</v>
      </c>
      <c r="N64" s="80" t="str" cm="1">
        <f t="array" ref="N64">_xlfn.TEXTJOIN(",",TRUE,IF(CalculatorFC[CalculatorCode]&amp;CalculatorFC[Type]=Calculators[[#This Row],[CalculatorCode]]&amp;Calculators[[#Headers],[SourceFinanceCodes]],CalculatorFC[FinanceCode],""))</f>
        <v>DFC</v>
      </c>
      <c r="O64" s="80" t="str" cm="1">
        <f t="array" ref="O64">_xlfn.TEXTJOIN(",",TRUE,IF(CalculatorFC[CalculatorCode]&amp;CalculatorFC[Type]=Calculators[[#This Row],[CalculatorCode]]&amp;Calculators[[#Headers],[SourceGroupingCodes]],CalculatorFC[FinanceCode],""))</f>
        <v/>
      </c>
      <c r="P64" s="80" t="str" cm="1">
        <f t="array" ref="P64">_xlfn.TEXTJOIN(",",TRUE,IF(CalculatorFC[CalculatorCode]&amp;CalculatorFC[Type]=Calculators[[#This Row],[CalculatorCode]]&amp;Calculators[[#Headers],[DivisorFinanceCodes]],CalculatorFC[FinanceCode],""))</f>
        <v/>
      </c>
      <c r="Q64" s="80" t="str" cm="1">
        <f t="array" ref="Q64">_xlfn.TEXTJOIN(",",TRUE,IF(CalculatorFC[CalculatorCode]&amp;CalculatorFC[Type]=Calculators[[#This Row],[CalculatorCode]]&amp;Calculators[[#Headers],[DivisorGroupingCodes]],CalculatorFC[FinanceCode],""))</f>
        <v/>
      </c>
      <c r="R64" s="80" t="str" cm="1">
        <f t="array" ref="R64">_xlfn.TEXTJOIN(",",TRUE,IF(CalculatorFC[CalculatorCode]&amp;CalculatorFC[Type]=Calculators[[#This Row],[CalculatorCode]]&amp;Calculators[[#Headers],[MultiplierFinanceCodes]],CalculatorFC[FinanceCode],""))</f>
        <v/>
      </c>
      <c r="S64" s="80" t="str" cm="1">
        <f t="array" ref="S64">_xlfn.TEXTJOIN(",",TRUE,IF(CalculatorFC[CalculatorCode]&amp;CalculatorFC[Type]=Calculators[[#This Row],[CalculatorCode]]&amp;Calculators[[#Headers],[MultiplierGroupingCodes]],CalculatorFC[FinanceCode],""))</f>
        <v/>
      </c>
      <c r="T64" t="s">
        <v>1536</v>
      </c>
      <c r="U64" t="s">
        <v>1538</v>
      </c>
      <c r="V64" t="b">
        <v>0</v>
      </c>
      <c r="W64" t="b">
        <v>1</v>
      </c>
      <c r="X64" t="b">
        <v>1</v>
      </c>
      <c r="Y64" t="b">
        <v>1</v>
      </c>
      <c r="Z64" t="b">
        <v>0</v>
      </c>
      <c r="AA64" t="b">
        <v>0</v>
      </c>
      <c r="AB64" t="b">
        <v>0</v>
      </c>
      <c r="AC64">
        <v>0</v>
      </c>
      <c r="AD64" t="b">
        <v>0</v>
      </c>
      <c r="AE64" t="b">
        <v>0</v>
      </c>
      <c r="AF64" t="b">
        <v>0</v>
      </c>
      <c r="AG64" t="b">
        <v>0</v>
      </c>
      <c r="AH64" t="b">
        <v>0</v>
      </c>
      <c r="AI64" t="b">
        <v>0</v>
      </c>
      <c r="AJ64" t="b">
        <v>0</v>
      </c>
      <c r="AK64" t="b">
        <v>0</v>
      </c>
      <c r="AL64" t="b">
        <v>0</v>
      </c>
      <c r="AM64">
        <v>12</v>
      </c>
      <c r="AN64" t="b">
        <v>0</v>
      </c>
      <c r="AO64" t="b">
        <v>0</v>
      </c>
      <c r="AP64" t="b">
        <v>0</v>
      </c>
      <c r="AQ64" t="b">
        <v>0</v>
      </c>
      <c r="AR64" t="b">
        <v>0</v>
      </c>
      <c r="AS64" t="b">
        <v>0</v>
      </c>
      <c r="AT64" t="b">
        <v>0</v>
      </c>
      <c r="AU64" t="b">
        <v>0</v>
      </c>
      <c r="AV64" t="b">
        <v>0</v>
      </c>
      <c r="AW64">
        <v>5</v>
      </c>
      <c r="AX64" t="b">
        <v>0</v>
      </c>
      <c r="AY64" t="b">
        <v>0</v>
      </c>
      <c r="AZ64" t="b">
        <v>1</v>
      </c>
      <c r="BA64">
        <v>1</v>
      </c>
      <c r="BB64" t="s">
        <v>1476</v>
      </c>
      <c r="BC64">
        <v>1</v>
      </c>
    </row>
    <row r="65" spans="1:55" hidden="1" x14ac:dyDescent="0.3">
      <c r="A65" s="80">
        <f t="shared" si="1"/>
        <v>0</v>
      </c>
      <c r="B65" s="80">
        <f>SUMIFS(CalculatorFC[FinCodeIssue],CalculatorFC[CalculatorCode],Calculators[[#This Row],[CalculatorCode]])</f>
        <v>0</v>
      </c>
      <c r="C65" s="80">
        <f>IF(LEN(Calculators[[#This Row],[CalculatorCode]])&lt;100,0,1)</f>
        <v>0</v>
      </c>
      <c r="D65" s="86">
        <f>IF(LEN(Calculators[[#This Row],[Title]])&lt;100,0,1)</f>
        <v>0</v>
      </c>
      <c r="E65" s="86">
        <f>(COUNTIF(CalculatorTypeCode[CalculatorTypeCode],Calculators[[#This Row],[CalculatorTypeCode]])-1)*-1</f>
        <v>0</v>
      </c>
      <c r="F65"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65"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65"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65" s="86">
        <f>IF(OR(Calculators[[#This Row],[CalculatorEnabled]]=TRUE,Calculators[[#This Row],[CalculatorEnabled]]=FALSE),0,1)</f>
        <v>0</v>
      </c>
      <c r="J65" s="86">
        <f>IF(ISBLANK(Calculators[[#This Row],[Title]])=TRUE,1,0)</f>
        <v>0</v>
      </c>
      <c r="K65" s="86">
        <f>IF(EXACT(Calculators[[#This Row],[CalculatorCode]],UPPER(Calculators[[#This Row],[CalculatorCode]])),0,1)</f>
        <v>0</v>
      </c>
      <c r="L65" s="86">
        <f>IF(SUBSTITUTE(TEXT(Calculators[[#This Row],[CalculatorCode]],10)," ","")=TEXT(Calculators[[#This Row],[CalculatorCode]],10),0,1)</f>
        <v>0</v>
      </c>
      <c r="M65" s="80">
        <f>SUM(Calculators[[#This Row],[Blank Data]:[Space in Code]])</f>
        <v>0</v>
      </c>
      <c r="N65" s="80" t="str" cm="1">
        <f t="array" ref="N65">_xlfn.TEXTJOIN(",",TRUE,IF(CalculatorFC[CalculatorCode]&amp;CalculatorFC[Type]=Calculators[[#This Row],[CalculatorCode]]&amp;Calculators[[#Headers],[SourceFinanceCodes]],CalculatorFC[FinanceCode],""))</f>
        <v>DFC</v>
      </c>
      <c r="O65" s="80" t="str" cm="1">
        <f t="array" ref="O65">_xlfn.TEXTJOIN(",",TRUE,IF(CalculatorFC[CalculatorCode]&amp;CalculatorFC[Type]=Calculators[[#This Row],[CalculatorCode]]&amp;Calculators[[#Headers],[SourceGroupingCodes]],CalculatorFC[FinanceCode],""))</f>
        <v/>
      </c>
      <c r="P65" s="80" t="str" cm="1">
        <f t="array" ref="P65">_xlfn.TEXTJOIN(",",TRUE,IF(CalculatorFC[CalculatorCode]&amp;CalculatorFC[Type]=Calculators[[#This Row],[CalculatorCode]]&amp;Calculators[[#Headers],[DivisorFinanceCodes]],CalculatorFC[FinanceCode],""))</f>
        <v/>
      </c>
      <c r="Q65" s="80" t="str" cm="1">
        <f t="array" ref="Q65">_xlfn.TEXTJOIN(",",TRUE,IF(CalculatorFC[CalculatorCode]&amp;CalculatorFC[Type]=Calculators[[#This Row],[CalculatorCode]]&amp;Calculators[[#Headers],[DivisorGroupingCodes]],CalculatorFC[FinanceCode],""))</f>
        <v/>
      </c>
      <c r="R65" s="80" t="str" cm="1">
        <f t="array" ref="R65">_xlfn.TEXTJOIN(",",TRUE,IF(CalculatorFC[CalculatorCode]&amp;CalculatorFC[Type]=Calculators[[#This Row],[CalculatorCode]]&amp;Calculators[[#Headers],[MultiplierFinanceCodes]],CalculatorFC[FinanceCode],""))</f>
        <v/>
      </c>
      <c r="S65" s="80" t="str" cm="1">
        <f t="array" ref="S65">_xlfn.TEXTJOIN(",",TRUE,IF(CalculatorFC[CalculatorCode]&amp;CalculatorFC[Type]=Calculators[[#This Row],[CalculatorCode]]&amp;Calculators[[#Headers],[MultiplierGroupingCodes]],CalculatorFC[FinanceCode],""))</f>
        <v/>
      </c>
      <c r="T65" t="s">
        <v>1537</v>
      </c>
      <c r="U65" t="s">
        <v>1539</v>
      </c>
      <c r="V65" t="b">
        <v>0</v>
      </c>
      <c r="W65" t="b">
        <v>1</v>
      </c>
      <c r="X65" t="b">
        <v>1</v>
      </c>
      <c r="Y65" t="b">
        <v>1</v>
      </c>
      <c r="Z65" t="b">
        <v>0</v>
      </c>
      <c r="AA65" t="b">
        <v>1</v>
      </c>
      <c r="AB65" t="b">
        <v>0</v>
      </c>
      <c r="AC65">
        <v>0</v>
      </c>
      <c r="AD65" t="b">
        <v>0</v>
      </c>
      <c r="AE65" t="b">
        <v>0</v>
      </c>
      <c r="AF65" t="b">
        <v>0</v>
      </c>
      <c r="AG65" t="b">
        <v>0</v>
      </c>
      <c r="AH65" t="b">
        <v>0</v>
      </c>
      <c r="AI65" t="b">
        <v>0</v>
      </c>
      <c r="AJ65" t="b">
        <v>0</v>
      </c>
      <c r="AK65" t="b">
        <v>0</v>
      </c>
      <c r="AL65" t="b">
        <v>0</v>
      </c>
      <c r="AM65">
        <v>12</v>
      </c>
      <c r="AN65" t="b">
        <v>0</v>
      </c>
      <c r="AO65" t="b">
        <v>0</v>
      </c>
      <c r="AP65" t="b">
        <v>0</v>
      </c>
      <c r="AQ65" t="b">
        <v>0</v>
      </c>
      <c r="AR65" t="b">
        <v>0</v>
      </c>
      <c r="AS65" t="b">
        <v>0</v>
      </c>
      <c r="AT65" t="b">
        <v>0</v>
      </c>
      <c r="AU65" t="b">
        <v>0</v>
      </c>
      <c r="AV65" t="b">
        <v>0</v>
      </c>
      <c r="AW65">
        <v>7</v>
      </c>
      <c r="AX65" t="b">
        <v>0</v>
      </c>
      <c r="AY65" t="b">
        <v>0</v>
      </c>
      <c r="AZ65" t="b">
        <v>1</v>
      </c>
      <c r="BA65">
        <v>1</v>
      </c>
      <c r="BB65" t="s">
        <v>1476</v>
      </c>
      <c r="BC65">
        <v>1</v>
      </c>
    </row>
    <row r="66" spans="1:55" x14ac:dyDescent="0.3">
      <c r="A66" s="80">
        <f t="shared" ref="A66:A95" si="2">COUNTBLANK(V66:AD66)+COUNTBLANK(AF66:AN66)+COUNTBLANK(AP66:AX66)+COUNTBLANK(AZ66:AZ66)</f>
        <v>0</v>
      </c>
      <c r="B66" s="80">
        <f>SUMIFS(CalculatorFC[FinCodeIssue],CalculatorFC[CalculatorCode],Calculators[[#This Row],[CalculatorCode]])</f>
        <v>0</v>
      </c>
      <c r="C66" s="80">
        <f>IF(LEN(Calculators[[#This Row],[CalculatorCode]])&lt;100,0,1)</f>
        <v>0</v>
      </c>
      <c r="D66" s="86">
        <f>IF(LEN(Calculators[[#This Row],[Title]])&lt;100,0,1)</f>
        <v>0</v>
      </c>
      <c r="E66" s="86">
        <f>(COUNTIF(CalculatorTypeCode[CalculatorTypeCode],Calculators[[#This Row],[CalculatorTypeCode]])-1)*-1</f>
        <v>0</v>
      </c>
      <c r="F66"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66"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66"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66" s="86">
        <f>IF(OR(Calculators[[#This Row],[CalculatorEnabled]]=TRUE,Calculators[[#This Row],[CalculatorEnabled]]=FALSE),0,1)</f>
        <v>0</v>
      </c>
      <c r="J66" s="86">
        <f>IF(ISBLANK(Calculators[[#This Row],[Title]])=TRUE,1,0)</f>
        <v>0</v>
      </c>
      <c r="K66" s="86">
        <f>IF(EXACT(Calculators[[#This Row],[CalculatorCode]],UPPER(Calculators[[#This Row],[CalculatorCode]])),0,1)</f>
        <v>0</v>
      </c>
      <c r="L66" s="86">
        <f>IF(SUBSTITUTE(TEXT(Calculators[[#This Row],[CalculatorCode]],10)," ","")=TEXT(Calculators[[#This Row],[CalculatorCode]],10),0,1)</f>
        <v>0</v>
      </c>
      <c r="M66" s="80">
        <f>SUM(Calculators[[#This Row],[Blank Data]:[Space in Code]])</f>
        <v>0</v>
      </c>
      <c r="N66" s="80" t="str" cm="1">
        <f t="array" ref="N66">_xlfn.TEXTJOIN(",",TRUE,IF(CalculatorFC[CalculatorCode]&amp;CalculatorFC[Type]=Calculators[[#This Row],[CalculatorCode]]&amp;Calculators[[#Headers],[SourceFinanceCodes]],CalculatorFC[FinanceCode],""))</f>
        <v>PE_GRANT</v>
      </c>
      <c r="O66" s="80" t="str" cm="1">
        <f t="array" ref="O66">_xlfn.TEXTJOIN(",",TRUE,IF(CalculatorFC[CalculatorCode]&amp;CalculatorFC[Type]=Calculators[[#This Row],[CalculatorCode]]&amp;Calculators[[#Headers],[SourceGroupingCodes]],CalculatorFC[FinanceCode],""))</f>
        <v/>
      </c>
      <c r="P66" s="80" t="str" cm="1">
        <f t="array" ref="P66">_xlfn.TEXTJOIN(",",TRUE,IF(CalculatorFC[CalculatorCode]&amp;CalculatorFC[Type]=Calculators[[#This Row],[CalculatorCode]]&amp;Calculators[[#Headers],[DivisorFinanceCodes]],CalculatorFC[FinanceCode],""))</f>
        <v/>
      </c>
      <c r="Q66" s="80" t="str" cm="1">
        <f t="array" ref="Q66">_xlfn.TEXTJOIN(",",TRUE,IF(CalculatorFC[CalculatorCode]&amp;CalculatorFC[Type]=Calculators[[#This Row],[CalculatorCode]]&amp;Calculators[[#Headers],[DivisorGroupingCodes]],CalculatorFC[FinanceCode],""))</f>
        <v/>
      </c>
      <c r="R66" s="80" t="str" cm="1">
        <f t="array" ref="R66">_xlfn.TEXTJOIN(",",TRUE,IF(CalculatorFC[CalculatorCode]&amp;CalculatorFC[Type]=Calculators[[#This Row],[CalculatorCode]]&amp;Calculators[[#Headers],[MultiplierFinanceCodes]],CalculatorFC[FinanceCode],""))</f>
        <v/>
      </c>
      <c r="S66" s="80" t="str" cm="1">
        <f t="array" ref="S66">_xlfn.TEXTJOIN(",",TRUE,IF(CalculatorFC[CalculatorCode]&amp;CalculatorFC[Type]=Calculators[[#This Row],[CalculatorCode]]&amp;Calculators[[#Headers],[MultiplierGroupingCodes]],CalculatorFC[FinanceCode],""))</f>
        <v/>
      </c>
      <c r="T66" t="s">
        <v>1294</v>
      </c>
      <c r="U66" t="s">
        <v>1295</v>
      </c>
      <c r="V66" t="b">
        <v>0</v>
      </c>
      <c r="W66" t="b">
        <v>1</v>
      </c>
      <c r="X66" t="b">
        <v>1</v>
      </c>
      <c r="Y66" t="b">
        <v>1</v>
      </c>
      <c r="Z66" t="b">
        <v>0</v>
      </c>
      <c r="AA66" t="b">
        <v>0</v>
      </c>
      <c r="AB66" t="b">
        <v>0</v>
      </c>
      <c r="AC66">
        <v>0</v>
      </c>
      <c r="AD66" t="b">
        <v>0</v>
      </c>
      <c r="AE66" t="b">
        <v>0</v>
      </c>
      <c r="AF66" t="b">
        <v>0</v>
      </c>
      <c r="AG66" t="b">
        <v>0</v>
      </c>
      <c r="AH66" t="b">
        <v>0</v>
      </c>
      <c r="AI66" t="b">
        <v>1</v>
      </c>
      <c r="AJ66" t="b">
        <v>0</v>
      </c>
      <c r="AK66" t="b">
        <v>1</v>
      </c>
      <c r="AL66" t="b">
        <v>0</v>
      </c>
      <c r="AM66">
        <v>1</v>
      </c>
      <c r="AN66" t="b">
        <v>0</v>
      </c>
      <c r="AO66" t="b">
        <v>0</v>
      </c>
      <c r="AP66" t="b">
        <v>0</v>
      </c>
      <c r="AQ66" t="b">
        <v>0</v>
      </c>
      <c r="AR66" t="b">
        <v>0</v>
      </c>
      <c r="AS66" t="b">
        <v>1</v>
      </c>
      <c r="AT66" t="b">
        <v>0</v>
      </c>
      <c r="AU66" t="b">
        <v>1</v>
      </c>
      <c r="AV66" t="b">
        <v>0</v>
      </c>
      <c r="AW66">
        <v>1</v>
      </c>
      <c r="AX66" t="b">
        <v>0</v>
      </c>
      <c r="AY66" t="b">
        <v>0</v>
      </c>
      <c r="AZ66" t="b">
        <v>1</v>
      </c>
      <c r="BA66">
        <v>1</v>
      </c>
      <c r="BB66" t="s">
        <v>1476</v>
      </c>
      <c r="BC66">
        <v>1</v>
      </c>
    </row>
    <row r="67" spans="1:55" x14ac:dyDescent="0.3">
      <c r="A67" s="80">
        <f t="shared" si="2"/>
        <v>0</v>
      </c>
      <c r="B67" s="80">
        <f>SUMIFS(CalculatorFC[FinCodeIssue],CalculatorFC[CalculatorCode],Calculators[[#This Row],[CalculatorCode]])</f>
        <v>0</v>
      </c>
      <c r="C67" s="80">
        <f>IF(LEN(Calculators[[#This Row],[CalculatorCode]])&lt;100,0,1)</f>
        <v>0</v>
      </c>
      <c r="D67" s="86">
        <f>IF(LEN(Calculators[[#This Row],[Title]])&lt;100,0,1)</f>
        <v>0</v>
      </c>
      <c r="E67" s="86">
        <f>(COUNTIF(CalculatorTypeCode[CalculatorTypeCode],Calculators[[#This Row],[CalculatorTypeCode]])-1)*-1</f>
        <v>0</v>
      </c>
      <c r="F67"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67"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67"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67" s="86">
        <f>IF(OR(Calculators[[#This Row],[CalculatorEnabled]]=TRUE,Calculators[[#This Row],[CalculatorEnabled]]=FALSE),0,1)</f>
        <v>0</v>
      </c>
      <c r="J67" s="86">
        <f>IF(ISBLANK(Calculators[[#This Row],[Title]])=TRUE,1,0)</f>
        <v>0</v>
      </c>
      <c r="K67" s="86">
        <f>IF(EXACT(Calculators[[#This Row],[CalculatorCode]],UPPER(Calculators[[#This Row],[CalculatorCode]])),0,1)</f>
        <v>0</v>
      </c>
      <c r="L67" s="86">
        <f>IF(SUBSTITUTE(TEXT(Calculators[[#This Row],[CalculatorCode]],10)," ","")=TEXT(Calculators[[#This Row],[CalculatorCode]],10),0,1)</f>
        <v>0</v>
      </c>
      <c r="M67" s="80">
        <f>SUM(Calculators[[#This Row],[Blank Data]:[Space in Code]])</f>
        <v>0</v>
      </c>
      <c r="N67" s="80" t="str" cm="1">
        <f t="array" ref="N67">_xlfn.TEXTJOIN(",",TRUE,IF(CalculatorFC[CalculatorCode]&amp;CalculatorFC[Type]=Calculators[[#This Row],[CalculatorCode]]&amp;Calculators[[#Headers],[SourceFinanceCodes]],CalculatorFC[FinanceCode],""))</f>
        <v>PUPILPREMIUM_PRI</v>
      </c>
      <c r="O67" s="80" t="str" cm="1">
        <f t="array" ref="O67">_xlfn.TEXTJOIN(",",TRUE,IF(CalculatorFC[CalculatorCode]&amp;CalculatorFC[Type]=Calculators[[#This Row],[CalculatorCode]]&amp;Calculators[[#Headers],[SourceGroupingCodes]],CalculatorFC[FinanceCode],""))</f>
        <v/>
      </c>
      <c r="P67" s="80" t="str" cm="1">
        <f t="array" ref="P67">_xlfn.TEXTJOIN(",",TRUE,IF(CalculatorFC[CalculatorCode]&amp;CalculatorFC[Type]=Calculators[[#This Row],[CalculatorCode]]&amp;Calculators[[#Headers],[DivisorFinanceCodes]],CalculatorFC[FinanceCode],""))</f>
        <v/>
      </c>
      <c r="Q67" s="80" t="str" cm="1">
        <f t="array" ref="Q67">_xlfn.TEXTJOIN(",",TRUE,IF(CalculatorFC[CalculatorCode]&amp;CalculatorFC[Type]=Calculators[[#This Row],[CalculatorCode]]&amp;Calculators[[#Headers],[DivisorGroupingCodes]],CalculatorFC[FinanceCode],""))</f>
        <v/>
      </c>
      <c r="R67" s="80" t="str" cm="1">
        <f t="array" ref="R67">_xlfn.TEXTJOIN(",",TRUE,IF(CalculatorFC[CalculatorCode]&amp;CalculatorFC[Type]=Calculators[[#This Row],[CalculatorCode]]&amp;Calculators[[#Headers],[MultiplierFinanceCodes]],CalculatorFC[FinanceCode],""))</f>
        <v/>
      </c>
      <c r="S67" s="80" t="str" cm="1">
        <f t="array" ref="S67">_xlfn.TEXTJOIN(",",TRUE,IF(CalculatorFC[CalculatorCode]&amp;CalculatorFC[Type]=Calculators[[#This Row],[CalculatorCode]]&amp;Calculators[[#Headers],[MultiplierGroupingCodes]],CalculatorFC[FinanceCode],""))</f>
        <v/>
      </c>
      <c r="T67" t="s">
        <v>1833</v>
      </c>
      <c r="U67" t="s">
        <v>1834</v>
      </c>
      <c r="V67" t="b">
        <v>0</v>
      </c>
      <c r="W67" t="b">
        <v>1</v>
      </c>
      <c r="X67" t="b">
        <v>1</v>
      </c>
      <c r="Y67" t="b">
        <v>1</v>
      </c>
      <c r="Z67" t="b">
        <v>0</v>
      </c>
      <c r="AA67" t="b">
        <v>0</v>
      </c>
      <c r="AB67" t="b">
        <v>0</v>
      </c>
      <c r="AC67">
        <v>0</v>
      </c>
      <c r="AD67" t="b">
        <v>0</v>
      </c>
      <c r="AE67" t="b">
        <v>0</v>
      </c>
      <c r="AF67" t="b">
        <v>0</v>
      </c>
      <c r="AG67" t="b">
        <v>0</v>
      </c>
      <c r="AH67" t="b">
        <v>0</v>
      </c>
      <c r="AI67" t="b">
        <v>0</v>
      </c>
      <c r="AJ67" t="b">
        <v>0</v>
      </c>
      <c r="AK67" t="b">
        <v>1</v>
      </c>
      <c r="AL67" t="b">
        <v>0</v>
      </c>
      <c r="AM67">
        <v>1</v>
      </c>
      <c r="AN67" t="b">
        <v>0</v>
      </c>
      <c r="AO67" t="b">
        <v>0</v>
      </c>
      <c r="AP67" t="b">
        <v>0</v>
      </c>
      <c r="AQ67" t="b">
        <v>0</v>
      </c>
      <c r="AR67" t="b">
        <v>0</v>
      </c>
      <c r="AS67" t="b">
        <v>0</v>
      </c>
      <c r="AT67" t="b">
        <v>0</v>
      </c>
      <c r="AU67" t="b">
        <v>1</v>
      </c>
      <c r="AV67" t="b">
        <v>0</v>
      </c>
      <c r="AW67">
        <v>1</v>
      </c>
      <c r="AX67" t="b">
        <v>0</v>
      </c>
      <c r="AY67" t="b">
        <v>0</v>
      </c>
      <c r="AZ67" t="b">
        <v>1</v>
      </c>
      <c r="BA67">
        <v>1</v>
      </c>
      <c r="BB67" t="s">
        <v>922</v>
      </c>
      <c r="BC67">
        <v>1</v>
      </c>
    </row>
    <row r="68" spans="1:55" x14ac:dyDescent="0.3">
      <c r="A68" s="80">
        <f t="shared" si="2"/>
        <v>0</v>
      </c>
      <c r="B68" s="80">
        <f>SUMIFS(CalculatorFC[FinCodeIssue],CalculatorFC[CalculatorCode],Calculators[[#This Row],[CalculatorCode]])</f>
        <v>0</v>
      </c>
      <c r="C68" s="80">
        <f>IF(LEN(Calculators[[#This Row],[CalculatorCode]])&lt;100,0,1)</f>
        <v>0</v>
      </c>
      <c r="D68" s="86">
        <f>IF(LEN(Calculators[[#This Row],[Title]])&lt;100,0,1)</f>
        <v>0</v>
      </c>
      <c r="E68" s="86">
        <f>(COUNTIF(CalculatorTypeCode[CalculatorTypeCode],Calculators[[#This Row],[CalculatorTypeCode]])-1)*-1</f>
        <v>0</v>
      </c>
      <c r="F68"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68"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68"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68" s="86">
        <f>IF(OR(Calculators[[#This Row],[CalculatorEnabled]]=TRUE,Calculators[[#This Row],[CalculatorEnabled]]=FALSE),0,1)</f>
        <v>0</v>
      </c>
      <c r="J68" s="86">
        <f>IF(ISBLANK(Calculators[[#This Row],[Title]])=TRUE,1,0)</f>
        <v>0</v>
      </c>
      <c r="K68" s="86">
        <f>IF(EXACT(Calculators[[#This Row],[CalculatorCode]],UPPER(Calculators[[#This Row],[CalculatorCode]])),0,1)</f>
        <v>0</v>
      </c>
      <c r="L68" s="86">
        <f>IF(SUBSTITUTE(TEXT(Calculators[[#This Row],[CalculatorCode]],10)," ","")=TEXT(Calculators[[#This Row],[CalculatorCode]],10),0,1)</f>
        <v>0</v>
      </c>
      <c r="M68" s="80">
        <f>SUM(Calculators[[#This Row],[Blank Data]:[Space in Code]])</f>
        <v>0</v>
      </c>
      <c r="N68" s="80" t="str" cm="1">
        <f t="array" ref="N68">_xlfn.TEXTJOIN(",",TRUE,IF(CalculatorFC[CalculatorCode]&amp;CalculatorFC[Type]=Calculators[[#This Row],[CalculatorCode]]&amp;Calculators[[#Headers],[SourceFinanceCodes]],CalculatorFC[FinanceCode],""))</f>
        <v>PUPIL_UIFSM_JAN,PUPIL_UIFSM_OCT</v>
      </c>
      <c r="O68" s="80" t="str" cm="1">
        <f t="array" ref="O68">_xlfn.TEXTJOIN(",",TRUE,IF(CalculatorFC[CalculatorCode]&amp;CalculatorFC[Type]=Calculators[[#This Row],[CalculatorCode]]&amp;Calculators[[#Headers],[SourceGroupingCodes]],CalculatorFC[FinanceCode],""))</f>
        <v/>
      </c>
      <c r="P68" s="80" t="str" cm="1">
        <f t="array" ref="P68">_xlfn.TEXTJOIN(",",TRUE,IF(CalculatorFC[CalculatorCode]&amp;CalculatorFC[Type]=Calculators[[#This Row],[CalculatorCode]]&amp;Calculators[[#Headers],[DivisorFinanceCodes]],CalculatorFC[FinanceCode],""))</f>
        <v/>
      </c>
      <c r="Q68" s="80" t="str" cm="1">
        <f t="array" ref="Q68">_xlfn.TEXTJOIN(",",TRUE,IF(CalculatorFC[CalculatorCode]&amp;CalculatorFC[Type]=Calculators[[#This Row],[CalculatorCode]]&amp;Calculators[[#Headers],[DivisorGroupingCodes]],CalculatorFC[FinanceCode],""))</f>
        <v/>
      </c>
      <c r="R68" s="80" t="str" cm="1">
        <f t="array" ref="R68">_xlfn.TEXTJOIN(",",TRUE,IF(CalculatorFC[CalculatorCode]&amp;CalculatorFC[Type]=Calculators[[#This Row],[CalculatorCode]]&amp;Calculators[[#Headers],[MultiplierFinanceCodes]],CalculatorFC[FinanceCode],""))</f>
        <v>UIFSM_RATE_FIN</v>
      </c>
      <c r="S68" s="80" t="str" cm="1">
        <f t="array" ref="S68">_xlfn.TEXTJOIN(",",TRUE,IF(CalculatorFC[CalculatorCode]&amp;CalculatorFC[Type]=Calculators[[#This Row],[CalculatorCode]]&amp;Calculators[[#Headers],[MultiplierGroupingCodes]],CalculatorFC[FinanceCode],""))</f>
        <v/>
      </c>
      <c r="T68" t="s">
        <v>1296</v>
      </c>
      <c r="U68" t="s">
        <v>1624</v>
      </c>
      <c r="V68" t="b">
        <v>0</v>
      </c>
      <c r="W68" t="b">
        <v>1</v>
      </c>
      <c r="X68" t="b">
        <v>1</v>
      </c>
      <c r="Y68" t="b">
        <v>1</v>
      </c>
      <c r="Z68" t="b">
        <v>0</v>
      </c>
      <c r="AA68" t="b">
        <v>0</v>
      </c>
      <c r="AB68" t="b">
        <v>0</v>
      </c>
      <c r="AC68">
        <v>0</v>
      </c>
      <c r="AD68" t="b">
        <v>0</v>
      </c>
      <c r="AE68" t="b">
        <v>0</v>
      </c>
      <c r="AF68" t="b">
        <v>0</v>
      </c>
      <c r="AG68" t="b">
        <v>0</v>
      </c>
      <c r="AH68" t="b">
        <v>0</v>
      </c>
      <c r="AI68" t="b">
        <v>1</v>
      </c>
      <c r="AJ68" t="b">
        <v>0</v>
      </c>
      <c r="AK68" t="b">
        <v>1</v>
      </c>
      <c r="AL68" t="b">
        <v>0</v>
      </c>
      <c r="AM68">
        <v>2</v>
      </c>
      <c r="AN68" t="b">
        <v>0</v>
      </c>
      <c r="AO68" t="b">
        <v>0</v>
      </c>
      <c r="AP68" t="b">
        <v>1</v>
      </c>
      <c r="AQ68" t="b">
        <v>1</v>
      </c>
      <c r="AR68" t="b">
        <v>1</v>
      </c>
      <c r="AS68" t="b">
        <v>1</v>
      </c>
      <c r="AT68" t="b">
        <v>0</v>
      </c>
      <c r="AU68" t="b">
        <v>0</v>
      </c>
      <c r="AV68" t="b">
        <v>0</v>
      </c>
      <c r="AW68">
        <v>0</v>
      </c>
      <c r="AX68" t="b">
        <v>0</v>
      </c>
      <c r="AY68" t="b">
        <v>0</v>
      </c>
      <c r="AZ68" t="b">
        <v>1</v>
      </c>
      <c r="BA68">
        <v>1</v>
      </c>
      <c r="BB68" t="s">
        <v>900</v>
      </c>
      <c r="BC68">
        <v>1</v>
      </c>
    </row>
    <row r="69" spans="1:55" x14ac:dyDescent="0.3">
      <c r="A69" s="80">
        <f t="shared" si="2"/>
        <v>0</v>
      </c>
      <c r="B69" s="80">
        <f>SUMIFS(CalculatorFC[FinCodeIssue],CalculatorFC[CalculatorCode],Calculators[[#This Row],[CalculatorCode]])</f>
        <v>0</v>
      </c>
      <c r="C69" s="80">
        <f>IF(LEN(Calculators[[#This Row],[CalculatorCode]])&lt;100,0,1)</f>
        <v>0</v>
      </c>
      <c r="D69" s="86">
        <f>IF(LEN(Calculators[[#This Row],[Title]])&lt;100,0,1)</f>
        <v>0</v>
      </c>
      <c r="E69" s="86">
        <f>(COUNTIF(CalculatorTypeCode[CalculatorTypeCode],Calculators[[#This Row],[CalculatorTypeCode]])-1)*-1</f>
        <v>0</v>
      </c>
      <c r="F69"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69"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69"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69" s="86">
        <f>IF(OR(Calculators[[#This Row],[CalculatorEnabled]]=TRUE,Calculators[[#This Row],[CalculatorEnabled]]=FALSE),0,1)</f>
        <v>0</v>
      </c>
      <c r="J69" s="86">
        <f>IF(ISBLANK(Calculators[[#This Row],[Title]])=TRUE,1,0)</f>
        <v>0</v>
      </c>
      <c r="K69" s="86">
        <f>IF(EXACT(Calculators[[#This Row],[CalculatorCode]],UPPER(Calculators[[#This Row],[CalculatorCode]])),0,1)</f>
        <v>0</v>
      </c>
      <c r="L69" s="86">
        <f>IF(SUBSTITUTE(TEXT(Calculators[[#This Row],[CalculatorCode]],10)," ","")=TEXT(Calculators[[#This Row],[CalculatorCode]],10),0,1)</f>
        <v>0</v>
      </c>
      <c r="M69" s="80">
        <f>SUM(Calculators[[#This Row],[Blank Data]:[Space in Code]])</f>
        <v>0</v>
      </c>
      <c r="N69" s="80" t="str" cm="1">
        <f t="array" ref="N69">_xlfn.TEXTJOIN(",",TRUE,IF(CalculatorFC[CalculatorCode]&amp;CalculatorFC[Type]=Calculators[[#This Row],[CalculatorCode]]&amp;Calculators[[#Headers],[SourceFinanceCodes]],CalculatorFC[FinanceCode],""))</f>
        <v/>
      </c>
      <c r="O69" s="80" t="str" cm="1">
        <f t="array" ref="O69">_xlfn.TEXTJOIN(",",TRUE,IF(CalculatorFC[CalculatorCode]&amp;CalculatorFC[Type]=Calculators[[#This Row],[CalculatorCode]]&amp;Calculators[[#Headers],[SourceGroupingCodes]],CalculatorFC[FinanceCode],""))</f>
        <v/>
      </c>
      <c r="P69" s="80" t="str" cm="1">
        <f t="array" ref="P69">_xlfn.TEXTJOIN(",",TRUE,IF(CalculatorFC[CalculatorCode]&amp;CalculatorFC[Type]=Calculators[[#This Row],[CalculatorCode]]&amp;Calculators[[#Headers],[DivisorFinanceCodes]],CalculatorFC[FinanceCode],""))</f>
        <v>PUPIL_CEN_00,PUPIL_CEN_01,PUPIL_CEN_02</v>
      </c>
      <c r="Q69" s="80" t="str" cm="1">
        <f t="array" ref="Q69">_xlfn.TEXTJOIN(",",TRUE,IF(CalculatorFC[CalculatorCode]&amp;CalculatorFC[Type]=Calculators[[#This Row],[CalculatorCode]]&amp;Calculators[[#Headers],[DivisorGroupingCodes]],CalculatorFC[FinanceCode],""))</f>
        <v/>
      </c>
      <c r="R69" s="80" t="str" cm="1">
        <f t="array" ref="R69">_xlfn.TEXTJOIN(",",TRUE,IF(CalculatorFC[CalculatorCode]&amp;CalculatorFC[Type]=Calculators[[#This Row],[CalculatorCode]]&amp;Calculators[[#Headers],[MultiplierFinanceCodes]],CalculatorFC[FinanceCode],""))</f>
        <v>PUPIL_CEN_00,PUPIL_CEN_01,PUPIL_CEN_02</v>
      </c>
      <c r="S69" s="80" t="str" cm="1">
        <f t="array" ref="S69">_xlfn.TEXTJOIN(",",TRUE,IF(CalculatorFC[CalculatorCode]&amp;CalculatorFC[Type]=Calculators[[#This Row],[CalculatorCode]]&amp;Calculators[[#Headers],[MultiplierGroupingCodes]],CalculatorFC[FinanceCode],""))</f>
        <v/>
      </c>
      <c r="T69" t="s">
        <v>1309</v>
      </c>
      <c r="U69" t="s">
        <v>1310</v>
      </c>
      <c r="V69" t="b">
        <v>0</v>
      </c>
      <c r="W69" t="b">
        <v>1</v>
      </c>
      <c r="X69" t="b">
        <v>1</v>
      </c>
      <c r="Y69" t="b">
        <v>1</v>
      </c>
      <c r="Z69" t="b">
        <v>1</v>
      </c>
      <c r="AA69" t="b">
        <v>1</v>
      </c>
      <c r="AB69" t="b">
        <v>0</v>
      </c>
      <c r="AC69">
        <v>0</v>
      </c>
      <c r="AD69" t="b">
        <v>0</v>
      </c>
      <c r="AE69" t="b">
        <v>0</v>
      </c>
      <c r="AF69" t="b">
        <v>0</v>
      </c>
      <c r="AG69" t="b">
        <v>1</v>
      </c>
      <c r="AH69" t="b">
        <v>1</v>
      </c>
      <c r="AI69" t="b">
        <v>1</v>
      </c>
      <c r="AJ69" t="b">
        <v>0</v>
      </c>
      <c r="AK69" t="b">
        <v>1</v>
      </c>
      <c r="AL69" t="b">
        <v>0</v>
      </c>
      <c r="AM69">
        <v>0</v>
      </c>
      <c r="AN69" t="b">
        <v>0</v>
      </c>
      <c r="AO69" t="b">
        <v>0</v>
      </c>
      <c r="AP69" t="b">
        <v>0</v>
      </c>
      <c r="AQ69" t="b">
        <v>1</v>
      </c>
      <c r="AR69" t="b">
        <v>1</v>
      </c>
      <c r="AS69" t="b">
        <v>1</v>
      </c>
      <c r="AT69" t="b">
        <v>0</v>
      </c>
      <c r="AU69" t="b">
        <v>0</v>
      </c>
      <c r="AV69" t="b">
        <v>0</v>
      </c>
      <c r="AW69">
        <v>0</v>
      </c>
      <c r="AX69" t="b">
        <v>0</v>
      </c>
      <c r="AY69" t="b">
        <v>0</v>
      </c>
      <c r="AZ69" t="b">
        <v>1</v>
      </c>
      <c r="BA69">
        <v>0</v>
      </c>
      <c r="BB69" t="s">
        <v>922</v>
      </c>
      <c r="BC69">
        <v>0</v>
      </c>
    </row>
    <row r="70" spans="1:55" x14ac:dyDescent="0.3">
      <c r="A70" s="80">
        <f t="shared" si="2"/>
        <v>0</v>
      </c>
      <c r="B70" s="80">
        <f>SUMIFS(CalculatorFC[FinCodeIssue],CalculatorFC[CalculatorCode],Calculators[[#This Row],[CalculatorCode]])</f>
        <v>0</v>
      </c>
      <c r="C70" s="80">
        <f>IF(LEN(Calculators[[#This Row],[CalculatorCode]])&lt;100,0,1)</f>
        <v>0</v>
      </c>
      <c r="D70" s="86">
        <f>IF(LEN(Calculators[[#This Row],[Title]])&lt;100,0,1)</f>
        <v>0</v>
      </c>
      <c r="E70" s="86">
        <f>(COUNTIF(CalculatorTypeCode[CalculatorTypeCode],Calculators[[#This Row],[CalculatorTypeCode]])-1)*-1</f>
        <v>0</v>
      </c>
      <c r="F70"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70"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70"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70" s="86">
        <f>IF(OR(Calculators[[#This Row],[CalculatorEnabled]]=TRUE,Calculators[[#This Row],[CalculatorEnabled]]=FALSE),0,1)</f>
        <v>0</v>
      </c>
      <c r="J70" s="86">
        <f>IF(ISBLANK(Calculators[[#This Row],[Title]])=TRUE,1,0)</f>
        <v>0</v>
      </c>
      <c r="K70" s="86">
        <f>IF(EXACT(Calculators[[#This Row],[CalculatorCode]],UPPER(Calculators[[#This Row],[CalculatorCode]])),0,1)</f>
        <v>0</v>
      </c>
      <c r="L70" s="86">
        <f>IF(SUBSTITUTE(TEXT(Calculators[[#This Row],[CalculatorCode]],10)," ","")=TEXT(Calculators[[#This Row],[CalculatorCode]],10),0,1)</f>
        <v>0</v>
      </c>
      <c r="M70" s="80">
        <f>SUM(Calculators[[#This Row],[Blank Data]:[Space in Code]])</f>
        <v>0</v>
      </c>
      <c r="N70" s="80" t="str" cm="1">
        <f t="array" ref="N70">_xlfn.TEXTJOIN(",",TRUE,IF(CalculatorFC[CalculatorCode]&amp;CalculatorFC[Type]=Calculators[[#This Row],[CalculatorCode]]&amp;Calculators[[#Headers],[SourceFinanceCodes]],CalculatorFC[FinanceCode],""))</f>
        <v>UIFSM_ANNUAL,UIFSM_PRO</v>
      </c>
      <c r="O70" s="80" t="str" cm="1">
        <f t="array" ref="O70">_xlfn.TEXTJOIN(",",TRUE,IF(CalculatorFC[CalculatorCode]&amp;CalculatorFC[Type]=Calculators[[#This Row],[CalculatorCode]]&amp;Calculators[[#Headers],[SourceGroupingCodes]],CalculatorFC[FinanceCode],""))</f>
        <v/>
      </c>
      <c r="P70" s="80" t="str" cm="1">
        <f t="array" ref="P70">_xlfn.TEXTJOIN(",",TRUE,IF(CalculatorFC[CalculatorCode]&amp;CalculatorFC[Type]=Calculators[[#This Row],[CalculatorCode]]&amp;Calculators[[#Headers],[DivisorFinanceCodes]],CalculatorFC[FinanceCode],""))</f>
        <v/>
      </c>
      <c r="Q70" s="80" t="str" cm="1">
        <f t="array" ref="Q70">_xlfn.TEXTJOIN(",",TRUE,IF(CalculatorFC[CalculatorCode]&amp;CalculatorFC[Type]=Calculators[[#This Row],[CalculatorCode]]&amp;Calculators[[#Headers],[DivisorGroupingCodes]],CalculatorFC[FinanceCode],""))</f>
        <v/>
      </c>
      <c r="R70" s="80" t="str" cm="1">
        <f t="array" ref="R70">_xlfn.TEXTJOIN(",",TRUE,IF(CalculatorFC[CalculatorCode]&amp;CalculatorFC[Type]=Calculators[[#This Row],[CalculatorCode]]&amp;Calculators[[#Headers],[MultiplierFinanceCodes]],CalculatorFC[FinanceCode],""))</f>
        <v/>
      </c>
      <c r="S70" s="80" t="str" cm="1">
        <f t="array" ref="S70">_xlfn.TEXTJOIN(",",TRUE,IF(CalculatorFC[CalculatorCode]&amp;CalculatorFC[Type]=Calculators[[#This Row],[CalculatorCode]]&amp;Calculators[[#Headers],[MultiplierGroupingCodes]],CalculatorFC[FinanceCode],""))</f>
        <v/>
      </c>
      <c r="T70" t="s">
        <v>1558</v>
      </c>
      <c r="U70" t="s">
        <v>1562</v>
      </c>
      <c r="V70" t="b">
        <v>0</v>
      </c>
      <c r="W70" t="b">
        <v>1</v>
      </c>
      <c r="X70" t="b">
        <v>1</v>
      </c>
      <c r="Y70" t="b">
        <v>1</v>
      </c>
      <c r="Z70" t="b">
        <v>0</v>
      </c>
      <c r="AA70" t="b">
        <v>0</v>
      </c>
      <c r="AB70" t="b">
        <v>0</v>
      </c>
      <c r="AC70">
        <v>0</v>
      </c>
      <c r="AD70" t="b">
        <v>0</v>
      </c>
      <c r="AE70" t="b">
        <v>0</v>
      </c>
      <c r="AF70" t="b">
        <v>0</v>
      </c>
      <c r="AG70" t="b">
        <v>0</v>
      </c>
      <c r="AH70" t="b">
        <v>0</v>
      </c>
      <c r="AI70" t="b">
        <v>1</v>
      </c>
      <c r="AJ70" t="b">
        <v>0</v>
      </c>
      <c r="AK70" t="b">
        <v>1</v>
      </c>
      <c r="AL70" t="b">
        <v>0</v>
      </c>
      <c r="AM70">
        <v>1</v>
      </c>
      <c r="AN70" t="b">
        <v>0</v>
      </c>
      <c r="AO70" t="b">
        <v>0</v>
      </c>
      <c r="AP70" t="b">
        <v>1</v>
      </c>
      <c r="AQ70" t="b">
        <v>1</v>
      </c>
      <c r="AR70" t="b">
        <v>1</v>
      </c>
      <c r="AS70" t="b">
        <v>1</v>
      </c>
      <c r="AT70" t="b">
        <v>0</v>
      </c>
      <c r="AU70" t="b">
        <v>0</v>
      </c>
      <c r="AV70" t="b">
        <v>0</v>
      </c>
      <c r="AW70">
        <v>1</v>
      </c>
      <c r="AX70" t="b">
        <v>0</v>
      </c>
      <c r="AY70" t="b">
        <v>0</v>
      </c>
      <c r="AZ70" t="b">
        <v>1</v>
      </c>
      <c r="BA70">
        <v>1</v>
      </c>
      <c r="BB70" t="s">
        <v>900</v>
      </c>
      <c r="BC70">
        <v>1</v>
      </c>
    </row>
    <row r="71" spans="1:55" x14ac:dyDescent="0.3">
      <c r="A71" s="80">
        <f t="shared" si="2"/>
        <v>0</v>
      </c>
      <c r="B71" s="80">
        <f>SUMIFS(CalculatorFC[FinCodeIssue],CalculatorFC[CalculatorCode],Calculators[[#This Row],[CalculatorCode]])</f>
        <v>0</v>
      </c>
      <c r="C71" s="80">
        <f>IF(LEN(Calculators[[#This Row],[CalculatorCode]])&lt;100,0,1)</f>
        <v>0</v>
      </c>
      <c r="D71" s="86">
        <f>IF(LEN(Calculators[[#This Row],[Title]])&lt;100,0,1)</f>
        <v>0</v>
      </c>
      <c r="E71" s="86">
        <f>(COUNTIF(CalculatorTypeCode[CalculatorTypeCode],Calculators[[#This Row],[CalculatorTypeCode]])-1)*-1</f>
        <v>0</v>
      </c>
      <c r="F71"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71"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71"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71" s="86">
        <f>IF(OR(Calculators[[#This Row],[CalculatorEnabled]]=TRUE,Calculators[[#This Row],[CalculatorEnabled]]=FALSE),0,1)</f>
        <v>0</v>
      </c>
      <c r="J71" s="86">
        <f>IF(ISBLANK(Calculators[[#This Row],[Title]])=TRUE,1,0)</f>
        <v>0</v>
      </c>
      <c r="K71" s="86">
        <f>IF(EXACT(Calculators[[#This Row],[CalculatorCode]],UPPER(Calculators[[#This Row],[CalculatorCode]])),0,1)</f>
        <v>0</v>
      </c>
      <c r="L71" s="86">
        <f>IF(SUBSTITUTE(TEXT(Calculators[[#This Row],[CalculatorCode]],10)," ","")=TEXT(Calculators[[#This Row],[CalculatorCode]],10),0,1)</f>
        <v>0</v>
      </c>
      <c r="M71" s="80">
        <f>SUM(Calculators[[#This Row],[Blank Data]:[Space in Code]])</f>
        <v>0</v>
      </c>
      <c r="N71" s="80" t="str" cm="1">
        <f t="array" ref="N71">_xlfn.TEXTJOIN(",",TRUE,IF(CalculatorFC[CalculatorCode]&amp;CalculatorFC[Type]=Calculators[[#This Row],[CalculatorCode]]&amp;Calculators[[#Headers],[SourceFinanceCodes]],CalculatorFC[FinanceCode],""))</f>
        <v>UIFSM_FIN</v>
      </c>
      <c r="O71" s="80" t="str" cm="1">
        <f t="array" ref="O71">_xlfn.TEXTJOIN(",",TRUE,IF(CalculatorFC[CalculatorCode]&amp;CalculatorFC[Type]=Calculators[[#This Row],[CalculatorCode]]&amp;Calculators[[#Headers],[SourceGroupingCodes]],CalculatorFC[FinanceCode],""))</f>
        <v/>
      </c>
      <c r="P71" s="80" t="str" cm="1">
        <f t="array" ref="P71">_xlfn.TEXTJOIN(",",TRUE,IF(CalculatorFC[CalculatorCode]&amp;CalculatorFC[Type]=Calculators[[#This Row],[CalculatorCode]]&amp;Calculators[[#Headers],[DivisorFinanceCodes]],CalculatorFC[FinanceCode],""))</f>
        <v/>
      </c>
      <c r="Q71" s="80" t="str" cm="1">
        <f t="array" ref="Q71">_xlfn.TEXTJOIN(",",TRUE,IF(CalculatorFC[CalculatorCode]&amp;CalculatorFC[Type]=Calculators[[#This Row],[CalculatorCode]]&amp;Calculators[[#Headers],[DivisorGroupingCodes]],CalculatorFC[FinanceCode],""))</f>
        <v/>
      </c>
      <c r="R71" s="80" t="str" cm="1">
        <f t="array" ref="R71">_xlfn.TEXTJOIN(",",TRUE,IF(CalculatorFC[CalculatorCode]&amp;CalculatorFC[Type]=Calculators[[#This Row],[CalculatorCode]]&amp;Calculators[[#Headers],[MultiplierFinanceCodes]],CalculatorFC[FinanceCode],""))</f>
        <v/>
      </c>
      <c r="S71" s="80" t="str" cm="1">
        <f t="array" ref="S71">_xlfn.TEXTJOIN(",",TRUE,IF(CalculatorFC[CalculatorCode]&amp;CalculatorFC[Type]=Calculators[[#This Row],[CalculatorCode]]&amp;Calculators[[#Headers],[MultiplierGroupingCodes]],CalculatorFC[FinanceCode],""))</f>
        <v/>
      </c>
      <c r="T71" t="s">
        <v>2050</v>
      </c>
      <c r="U71" t="s">
        <v>2051</v>
      </c>
      <c r="V71" t="b">
        <v>0</v>
      </c>
      <c r="W71" t="b">
        <v>1</v>
      </c>
      <c r="X71" t="b">
        <v>1</v>
      </c>
      <c r="Y71" t="b">
        <v>1</v>
      </c>
      <c r="Z71" t="b">
        <v>0</v>
      </c>
      <c r="AA71" t="b">
        <v>0</v>
      </c>
      <c r="AB71" t="b">
        <v>0</v>
      </c>
      <c r="AC71">
        <v>0</v>
      </c>
      <c r="AD71" t="b">
        <v>0</v>
      </c>
      <c r="AE71" t="b">
        <v>0</v>
      </c>
      <c r="AF71" t="b">
        <v>0</v>
      </c>
      <c r="AG71" t="b">
        <v>0</v>
      </c>
      <c r="AH71" t="b">
        <v>0</v>
      </c>
      <c r="AI71" t="b">
        <v>0</v>
      </c>
      <c r="AJ71" t="b">
        <v>0</v>
      </c>
      <c r="AK71" t="b">
        <v>1</v>
      </c>
      <c r="AL71" t="b">
        <v>0</v>
      </c>
      <c r="AM71">
        <v>1</v>
      </c>
      <c r="AN71" t="b">
        <v>0</v>
      </c>
      <c r="AO71" t="b">
        <v>0</v>
      </c>
      <c r="AP71" t="b">
        <v>0</v>
      </c>
      <c r="AQ71" t="b">
        <v>0</v>
      </c>
      <c r="AR71" t="b">
        <v>0</v>
      </c>
      <c r="AS71" t="b">
        <v>0</v>
      </c>
      <c r="AT71" t="b">
        <v>0</v>
      </c>
      <c r="AU71" t="b">
        <v>1</v>
      </c>
      <c r="AV71" t="b">
        <v>0</v>
      </c>
      <c r="AW71">
        <v>1</v>
      </c>
      <c r="AX71" t="b">
        <v>0</v>
      </c>
      <c r="AY71" t="b">
        <v>0</v>
      </c>
      <c r="AZ71" t="b">
        <v>1</v>
      </c>
      <c r="BA71">
        <v>1</v>
      </c>
      <c r="BB71" t="s">
        <v>1476</v>
      </c>
      <c r="BC71">
        <v>1</v>
      </c>
    </row>
    <row r="72" spans="1:55" x14ac:dyDescent="0.3">
      <c r="A72" s="80">
        <f t="shared" si="2"/>
        <v>0</v>
      </c>
      <c r="B72" s="80">
        <f>SUMIFS(CalculatorFC[FinCodeIssue],CalculatorFC[CalculatorCode],Calculators[[#This Row],[CalculatorCode]])</f>
        <v>0</v>
      </c>
      <c r="C72" s="80">
        <f>IF(LEN(Calculators[[#This Row],[CalculatorCode]])&lt;100,0,1)</f>
        <v>0</v>
      </c>
      <c r="D72" s="86">
        <f>IF(LEN(Calculators[[#This Row],[Title]])&lt;100,0,1)</f>
        <v>0</v>
      </c>
      <c r="E72" s="86">
        <f>(COUNTIF(CalculatorTypeCode[CalculatorTypeCode],Calculators[[#This Row],[CalculatorTypeCode]])-1)*-1</f>
        <v>0</v>
      </c>
      <c r="F72"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72"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72"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72" s="86">
        <f>IF(OR(Calculators[[#This Row],[CalculatorEnabled]]=TRUE,Calculators[[#This Row],[CalculatorEnabled]]=FALSE),0,1)</f>
        <v>0</v>
      </c>
      <c r="J72" s="86">
        <f>IF(ISBLANK(Calculators[[#This Row],[Title]])=TRUE,1,0)</f>
        <v>0</v>
      </c>
      <c r="K72" s="86">
        <f>IF(EXACT(Calculators[[#This Row],[CalculatorCode]],UPPER(Calculators[[#This Row],[CalculatorCode]])),0,1)</f>
        <v>0</v>
      </c>
      <c r="L72" s="86">
        <f>IF(SUBSTITUTE(TEXT(Calculators[[#This Row],[CalculatorCode]],10)," ","")=TEXT(Calculators[[#This Row],[CalculatorCode]],10),0,1)</f>
        <v>0</v>
      </c>
      <c r="M72" s="80">
        <f>SUM(Calculators[[#This Row],[Blank Data]:[Space in Code]])</f>
        <v>0</v>
      </c>
      <c r="N72" s="80" t="str" cm="1">
        <f t="array" ref="N72">_xlfn.TEXTJOIN(",",TRUE,IF(CalculatorFC[CalculatorCode]&amp;CalculatorFC[Type]=Calculators[[#This Row],[CalculatorCode]]&amp;Calculators[[#Headers],[SourceFinanceCodes]],CalculatorFC[FinanceCode],""))</f>
        <v>PUPIL_UIFSM_JAN,PUPIL_UIFSM_OCT</v>
      </c>
      <c r="O72" s="80" t="str" cm="1">
        <f t="array" ref="O72">_xlfn.TEXTJOIN(",",TRUE,IF(CalculatorFC[CalculatorCode]&amp;CalculatorFC[Type]=Calculators[[#This Row],[CalculatorCode]]&amp;Calculators[[#Headers],[SourceGroupingCodes]],CalculatorFC[FinanceCode],""))</f>
        <v/>
      </c>
      <c r="P72" s="80" t="str" cm="1">
        <f t="array" ref="P72">_xlfn.TEXTJOIN(",",TRUE,IF(CalculatorFC[CalculatorCode]&amp;CalculatorFC[Type]=Calculators[[#This Row],[CalculatorCode]]&amp;Calculators[[#Headers],[DivisorFinanceCodes]],CalculatorFC[FinanceCode],""))</f>
        <v/>
      </c>
      <c r="Q72" s="80" t="str" cm="1">
        <f t="array" ref="Q72">_xlfn.TEXTJOIN(",",TRUE,IF(CalculatorFC[CalculatorCode]&amp;CalculatorFC[Type]=Calculators[[#This Row],[CalculatorCode]]&amp;Calculators[[#Headers],[DivisorGroupingCodes]],CalculatorFC[FinanceCode],""))</f>
        <v/>
      </c>
      <c r="R72" s="80" t="str" cm="1">
        <f t="array" ref="R72">_xlfn.TEXTJOIN(",",TRUE,IF(CalculatorFC[CalculatorCode]&amp;CalculatorFC[Type]=Calculators[[#This Row],[CalculatorCode]]&amp;Calculators[[#Headers],[MultiplierFinanceCodes]],CalculatorFC[FinanceCode],""))</f>
        <v>UIFSM_RATE_PRO</v>
      </c>
      <c r="S72" s="80" t="str" cm="1">
        <f t="array" ref="S72">_xlfn.TEXTJOIN(",",TRUE,IF(CalculatorFC[CalculatorCode]&amp;CalculatorFC[Type]=Calculators[[#This Row],[CalculatorCode]]&amp;Calculators[[#Headers],[MultiplierGroupingCodes]],CalculatorFC[FinanceCode],""))</f>
        <v/>
      </c>
      <c r="T72" t="s">
        <v>1560</v>
      </c>
      <c r="U72" t="s">
        <v>1561</v>
      </c>
      <c r="V72" t="b">
        <v>0</v>
      </c>
      <c r="W72" t="b">
        <v>1</v>
      </c>
      <c r="X72" t="b">
        <v>1</v>
      </c>
      <c r="Y72" t="b">
        <v>1</v>
      </c>
      <c r="Z72" t="b">
        <v>0</v>
      </c>
      <c r="AA72" t="b">
        <v>1</v>
      </c>
      <c r="AB72" t="b">
        <v>0</v>
      </c>
      <c r="AC72">
        <v>0</v>
      </c>
      <c r="AD72" t="b">
        <v>0</v>
      </c>
      <c r="AE72" t="b">
        <v>0</v>
      </c>
      <c r="AF72" t="b">
        <v>0</v>
      </c>
      <c r="AG72" t="b">
        <v>0</v>
      </c>
      <c r="AH72" t="b">
        <v>0</v>
      </c>
      <c r="AI72" t="b">
        <v>1</v>
      </c>
      <c r="AJ72" t="b">
        <v>0</v>
      </c>
      <c r="AK72" t="b">
        <v>1</v>
      </c>
      <c r="AL72" t="b">
        <v>0</v>
      </c>
      <c r="AM72">
        <v>-2</v>
      </c>
      <c r="AN72" t="b">
        <v>0</v>
      </c>
      <c r="AO72" t="b">
        <v>0</v>
      </c>
      <c r="AP72" t="b">
        <v>1</v>
      </c>
      <c r="AQ72" t="b">
        <v>1</v>
      </c>
      <c r="AR72" t="b">
        <v>1</v>
      </c>
      <c r="AS72" t="b">
        <v>1</v>
      </c>
      <c r="AT72" t="b">
        <v>0</v>
      </c>
      <c r="AU72" t="b">
        <v>0</v>
      </c>
      <c r="AV72" t="b">
        <v>0</v>
      </c>
      <c r="AW72">
        <v>0</v>
      </c>
      <c r="AX72" t="b">
        <v>0</v>
      </c>
      <c r="AY72" t="b">
        <v>0</v>
      </c>
      <c r="AZ72" t="b">
        <v>1</v>
      </c>
      <c r="BA72">
        <v>1</v>
      </c>
      <c r="BB72" t="s">
        <v>900</v>
      </c>
      <c r="BC72">
        <v>1</v>
      </c>
    </row>
    <row r="73" spans="1:55" x14ac:dyDescent="0.3">
      <c r="A73" s="80">
        <f t="shared" si="2"/>
        <v>0</v>
      </c>
      <c r="B73" s="80">
        <f>SUMIFS(CalculatorFC[FinCodeIssue],CalculatorFC[CalculatorCode],Calculators[[#This Row],[CalculatorCode]])</f>
        <v>0</v>
      </c>
      <c r="C73" s="80">
        <f>IF(LEN(Calculators[[#This Row],[CalculatorCode]])&lt;100,0,1)</f>
        <v>0</v>
      </c>
      <c r="D73" s="86">
        <f>IF(LEN(Calculators[[#This Row],[Title]])&lt;100,0,1)</f>
        <v>0</v>
      </c>
      <c r="E73" s="86">
        <f>(COUNTIF(CalculatorTypeCode[CalculatorTypeCode],Calculators[[#This Row],[CalculatorTypeCode]])-1)*-1</f>
        <v>0</v>
      </c>
      <c r="F73"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73"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73"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73" s="86">
        <f>IF(OR(Calculators[[#This Row],[CalculatorEnabled]]=TRUE,Calculators[[#This Row],[CalculatorEnabled]]=FALSE),0,1)</f>
        <v>0</v>
      </c>
      <c r="J73" s="86">
        <f>IF(ISBLANK(Calculators[[#This Row],[Title]])=TRUE,1,0)</f>
        <v>0</v>
      </c>
      <c r="K73" s="86">
        <f>IF(EXACT(Calculators[[#This Row],[CalculatorCode]],UPPER(Calculators[[#This Row],[CalculatorCode]])),0,1)</f>
        <v>0</v>
      </c>
      <c r="L73" s="86">
        <f>IF(SUBSTITUTE(TEXT(Calculators[[#This Row],[CalculatorCode]],10)," ","")=TEXT(Calculators[[#This Row],[CalculatorCode]],10),0,1)</f>
        <v>0</v>
      </c>
      <c r="M73" s="80">
        <f>SUM(Calculators[[#This Row],[Blank Data]:[Space in Code]])</f>
        <v>0</v>
      </c>
      <c r="N73" s="80" t="str" cm="1">
        <f t="array" ref="N73">_xlfn.TEXTJOIN(",",TRUE,IF(CalculatorFC[CalculatorCode]&amp;CalculatorFC[Type]=Calculators[[#This Row],[CalculatorCode]]&amp;Calculators[[#Headers],[SourceFinanceCodes]],CalculatorFC[FinanceCode],""))</f>
        <v>UIFSM_PRO</v>
      </c>
      <c r="O73" s="80" t="str" cm="1">
        <f t="array" ref="O73">_xlfn.TEXTJOIN(",",TRUE,IF(CalculatorFC[CalculatorCode]&amp;CalculatorFC[Type]=Calculators[[#This Row],[CalculatorCode]]&amp;Calculators[[#Headers],[SourceGroupingCodes]],CalculatorFC[FinanceCode],""))</f>
        <v/>
      </c>
      <c r="P73" s="80" t="str" cm="1">
        <f t="array" ref="P73">_xlfn.TEXTJOIN(",",TRUE,IF(CalculatorFC[CalculatorCode]&amp;CalculatorFC[Type]=Calculators[[#This Row],[CalculatorCode]]&amp;Calculators[[#Headers],[DivisorFinanceCodes]],CalculatorFC[FinanceCode],""))</f>
        <v/>
      </c>
      <c r="Q73" s="80" t="str" cm="1">
        <f t="array" ref="Q73">_xlfn.TEXTJOIN(",",TRUE,IF(CalculatorFC[CalculatorCode]&amp;CalculatorFC[Type]=Calculators[[#This Row],[CalculatorCode]]&amp;Calculators[[#Headers],[DivisorGroupingCodes]],CalculatorFC[FinanceCode],""))</f>
        <v/>
      </c>
      <c r="R73" s="80" t="str" cm="1">
        <f t="array" ref="R73">_xlfn.TEXTJOIN(",",TRUE,IF(CalculatorFC[CalculatorCode]&amp;CalculatorFC[Type]=Calculators[[#This Row],[CalculatorCode]]&amp;Calculators[[#Headers],[MultiplierFinanceCodes]],CalculatorFC[FinanceCode],""))</f>
        <v/>
      </c>
      <c r="S73" s="80" t="str" cm="1">
        <f t="array" ref="S73">_xlfn.TEXTJOIN(",",TRUE,IF(CalculatorFC[CalculatorCode]&amp;CalculatorFC[Type]=Calculators[[#This Row],[CalculatorCode]]&amp;Calculators[[#Headers],[MultiplierGroupingCodes]],CalculatorFC[FinanceCode],""))</f>
        <v/>
      </c>
      <c r="T73" t="s">
        <v>2052</v>
      </c>
      <c r="U73" t="s">
        <v>2053</v>
      </c>
      <c r="V73" t="b">
        <v>0</v>
      </c>
      <c r="W73" t="b">
        <v>1</v>
      </c>
      <c r="X73" t="b">
        <v>1</v>
      </c>
      <c r="Y73" t="b">
        <v>1</v>
      </c>
      <c r="Z73" t="b">
        <v>0</v>
      </c>
      <c r="AA73" t="b">
        <v>0</v>
      </c>
      <c r="AB73" t="b">
        <v>0</v>
      </c>
      <c r="AC73">
        <v>0</v>
      </c>
      <c r="AD73" t="b">
        <v>0</v>
      </c>
      <c r="AE73" t="b">
        <v>0</v>
      </c>
      <c r="AF73" t="b">
        <v>0</v>
      </c>
      <c r="AG73" t="b">
        <v>0</v>
      </c>
      <c r="AH73" t="b">
        <v>0</v>
      </c>
      <c r="AI73" t="b">
        <v>1</v>
      </c>
      <c r="AJ73" t="b">
        <v>0</v>
      </c>
      <c r="AK73" t="b">
        <v>1</v>
      </c>
      <c r="AL73" t="b">
        <v>0</v>
      </c>
      <c r="AM73">
        <v>1</v>
      </c>
      <c r="AN73" t="b">
        <v>0</v>
      </c>
      <c r="AO73" t="b">
        <v>0</v>
      </c>
      <c r="AP73" t="b">
        <v>1</v>
      </c>
      <c r="AQ73" t="b">
        <v>1</v>
      </c>
      <c r="AR73" t="b">
        <v>1</v>
      </c>
      <c r="AS73" t="b">
        <v>1</v>
      </c>
      <c r="AT73" t="b">
        <v>0</v>
      </c>
      <c r="AU73" t="b">
        <v>0</v>
      </c>
      <c r="AV73" t="b">
        <v>0</v>
      </c>
      <c r="AW73">
        <v>-1</v>
      </c>
      <c r="AX73" t="b">
        <v>0</v>
      </c>
      <c r="AY73" t="b">
        <v>0</v>
      </c>
      <c r="AZ73" t="b">
        <v>1</v>
      </c>
      <c r="BA73">
        <v>1</v>
      </c>
      <c r="BB73" t="s">
        <v>1476</v>
      </c>
      <c r="BC73">
        <v>1</v>
      </c>
    </row>
    <row r="74" spans="1:55" x14ac:dyDescent="0.3">
      <c r="A74" s="80">
        <f t="shared" si="2"/>
        <v>0</v>
      </c>
      <c r="B74" s="80">
        <f>SUMIFS(CalculatorFC[FinCodeIssue],CalculatorFC[CalculatorCode],Calculators[[#This Row],[CalculatorCode]])</f>
        <v>0</v>
      </c>
      <c r="C74" s="80">
        <f>IF(LEN(Calculators[[#This Row],[CalculatorCode]])&lt;100,0,1)</f>
        <v>0</v>
      </c>
      <c r="D74" s="86">
        <f>IF(LEN(Calculators[[#This Row],[Title]])&lt;100,0,1)</f>
        <v>0</v>
      </c>
      <c r="E74" s="86">
        <f>(COUNTIF(CalculatorTypeCode[CalculatorTypeCode],Calculators[[#This Row],[CalculatorTypeCode]])-1)*-1</f>
        <v>0</v>
      </c>
      <c r="F74"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74"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74"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74" s="86">
        <f>IF(OR(Calculators[[#This Row],[CalculatorEnabled]]=TRUE,Calculators[[#This Row],[CalculatorEnabled]]=FALSE),0,1)</f>
        <v>0</v>
      </c>
      <c r="J74" s="86">
        <f>IF(ISBLANK(Calculators[[#This Row],[Title]])=TRUE,1,0)</f>
        <v>0</v>
      </c>
      <c r="K74" s="86">
        <f>IF(EXACT(Calculators[[#This Row],[CalculatorCode]],UPPER(Calculators[[#This Row],[CalculatorCode]])),0,1)</f>
        <v>0</v>
      </c>
      <c r="L74" s="86">
        <f>IF(SUBSTITUTE(TEXT(Calculators[[#This Row],[CalculatorCode]],10)," ","")=TEXT(Calculators[[#This Row],[CalculatorCode]],10),0,1)</f>
        <v>0</v>
      </c>
      <c r="M74" s="80">
        <f>SUM(Calculators[[#This Row],[Blank Data]:[Space in Code]])</f>
        <v>0</v>
      </c>
      <c r="N74" s="80" t="str" cm="1">
        <f t="array" ref="N74">_xlfn.TEXTJOIN(",",TRUE,IF(CalculatorFC[CalculatorCode]&amp;CalculatorFC[Type]=Calculators[[#This Row],[CalculatorCode]]&amp;Calculators[[#Headers],[SourceFinanceCodes]],CalculatorFC[FinanceCode],""))</f>
        <v>UIFSM_RATE_FIN</v>
      </c>
      <c r="O74" s="80" t="str" cm="1">
        <f t="array" ref="O74">_xlfn.TEXTJOIN(",",TRUE,IF(CalculatorFC[CalculatorCode]&amp;CalculatorFC[Type]=Calculators[[#This Row],[CalculatorCode]]&amp;Calculators[[#Headers],[SourceGroupingCodes]],CalculatorFC[FinanceCode],""))</f>
        <v/>
      </c>
      <c r="P74" s="80" t="str" cm="1">
        <f t="array" ref="P74">_xlfn.TEXTJOIN(",",TRUE,IF(CalculatorFC[CalculatorCode]&amp;CalculatorFC[Type]=Calculators[[#This Row],[CalculatorCode]]&amp;Calculators[[#Headers],[DivisorFinanceCodes]],CalculatorFC[FinanceCode],""))</f>
        <v/>
      </c>
      <c r="Q74" s="80" t="str" cm="1">
        <f t="array" ref="Q74">_xlfn.TEXTJOIN(",",TRUE,IF(CalculatorFC[CalculatorCode]&amp;CalculatorFC[Type]=Calculators[[#This Row],[CalculatorCode]]&amp;Calculators[[#Headers],[DivisorGroupingCodes]],CalculatorFC[FinanceCode],""))</f>
        <v/>
      </c>
      <c r="R74" s="80" t="str" cm="1">
        <f t="array" ref="R74">_xlfn.TEXTJOIN(",",TRUE,IF(CalculatorFC[CalculatorCode]&amp;CalculatorFC[Type]=Calculators[[#This Row],[CalculatorCode]]&amp;Calculators[[#Headers],[MultiplierFinanceCodes]],CalculatorFC[FinanceCode],""))</f>
        <v/>
      </c>
      <c r="S74" s="80" t="str" cm="1">
        <f t="array" ref="S74">_xlfn.TEXTJOIN(",",TRUE,IF(CalculatorFC[CalculatorCode]&amp;CalculatorFC[Type]=Calculators[[#This Row],[CalculatorCode]]&amp;Calculators[[#Headers],[MultiplierGroupingCodes]],CalculatorFC[FinanceCode],""))</f>
        <v/>
      </c>
      <c r="T74" t="s">
        <v>2036</v>
      </c>
      <c r="U74" t="s">
        <v>2037</v>
      </c>
      <c r="V74" t="b">
        <v>1</v>
      </c>
      <c r="W74" t="b">
        <v>1</v>
      </c>
      <c r="X74" t="b">
        <v>1</v>
      </c>
      <c r="Y74" t="b">
        <v>1</v>
      </c>
      <c r="Z74" t="b">
        <v>0</v>
      </c>
      <c r="AA74" t="b">
        <v>0</v>
      </c>
      <c r="AB74" t="b">
        <v>0</v>
      </c>
      <c r="AC74">
        <v>0</v>
      </c>
      <c r="AD74" t="b">
        <v>0</v>
      </c>
      <c r="AE74" t="b">
        <v>0</v>
      </c>
      <c r="AF74" t="b">
        <v>0</v>
      </c>
      <c r="AG74" t="b">
        <v>0</v>
      </c>
      <c r="AH74" t="b">
        <v>0</v>
      </c>
      <c r="AI74" t="b">
        <v>1</v>
      </c>
      <c r="AJ74" t="b">
        <v>0</v>
      </c>
      <c r="AK74" t="b">
        <v>1</v>
      </c>
      <c r="AL74" t="b">
        <v>0</v>
      </c>
      <c r="AM74">
        <v>12</v>
      </c>
      <c r="AN74" t="b">
        <v>0</v>
      </c>
      <c r="AO74" t="b">
        <v>0</v>
      </c>
      <c r="AP74" t="b">
        <v>1</v>
      </c>
      <c r="AQ74" t="b">
        <v>1</v>
      </c>
      <c r="AR74" t="b">
        <v>1</v>
      </c>
      <c r="AS74" t="b">
        <v>1</v>
      </c>
      <c r="AT74" t="b">
        <v>0</v>
      </c>
      <c r="AU74" t="b">
        <v>0</v>
      </c>
      <c r="AV74" t="b">
        <v>0</v>
      </c>
      <c r="AW74">
        <v>7</v>
      </c>
      <c r="AX74" t="b">
        <v>0</v>
      </c>
      <c r="AY74" t="b">
        <v>0</v>
      </c>
      <c r="AZ74" t="b">
        <v>1</v>
      </c>
      <c r="BA74">
        <v>1</v>
      </c>
      <c r="BB74" t="s">
        <v>978</v>
      </c>
      <c r="BC74">
        <v>1</v>
      </c>
    </row>
    <row r="75" spans="1:55" x14ac:dyDescent="0.3">
      <c r="A75" s="80">
        <f t="shared" si="2"/>
        <v>0</v>
      </c>
      <c r="B75" s="80">
        <f>SUMIFS(CalculatorFC[FinCodeIssue],CalculatorFC[CalculatorCode],Calculators[[#This Row],[CalculatorCode]])</f>
        <v>0</v>
      </c>
      <c r="C75" s="80">
        <f>IF(LEN(Calculators[[#This Row],[CalculatorCode]])&lt;100,0,1)</f>
        <v>0</v>
      </c>
      <c r="D75" s="86">
        <f>IF(LEN(Calculators[[#This Row],[Title]])&lt;100,0,1)</f>
        <v>0</v>
      </c>
      <c r="E75" s="86">
        <f>(COUNTIF(CalculatorTypeCode[CalculatorTypeCode],Calculators[[#This Row],[CalculatorTypeCode]])-1)*-1</f>
        <v>0</v>
      </c>
      <c r="F75"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75"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75"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75" s="86">
        <f>IF(OR(Calculators[[#This Row],[CalculatorEnabled]]=TRUE,Calculators[[#This Row],[CalculatorEnabled]]=FALSE),0,1)</f>
        <v>0</v>
      </c>
      <c r="J75" s="86">
        <f>IF(ISBLANK(Calculators[[#This Row],[Title]])=TRUE,1,0)</f>
        <v>0</v>
      </c>
      <c r="K75" s="86">
        <f>IF(EXACT(Calculators[[#This Row],[CalculatorCode]],UPPER(Calculators[[#This Row],[CalculatorCode]])),0,1)</f>
        <v>0</v>
      </c>
      <c r="L75" s="86">
        <f>IF(SUBSTITUTE(TEXT(Calculators[[#This Row],[CalculatorCode]],10)," ","")=TEXT(Calculators[[#This Row],[CalculatorCode]],10),0,1)</f>
        <v>0</v>
      </c>
      <c r="M75" s="80">
        <f>SUM(Calculators[[#This Row],[Blank Data]:[Space in Code]])</f>
        <v>0</v>
      </c>
      <c r="N75" s="80" t="str" cm="1">
        <f t="array" ref="N75">_xlfn.TEXTJOIN(",",TRUE,IF(CalculatorFC[CalculatorCode]&amp;CalculatorFC[Type]=Calculators[[#This Row],[CalculatorCode]]&amp;Calculators[[#Headers],[SourceFinanceCodes]],CalculatorFC[FinanceCode],""))</f>
        <v>PUPIL_UIFSM</v>
      </c>
      <c r="O75" s="80" t="str" cm="1">
        <f t="array" ref="O75">_xlfn.TEXTJOIN(",",TRUE,IF(CalculatorFC[CalculatorCode]&amp;CalculatorFC[Type]=Calculators[[#This Row],[CalculatorCode]]&amp;Calculators[[#Headers],[SourceGroupingCodes]],CalculatorFC[FinanceCode],""))</f>
        <v/>
      </c>
      <c r="P75" s="80" t="str" cm="1">
        <f t="array" ref="P75">_xlfn.TEXTJOIN(",",TRUE,IF(CalculatorFC[CalculatorCode]&amp;CalculatorFC[Type]=Calculators[[#This Row],[CalculatorCode]]&amp;Calculators[[#Headers],[DivisorFinanceCodes]],CalculatorFC[FinanceCode],""))</f>
        <v/>
      </c>
      <c r="Q75" s="80" t="str" cm="1">
        <f t="array" ref="Q75">_xlfn.TEXTJOIN(",",TRUE,IF(CalculatorFC[CalculatorCode]&amp;CalculatorFC[Type]=Calculators[[#This Row],[CalculatorCode]]&amp;Calculators[[#Headers],[DivisorGroupingCodes]],CalculatorFC[FinanceCode],""))</f>
        <v/>
      </c>
      <c r="R75" s="80" t="str" cm="1">
        <f t="array" ref="R75">_xlfn.TEXTJOIN(",",TRUE,IF(CalculatorFC[CalculatorCode]&amp;CalculatorFC[Type]=Calculators[[#This Row],[CalculatorCode]]&amp;Calculators[[#Headers],[MultiplierFinanceCodes]],CalculatorFC[FinanceCode],""))</f>
        <v>UIFSM_RATE_FIN</v>
      </c>
      <c r="S75" s="80" t="str" cm="1">
        <f t="array" ref="S75">_xlfn.TEXTJOIN(",",TRUE,IF(CalculatorFC[CalculatorCode]&amp;CalculatorFC[Type]=Calculators[[#This Row],[CalculatorCode]]&amp;Calculators[[#Headers],[MultiplierGroupingCodes]],CalculatorFC[FinanceCode],""))</f>
        <v/>
      </c>
      <c r="T75" t="s">
        <v>1580</v>
      </c>
      <c r="U75" t="s">
        <v>1581</v>
      </c>
      <c r="V75" t="b">
        <v>0</v>
      </c>
      <c r="W75" t="b">
        <v>1</v>
      </c>
      <c r="X75" t="b">
        <v>1</v>
      </c>
      <c r="Y75" t="b">
        <v>1</v>
      </c>
      <c r="Z75" t="b">
        <v>0</v>
      </c>
      <c r="AA75" t="b">
        <v>1</v>
      </c>
      <c r="AB75" t="b">
        <v>0</v>
      </c>
      <c r="AC75">
        <v>0</v>
      </c>
      <c r="AD75" t="b">
        <v>0</v>
      </c>
      <c r="AE75" t="b">
        <v>0</v>
      </c>
      <c r="AF75" t="b">
        <v>0</v>
      </c>
      <c r="AG75" t="b">
        <v>0</v>
      </c>
      <c r="AH75" t="b">
        <v>0</v>
      </c>
      <c r="AI75" t="b">
        <v>1</v>
      </c>
      <c r="AJ75" t="b">
        <v>0</v>
      </c>
      <c r="AK75" t="b">
        <v>1</v>
      </c>
      <c r="AL75" t="b">
        <v>0</v>
      </c>
      <c r="AM75">
        <v>1</v>
      </c>
      <c r="AN75" t="b">
        <v>0</v>
      </c>
      <c r="AO75" t="b">
        <v>0</v>
      </c>
      <c r="AP75" t="b">
        <v>1</v>
      </c>
      <c r="AQ75" t="b">
        <v>1</v>
      </c>
      <c r="AR75" t="b">
        <v>1</v>
      </c>
      <c r="AS75" t="b">
        <v>1</v>
      </c>
      <c r="AT75" t="b">
        <v>0</v>
      </c>
      <c r="AU75" t="b">
        <v>0</v>
      </c>
      <c r="AV75" t="b">
        <v>0</v>
      </c>
      <c r="AW75">
        <v>0</v>
      </c>
      <c r="AX75" t="b">
        <v>0</v>
      </c>
      <c r="AY75" t="b">
        <v>0</v>
      </c>
      <c r="AZ75" t="b">
        <v>1</v>
      </c>
      <c r="BA75">
        <v>1</v>
      </c>
      <c r="BB75" t="s">
        <v>1476</v>
      </c>
      <c r="BC75">
        <v>1</v>
      </c>
    </row>
    <row r="76" spans="1:55" hidden="1" x14ac:dyDescent="0.3">
      <c r="A76" s="80">
        <f t="shared" si="2"/>
        <v>0</v>
      </c>
      <c r="B76" s="80">
        <f>SUMIFS(CalculatorFC[FinCodeIssue],CalculatorFC[CalculatorCode],Calculators[[#This Row],[CalculatorCode]])</f>
        <v>0</v>
      </c>
      <c r="C76" s="80">
        <f>IF(LEN(Calculators[[#This Row],[CalculatorCode]])&lt;100,0,1)</f>
        <v>0</v>
      </c>
      <c r="D76" s="86">
        <f>IF(LEN(Calculators[[#This Row],[Title]])&lt;100,0,1)</f>
        <v>0</v>
      </c>
      <c r="E76" s="86">
        <f>(COUNTIF(CalculatorTypeCode[CalculatorTypeCode],Calculators[[#This Row],[CalculatorTypeCode]])-1)*-1</f>
        <v>0</v>
      </c>
      <c r="F76"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76"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76"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76" s="86">
        <f>IF(OR(Calculators[[#This Row],[CalculatorEnabled]]=TRUE,Calculators[[#This Row],[CalculatorEnabled]]=FALSE),0,1)</f>
        <v>0</v>
      </c>
      <c r="J76" s="86">
        <f>IF(ISBLANK(Calculators[[#This Row],[Title]])=TRUE,1,0)</f>
        <v>0</v>
      </c>
      <c r="K76" s="86">
        <f>IF(EXACT(Calculators[[#This Row],[CalculatorCode]],UPPER(Calculators[[#This Row],[CalculatorCode]])),0,1)</f>
        <v>0</v>
      </c>
      <c r="L76" s="86">
        <f>IF(SUBSTITUTE(TEXT(Calculators[[#This Row],[CalculatorCode]],10)," ","")=TEXT(Calculators[[#This Row],[CalculatorCode]],10),0,1)</f>
        <v>0</v>
      </c>
      <c r="M76" s="80">
        <f>SUM(Calculators[[#This Row],[Blank Data]:[Space in Code]])</f>
        <v>0</v>
      </c>
      <c r="N76" s="80" t="str" cm="1">
        <f t="array" ref="N76">_xlfn.TEXTJOIN(",",TRUE,IF(CalculatorFC[CalculatorCode]&amp;CalculatorFC[Type]=Calculators[[#This Row],[CalculatorCode]]&amp;Calculators[[#Headers],[SourceFinanceCodes]],CalculatorFC[FinanceCode],""))</f>
        <v/>
      </c>
      <c r="O76" s="80" t="str" cm="1">
        <f t="array" ref="O76">_xlfn.TEXTJOIN(",",TRUE,IF(CalculatorFC[CalculatorCode]&amp;CalculatorFC[Type]=Calculators[[#This Row],[CalculatorCode]]&amp;Calculators[[#Headers],[SourceGroupingCodes]],CalculatorFC[FinanceCode],""))</f>
        <v/>
      </c>
      <c r="P76" s="80" t="str" cm="1">
        <f t="array" ref="P76">_xlfn.TEXTJOIN(",",TRUE,IF(CalculatorFC[CalculatorCode]&amp;CalculatorFC[Type]=Calculators[[#This Row],[CalculatorCode]]&amp;Calculators[[#Headers],[DivisorFinanceCodes]],CalculatorFC[FinanceCode],""))</f>
        <v/>
      </c>
      <c r="Q76" s="80" t="str" cm="1">
        <f t="array" ref="Q76">_xlfn.TEXTJOIN(",",TRUE,IF(CalculatorFC[CalculatorCode]&amp;CalculatorFC[Type]=Calculators[[#This Row],[CalculatorCode]]&amp;Calculators[[#Headers],[DivisorGroupingCodes]],CalculatorFC[FinanceCode],""))</f>
        <v/>
      </c>
      <c r="R76" s="80" t="str" cm="1">
        <f t="array" ref="R76">_xlfn.TEXTJOIN(",",TRUE,IF(CalculatorFC[CalculatorCode]&amp;CalculatorFC[Type]=Calculators[[#This Row],[CalculatorCode]]&amp;Calculators[[#Headers],[MultiplierFinanceCodes]],CalculatorFC[FinanceCode],""))</f>
        <v>UPLIFT_ASCL</v>
      </c>
      <c r="S76" s="80" t="str" cm="1">
        <f t="array" ref="S76">_xlfn.TEXTJOIN(",",TRUE,IF(CalculatorFC[CalculatorCode]&amp;CalculatorFC[Type]=Calculators[[#This Row],[CalculatorCode]]&amp;Calculators[[#Headers],[MultiplierGroupingCodes]],CalculatorFC[FinanceCode],""))</f>
        <v/>
      </c>
      <c r="T76" t="s">
        <v>1030</v>
      </c>
      <c r="U76" t="s">
        <v>1297</v>
      </c>
      <c r="V76" t="b">
        <v>0</v>
      </c>
      <c r="W76" t="b">
        <v>0</v>
      </c>
      <c r="X76" t="b">
        <v>0</v>
      </c>
      <c r="Y76" t="b">
        <v>0</v>
      </c>
      <c r="Z76" t="b">
        <v>1</v>
      </c>
      <c r="AA76" t="b">
        <v>1</v>
      </c>
      <c r="AB76" t="b">
        <v>0</v>
      </c>
      <c r="AC76">
        <v>0</v>
      </c>
      <c r="AD76" t="b">
        <v>0</v>
      </c>
      <c r="AE76" t="b">
        <v>0</v>
      </c>
      <c r="AF76" t="b">
        <v>0</v>
      </c>
      <c r="AG76" t="b">
        <v>0</v>
      </c>
      <c r="AH76" t="b">
        <v>0</v>
      </c>
      <c r="AI76" t="b">
        <v>0</v>
      </c>
      <c r="AJ76" t="b">
        <v>0</v>
      </c>
      <c r="AK76" t="b">
        <v>0</v>
      </c>
      <c r="AL76" t="b">
        <v>0</v>
      </c>
      <c r="AM76">
        <v>100</v>
      </c>
      <c r="AN76" t="b">
        <v>0</v>
      </c>
      <c r="AO76" t="b">
        <v>0</v>
      </c>
      <c r="AP76" t="b">
        <v>1</v>
      </c>
      <c r="AQ76" t="b">
        <v>1</v>
      </c>
      <c r="AR76" t="b">
        <v>1</v>
      </c>
      <c r="AS76" t="b">
        <v>1</v>
      </c>
      <c r="AT76" t="b">
        <v>0</v>
      </c>
      <c r="AU76" t="b">
        <v>0</v>
      </c>
      <c r="AV76" t="b">
        <v>0</v>
      </c>
      <c r="AW76">
        <v>100</v>
      </c>
      <c r="AX76" t="b">
        <v>0</v>
      </c>
      <c r="AY76" t="b">
        <v>0</v>
      </c>
      <c r="AZ76" t="b">
        <v>1</v>
      </c>
      <c r="BA76">
        <v>0</v>
      </c>
      <c r="BB76" t="s">
        <v>1476</v>
      </c>
      <c r="BC76">
        <v>0</v>
      </c>
    </row>
    <row r="77" spans="1:55" hidden="1" x14ac:dyDescent="0.3">
      <c r="A77" s="80">
        <f t="shared" si="2"/>
        <v>0</v>
      </c>
      <c r="B77" s="80">
        <f>SUMIFS(CalculatorFC[FinCodeIssue],CalculatorFC[CalculatorCode],Calculators[[#This Row],[CalculatorCode]])</f>
        <v>0</v>
      </c>
      <c r="C77" s="80">
        <f>IF(LEN(Calculators[[#This Row],[CalculatorCode]])&lt;100,0,1)</f>
        <v>0</v>
      </c>
      <c r="D77" s="86">
        <f>IF(LEN(Calculators[[#This Row],[Title]])&lt;100,0,1)</f>
        <v>0</v>
      </c>
      <c r="E77" s="86">
        <f>(COUNTIF(CalculatorTypeCode[CalculatorTypeCode],Calculators[[#This Row],[CalculatorTypeCode]])-1)*-1</f>
        <v>0</v>
      </c>
      <c r="F77"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77"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77"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77" s="86">
        <f>IF(OR(Calculators[[#This Row],[CalculatorEnabled]]=TRUE,Calculators[[#This Row],[CalculatorEnabled]]=FALSE),0,1)</f>
        <v>0</v>
      </c>
      <c r="J77" s="86">
        <f>IF(ISBLANK(Calculators[[#This Row],[Title]])=TRUE,1,0)</f>
        <v>0</v>
      </c>
      <c r="K77" s="86">
        <f>IF(EXACT(Calculators[[#This Row],[CalculatorCode]],UPPER(Calculators[[#This Row],[CalculatorCode]])),0,1)</f>
        <v>0</v>
      </c>
      <c r="L77" s="86">
        <f>IF(SUBSTITUTE(TEXT(Calculators[[#This Row],[CalculatorCode]],10)," ","")=TEXT(Calculators[[#This Row],[CalculatorCode]],10),0,1)</f>
        <v>0</v>
      </c>
      <c r="M77" s="80">
        <f>SUM(Calculators[[#This Row],[Blank Data]:[Space in Code]])</f>
        <v>0</v>
      </c>
      <c r="N77" s="80" t="str" cm="1">
        <f t="array" ref="N77">_xlfn.TEXTJOIN(",",TRUE,IF(CalculatorFC[CalculatorCode]&amp;CalculatorFC[Type]=Calculators[[#This Row],[CalculatorCode]]&amp;Calculators[[#Headers],[SourceFinanceCodes]],CalculatorFC[FinanceCode],""))</f>
        <v/>
      </c>
      <c r="O77" s="80" t="str" cm="1">
        <f t="array" ref="O77">_xlfn.TEXTJOIN(",",TRUE,IF(CalculatorFC[CalculatorCode]&amp;CalculatorFC[Type]=Calculators[[#This Row],[CalculatorCode]]&amp;Calculators[[#Headers],[SourceGroupingCodes]],CalculatorFC[FinanceCode],""))</f>
        <v/>
      </c>
      <c r="P77" s="80" t="str" cm="1">
        <f t="array" ref="P77">_xlfn.TEXTJOIN(",",TRUE,IF(CalculatorFC[CalculatorCode]&amp;CalculatorFC[Type]=Calculators[[#This Row],[CalculatorCode]]&amp;Calculators[[#Headers],[DivisorFinanceCodes]],CalculatorFC[FinanceCode],""))</f>
        <v/>
      </c>
      <c r="Q77" s="80" t="str" cm="1">
        <f t="array" ref="Q77">_xlfn.TEXTJOIN(",",TRUE,IF(CalculatorFC[CalculatorCode]&amp;CalculatorFC[Type]=Calculators[[#This Row],[CalculatorCode]]&amp;Calculators[[#Headers],[DivisorGroupingCodes]],CalculatorFC[FinanceCode],""))</f>
        <v/>
      </c>
      <c r="R77" s="80" t="str" cm="1">
        <f t="array" ref="R77">_xlfn.TEXTJOIN(",",TRUE,IF(CalculatorFC[CalculatorCode]&amp;CalculatorFC[Type]=Calculators[[#This Row],[CalculatorCode]]&amp;Calculators[[#Headers],[MultiplierFinanceCodes]],CalculatorFC[FinanceCode],""))</f>
        <v>UPLIFT_PUPILASCL%</v>
      </c>
      <c r="S77" s="80" t="str" cm="1">
        <f t="array" ref="S77">_xlfn.TEXTJOIN(",",TRUE,IF(CalculatorFC[CalculatorCode]&amp;CalculatorFC[Type]=Calculators[[#This Row],[CalculatorCode]]&amp;Calculators[[#Headers],[MultiplierGroupingCodes]],CalculatorFC[FinanceCode],""))</f>
        <v/>
      </c>
      <c r="T77" t="s">
        <v>1298</v>
      </c>
      <c r="U77" t="s">
        <v>1299</v>
      </c>
      <c r="V77" t="b">
        <v>0</v>
      </c>
      <c r="W77" t="b">
        <v>0</v>
      </c>
      <c r="X77" t="b">
        <v>0</v>
      </c>
      <c r="Y77" t="b">
        <v>0</v>
      </c>
      <c r="Z77" t="b">
        <v>1</v>
      </c>
      <c r="AA77" t="b">
        <v>1</v>
      </c>
      <c r="AB77" t="b">
        <v>0</v>
      </c>
      <c r="AC77">
        <v>0</v>
      </c>
      <c r="AD77" t="b">
        <v>0</v>
      </c>
      <c r="AE77" t="b">
        <v>0</v>
      </c>
      <c r="AF77" t="b">
        <v>0</v>
      </c>
      <c r="AG77" t="b">
        <v>0</v>
      </c>
      <c r="AH77" t="b">
        <v>0</v>
      </c>
      <c r="AI77" t="b">
        <v>0</v>
      </c>
      <c r="AJ77" t="b">
        <v>0</v>
      </c>
      <c r="AK77" t="b">
        <v>0</v>
      </c>
      <c r="AL77" t="b">
        <v>0</v>
      </c>
      <c r="AM77">
        <v>100</v>
      </c>
      <c r="AN77" t="b">
        <v>0</v>
      </c>
      <c r="AO77" t="b">
        <v>0</v>
      </c>
      <c r="AP77" t="b">
        <v>0</v>
      </c>
      <c r="AQ77" t="b">
        <v>1</v>
      </c>
      <c r="AR77" t="b">
        <v>1</v>
      </c>
      <c r="AS77" t="b">
        <v>1</v>
      </c>
      <c r="AT77" t="b">
        <v>0</v>
      </c>
      <c r="AU77" t="b">
        <v>0</v>
      </c>
      <c r="AV77" t="b">
        <v>0</v>
      </c>
      <c r="AW77">
        <v>0</v>
      </c>
      <c r="AX77" t="b">
        <v>0</v>
      </c>
      <c r="AY77" t="b">
        <v>0</v>
      </c>
      <c r="AZ77" t="b">
        <v>1</v>
      </c>
      <c r="BA77">
        <v>0</v>
      </c>
      <c r="BB77" t="s">
        <v>51</v>
      </c>
      <c r="BC77">
        <v>0</v>
      </c>
    </row>
    <row r="78" spans="1:55" hidden="1" x14ac:dyDescent="0.3">
      <c r="A78" s="80">
        <f t="shared" si="2"/>
        <v>0</v>
      </c>
      <c r="B78" s="80">
        <f>SUMIFS(CalculatorFC[FinCodeIssue],CalculatorFC[CalculatorCode],Calculators[[#This Row],[CalculatorCode]])</f>
        <v>0</v>
      </c>
      <c r="C78" s="80">
        <f>IF(LEN(Calculators[[#This Row],[CalculatorCode]])&lt;100,0,1)</f>
        <v>0</v>
      </c>
      <c r="D78" s="86">
        <f>IF(LEN(Calculators[[#This Row],[Title]])&lt;100,0,1)</f>
        <v>0</v>
      </c>
      <c r="E78" s="86">
        <f>(COUNTIF(CalculatorTypeCode[CalculatorTypeCode],Calculators[[#This Row],[CalculatorTypeCode]])-1)*-1</f>
        <v>0</v>
      </c>
      <c r="F78"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78"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78"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78" s="86">
        <f>IF(OR(Calculators[[#This Row],[CalculatorEnabled]]=TRUE,Calculators[[#This Row],[CalculatorEnabled]]=FALSE),0,1)</f>
        <v>0</v>
      </c>
      <c r="J78" s="86">
        <f>IF(ISBLANK(Calculators[[#This Row],[Title]])=TRUE,1,0)</f>
        <v>0</v>
      </c>
      <c r="K78" s="86">
        <f>IF(EXACT(Calculators[[#This Row],[CalculatorCode]],UPPER(Calculators[[#This Row],[CalculatorCode]])),0,1)</f>
        <v>0</v>
      </c>
      <c r="L78" s="86">
        <f>IF(SUBSTITUTE(TEXT(Calculators[[#This Row],[CalculatorCode]],10)," ","")=TEXT(Calculators[[#This Row],[CalculatorCode]],10),0,1)</f>
        <v>0</v>
      </c>
      <c r="M78" s="80">
        <f>SUM(Calculators[[#This Row],[Blank Data]:[Space in Code]])</f>
        <v>0</v>
      </c>
      <c r="N78" s="80" t="str" cm="1">
        <f t="array" ref="N78">_xlfn.TEXTJOIN(",",TRUE,IF(CalculatorFC[CalculatorCode]&amp;CalculatorFC[Type]=Calculators[[#This Row],[CalculatorCode]]&amp;Calculators[[#Headers],[SourceFinanceCodes]],CalculatorFC[FinanceCode],""))</f>
        <v/>
      </c>
      <c r="O78" s="80" t="str" cm="1">
        <f t="array" ref="O78">_xlfn.TEXTJOIN(",",TRUE,IF(CalculatorFC[CalculatorCode]&amp;CalculatorFC[Type]=Calculators[[#This Row],[CalculatorCode]]&amp;Calculators[[#Headers],[SourceGroupingCodes]],CalculatorFC[FinanceCode],""))</f>
        <v/>
      </c>
      <c r="P78" s="80" t="str" cm="1">
        <f t="array" ref="P78">_xlfn.TEXTJOIN(",",TRUE,IF(CalculatorFC[CalculatorCode]&amp;CalculatorFC[Type]=Calculators[[#This Row],[CalculatorCode]]&amp;Calculators[[#Headers],[DivisorFinanceCodes]],CalculatorFC[FinanceCode],""))</f>
        <v/>
      </c>
      <c r="Q78" s="80" t="str" cm="1">
        <f t="array" ref="Q78">_xlfn.TEXTJOIN(",",TRUE,IF(CalculatorFC[CalculatorCode]&amp;CalculatorFC[Type]=Calculators[[#This Row],[CalculatorCode]]&amp;Calculators[[#Headers],[DivisorGroupingCodes]],CalculatorFC[FinanceCode],""))</f>
        <v/>
      </c>
      <c r="R78" s="80" t="str" cm="1">
        <f t="array" ref="R78">_xlfn.TEXTJOIN(",",TRUE,IF(CalculatorFC[CalculatorCode]&amp;CalculatorFC[Type]=Calculators[[#This Row],[CalculatorCode]]&amp;Calculators[[#Headers],[MultiplierFinanceCodes]],CalculatorFC[FinanceCode],""))</f>
        <v>UPLIFT_CPI</v>
      </c>
      <c r="S78" s="80" t="str" cm="1">
        <f t="array" ref="S78">_xlfn.TEXTJOIN(",",TRUE,IF(CalculatorFC[CalculatorCode]&amp;CalculatorFC[Type]=Calculators[[#This Row],[CalculatorCode]]&amp;Calculators[[#Headers],[MultiplierGroupingCodes]],CalculatorFC[FinanceCode],""))</f>
        <v/>
      </c>
      <c r="T78" t="s">
        <v>1052</v>
      </c>
      <c r="U78" t="s">
        <v>1307</v>
      </c>
      <c r="V78" t="b">
        <v>0</v>
      </c>
      <c r="W78" t="b">
        <v>0</v>
      </c>
      <c r="X78" t="b">
        <v>0</v>
      </c>
      <c r="Y78" t="b">
        <v>0</v>
      </c>
      <c r="Z78" t="b">
        <v>1</v>
      </c>
      <c r="AA78" t="b">
        <v>1</v>
      </c>
      <c r="AB78" t="b">
        <v>0</v>
      </c>
      <c r="AC78">
        <v>0</v>
      </c>
      <c r="AD78" t="b">
        <v>0</v>
      </c>
      <c r="AE78" t="b">
        <v>0</v>
      </c>
      <c r="AF78" t="b">
        <v>1</v>
      </c>
      <c r="AG78" t="b">
        <v>1</v>
      </c>
      <c r="AH78" t="b">
        <v>1</v>
      </c>
      <c r="AI78" t="b">
        <v>1</v>
      </c>
      <c r="AJ78" t="b">
        <v>0</v>
      </c>
      <c r="AK78" t="b">
        <v>1</v>
      </c>
      <c r="AL78" t="b">
        <v>0</v>
      </c>
      <c r="AM78">
        <v>100</v>
      </c>
      <c r="AN78" t="b">
        <v>0</v>
      </c>
      <c r="AO78" t="b">
        <v>0</v>
      </c>
      <c r="AP78" t="b">
        <v>1</v>
      </c>
      <c r="AQ78" t="b">
        <v>1</v>
      </c>
      <c r="AR78" t="b">
        <v>1</v>
      </c>
      <c r="AS78" t="b">
        <v>1</v>
      </c>
      <c r="AT78" t="b">
        <v>0</v>
      </c>
      <c r="AU78" t="b">
        <v>0</v>
      </c>
      <c r="AV78" t="b">
        <v>0</v>
      </c>
      <c r="AW78">
        <v>100</v>
      </c>
      <c r="AX78" t="b">
        <v>0</v>
      </c>
      <c r="AY78" t="b">
        <v>0</v>
      </c>
      <c r="AZ78" t="b">
        <v>1</v>
      </c>
      <c r="BA78">
        <v>0</v>
      </c>
      <c r="BB78" t="s">
        <v>51</v>
      </c>
      <c r="BC78">
        <v>0</v>
      </c>
    </row>
    <row r="79" spans="1:55" hidden="1" x14ac:dyDescent="0.3">
      <c r="A79" s="80">
        <f t="shared" si="2"/>
        <v>0</v>
      </c>
      <c r="B79" s="80">
        <f>SUMIFS(CalculatorFC[FinCodeIssue],CalculatorFC[CalculatorCode],Calculators[[#This Row],[CalculatorCode]])</f>
        <v>0</v>
      </c>
      <c r="C79" s="80">
        <f>IF(LEN(Calculators[[#This Row],[CalculatorCode]])&lt;100,0,1)</f>
        <v>0</v>
      </c>
      <c r="D79" s="86">
        <f>IF(LEN(Calculators[[#This Row],[Title]])&lt;100,0,1)</f>
        <v>0</v>
      </c>
      <c r="E79" s="86">
        <f>(COUNTIF(CalculatorTypeCode[CalculatorTypeCode],Calculators[[#This Row],[CalculatorTypeCode]])-1)*-1</f>
        <v>0</v>
      </c>
      <c r="F79"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79"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79"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79" s="86">
        <f>IF(OR(Calculators[[#This Row],[CalculatorEnabled]]=TRUE,Calculators[[#This Row],[CalculatorEnabled]]=FALSE),0,1)</f>
        <v>0</v>
      </c>
      <c r="J79" s="86">
        <f>IF(ISBLANK(Calculators[[#This Row],[Title]])=TRUE,1,0)</f>
        <v>0</v>
      </c>
      <c r="K79" s="86">
        <f>IF(EXACT(Calculators[[#This Row],[CalculatorCode]],UPPER(Calculators[[#This Row],[CalculatorCode]])),0,1)</f>
        <v>0</v>
      </c>
      <c r="L79" s="86">
        <f>IF(SUBSTITUTE(TEXT(Calculators[[#This Row],[CalculatorCode]],10)," ","")=TEXT(Calculators[[#This Row],[CalculatorCode]],10),0,1)</f>
        <v>0</v>
      </c>
      <c r="M79" s="80">
        <f>SUM(Calculators[[#This Row],[Blank Data]:[Space in Code]])</f>
        <v>0</v>
      </c>
      <c r="N79" s="80" t="str" cm="1">
        <f t="array" ref="N79">_xlfn.TEXTJOIN(",",TRUE,IF(CalculatorFC[CalculatorCode]&amp;CalculatorFC[Type]=Calculators[[#This Row],[CalculatorCode]]&amp;Calculators[[#Headers],[SourceFinanceCodes]],CalculatorFC[FinanceCode],""))</f>
        <v/>
      </c>
      <c r="O79" s="80" t="str" cm="1">
        <f t="array" ref="O79">_xlfn.TEXTJOIN(",",TRUE,IF(CalculatorFC[CalculatorCode]&amp;CalculatorFC[Type]=Calculators[[#This Row],[CalculatorCode]]&amp;Calculators[[#Headers],[SourceGroupingCodes]],CalculatorFC[FinanceCode],""))</f>
        <v/>
      </c>
      <c r="P79" s="80" t="str" cm="1">
        <f t="array" ref="P79">_xlfn.TEXTJOIN(",",TRUE,IF(CalculatorFC[CalculatorCode]&amp;CalculatorFC[Type]=Calculators[[#This Row],[CalculatorCode]]&amp;Calculators[[#Headers],[DivisorFinanceCodes]],CalculatorFC[FinanceCode],""))</f>
        <v/>
      </c>
      <c r="Q79" s="80" t="str" cm="1">
        <f t="array" ref="Q79">_xlfn.TEXTJOIN(",",TRUE,IF(CalculatorFC[CalculatorCode]&amp;CalculatorFC[Type]=Calculators[[#This Row],[CalculatorCode]]&amp;Calculators[[#Headers],[DivisorGroupingCodes]],CalculatorFC[FinanceCode],""))</f>
        <v/>
      </c>
      <c r="R79" s="80" t="str" cm="1">
        <f t="array" ref="R79">_xlfn.TEXTJOIN(",",TRUE,IF(CalculatorFC[CalculatorCode]&amp;CalculatorFC[Type]=Calculators[[#This Row],[CalculatorCode]]&amp;Calculators[[#Headers],[MultiplierFinanceCodes]],CalculatorFC[FinanceCode],""))</f>
        <v>UPLIFT_EXP</v>
      </c>
      <c r="S79" s="80" t="str" cm="1">
        <f t="array" ref="S79">_xlfn.TEXTJOIN(",",TRUE,IF(CalculatorFC[CalculatorCode]&amp;CalculatorFC[Type]=Calculators[[#This Row],[CalculatorCode]]&amp;Calculators[[#Headers],[MultiplierGroupingCodes]],CalculatorFC[FinanceCode],""))</f>
        <v/>
      </c>
      <c r="T79" t="s">
        <v>1032</v>
      </c>
      <c r="U79" t="s">
        <v>1033</v>
      </c>
      <c r="V79" t="b">
        <v>0</v>
      </c>
      <c r="W79" t="b">
        <v>0</v>
      </c>
      <c r="X79" t="b">
        <v>0</v>
      </c>
      <c r="Y79" t="b">
        <v>0</v>
      </c>
      <c r="Z79" t="b">
        <v>1</v>
      </c>
      <c r="AA79" t="b">
        <v>1</v>
      </c>
      <c r="AB79" t="b">
        <v>0</v>
      </c>
      <c r="AC79">
        <v>0</v>
      </c>
      <c r="AD79" t="b">
        <v>0</v>
      </c>
      <c r="AE79" t="b">
        <v>0</v>
      </c>
      <c r="AF79" t="b">
        <v>0</v>
      </c>
      <c r="AG79" t="b">
        <v>0</v>
      </c>
      <c r="AH79" t="b">
        <v>0</v>
      </c>
      <c r="AI79" t="b">
        <v>0</v>
      </c>
      <c r="AJ79" t="b">
        <v>0</v>
      </c>
      <c r="AK79" t="b">
        <v>0</v>
      </c>
      <c r="AL79" t="b">
        <v>0</v>
      </c>
      <c r="AM79">
        <v>100</v>
      </c>
      <c r="AN79" t="b">
        <v>0</v>
      </c>
      <c r="AO79" t="b">
        <v>0</v>
      </c>
      <c r="AP79" t="b">
        <v>1</v>
      </c>
      <c r="AQ79" t="b">
        <v>1</v>
      </c>
      <c r="AR79" t="b">
        <v>1</v>
      </c>
      <c r="AS79" t="b">
        <v>1</v>
      </c>
      <c r="AT79" t="b">
        <v>0</v>
      </c>
      <c r="AU79" t="b">
        <v>0</v>
      </c>
      <c r="AV79" t="b">
        <v>0</v>
      </c>
      <c r="AW79">
        <v>100</v>
      </c>
      <c r="AX79" t="b">
        <v>0</v>
      </c>
      <c r="AY79" t="b">
        <v>0</v>
      </c>
      <c r="AZ79" t="b">
        <v>1</v>
      </c>
      <c r="BA79">
        <v>0</v>
      </c>
      <c r="BB79" t="s">
        <v>51</v>
      </c>
      <c r="BC79">
        <v>0</v>
      </c>
    </row>
    <row r="80" spans="1:55" hidden="1" x14ac:dyDescent="0.3">
      <c r="A80" s="80">
        <f t="shared" si="2"/>
        <v>0</v>
      </c>
      <c r="B80" s="80">
        <f>SUMIFS(CalculatorFC[FinCodeIssue],CalculatorFC[CalculatorCode],Calculators[[#This Row],[CalculatorCode]])</f>
        <v>0</v>
      </c>
      <c r="C80" s="80">
        <f>IF(LEN(Calculators[[#This Row],[CalculatorCode]])&lt;100,0,1)</f>
        <v>0</v>
      </c>
      <c r="D80" s="86">
        <f>IF(LEN(Calculators[[#This Row],[Title]])&lt;100,0,1)</f>
        <v>0</v>
      </c>
      <c r="E80" s="86">
        <f>(COUNTIF(CalculatorTypeCode[CalculatorTypeCode],Calculators[[#This Row],[CalculatorTypeCode]])-1)*-1</f>
        <v>0</v>
      </c>
      <c r="F80"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80"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80"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80" s="86">
        <f>IF(OR(Calculators[[#This Row],[CalculatorEnabled]]=TRUE,Calculators[[#This Row],[CalculatorEnabled]]=FALSE),0,1)</f>
        <v>0</v>
      </c>
      <c r="J80" s="86">
        <f>IF(ISBLANK(Calculators[[#This Row],[Title]])=TRUE,1,0)</f>
        <v>0</v>
      </c>
      <c r="K80" s="86">
        <f>IF(EXACT(Calculators[[#This Row],[CalculatorCode]],UPPER(Calculators[[#This Row],[CalculatorCode]])),0,1)</f>
        <v>0</v>
      </c>
      <c r="L80" s="86">
        <f>IF(SUBSTITUTE(TEXT(Calculators[[#This Row],[CalculatorCode]],10)," ","")=TEXT(Calculators[[#This Row],[CalculatorCode]],10),0,1)</f>
        <v>0</v>
      </c>
      <c r="M80" s="80">
        <f>SUM(Calculators[[#This Row],[Blank Data]:[Space in Code]])</f>
        <v>0</v>
      </c>
      <c r="N80" s="80" t="str" cm="1">
        <f t="array" ref="N80">_xlfn.TEXTJOIN(",",TRUE,IF(CalculatorFC[CalculatorCode]&amp;CalculatorFC[Type]=Calculators[[#This Row],[CalculatorCode]]&amp;Calculators[[#Headers],[SourceFinanceCodes]],CalculatorFC[FinanceCode],""))</f>
        <v/>
      </c>
      <c r="O80" s="80" t="str" cm="1">
        <f t="array" ref="O80">_xlfn.TEXTJOIN(",",TRUE,IF(CalculatorFC[CalculatorCode]&amp;CalculatorFC[Type]=Calculators[[#This Row],[CalculatorCode]]&amp;Calculators[[#Headers],[SourceGroupingCodes]],CalculatorFC[FinanceCode],""))</f>
        <v/>
      </c>
      <c r="P80" s="80" t="str" cm="1">
        <f t="array" ref="P80">_xlfn.TEXTJOIN(",",TRUE,IF(CalculatorFC[CalculatorCode]&amp;CalculatorFC[Type]=Calculators[[#This Row],[CalculatorCode]]&amp;Calculators[[#Headers],[DivisorFinanceCodes]],CalculatorFC[FinanceCode],""))</f>
        <v/>
      </c>
      <c r="Q80" s="80" t="str" cm="1">
        <f t="array" ref="Q80">_xlfn.TEXTJOIN(",",TRUE,IF(CalculatorFC[CalculatorCode]&amp;CalculatorFC[Type]=Calculators[[#This Row],[CalculatorCode]]&amp;Calculators[[#Headers],[DivisorGroupingCodes]],CalculatorFC[FinanceCode],""))</f>
        <v/>
      </c>
      <c r="R80" s="80" t="str" cm="1">
        <f t="array" ref="R80">_xlfn.TEXTJOIN(",",TRUE,IF(CalculatorFC[CalculatorCode]&amp;CalculatorFC[Type]=Calculators[[#This Row],[CalculatorCode]]&amp;Calculators[[#Headers],[MultiplierFinanceCodes]],CalculatorFC[FinanceCode],""))</f>
        <v>UPLIFT_PUPILEXP%</v>
      </c>
      <c r="S80" s="80" t="str" cm="1">
        <f t="array" ref="S80">_xlfn.TEXTJOIN(",",TRUE,IF(CalculatorFC[CalculatorCode]&amp;CalculatorFC[Type]=Calculators[[#This Row],[CalculatorCode]]&amp;Calculators[[#Headers],[MultiplierGroupingCodes]],CalculatorFC[FinanceCode],""))</f>
        <v/>
      </c>
      <c r="T80" t="s">
        <v>1300</v>
      </c>
      <c r="U80" t="s">
        <v>1301</v>
      </c>
      <c r="V80" t="b">
        <v>0</v>
      </c>
      <c r="W80" t="b">
        <v>0</v>
      </c>
      <c r="X80" t="b">
        <v>0</v>
      </c>
      <c r="Y80" t="b">
        <v>0</v>
      </c>
      <c r="Z80" t="b">
        <v>1</v>
      </c>
      <c r="AA80" t="b">
        <v>1</v>
      </c>
      <c r="AB80" t="b">
        <v>0</v>
      </c>
      <c r="AC80">
        <v>0</v>
      </c>
      <c r="AD80" t="b">
        <v>0</v>
      </c>
      <c r="AE80" t="b">
        <v>0</v>
      </c>
      <c r="AF80" t="b">
        <v>0</v>
      </c>
      <c r="AG80" t="b">
        <v>0</v>
      </c>
      <c r="AH80" t="b">
        <v>0</v>
      </c>
      <c r="AI80" t="b">
        <v>0</v>
      </c>
      <c r="AJ80" t="b">
        <v>0</v>
      </c>
      <c r="AK80" t="b">
        <v>0</v>
      </c>
      <c r="AL80" t="b">
        <v>0</v>
      </c>
      <c r="AM80">
        <v>100</v>
      </c>
      <c r="AN80" t="b">
        <v>0</v>
      </c>
      <c r="AO80" t="b">
        <v>0</v>
      </c>
      <c r="AP80" t="b">
        <v>0</v>
      </c>
      <c r="AQ80" t="b">
        <v>1</v>
      </c>
      <c r="AR80" t="b">
        <v>1</v>
      </c>
      <c r="AS80" t="b">
        <v>1</v>
      </c>
      <c r="AT80" t="b">
        <v>0</v>
      </c>
      <c r="AU80" t="b">
        <v>0</v>
      </c>
      <c r="AV80" t="b">
        <v>0</v>
      </c>
      <c r="AW80">
        <v>0</v>
      </c>
      <c r="AX80" t="b">
        <v>0</v>
      </c>
      <c r="AY80" t="b">
        <v>0</v>
      </c>
      <c r="AZ80" t="b">
        <v>1</v>
      </c>
      <c r="BA80">
        <v>0</v>
      </c>
      <c r="BB80" t="s">
        <v>51</v>
      </c>
      <c r="BC80">
        <v>0</v>
      </c>
    </row>
    <row r="81" spans="1:55" x14ac:dyDescent="0.3">
      <c r="A81" s="80">
        <f t="shared" si="2"/>
        <v>0</v>
      </c>
      <c r="B81" s="80">
        <f>SUMIFS(CalculatorFC[FinCodeIssue],CalculatorFC[CalculatorCode],Calculators[[#This Row],[CalculatorCode]])</f>
        <v>0</v>
      </c>
      <c r="C81" s="80">
        <f>IF(LEN(Calculators[[#This Row],[CalculatorCode]])&lt;100,0,1)</f>
        <v>0</v>
      </c>
      <c r="D81" s="86">
        <f>IF(LEN(Calculators[[#This Row],[Title]])&lt;100,0,1)</f>
        <v>0</v>
      </c>
      <c r="E81" s="86">
        <f>(COUNTIF(CalculatorTypeCode[CalculatorTypeCode],Calculators[[#This Row],[CalculatorTypeCode]])-1)*-1</f>
        <v>0</v>
      </c>
      <c r="F81"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81"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81"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81" s="86">
        <f>IF(OR(Calculators[[#This Row],[CalculatorEnabled]]=TRUE,Calculators[[#This Row],[CalculatorEnabled]]=FALSE),0,1)</f>
        <v>0</v>
      </c>
      <c r="J81" s="86">
        <f>IF(ISBLANK(Calculators[[#This Row],[Title]])=TRUE,1,0)</f>
        <v>0</v>
      </c>
      <c r="K81" s="86">
        <f>IF(EXACT(Calculators[[#This Row],[CalculatorCode]],UPPER(Calculators[[#This Row],[CalculatorCode]])),0,1)</f>
        <v>0</v>
      </c>
      <c r="L81" s="86">
        <f>IF(SUBSTITUTE(TEXT(Calculators[[#This Row],[CalculatorCode]],10)," ","")=TEXT(Calculators[[#This Row],[CalculatorCode]],10),0,1)</f>
        <v>0</v>
      </c>
      <c r="M81" s="80">
        <f>SUM(Calculators[[#This Row],[Blank Data]:[Space in Code]])</f>
        <v>0</v>
      </c>
      <c r="N81" s="80" t="str" cm="1">
        <f t="array" ref="N81">_xlfn.TEXTJOIN(",",TRUE,IF(CalculatorFC[CalculatorCode]&amp;CalculatorFC[Type]=Calculators[[#This Row],[CalculatorCode]]&amp;Calculators[[#Headers],[SourceFinanceCodes]],CalculatorFC[FinanceCode],""))</f>
        <v/>
      </c>
      <c r="O81" s="80" t="str" cm="1">
        <f t="array" ref="O81">_xlfn.TEXTJOIN(",",TRUE,IF(CalculatorFC[CalculatorCode]&amp;CalculatorFC[Type]=Calculators[[#This Row],[CalculatorCode]]&amp;Calculators[[#Headers],[SourceGroupingCodes]],CalculatorFC[FinanceCode],""))</f>
        <v/>
      </c>
      <c r="P81" s="80" t="str" cm="1">
        <f t="array" ref="P81">_xlfn.TEXTJOIN(",",TRUE,IF(CalculatorFC[CalculatorCode]&amp;CalculatorFC[Type]=Calculators[[#This Row],[CalculatorCode]]&amp;Calculators[[#Headers],[DivisorFinanceCodes]],CalculatorFC[FinanceCode],""))</f>
        <v>FUNDED_FS</v>
      </c>
      <c r="Q81" s="80" t="str" cm="1">
        <f t="array" ref="Q81">_xlfn.TEXTJOIN(",",TRUE,IF(CalculatorFC[CalculatorCode]&amp;CalculatorFC[Type]=Calculators[[#This Row],[CalculatorCode]]&amp;Calculators[[#Headers],[DivisorGroupingCodes]],CalculatorFC[FinanceCode],""))</f>
        <v/>
      </c>
      <c r="R81" s="80" t="str" cm="1">
        <f t="array" ref="R81">_xlfn.TEXTJOIN(",",TRUE,IF(CalculatorFC[CalculatorCode]&amp;CalculatorFC[Type]=Calculators[[#This Row],[CalculatorCode]]&amp;Calculators[[#Headers],[MultiplierFinanceCodes]],CalculatorFC[FinanceCode],""))</f>
        <v>FUNDED_FS</v>
      </c>
      <c r="S81" s="80" t="str" cm="1">
        <f t="array" ref="S81">_xlfn.TEXTJOIN(",",TRUE,IF(CalculatorFC[CalculatorCode]&amp;CalculatorFC[Type]=Calculators[[#This Row],[CalculatorCode]]&amp;Calculators[[#Headers],[MultiplierGroupingCodes]],CalculatorFC[FinanceCode],""))</f>
        <v/>
      </c>
      <c r="T81" t="s">
        <v>1513</v>
      </c>
      <c r="U81" t="s">
        <v>1514</v>
      </c>
      <c r="V81" t="b">
        <v>0</v>
      </c>
      <c r="W81" t="b">
        <v>1</v>
      </c>
      <c r="X81" t="b">
        <v>1</v>
      </c>
      <c r="Y81" t="b">
        <v>1</v>
      </c>
      <c r="Z81" t="b">
        <v>1</v>
      </c>
      <c r="AA81" t="b">
        <v>1</v>
      </c>
      <c r="AB81" t="b">
        <v>0</v>
      </c>
      <c r="AC81">
        <v>0</v>
      </c>
      <c r="AD81" t="b">
        <v>0</v>
      </c>
      <c r="AE81" t="b">
        <v>0</v>
      </c>
      <c r="AF81" t="b">
        <v>0</v>
      </c>
      <c r="AG81" t="b">
        <v>1</v>
      </c>
      <c r="AH81" t="b">
        <v>1</v>
      </c>
      <c r="AI81" t="b">
        <v>1</v>
      </c>
      <c r="AJ81" t="b">
        <v>0</v>
      </c>
      <c r="AK81" t="b">
        <v>1</v>
      </c>
      <c r="AL81" t="b">
        <v>0</v>
      </c>
      <c r="AM81">
        <v>0</v>
      </c>
      <c r="AN81" t="b">
        <v>0</v>
      </c>
      <c r="AO81" t="b">
        <v>0</v>
      </c>
      <c r="AP81" t="b">
        <v>0</v>
      </c>
      <c r="AQ81" t="b">
        <v>1</v>
      </c>
      <c r="AR81" t="b">
        <v>1</v>
      </c>
      <c r="AS81" t="b">
        <v>1</v>
      </c>
      <c r="AT81" t="b">
        <v>0</v>
      </c>
      <c r="AU81" t="b">
        <v>0</v>
      </c>
      <c r="AV81" t="b">
        <v>0</v>
      </c>
      <c r="AW81">
        <v>0</v>
      </c>
      <c r="AX81" t="b">
        <v>0</v>
      </c>
      <c r="AY81" t="b">
        <v>0</v>
      </c>
      <c r="AZ81" t="b">
        <v>1</v>
      </c>
      <c r="BA81">
        <v>0</v>
      </c>
      <c r="BB81" t="s">
        <v>51</v>
      </c>
      <c r="BC81">
        <v>0</v>
      </c>
    </row>
    <row r="82" spans="1:55" x14ac:dyDescent="0.3">
      <c r="A82" s="80">
        <f t="shared" si="2"/>
        <v>0</v>
      </c>
      <c r="B82" s="80">
        <f>SUMIFS(CalculatorFC[FinCodeIssue],CalculatorFC[CalculatorCode],Calculators[[#This Row],[CalculatorCode]])</f>
        <v>0</v>
      </c>
      <c r="C82" s="80">
        <f>IF(LEN(Calculators[[#This Row],[CalculatorCode]])&lt;100,0,1)</f>
        <v>0</v>
      </c>
      <c r="D82" s="86">
        <f>IF(LEN(Calculators[[#This Row],[Title]])&lt;100,0,1)</f>
        <v>0</v>
      </c>
      <c r="E82" s="86">
        <f>(COUNTIF(CalculatorTypeCode[CalculatorTypeCode],Calculators[[#This Row],[CalculatorTypeCode]])-1)*-1</f>
        <v>0</v>
      </c>
      <c r="F82"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82"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82"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82" s="86">
        <f>IF(OR(Calculators[[#This Row],[CalculatorEnabled]]=TRUE,Calculators[[#This Row],[CalculatorEnabled]]=FALSE),0,1)</f>
        <v>0</v>
      </c>
      <c r="J82" s="86">
        <f>IF(ISBLANK(Calculators[[#This Row],[Title]])=TRUE,1,0)</f>
        <v>0</v>
      </c>
      <c r="K82" s="86">
        <f>IF(EXACT(Calculators[[#This Row],[CalculatorCode]],UPPER(Calculators[[#This Row],[CalculatorCode]])),0,1)</f>
        <v>0</v>
      </c>
      <c r="L82" s="86">
        <f>IF(SUBSTITUTE(TEXT(Calculators[[#This Row],[CalculatorCode]],10)," ","")=TEXT(Calculators[[#This Row],[CalculatorCode]],10),0,1)</f>
        <v>0</v>
      </c>
      <c r="M82" s="80">
        <f>SUM(Calculators[[#This Row],[Blank Data]:[Space in Code]])</f>
        <v>0</v>
      </c>
      <c r="N82" s="80" t="str" cm="1">
        <f t="array" ref="N82">_xlfn.TEXTJOIN(",",TRUE,IF(CalculatorFC[CalculatorCode]&amp;CalculatorFC[Type]=Calculators[[#This Row],[CalculatorCode]]&amp;Calculators[[#Headers],[SourceFinanceCodes]],CalculatorFC[FinanceCode],""))</f>
        <v/>
      </c>
      <c r="O82" s="80" t="str" cm="1">
        <f t="array" ref="O82">_xlfn.TEXTJOIN(",",TRUE,IF(CalculatorFC[CalculatorCode]&amp;CalculatorFC[Type]=Calculators[[#This Row],[CalculatorCode]]&amp;Calculators[[#Headers],[SourceGroupingCodes]],CalculatorFC[FinanceCode],""))</f>
        <v/>
      </c>
      <c r="P82" s="80" t="str" cm="1">
        <f t="array" ref="P82">_xlfn.TEXTJOIN(",",TRUE,IF(CalculatorFC[CalculatorCode]&amp;CalculatorFC[Type]=Calculators[[#This Row],[CalculatorCode]]&amp;Calculators[[#Headers],[DivisorFinanceCodes]],CalculatorFC[FinanceCode],""))</f>
        <v>PUPIL_CEN_00</v>
      </c>
      <c r="Q82" s="80" t="str" cm="1">
        <f t="array" ref="Q82">_xlfn.TEXTJOIN(",",TRUE,IF(CalculatorFC[CalculatorCode]&amp;CalculatorFC[Type]=Calculators[[#This Row],[CalculatorCode]]&amp;Calculators[[#Headers],[DivisorGroupingCodes]],CalculatorFC[FinanceCode],""))</f>
        <v/>
      </c>
      <c r="R82" s="80" t="str" cm="1">
        <f t="array" ref="R82">_xlfn.TEXTJOIN(",",TRUE,IF(CalculatorFC[CalculatorCode]&amp;CalculatorFC[Type]=Calculators[[#This Row],[CalculatorCode]]&amp;Calculators[[#Headers],[MultiplierFinanceCodes]],CalculatorFC[FinanceCode],""))</f>
        <v>PUPIL_CEN_00</v>
      </c>
      <c r="S82" s="80" t="str" cm="1">
        <f t="array" ref="S82">_xlfn.TEXTJOIN(",",TRUE,IF(CalculatorFC[CalculatorCode]&amp;CalculatorFC[Type]=Calculators[[#This Row],[CalculatorCode]]&amp;Calculators[[#Headers],[MultiplierGroupingCodes]],CalculatorFC[FinanceCode],""))</f>
        <v/>
      </c>
      <c r="T82" t="s">
        <v>1511</v>
      </c>
      <c r="U82" t="s">
        <v>1512</v>
      </c>
      <c r="V82" t="b">
        <v>0</v>
      </c>
      <c r="W82" t="b">
        <v>1</v>
      </c>
      <c r="X82" t="b">
        <v>1</v>
      </c>
      <c r="Y82" t="b">
        <v>1</v>
      </c>
      <c r="Z82" t="b">
        <v>1</v>
      </c>
      <c r="AA82" t="b">
        <v>1</v>
      </c>
      <c r="AB82" t="b">
        <v>0</v>
      </c>
      <c r="AC82">
        <v>0</v>
      </c>
      <c r="AD82" t="b">
        <v>0</v>
      </c>
      <c r="AE82" t="b">
        <v>0</v>
      </c>
      <c r="AF82" t="b">
        <v>0</v>
      </c>
      <c r="AG82" t="b">
        <v>1</v>
      </c>
      <c r="AH82" t="b">
        <v>1</v>
      </c>
      <c r="AI82" t="b">
        <v>1</v>
      </c>
      <c r="AJ82" t="b">
        <v>0</v>
      </c>
      <c r="AK82" t="b">
        <v>1</v>
      </c>
      <c r="AL82" t="b">
        <v>0</v>
      </c>
      <c r="AM82">
        <v>0</v>
      </c>
      <c r="AN82" t="b">
        <v>0</v>
      </c>
      <c r="AO82" t="b">
        <v>0</v>
      </c>
      <c r="AP82" t="b">
        <v>0</v>
      </c>
      <c r="AQ82" t="b">
        <v>1</v>
      </c>
      <c r="AR82" t="b">
        <v>1</v>
      </c>
      <c r="AS82" t="b">
        <v>1</v>
      </c>
      <c r="AT82" t="b">
        <v>0</v>
      </c>
      <c r="AU82" t="b">
        <v>0</v>
      </c>
      <c r="AV82" t="b">
        <v>0</v>
      </c>
      <c r="AW82">
        <v>0</v>
      </c>
      <c r="AX82" t="b">
        <v>0</v>
      </c>
      <c r="AY82" t="b">
        <v>0</v>
      </c>
      <c r="AZ82" t="b">
        <v>1</v>
      </c>
      <c r="BA82">
        <v>0</v>
      </c>
      <c r="BB82" t="s">
        <v>51</v>
      </c>
      <c r="BC82">
        <v>0</v>
      </c>
    </row>
    <row r="83" spans="1:55" hidden="1" x14ac:dyDescent="0.3">
      <c r="A83" s="80">
        <f t="shared" si="2"/>
        <v>0</v>
      </c>
      <c r="B83" s="80">
        <f>SUMIFS(CalculatorFC[FinCodeIssue],CalculatorFC[CalculatorCode],Calculators[[#This Row],[CalculatorCode]])</f>
        <v>0</v>
      </c>
      <c r="C83" s="80">
        <f>IF(LEN(Calculators[[#This Row],[CalculatorCode]])&lt;100,0,1)</f>
        <v>0</v>
      </c>
      <c r="D83" s="86">
        <f>IF(LEN(Calculators[[#This Row],[Title]])&lt;100,0,1)</f>
        <v>0</v>
      </c>
      <c r="E83" s="86">
        <f>(COUNTIF(CalculatorTypeCode[CalculatorTypeCode],Calculators[[#This Row],[CalculatorTypeCode]])-1)*-1</f>
        <v>0</v>
      </c>
      <c r="F83"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83"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83"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83" s="86">
        <f>IF(OR(Calculators[[#This Row],[CalculatorEnabled]]=TRUE,Calculators[[#This Row],[CalculatorEnabled]]=FALSE),0,1)</f>
        <v>0</v>
      </c>
      <c r="J83" s="86">
        <f>IF(ISBLANK(Calculators[[#This Row],[Title]])=TRUE,1,0)</f>
        <v>0</v>
      </c>
      <c r="K83" s="86">
        <f>IF(EXACT(Calculators[[#This Row],[CalculatorCode]],UPPER(Calculators[[#This Row],[CalculatorCode]])),0,1)</f>
        <v>0</v>
      </c>
      <c r="L83" s="86">
        <f>IF(SUBSTITUTE(TEXT(Calculators[[#This Row],[CalculatorCode]],10)," ","")=TEXT(Calculators[[#This Row],[CalculatorCode]],10),0,1)</f>
        <v>0</v>
      </c>
      <c r="M83" s="80">
        <f>SUM(Calculators[[#This Row],[Blank Data]:[Space in Code]])</f>
        <v>0</v>
      </c>
      <c r="N83" s="80" t="str" cm="1">
        <f t="array" ref="N83">_xlfn.TEXTJOIN(",",TRUE,IF(CalculatorFC[CalculatorCode]&amp;CalculatorFC[Type]=Calculators[[#This Row],[CalculatorCode]]&amp;Calculators[[#Headers],[SourceFinanceCodes]],CalculatorFC[FinanceCode],""))</f>
        <v/>
      </c>
      <c r="O83" s="80" t="str" cm="1">
        <f t="array" ref="O83">_xlfn.TEXTJOIN(",",TRUE,IF(CalculatorFC[CalculatorCode]&amp;CalculatorFC[Type]=Calculators[[#This Row],[CalculatorCode]]&amp;Calculators[[#Headers],[SourceGroupingCodes]],CalculatorFC[FinanceCode],""))</f>
        <v/>
      </c>
      <c r="P83" s="80" t="str" cm="1">
        <f t="array" ref="P83">_xlfn.TEXTJOIN(",",TRUE,IF(CalculatorFC[CalculatorCode]&amp;CalculatorFC[Type]=Calculators[[#This Row],[CalculatorCode]]&amp;Calculators[[#Headers],[DivisorFinanceCodes]],CalculatorFC[FinanceCode],""))</f>
        <v/>
      </c>
      <c r="Q83" s="80" t="str" cm="1">
        <f t="array" ref="Q83">_xlfn.TEXTJOIN(",",TRUE,IF(CalculatorFC[CalculatorCode]&amp;CalculatorFC[Type]=Calculators[[#This Row],[CalculatorCode]]&amp;Calculators[[#Headers],[DivisorGroupingCodes]],CalculatorFC[FinanceCode],""))</f>
        <v/>
      </c>
      <c r="R83" s="80" t="str" cm="1">
        <f t="array" ref="R83">_xlfn.TEXTJOIN(",",TRUE,IF(CalculatorFC[CalculatorCode]&amp;CalculatorFC[Type]=Calculators[[#This Row],[CalculatorCode]]&amp;Calculators[[#Headers],[MultiplierFinanceCodes]],CalculatorFC[FinanceCode],""))</f>
        <v>UPLIFT_GAG</v>
      </c>
      <c r="S83" s="80" t="str" cm="1">
        <f t="array" ref="S83">_xlfn.TEXTJOIN(",",TRUE,IF(CalculatorFC[CalculatorCode]&amp;CalculatorFC[Type]=Calculators[[#This Row],[CalculatorCode]]&amp;Calculators[[#Headers],[MultiplierGroupingCodes]],CalculatorFC[FinanceCode],""))</f>
        <v/>
      </c>
      <c r="T83" t="s">
        <v>1036</v>
      </c>
      <c r="U83" t="s">
        <v>1302</v>
      </c>
      <c r="V83" t="b">
        <v>0</v>
      </c>
      <c r="W83" t="b">
        <v>0</v>
      </c>
      <c r="X83" t="b">
        <v>0</v>
      </c>
      <c r="Y83" t="b">
        <v>0</v>
      </c>
      <c r="Z83" t="b">
        <v>1</v>
      </c>
      <c r="AA83" t="b">
        <v>1</v>
      </c>
      <c r="AB83" t="b">
        <v>0</v>
      </c>
      <c r="AC83">
        <v>0</v>
      </c>
      <c r="AD83" t="b">
        <v>0</v>
      </c>
      <c r="AE83" t="b">
        <v>0</v>
      </c>
      <c r="AF83" t="b">
        <v>0</v>
      </c>
      <c r="AG83" t="b">
        <v>0</v>
      </c>
      <c r="AH83" t="b">
        <v>0</v>
      </c>
      <c r="AI83" t="b">
        <v>0</v>
      </c>
      <c r="AJ83" t="b">
        <v>0</v>
      </c>
      <c r="AK83" t="b">
        <v>0</v>
      </c>
      <c r="AL83" t="b">
        <v>0</v>
      </c>
      <c r="AM83">
        <v>100</v>
      </c>
      <c r="AN83" t="b">
        <v>0</v>
      </c>
      <c r="AO83" t="b">
        <v>0</v>
      </c>
      <c r="AP83" t="b">
        <v>1</v>
      </c>
      <c r="AQ83" t="b">
        <v>1</v>
      </c>
      <c r="AR83" t="b">
        <v>1</v>
      </c>
      <c r="AS83" t="b">
        <v>1</v>
      </c>
      <c r="AT83" t="b">
        <v>0</v>
      </c>
      <c r="AU83" t="b">
        <v>0</v>
      </c>
      <c r="AV83" t="b">
        <v>0</v>
      </c>
      <c r="AW83">
        <v>100</v>
      </c>
      <c r="AX83" t="b">
        <v>0</v>
      </c>
      <c r="AY83" t="b">
        <v>0</v>
      </c>
      <c r="AZ83" t="b">
        <v>1</v>
      </c>
      <c r="BA83">
        <v>0</v>
      </c>
      <c r="BB83" t="s">
        <v>51</v>
      </c>
      <c r="BC83">
        <v>0</v>
      </c>
    </row>
    <row r="84" spans="1:55" hidden="1" x14ac:dyDescent="0.3">
      <c r="A84" s="80">
        <f t="shared" si="2"/>
        <v>0</v>
      </c>
      <c r="B84" s="80">
        <f>SUMIFS(CalculatorFC[FinCodeIssue],CalculatorFC[CalculatorCode],Calculators[[#This Row],[CalculatorCode]])</f>
        <v>0</v>
      </c>
      <c r="C84" s="80">
        <f>IF(LEN(Calculators[[#This Row],[CalculatorCode]])&lt;100,0,1)</f>
        <v>0</v>
      </c>
      <c r="D84" s="86">
        <f>IF(LEN(Calculators[[#This Row],[Title]])&lt;100,0,1)</f>
        <v>0</v>
      </c>
      <c r="E84" s="86">
        <f>(COUNTIF(CalculatorTypeCode[CalculatorTypeCode],Calculators[[#This Row],[CalculatorTypeCode]])-1)*-1</f>
        <v>0</v>
      </c>
      <c r="F84"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84"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84"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84" s="86">
        <f>IF(OR(Calculators[[#This Row],[CalculatorEnabled]]=TRUE,Calculators[[#This Row],[CalculatorEnabled]]=FALSE),0,1)</f>
        <v>0</v>
      </c>
      <c r="J84" s="86">
        <f>IF(ISBLANK(Calculators[[#This Row],[Title]])=TRUE,1,0)</f>
        <v>0</v>
      </c>
      <c r="K84" s="86">
        <f>IF(EXACT(Calculators[[#This Row],[CalculatorCode]],UPPER(Calculators[[#This Row],[CalculatorCode]])),0,1)</f>
        <v>0</v>
      </c>
      <c r="L84" s="86">
        <f>IF(SUBSTITUTE(TEXT(Calculators[[#This Row],[CalculatorCode]],10)," ","")=TEXT(Calculators[[#This Row],[CalculatorCode]],10),0,1)</f>
        <v>0</v>
      </c>
      <c r="M84" s="80">
        <f>SUM(Calculators[[#This Row],[Blank Data]:[Space in Code]])</f>
        <v>0</v>
      </c>
      <c r="N84" s="80" t="str" cm="1">
        <f t="array" ref="N84">_xlfn.TEXTJOIN(",",TRUE,IF(CalculatorFC[CalculatorCode]&amp;CalculatorFC[Type]=Calculators[[#This Row],[CalculatorCode]]&amp;Calculators[[#Headers],[SourceFinanceCodes]],CalculatorFC[FinanceCode],""))</f>
        <v/>
      </c>
      <c r="O84" s="80" t="str" cm="1">
        <f t="array" ref="O84">_xlfn.TEXTJOIN(",",TRUE,IF(CalculatorFC[CalculatorCode]&amp;CalculatorFC[Type]=Calculators[[#This Row],[CalculatorCode]]&amp;Calculators[[#Headers],[SourceGroupingCodes]],CalculatorFC[FinanceCode],""))</f>
        <v/>
      </c>
      <c r="P84" s="80" t="str" cm="1">
        <f t="array" ref="P84">_xlfn.TEXTJOIN(",",TRUE,IF(CalculatorFC[CalculatorCode]&amp;CalculatorFC[Type]=Calculators[[#This Row],[CalculatorCode]]&amp;Calculators[[#Headers],[DivisorFinanceCodes]],CalculatorFC[FinanceCode],""))</f>
        <v/>
      </c>
      <c r="Q84" s="80" t="str" cm="1">
        <f t="array" ref="Q84">_xlfn.TEXTJOIN(",",TRUE,IF(CalculatorFC[CalculatorCode]&amp;CalculatorFC[Type]=Calculators[[#This Row],[CalculatorCode]]&amp;Calculators[[#Headers],[DivisorGroupingCodes]],CalculatorFC[FinanceCode],""))</f>
        <v/>
      </c>
      <c r="R84" s="80" t="str" cm="1">
        <f t="array" ref="R84">_xlfn.TEXTJOIN(",",TRUE,IF(CalculatorFC[CalculatorCode]&amp;CalculatorFC[Type]=Calculators[[#This Row],[CalculatorCode]]&amp;Calculators[[#Headers],[MultiplierFinanceCodes]],CalculatorFC[FinanceCode],""))</f>
        <v>UPLIFT_PUPILGAG%</v>
      </c>
      <c r="S84" s="80" t="str" cm="1">
        <f t="array" ref="S84">_xlfn.TEXTJOIN(",",TRUE,IF(CalculatorFC[CalculatorCode]&amp;CalculatorFC[Type]=Calculators[[#This Row],[CalculatorCode]]&amp;Calculators[[#Headers],[MultiplierGroupingCodes]],CalculatorFC[FinanceCode],""))</f>
        <v/>
      </c>
      <c r="T84" t="s">
        <v>1303</v>
      </c>
      <c r="U84" t="s">
        <v>1304</v>
      </c>
      <c r="V84" t="b">
        <v>0</v>
      </c>
      <c r="W84" t="b">
        <v>0</v>
      </c>
      <c r="X84" t="b">
        <v>0</v>
      </c>
      <c r="Y84" t="b">
        <v>0</v>
      </c>
      <c r="Z84" t="b">
        <v>1</v>
      </c>
      <c r="AA84" t="b">
        <v>1</v>
      </c>
      <c r="AB84" t="b">
        <v>0</v>
      </c>
      <c r="AC84">
        <v>0</v>
      </c>
      <c r="AD84" t="b">
        <v>0</v>
      </c>
      <c r="AE84" t="b">
        <v>0</v>
      </c>
      <c r="AF84" t="b">
        <v>0</v>
      </c>
      <c r="AG84" t="b">
        <v>0</v>
      </c>
      <c r="AH84" t="b">
        <v>0</v>
      </c>
      <c r="AI84" t="b">
        <v>0</v>
      </c>
      <c r="AJ84" t="b">
        <v>0</v>
      </c>
      <c r="AK84" t="b">
        <v>0</v>
      </c>
      <c r="AL84" t="b">
        <v>0</v>
      </c>
      <c r="AM84">
        <v>100</v>
      </c>
      <c r="AN84" t="b">
        <v>0</v>
      </c>
      <c r="AO84" t="b">
        <v>0</v>
      </c>
      <c r="AP84" t="b">
        <v>0</v>
      </c>
      <c r="AQ84" t="b">
        <v>1</v>
      </c>
      <c r="AR84" t="b">
        <v>1</v>
      </c>
      <c r="AS84" t="b">
        <v>1</v>
      </c>
      <c r="AT84" t="b">
        <v>0</v>
      </c>
      <c r="AU84" t="b">
        <v>0</v>
      </c>
      <c r="AV84" t="b">
        <v>0</v>
      </c>
      <c r="AW84">
        <v>0</v>
      </c>
      <c r="AX84" t="b">
        <v>0</v>
      </c>
      <c r="AY84" t="b">
        <v>0</v>
      </c>
      <c r="AZ84" t="b">
        <v>1</v>
      </c>
      <c r="BA84">
        <v>0</v>
      </c>
      <c r="BB84" t="s">
        <v>51</v>
      </c>
      <c r="BC84">
        <v>0</v>
      </c>
    </row>
    <row r="85" spans="1:55" hidden="1" x14ac:dyDescent="0.3">
      <c r="A85" s="80">
        <f t="shared" si="2"/>
        <v>0</v>
      </c>
      <c r="B85" s="80">
        <f>SUMIFS(CalculatorFC[FinCodeIssue],CalculatorFC[CalculatorCode],Calculators[[#This Row],[CalculatorCode]])</f>
        <v>0</v>
      </c>
      <c r="C85" s="80">
        <f>IF(LEN(Calculators[[#This Row],[CalculatorCode]])&lt;100,0,1)</f>
        <v>0</v>
      </c>
      <c r="D85" s="86">
        <f>IF(LEN(Calculators[[#This Row],[Title]])&lt;100,0,1)</f>
        <v>0</v>
      </c>
      <c r="E85" s="86">
        <f>(COUNTIF(CalculatorTypeCode[CalculatorTypeCode],Calculators[[#This Row],[CalculatorTypeCode]])-1)*-1</f>
        <v>0</v>
      </c>
      <c r="F85"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85"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85"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85" s="86">
        <f>IF(OR(Calculators[[#This Row],[CalculatorEnabled]]=TRUE,Calculators[[#This Row],[CalculatorEnabled]]=FALSE),0,1)</f>
        <v>0</v>
      </c>
      <c r="J85" s="86">
        <f>IF(ISBLANK(Calculators[[#This Row],[Title]])=TRUE,1,0)</f>
        <v>0</v>
      </c>
      <c r="K85" s="86">
        <f>IF(EXACT(Calculators[[#This Row],[CalculatorCode]],UPPER(Calculators[[#This Row],[CalculatorCode]])),0,1)</f>
        <v>0</v>
      </c>
      <c r="L85" s="86">
        <f>IF(SUBSTITUTE(TEXT(Calculators[[#This Row],[CalculatorCode]],10)," ","")=TEXT(Calculators[[#This Row],[CalculatorCode]],10),0,1)</f>
        <v>0</v>
      </c>
      <c r="M85" s="80">
        <f>SUM(Calculators[[#This Row],[Blank Data]:[Space in Code]])</f>
        <v>0</v>
      </c>
      <c r="N85" s="80" t="str" cm="1">
        <f t="array" ref="N85">_xlfn.TEXTJOIN(",",TRUE,IF(CalculatorFC[CalculatorCode]&amp;CalculatorFC[Type]=Calculators[[#This Row],[CalculatorCode]]&amp;Calculators[[#Headers],[SourceFinanceCodes]],CalculatorFC[FinanceCode],""))</f>
        <v/>
      </c>
      <c r="O85" s="80" t="str" cm="1">
        <f t="array" ref="O85">_xlfn.TEXTJOIN(",",TRUE,IF(CalculatorFC[CalculatorCode]&amp;CalculatorFC[Type]=Calculators[[#This Row],[CalculatorCode]]&amp;Calculators[[#Headers],[SourceGroupingCodes]],CalculatorFC[FinanceCode],""))</f>
        <v/>
      </c>
      <c r="P85" s="80" t="str" cm="1">
        <f t="array" ref="P85">_xlfn.TEXTJOIN(",",TRUE,IF(CalculatorFC[CalculatorCode]&amp;CalculatorFC[Type]=Calculators[[#This Row],[CalculatorCode]]&amp;Calculators[[#Headers],[DivisorFinanceCodes]],CalculatorFC[FinanceCode],""))</f>
        <v/>
      </c>
      <c r="Q85" s="80" t="str" cm="1">
        <f t="array" ref="Q85">_xlfn.TEXTJOIN(",",TRUE,IF(CalculatorFC[CalculatorCode]&amp;CalculatorFC[Type]=Calculators[[#This Row],[CalculatorCode]]&amp;Calculators[[#Headers],[DivisorGroupingCodes]],CalculatorFC[FinanceCode],""))</f>
        <v/>
      </c>
      <c r="R85" s="80" t="str" cm="1">
        <f t="array" ref="R85">_xlfn.TEXTJOIN(",",TRUE,IF(CalculatorFC[CalculatorCode]&amp;CalculatorFC[Type]=Calculators[[#This Row],[CalculatorCode]]&amp;Calculators[[#Headers],[MultiplierFinanceCodes]],CalculatorFC[FinanceCode],""))</f>
        <v>UPLIFT_INC</v>
      </c>
      <c r="S85" s="80" t="str" cm="1">
        <f t="array" ref="S85">_xlfn.TEXTJOIN(",",TRUE,IF(CalculatorFC[CalculatorCode]&amp;CalculatorFC[Type]=Calculators[[#This Row],[CalculatorCode]]&amp;Calculators[[#Headers],[MultiplierGroupingCodes]],CalculatorFC[FinanceCode],""))</f>
        <v/>
      </c>
      <c r="T85" t="s">
        <v>1038</v>
      </c>
      <c r="U85" t="s">
        <v>1039</v>
      </c>
      <c r="V85" t="b">
        <v>0</v>
      </c>
      <c r="W85" t="b">
        <v>0</v>
      </c>
      <c r="X85" t="b">
        <v>0</v>
      </c>
      <c r="Y85" t="b">
        <v>0</v>
      </c>
      <c r="Z85" t="b">
        <v>1</v>
      </c>
      <c r="AA85" t="b">
        <v>1</v>
      </c>
      <c r="AB85" t="b">
        <v>0</v>
      </c>
      <c r="AC85">
        <v>0</v>
      </c>
      <c r="AD85" t="b">
        <v>0</v>
      </c>
      <c r="AE85" t="b">
        <v>0</v>
      </c>
      <c r="AF85" t="b">
        <v>0</v>
      </c>
      <c r="AG85" t="b">
        <v>0</v>
      </c>
      <c r="AH85" t="b">
        <v>0</v>
      </c>
      <c r="AI85" t="b">
        <v>0</v>
      </c>
      <c r="AJ85" t="b">
        <v>0</v>
      </c>
      <c r="AK85" t="b">
        <v>0</v>
      </c>
      <c r="AL85" t="b">
        <v>0</v>
      </c>
      <c r="AM85">
        <v>100</v>
      </c>
      <c r="AN85" t="b">
        <v>0</v>
      </c>
      <c r="AO85" t="b">
        <v>0</v>
      </c>
      <c r="AP85" t="b">
        <v>1</v>
      </c>
      <c r="AQ85" t="b">
        <v>1</v>
      </c>
      <c r="AR85" t="b">
        <v>1</v>
      </c>
      <c r="AS85" t="b">
        <v>1</v>
      </c>
      <c r="AT85" t="b">
        <v>0</v>
      </c>
      <c r="AU85" t="b">
        <v>0</v>
      </c>
      <c r="AV85" t="b">
        <v>0</v>
      </c>
      <c r="AW85">
        <v>100</v>
      </c>
      <c r="AX85" t="b">
        <v>0</v>
      </c>
      <c r="AY85" t="b">
        <v>0</v>
      </c>
      <c r="AZ85" t="b">
        <v>1</v>
      </c>
      <c r="BA85">
        <v>0</v>
      </c>
      <c r="BB85" t="s">
        <v>1476</v>
      </c>
      <c r="BC85">
        <v>0</v>
      </c>
    </row>
    <row r="86" spans="1:55" hidden="1" x14ac:dyDescent="0.3">
      <c r="A86" s="80">
        <f t="shared" si="2"/>
        <v>0</v>
      </c>
      <c r="B86" s="80">
        <f>SUMIFS(CalculatorFC[FinCodeIssue],CalculatorFC[CalculatorCode],Calculators[[#This Row],[CalculatorCode]])</f>
        <v>0</v>
      </c>
      <c r="C86" s="80">
        <f>IF(LEN(Calculators[[#This Row],[CalculatorCode]])&lt;100,0,1)</f>
        <v>0</v>
      </c>
      <c r="D86" s="86">
        <f>IF(LEN(Calculators[[#This Row],[Title]])&lt;100,0,1)</f>
        <v>0</v>
      </c>
      <c r="E86" s="86">
        <f>(COUNTIF(CalculatorTypeCode[CalculatorTypeCode],Calculators[[#This Row],[CalculatorTypeCode]])-1)*-1</f>
        <v>0</v>
      </c>
      <c r="F86"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86"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86"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86" s="86">
        <f>IF(OR(Calculators[[#This Row],[CalculatorEnabled]]=TRUE,Calculators[[#This Row],[CalculatorEnabled]]=FALSE),0,1)</f>
        <v>0</v>
      </c>
      <c r="J86" s="86">
        <f>IF(ISBLANK(Calculators[[#This Row],[Title]])=TRUE,1,0)</f>
        <v>0</v>
      </c>
      <c r="K86" s="86">
        <f>IF(EXACT(Calculators[[#This Row],[CalculatorCode]],UPPER(Calculators[[#This Row],[CalculatorCode]])),0,1)</f>
        <v>0</v>
      </c>
      <c r="L86" s="86">
        <f>IF(SUBSTITUTE(TEXT(Calculators[[#This Row],[CalculatorCode]],10)," ","")=TEXT(Calculators[[#This Row],[CalculatorCode]],10),0,1)</f>
        <v>0</v>
      </c>
      <c r="M86" s="80">
        <f>SUM(Calculators[[#This Row],[Blank Data]:[Space in Code]])</f>
        <v>0</v>
      </c>
      <c r="N86" s="80" t="str" cm="1">
        <f t="array" ref="N86">_xlfn.TEXTJOIN(",",TRUE,IF(CalculatorFC[CalculatorCode]&amp;CalculatorFC[Type]=Calculators[[#This Row],[CalculatorCode]]&amp;Calculators[[#Headers],[SourceFinanceCodes]],CalculatorFC[FinanceCode],""))</f>
        <v/>
      </c>
      <c r="O86" s="80" t="str" cm="1">
        <f t="array" ref="O86">_xlfn.TEXTJOIN(",",TRUE,IF(CalculatorFC[CalculatorCode]&amp;CalculatorFC[Type]=Calculators[[#This Row],[CalculatorCode]]&amp;Calculators[[#Headers],[SourceGroupingCodes]],CalculatorFC[FinanceCode],""))</f>
        <v/>
      </c>
      <c r="P86" s="80" t="str" cm="1">
        <f t="array" ref="P86">_xlfn.TEXTJOIN(",",TRUE,IF(CalculatorFC[CalculatorCode]&amp;CalculatorFC[Type]=Calculators[[#This Row],[CalculatorCode]]&amp;Calculators[[#Headers],[DivisorFinanceCodes]],CalculatorFC[FinanceCode],""))</f>
        <v/>
      </c>
      <c r="Q86" s="80" t="str" cm="1">
        <f t="array" ref="Q86">_xlfn.TEXTJOIN(",",TRUE,IF(CalculatorFC[CalculatorCode]&amp;CalculatorFC[Type]=Calculators[[#This Row],[CalculatorCode]]&amp;Calculators[[#Headers],[DivisorGroupingCodes]],CalculatorFC[FinanceCode],""))</f>
        <v/>
      </c>
      <c r="R86" s="80" t="str" cm="1">
        <f t="array" ref="R86">_xlfn.TEXTJOIN(",",TRUE,IF(CalculatorFC[CalculatorCode]&amp;CalculatorFC[Type]=Calculators[[#This Row],[CalculatorCode]]&amp;Calculators[[#Headers],[MultiplierFinanceCodes]],CalculatorFC[FinanceCode],""))</f>
        <v>UPLIFT_PUPILINC%</v>
      </c>
      <c r="S86" s="80" t="str" cm="1">
        <f t="array" ref="S86">_xlfn.TEXTJOIN(",",TRUE,IF(CalculatorFC[CalculatorCode]&amp;CalculatorFC[Type]=Calculators[[#This Row],[CalculatorCode]]&amp;Calculators[[#Headers],[MultiplierGroupingCodes]],CalculatorFC[FinanceCode],""))</f>
        <v/>
      </c>
      <c r="T86" t="s">
        <v>1305</v>
      </c>
      <c r="U86" t="s">
        <v>1306</v>
      </c>
      <c r="V86" t="b">
        <v>0</v>
      </c>
      <c r="W86" t="b">
        <v>0</v>
      </c>
      <c r="X86" t="b">
        <v>0</v>
      </c>
      <c r="Y86" t="b">
        <v>0</v>
      </c>
      <c r="Z86" t="b">
        <v>1</v>
      </c>
      <c r="AA86" t="b">
        <v>1</v>
      </c>
      <c r="AB86" t="b">
        <v>0</v>
      </c>
      <c r="AC86">
        <v>0</v>
      </c>
      <c r="AD86" t="b">
        <v>0</v>
      </c>
      <c r="AE86" t="b">
        <v>0</v>
      </c>
      <c r="AF86" t="b">
        <v>0</v>
      </c>
      <c r="AG86" t="b">
        <v>0</v>
      </c>
      <c r="AH86" t="b">
        <v>0</v>
      </c>
      <c r="AI86" t="b">
        <v>0</v>
      </c>
      <c r="AJ86" t="b">
        <v>0</v>
      </c>
      <c r="AK86" t="b">
        <v>0</v>
      </c>
      <c r="AL86" t="b">
        <v>0</v>
      </c>
      <c r="AM86">
        <v>100</v>
      </c>
      <c r="AN86" t="b">
        <v>0</v>
      </c>
      <c r="AO86" t="b">
        <v>0</v>
      </c>
      <c r="AP86" t="b">
        <v>0</v>
      </c>
      <c r="AQ86" t="b">
        <v>1</v>
      </c>
      <c r="AR86" t="b">
        <v>1</v>
      </c>
      <c r="AS86" t="b">
        <v>1</v>
      </c>
      <c r="AT86" t="b">
        <v>0</v>
      </c>
      <c r="AU86" t="b">
        <v>0</v>
      </c>
      <c r="AV86" t="b">
        <v>0</v>
      </c>
      <c r="AW86">
        <v>0</v>
      </c>
      <c r="AX86" t="b">
        <v>0</v>
      </c>
      <c r="AY86" t="b">
        <v>0</v>
      </c>
      <c r="AZ86" t="b">
        <v>1</v>
      </c>
      <c r="BA86">
        <v>0</v>
      </c>
      <c r="BB86" t="s">
        <v>51</v>
      </c>
      <c r="BC86">
        <v>0</v>
      </c>
    </row>
    <row r="87" spans="1:55" x14ac:dyDescent="0.3">
      <c r="A87" s="80">
        <f t="shared" si="2"/>
        <v>0</v>
      </c>
      <c r="B87" s="80">
        <f>SUMIFS(CalculatorFC[FinCodeIssue],CalculatorFC[CalculatorCode],Calculators[[#This Row],[CalculatorCode]])</f>
        <v>0</v>
      </c>
      <c r="C87" s="80">
        <f>IF(LEN(Calculators[[#This Row],[CalculatorCode]])&lt;100,0,1)</f>
        <v>0</v>
      </c>
      <c r="D87" s="86">
        <f>IF(LEN(Calculators[[#This Row],[Title]])&lt;100,0,1)</f>
        <v>0</v>
      </c>
      <c r="E87" s="86">
        <f>(COUNTIF(CalculatorTypeCode[CalculatorTypeCode],Calculators[[#This Row],[CalculatorTypeCode]])-1)*-1</f>
        <v>0</v>
      </c>
      <c r="F87"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87"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87"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87" s="86">
        <f>IF(OR(Calculators[[#This Row],[CalculatorEnabled]]=TRUE,Calculators[[#This Row],[CalculatorEnabled]]=FALSE),0,1)</f>
        <v>0</v>
      </c>
      <c r="J87" s="86">
        <f>IF(ISBLANK(Calculators[[#This Row],[Title]])=TRUE,1,0)</f>
        <v>0</v>
      </c>
      <c r="K87" s="86">
        <f>IF(EXACT(Calculators[[#This Row],[CalculatorCode]],UPPER(Calculators[[#This Row],[CalculatorCode]])),0,1)</f>
        <v>0</v>
      </c>
      <c r="L87" s="86">
        <f>IF(SUBSTITUTE(TEXT(Calculators[[#This Row],[CalculatorCode]],10)," ","")=TEXT(Calculators[[#This Row],[CalculatorCode]],10),0,1)</f>
        <v>0</v>
      </c>
      <c r="M87" s="80">
        <f>SUM(Calculators[[#This Row],[Blank Data]:[Space in Code]])</f>
        <v>0</v>
      </c>
      <c r="N87" s="80" t="str" cm="1">
        <f t="array" ref="N87">_xlfn.TEXTJOIN(",",TRUE,IF(CalculatorFC[CalculatorCode]&amp;CalculatorFC[Type]=Calculators[[#This Row],[CalculatorCode]]&amp;Calculators[[#Headers],[SourceFinanceCodes]],CalculatorFC[FinanceCode],""))</f>
        <v/>
      </c>
      <c r="O87" s="80" t="str" cm="1">
        <f t="array" ref="O87">_xlfn.TEXTJOIN(",",TRUE,IF(CalculatorFC[CalculatorCode]&amp;CalculatorFC[Type]=Calculators[[#This Row],[CalculatorCode]]&amp;Calculators[[#Headers],[SourceGroupingCodes]],CalculatorFC[FinanceCode],""))</f>
        <v/>
      </c>
      <c r="P87" s="80" t="str" cm="1">
        <f t="array" ref="P87">_xlfn.TEXTJOIN(",",TRUE,IF(CalculatorFC[CalculatorCode]&amp;CalculatorFC[Type]=Calculators[[#This Row],[CalculatorCode]]&amp;Calculators[[#Headers],[DivisorFinanceCodes]],CalculatorFC[FinanceCode],""))</f>
        <v>FUNDED_KS1</v>
      </c>
      <c r="Q87" s="80" t="str" cm="1">
        <f t="array" ref="Q87">_xlfn.TEXTJOIN(",",TRUE,IF(CalculatorFC[CalculatorCode]&amp;CalculatorFC[Type]=Calculators[[#This Row],[CalculatorCode]]&amp;Calculators[[#Headers],[DivisorGroupingCodes]],CalculatorFC[FinanceCode],""))</f>
        <v/>
      </c>
      <c r="R87" s="80" t="str" cm="1">
        <f t="array" ref="R87">_xlfn.TEXTJOIN(",",TRUE,IF(CalculatorFC[CalculatorCode]&amp;CalculatorFC[Type]=Calculators[[#This Row],[CalculatorCode]]&amp;Calculators[[#Headers],[MultiplierFinanceCodes]],CalculatorFC[FinanceCode],""))</f>
        <v>FUNDED_KS1</v>
      </c>
      <c r="S87" s="80" t="str" cm="1">
        <f t="array" ref="S87">_xlfn.TEXTJOIN(",",TRUE,IF(CalculatorFC[CalculatorCode]&amp;CalculatorFC[Type]=Calculators[[#This Row],[CalculatorCode]]&amp;Calculators[[#Headers],[MultiplierGroupingCodes]],CalculatorFC[FinanceCode],""))</f>
        <v/>
      </c>
      <c r="T87" t="s">
        <v>1221</v>
      </c>
      <c r="U87" t="s">
        <v>1222</v>
      </c>
      <c r="V87" t="b">
        <v>0</v>
      </c>
      <c r="W87" t="b">
        <v>1</v>
      </c>
      <c r="X87" t="b">
        <v>1</v>
      </c>
      <c r="Y87" t="b">
        <v>1</v>
      </c>
      <c r="Z87" t="b">
        <v>1</v>
      </c>
      <c r="AA87" t="b">
        <v>1</v>
      </c>
      <c r="AB87" t="b">
        <v>0</v>
      </c>
      <c r="AC87">
        <v>0</v>
      </c>
      <c r="AD87" t="b">
        <v>0</v>
      </c>
      <c r="AE87" t="b">
        <v>0</v>
      </c>
      <c r="AF87" t="b">
        <v>0</v>
      </c>
      <c r="AG87" t="b">
        <v>1</v>
      </c>
      <c r="AH87" t="b">
        <v>1</v>
      </c>
      <c r="AI87" t="b">
        <v>1</v>
      </c>
      <c r="AJ87" t="b">
        <v>0</v>
      </c>
      <c r="AK87" t="b">
        <v>1</v>
      </c>
      <c r="AL87" t="b">
        <v>0</v>
      </c>
      <c r="AM87">
        <v>0</v>
      </c>
      <c r="AN87" t="b">
        <v>0</v>
      </c>
      <c r="AO87" t="b">
        <v>0</v>
      </c>
      <c r="AP87" t="b">
        <v>0</v>
      </c>
      <c r="AQ87" t="b">
        <v>1</v>
      </c>
      <c r="AR87" t="b">
        <v>1</v>
      </c>
      <c r="AS87" t="b">
        <v>1</v>
      </c>
      <c r="AT87" t="b">
        <v>0</v>
      </c>
      <c r="AU87" t="b">
        <v>0</v>
      </c>
      <c r="AV87" t="b">
        <v>0</v>
      </c>
      <c r="AW87">
        <v>0</v>
      </c>
      <c r="AX87" t="b">
        <v>0</v>
      </c>
      <c r="AY87" t="b">
        <v>0</v>
      </c>
      <c r="AZ87" t="b">
        <v>1</v>
      </c>
      <c r="BA87">
        <v>0</v>
      </c>
      <c r="BB87" t="s">
        <v>51</v>
      </c>
      <c r="BC87">
        <v>0</v>
      </c>
    </row>
    <row r="88" spans="1:55" x14ac:dyDescent="0.3">
      <c r="A88" s="80">
        <f t="shared" si="2"/>
        <v>0</v>
      </c>
      <c r="B88" s="80">
        <f>SUMIFS(CalculatorFC[FinCodeIssue],CalculatorFC[CalculatorCode],Calculators[[#This Row],[CalculatorCode]])</f>
        <v>0</v>
      </c>
      <c r="C88" s="80">
        <f>IF(LEN(Calculators[[#This Row],[CalculatorCode]])&lt;100,0,1)</f>
        <v>0</v>
      </c>
      <c r="D88" s="86">
        <f>IF(LEN(Calculators[[#This Row],[Title]])&lt;100,0,1)</f>
        <v>0</v>
      </c>
      <c r="E88" s="86">
        <f>(COUNTIF(CalculatorTypeCode[CalculatorTypeCode],Calculators[[#This Row],[CalculatorTypeCode]])-1)*-1</f>
        <v>0</v>
      </c>
      <c r="F88"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88"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88"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88" s="86">
        <f>IF(OR(Calculators[[#This Row],[CalculatorEnabled]]=TRUE,Calculators[[#This Row],[CalculatorEnabled]]=FALSE),0,1)</f>
        <v>0</v>
      </c>
      <c r="J88" s="86">
        <f>IF(ISBLANK(Calculators[[#This Row],[Title]])=TRUE,1,0)</f>
        <v>0</v>
      </c>
      <c r="K88" s="86">
        <f>IF(EXACT(Calculators[[#This Row],[CalculatorCode]],UPPER(Calculators[[#This Row],[CalculatorCode]])),0,1)</f>
        <v>0</v>
      </c>
      <c r="L88" s="86">
        <f>IF(SUBSTITUTE(TEXT(Calculators[[#This Row],[CalculatorCode]],10)," ","")=TEXT(Calculators[[#This Row],[CalculatorCode]],10),0,1)</f>
        <v>0</v>
      </c>
      <c r="M88" s="80">
        <f>SUM(Calculators[[#This Row],[Blank Data]:[Space in Code]])</f>
        <v>0</v>
      </c>
      <c r="N88" s="80" t="str" cm="1">
        <f t="array" ref="N88">_xlfn.TEXTJOIN(",",TRUE,IF(CalculatorFC[CalculatorCode]&amp;CalculatorFC[Type]=Calculators[[#This Row],[CalculatorCode]]&amp;Calculators[[#Headers],[SourceFinanceCodes]],CalculatorFC[FinanceCode],""))</f>
        <v/>
      </c>
      <c r="O88" s="80" t="str" cm="1">
        <f t="array" ref="O88">_xlfn.TEXTJOIN(",",TRUE,IF(CalculatorFC[CalculatorCode]&amp;CalculatorFC[Type]=Calculators[[#This Row],[CalculatorCode]]&amp;Calculators[[#Headers],[SourceGroupingCodes]],CalculatorFC[FinanceCode],""))</f>
        <v/>
      </c>
      <c r="P88" s="80" t="str" cm="1">
        <f t="array" ref="P88">_xlfn.TEXTJOIN(",",TRUE,IF(CalculatorFC[CalculatorCode]&amp;CalculatorFC[Type]=Calculators[[#This Row],[CalculatorCode]]&amp;Calculators[[#Headers],[DivisorFinanceCodes]],CalculatorFC[FinanceCode],""))</f>
        <v>PUPIL_CEN_01,PUPIL_CEN_02</v>
      </c>
      <c r="Q88" s="80" t="str" cm="1">
        <f t="array" ref="Q88">_xlfn.TEXTJOIN(",",TRUE,IF(CalculatorFC[CalculatorCode]&amp;CalculatorFC[Type]=Calculators[[#This Row],[CalculatorCode]]&amp;Calculators[[#Headers],[DivisorGroupingCodes]],CalculatorFC[FinanceCode],""))</f>
        <v/>
      </c>
      <c r="R88" s="80" t="str" cm="1">
        <f t="array" ref="R88">_xlfn.TEXTJOIN(",",TRUE,IF(CalculatorFC[CalculatorCode]&amp;CalculatorFC[Type]=Calculators[[#This Row],[CalculatorCode]]&amp;Calculators[[#Headers],[MultiplierFinanceCodes]],CalculatorFC[FinanceCode],""))</f>
        <v>PUPIL_CEN_01,PUPIL_CEN_02</v>
      </c>
      <c r="S88" s="80" t="str" cm="1">
        <f t="array" ref="S88">_xlfn.TEXTJOIN(",",TRUE,IF(CalculatorFC[CalculatorCode]&amp;CalculatorFC[Type]=Calculators[[#This Row],[CalculatorCode]]&amp;Calculators[[#Headers],[MultiplierGroupingCodes]],CalculatorFC[FinanceCode],""))</f>
        <v/>
      </c>
      <c r="T88" t="s">
        <v>1211</v>
      </c>
      <c r="U88" t="s">
        <v>1212</v>
      </c>
      <c r="V88" t="b">
        <v>0</v>
      </c>
      <c r="W88" t="b">
        <v>1</v>
      </c>
      <c r="X88" t="b">
        <v>1</v>
      </c>
      <c r="Y88" t="b">
        <v>1</v>
      </c>
      <c r="Z88" t="b">
        <v>1</v>
      </c>
      <c r="AA88" t="b">
        <v>1</v>
      </c>
      <c r="AB88" t="b">
        <v>0</v>
      </c>
      <c r="AC88">
        <v>0</v>
      </c>
      <c r="AD88" t="b">
        <v>0</v>
      </c>
      <c r="AE88" t="b">
        <v>0</v>
      </c>
      <c r="AF88" t="b">
        <v>0</v>
      </c>
      <c r="AG88" t="b">
        <v>1</v>
      </c>
      <c r="AH88" t="b">
        <v>1</v>
      </c>
      <c r="AI88" t="b">
        <v>1</v>
      </c>
      <c r="AJ88" t="b">
        <v>0</v>
      </c>
      <c r="AK88" t="b">
        <v>1</v>
      </c>
      <c r="AL88" t="b">
        <v>0</v>
      </c>
      <c r="AM88">
        <v>0</v>
      </c>
      <c r="AN88" t="b">
        <v>0</v>
      </c>
      <c r="AO88" t="b">
        <v>0</v>
      </c>
      <c r="AP88" t="b">
        <v>0</v>
      </c>
      <c r="AQ88" t="b">
        <v>1</v>
      </c>
      <c r="AR88" t="b">
        <v>1</v>
      </c>
      <c r="AS88" t="b">
        <v>1</v>
      </c>
      <c r="AT88" t="b">
        <v>0</v>
      </c>
      <c r="AU88" t="b">
        <v>0</v>
      </c>
      <c r="AV88" t="b">
        <v>0</v>
      </c>
      <c r="AW88">
        <v>0</v>
      </c>
      <c r="AX88" t="b">
        <v>0</v>
      </c>
      <c r="AY88" t="b">
        <v>0</v>
      </c>
      <c r="AZ88" t="b">
        <v>1</v>
      </c>
      <c r="BA88">
        <v>0</v>
      </c>
      <c r="BB88" t="s">
        <v>51</v>
      </c>
      <c r="BC88">
        <v>0</v>
      </c>
    </row>
    <row r="89" spans="1:55" x14ac:dyDescent="0.3">
      <c r="A89" s="80">
        <f t="shared" si="2"/>
        <v>0</v>
      </c>
      <c r="B89" s="80">
        <f>SUMIFS(CalculatorFC[FinCodeIssue],CalculatorFC[CalculatorCode],Calculators[[#This Row],[CalculatorCode]])</f>
        <v>0</v>
      </c>
      <c r="C89" s="80">
        <f>IF(LEN(Calculators[[#This Row],[CalculatorCode]])&lt;100,0,1)</f>
        <v>0</v>
      </c>
      <c r="D89" s="86">
        <f>IF(LEN(Calculators[[#This Row],[Title]])&lt;100,0,1)</f>
        <v>0</v>
      </c>
      <c r="E89" s="86">
        <f>(COUNTIF(CalculatorTypeCode[CalculatorTypeCode],Calculators[[#This Row],[CalculatorTypeCode]])-1)*-1</f>
        <v>0</v>
      </c>
      <c r="F89"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89"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89"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89" s="86">
        <f>IF(OR(Calculators[[#This Row],[CalculatorEnabled]]=TRUE,Calculators[[#This Row],[CalculatorEnabled]]=FALSE),0,1)</f>
        <v>0</v>
      </c>
      <c r="J89" s="86">
        <f>IF(ISBLANK(Calculators[[#This Row],[Title]])=TRUE,1,0)</f>
        <v>0</v>
      </c>
      <c r="K89" s="86">
        <f>IF(EXACT(Calculators[[#This Row],[CalculatorCode]],UPPER(Calculators[[#This Row],[CalculatorCode]])),0,1)</f>
        <v>0</v>
      </c>
      <c r="L89" s="86">
        <f>IF(SUBSTITUTE(TEXT(Calculators[[#This Row],[CalculatorCode]],10)," ","")=TEXT(Calculators[[#This Row],[CalculatorCode]],10),0,1)</f>
        <v>0</v>
      </c>
      <c r="M89" s="80">
        <f>SUM(Calculators[[#This Row],[Blank Data]:[Space in Code]])</f>
        <v>0</v>
      </c>
      <c r="N89" s="80" t="str" cm="1">
        <f t="array" ref="N89">_xlfn.TEXTJOIN(",",TRUE,IF(CalculatorFC[CalculatorCode]&amp;CalculatorFC[Type]=Calculators[[#This Row],[CalculatorCode]]&amp;Calculators[[#Headers],[SourceFinanceCodes]],CalculatorFC[FinanceCode],""))</f>
        <v/>
      </c>
      <c r="O89" s="80" t="str" cm="1">
        <f t="array" ref="O89">_xlfn.TEXTJOIN(",",TRUE,IF(CalculatorFC[CalculatorCode]&amp;CalculatorFC[Type]=Calculators[[#This Row],[CalculatorCode]]&amp;Calculators[[#Headers],[SourceGroupingCodes]],CalculatorFC[FinanceCode],""))</f>
        <v/>
      </c>
      <c r="P89" s="80" t="str" cm="1">
        <f t="array" ref="P89">_xlfn.TEXTJOIN(",",TRUE,IF(CalculatorFC[CalculatorCode]&amp;CalculatorFC[Type]=Calculators[[#This Row],[CalculatorCode]]&amp;Calculators[[#Headers],[DivisorFinanceCodes]],CalculatorFC[FinanceCode],""))</f>
        <v>FUNDED_KS2</v>
      </c>
      <c r="Q89" s="80" t="str" cm="1">
        <f t="array" ref="Q89">_xlfn.TEXTJOIN(",",TRUE,IF(CalculatorFC[CalculatorCode]&amp;CalculatorFC[Type]=Calculators[[#This Row],[CalculatorCode]]&amp;Calculators[[#Headers],[DivisorGroupingCodes]],CalculatorFC[FinanceCode],""))</f>
        <v/>
      </c>
      <c r="R89" s="80" t="str" cm="1">
        <f t="array" ref="R89">_xlfn.TEXTJOIN(",",TRUE,IF(CalculatorFC[CalculatorCode]&amp;CalculatorFC[Type]=Calculators[[#This Row],[CalculatorCode]]&amp;Calculators[[#Headers],[MultiplierFinanceCodes]],CalculatorFC[FinanceCode],""))</f>
        <v>FUNDED_KS2</v>
      </c>
      <c r="S89" s="80" t="str" cm="1">
        <f t="array" ref="S89">_xlfn.TEXTJOIN(",",TRUE,IF(CalculatorFC[CalculatorCode]&amp;CalculatorFC[Type]=Calculators[[#This Row],[CalculatorCode]]&amp;Calculators[[#Headers],[MultiplierGroupingCodes]],CalculatorFC[FinanceCode],""))</f>
        <v/>
      </c>
      <c r="T89" t="s">
        <v>1223</v>
      </c>
      <c r="U89" t="s">
        <v>1224</v>
      </c>
      <c r="V89" t="b">
        <v>0</v>
      </c>
      <c r="W89" t="b">
        <v>1</v>
      </c>
      <c r="X89" t="b">
        <v>1</v>
      </c>
      <c r="Y89" t="b">
        <v>1</v>
      </c>
      <c r="Z89" t="b">
        <v>1</v>
      </c>
      <c r="AA89" t="b">
        <v>1</v>
      </c>
      <c r="AB89" t="b">
        <v>0</v>
      </c>
      <c r="AC89">
        <v>0</v>
      </c>
      <c r="AD89" t="b">
        <v>0</v>
      </c>
      <c r="AE89" t="b">
        <v>0</v>
      </c>
      <c r="AF89" t="b">
        <v>0</v>
      </c>
      <c r="AG89" t="b">
        <v>1</v>
      </c>
      <c r="AH89" t="b">
        <v>1</v>
      </c>
      <c r="AI89" t="b">
        <v>1</v>
      </c>
      <c r="AJ89" t="b">
        <v>0</v>
      </c>
      <c r="AK89" t="b">
        <v>1</v>
      </c>
      <c r="AL89" t="b">
        <v>0</v>
      </c>
      <c r="AM89">
        <v>0</v>
      </c>
      <c r="AN89" t="b">
        <v>0</v>
      </c>
      <c r="AO89" t="b">
        <v>0</v>
      </c>
      <c r="AP89" t="b">
        <v>0</v>
      </c>
      <c r="AQ89" t="b">
        <v>1</v>
      </c>
      <c r="AR89" t="b">
        <v>1</v>
      </c>
      <c r="AS89" t="b">
        <v>1</v>
      </c>
      <c r="AT89" t="b">
        <v>0</v>
      </c>
      <c r="AU89" t="b">
        <v>0</v>
      </c>
      <c r="AV89" t="b">
        <v>0</v>
      </c>
      <c r="AW89">
        <v>0</v>
      </c>
      <c r="AX89" t="b">
        <v>0</v>
      </c>
      <c r="AY89" t="b">
        <v>0</v>
      </c>
      <c r="AZ89" t="b">
        <v>1</v>
      </c>
      <c r="BA89">
        <v>0</v>
      </c>
      <c r="BB89" t="s">
        <v>51</v>
      </c>
      <c r="BC89">
        <v>0</v>
      </c>
    </row>
    <row r="90" spans="1:55" x14ac:dyDescent="0.3">
      <c r="A90" s="80">
        <f t="shared" si="2"/>
        <v>0</v>
      </c>
      <c r="B90" s="80">
        <f>SUMIFS(CalculatorFC[FinCodeIssue],CalculatorFC[CalculatorCode],Calculators[[#This Row],[CalculatorCode]])</f>
        <v>0</v>
      </c>
      <c r="C90" s="80">
        <f>IF(LEN(Calculators[[#This Row],[CalculatorCode]])&lt;100,0,1)</f>
        <v>0</v>
      </c>
      <c r="D90" s="86">
        <f>IF(LEN(Calculators[[#This Row],[Title]])&lt;100,0,1)</f>
        <v>0</v>
      </c>
      <c r="E90" s="86">
        <f>(COUNTIF(CalculatorTypeCode[CalculatorTypeCode],Calculators[[#This Row],[CalculatorTypeCode]])-1)*-1</f>
        <v>0</v>
      </c>
      <c r="F90"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90"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90"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90" s="86">
        <f>IF(OR(Calculators[[#This Row],[CalculatorEnabled]]=TRUE,Calculators[[#This Row],[CalculatorEnabled]]=FALSE),0,1)</f>
        <v>0</v>
      </c>
      <c r="J90" s="86">
        <f>IF(ISBLANK(Calculators[[#This Row],[Title]])=TRUE,1,0)</f>
        <v>0</v>
      </c>
      <c r="K90" s="86">
        <f>IF(EXACT(Calculators[[#This Row],[CalculatorCode]],UPPER(Calculators[[#This Row],[CalculatorCode]])),0,1)</f>
        <v>0</v>
      </c>
      <c r="L90" s="86">
        <f>IF(SUBSTITUTE(TEXT(Calculators[[#This Row],[CalculatorCode]],10)," ","")=TEXT(Calculators[[#This Row],[CalculatorCode]],10),0,1)</f>
        <v>0</v>
      </c>
      <c r="M90" s="80">
        <f>SUM(Calculators[[#This Row],[Blank Data]:[Space in Code]])</f>
        <v>0</v>
      </c>
      <c r="N90" s="80" t="str" cm="1">
        <f t="array" ref="N90">_xlfn.TEXTJOIN(",",TRUE,IF(CalculatorFC[CalculatorCode]&amp;CalculatorFC[Type]=Calculators[[#This Row],[CalculatorCode]]&amp;Calculators[[#Headers],[SourceFinanceCodes]],CalculatorFC[FinanceCode],""))</f>
        <v/>
      </c>
      <c r="O90" s="80" t="str" cm="1">
        <f t="array" ref="O90">_xlfn.TEXTJOIN(",",TRUE,IF(CalculatorFC[CalculatorCode]&amp;CalculatorFC[Type]=Calculators[[#This Row],[CalculatorCode]]&amp;Calculators[[#Headers],[SourceGroupingCodes]],CalculatorFC[FinanceCode],""))</f>
        <v/>
      </c>
      <c r="P90" s="80" t="str" cm="1">
        <f t="array" ref="P90">_xlfn.TEXTJOIN(",",TRUE,IF(CalculatorFC[CalculatorCode]&amp;CalculatorFC[Type]=Calculators[[#This Row],[CalculatorCode]]&amp;Calculators[[#Headers],[DivisorFinanceCodes]],CalculatorFC[FinanceCode],""))</f>
        <v>PUPIL_CEN_03,PUPIL_CEN_04,PUPIL_CEN_05,PUPIL_CEN_06</v>
      </c>
      <c r="Q90" s="80" t="str" cm="1">
        <f t="array" ref="Q90">_xlfn.TEXTJOIN(",",TRUE,IF(CalculatorFC[CalculatorCode]&amp;CalculatorFC[Type]=Calculators[[#This Row],[CalculatorCode]]&amp;Calculators[[#Headers],[DivisorGroupingCodes]],CalculatorFC[FinanceCode],""))</f>
        <v/>
      </c>
      <c r="R90" s="80" t="str" cm="1">
        <f t="array" ref="R90">_xlfn.TEXTJOIN(",",TRUE,IF(CalculatorFC[CalculatorCode]&amp;CalculatorFC[Type]=Calculators[[#This Row],[CalculatorCode]]&amp;Calculators[[#Headers],[MultiplierFinanceCodes]],CalculatorFC[FinanceCode],""))</f>
        <v>PUPIL_CEN_03,PUPIL_CEN_04,PUPIL_CEN_05,PUPIL_CEN_06</v>
      </c>
      <c r="S90" s="80" t="str" cm="1">
        <f t="array" ref="S90">_xlfn.TEXTJOIN(",",TRUE,IF(CalculatorFC[CalculatorCode]&amp;CalculatorFC[Type]=Calculators[[#This Row],[CalculatorCode]]&amp;Calculators[[#Headers],[MultiplierGroupingCodes]],CalculatorFC[FinanceCode],""))</f>
        <v/>
      </c>
      <c r="T90" t="s">
        <v>1213</v>
      </c>
      <c r="U90" t="s">
        <v>1214</v>
      </c>
      <c r="V90" t="b">
        <v>0</v>
      </c>
      <c r="W90" t="b">
        <v>1</v>
      </c>
      <c r="X90" t="b">
        <v>1</v>
      </c>
      <c r="Y90" t="b">
        <v>1</v>
      </c>
      <c r="Z90" t="b">
        <v>1</v>
      </c>
      <c r="AA90" t="b">
        <v>1</v>
      </c>
      <c r="AB90" t="b">
        <v>0</v>
      </c>
      <c r="AC90">
        <v>0</v>
      </c>
      <c r="AD90" t="b">
        <v>0</v>
      </c>
      <c r="AE90" t="b">
        <v>0</v>
      </c>
      <c r="AF90" t="b">
        <v>0</v>
      </c>
      <c r="AG90" t="b">
        <v>1</v>
      </c>
      <c r="AH90" t="b">
        <v>1</v>
      </c>
      <c r="AI90" t="b">
        <v>1</v>
      </c>
      <c r="AJ90" t="b">
        <v>0</v>
      </c>
      <c r="AK90" t="b">
        <v>1</v>
      </c>
      <c r="AL90" t="b">
        <v>0</v>
      </c>
      <c r="AM90">
        <v>0</v>
      </c>
      <c r="AN90" t="b">
        <v>0</v>
      </c>
      <c r="AO90" t="b">
        <v>0</v>
      </c>
      <c r="AP90" t="b">
        <v>0</v>
      </c>
      <c r="AQ90" t="b">
        <v>1</v>
      </c>
      <c r="AR90" t="b">
        <v>1</v>
      </c>
      <c r="AS90" t="b">
        <v>1</v>
      </c>
      <c r="AT90" t="b">
        <v>0</v>
      </c>
      <c r="AU90" t="b">
        <v>0</v>
      </c>
      <c r="AV90" t="b">
        <v>0</v>
      </c>
      <c r="AW90">
        <v>0</v>
      </c>
      <c r="AX90" t="b">
        <v>0</v>
      </c>
      <c r="AY90" t="b">
        <v>0</v>
      </c>
      <c r="AZ90" t="b">
        <v>1</v>
      </c>
      <c r="BA90">
        <v>0</v>
      </c>
      <c r="BB90" t="s">
        <v>51</v>
      </c>
      <c r="BC90">
        <v>0</v>
      </c>
    </row>
    <row r="91" spans="1:55" hidden="1" x14ac:dyDescent="0.3">
      <c r="A91" s="80">
        <f t="shared" si="2"/>
        <v>0</v>
      </c>
      <c r="B91" s="80">
        <f>SUMIFS(CalculatorFC[FinCodeIssue],CalculatorFC[CalculatorCode],Calculators[[#This Row],[CalculatorCode]])</f>
        <v>8</v>
      </c>
      <c r="C91" s="80">
        <f>IF(LEN(Calculators[[#This Row],[CalculatorCode]])&lt;100,0,1)</f>
        <v>0</v>
      </c>
      <c r="D91" s="86">
        <f>IF(LEN(Calculators[[#This Row],[Title]])&lt;100,0,1)</f>
        <v>0</v>
      </c>
      <c r="E91" s="86">
        <f>(COUNTIF(CalculatorTypeCode[CalculatorTypeCode],Calculators[[#This Row],[CalculatorTypeCode]])-1)*-1</f>
        <v>0</v>
      </c>
      <c r="F91"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91"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91"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91" s="86">
        <f>IF(OR(Calculators[[#This Row],[CalculatorEnabled]]=TRUE,Calculators[[#This Row],[CalculatorEnabled]]=FALSE),0,1)</f>
        <v>0</v>
      </c>
      <c r="J91" s="86">
        <f>IF(ISBLANK(Calculators[[#This Row],[Title]])=TRUE,1,0)</f>
        <v>0</v>
      </c>
      <c r="K91" s="86">
        <f>IF(EXACT(Calculators[[#This Row],[CalculatorCode]],UPPER(Calculators[[#This Row],[CalculatorCode]])),0,1)</f>
        <v>0</v>
      </c>
      <c r="L91" s="86">
        <f>IF(SUBSTITUTE(TEXT(Calculators[[#This Row],[CalculatorCode]],10)," ","")=TEXT(Calculators[[#This Row],[CalculatorCode]],10),0,1)</f>
        <v>0</v>
      </c>
      <c r="M91" s="80">
        <f>SUM(Calculators[[#This Row],[Blank Data]:[Space in Code]])</f>
        <v>8</v>
      </c>
      <c r="N91" s="80" t="str" cm="1">
        <f t="array" ref="N91">_xlfn.TEXTJOIN(",",TRUE,IF(CalculatorFC[CalculatorCode]&amp;CalculatorFC[Type]=Calculators[[#This Row],[CalculatorCode]]&amp;Calculators[[#Headers],[SourceFinanceCodes]],CalculatorFC[FinanceCode],""))</f>
        <v/>
      </c>
      <c r="O91" s="80" t="str" cm="1">
        <f t="array" ref="O91">_xlfn.TEXTJOIN(",",TRUE,IF(CalculatorFC[CalculatorCode]&amp;CalculatorFC[Type]=Calculators[[#This Row],[CalculatorCode]]&amp;Calculators[[#Headers],[SourceGroupingCodes]],CalculatorFC[FinanceCode],""))</f>
        <v/>
      </c>
      <c r="P91" s="80" t="str" cm="1">
        <f t="array" ref="P91">_xlfn.TEXTJOIN(",",TRUE,IF(CalculatorFC[CalculatorCode]&amp;CalculatorFC[Type]=Calculators[[#This Row],[CalculatorCode]]&amp;Calculators[[#Headers],[DivisorFinanceCodes]],CalculatorFC[FinanceCode],""))</f>
        <v>FUNDED_FS,FUNDED_KS1,FUNDED_KS2,FUNDED_KS3,FUNDED_KS3_ADJ,FUNDED_KS4,FUNDED_KS4_ADJ,FUNDED_PRI_ADJ</v>
      </c>
      <c r="Q91" s="80" t="str" cm="1">
        <f t="array" ref="Q91">_xlfn.TEXTJOIN(",",TRUE,IF(CalculatorFC[CalculatorCode]&amp;CalculatorFC[Type]=Calculators[[#This Row],[CalculatorCode]]&amp;Calculators[[#Headers],[DivisorGroupingCodes]],CalculatorFC[FinanceCode],""))</f>
        <v/>
      </c>
      <c r="R91" s="80" t="str" cm="1">
        <f t="array" ref="R91">_xlfn.TEXTJOIN(",",TRUE,IF(CalculatorFC[CalculatorCode]&amp;CalculatorFC[Type]=Calculators[[#This Row],[CalculatorCode]]&amp;Calculators[[#Headers],[MultiplierFinanceCodes]],CalculatorFC[FinanceCode],""))</f>
        <v>FUNDED_FS,FUNDED_KS1,FUNDED_KS2,FUNDED_KS3,FUNDED_KS3_ADJ,FUNDED_KS4,FUNDED_KS4_ADJ,FUNDED_PRI_ADJ</v>
      </c>
      <c r="S91" s="80" t="str" cm="1">
        <f t="array" ref="S91">_xlfn.TEXTJOIN(",",TRUE,IF(CalculatorFC[CalculatorCode]&amp;CalculatorFC[Type]=Calculators[[#This Row],[CalculatorCode]]&amp;Calculators[[#Headers],[MultiplierGroupingCodes]],CalculatorFC[FinanceCode],""))</f>
        <v/>
      </c>
      <c r="T91" t="s">
        <v>1240</v>
      </c>
      <c r="U91" t="s">
        <v>1241</v>
      </c>
      <c r="V91" t="b">
        <v>0</v>
      </c>
      <c r="W91" t="b">
        <v>1</v>
      </c>
      <c r="X91" t="b">
        <v>1</v>
      </c>
      <c r="Y91" t="b">
        <v>1</v>
      </c>
      <c r="Z91" t="b">
        <v>1</v>
      </c>
      <c r="AA91" t="b">
        <v>1</v>
      </c>
      <c r="AB91" t="b">
        <v>0</v>
      </c>
      <c r="AC91">
        <v>0</v>
      </c>
      <c r="AD91" t="b">
        <v>0</v>
      </c>
      <c r="AE91" t="b">
        <v>0</v>
      </c>
      <c r="AF91" t="b">
        <v>0</v>
      </c>
      <c r="AG91" t="b">
        <v>1</v>
      </c>
      <c r="AH91" t="b">
        <v>1</v>
      </c>
      <c r="AI91" t="b">
        <v>1</v>
      </c>
      <c r="AJ91" t="b">
        <v>0</v>
      </c>
      <c r="AK91" t="b">
        <v>1</v>
      </c>
      <c r="AL91" t="b">
        <v>0</v>
      </c>
      <c r="AM91">
        <v>0</v>
      </c>
      <c r="AN91" t="b">
        <v>0</v>
      </c>
      <c r="AO91" t="b">
        <v>0</v>
      </c>
      <c r="AP91" t="b">
        <v>0</v>
      </c>
      <c r="AQ91" t="b">
        <v>1</v>
      </c>
      <c r="AR91" t="b">
        <v>1</v>
      </c>
      <c r="AS91" t="b">
        <v>1</v>
      </c>
      <c r="AT91" t="b">
        <v>0</v>
      </c>
      <c r="AU91" t="b">
        <v>0</v>
      </c>
      <c r="AV91" t="b">
        <v>0</v>
      </c>
      <c r="AW91">
        <v>0</v>
      </c>
      <c r="AX91" t="b">
        <v>0</v>
      </c>
      <c r="AY91" t="b">
        <v>0</v>
      </c>
      <c r="AZ91" t="b">
        <v>1</v>
      </c>
      <c r="BA91">
        <v>0</v>
      </c>
      <c r="BB91" t="s">
        <v>51</v>
      </c>
      <c r="BC91">
        <v>0</v>
      </c>
    </row>
    <row r="92" spans="1:55" hidden="1" x14ac:dyDescent="0.3">
      <c r="A92" s="80">
        <f t="shared" si="2"/>
        <v>0</v>
      </c>
      <c r="B92" s="80">
        <f>SUMIFS(CalculatorFC[FinCodeIssue],CalculatorFC[CalculatorCode],Calculators[[#This Row],[CalculatorCode]])</f>
        <v>16</v>
      </c>
      <c r="C92" s="80">
        <f>IF(LEN(Calculators[[#This Row],[CalculatorCode]])&lt;100,0,1)</f>
        <v>0</v>
      </c>
      <c r="D92" s="86">
        <f>IF(LEN(Calculators[[#This Row],[Title]])&lt;100,0,1)</f>
        <v>0</v>
      </c>
      <c r="E92" s="86">
        <f>(COUNTIF(CalculatorTypeCode[CalculatorTypeCode],Calculators[[#This Row],[CalculatorTypeCode]])-1)*-1</f>
        <v>0</v>
      </c>
      <c r="F92"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92"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92"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92" s="86">
        <f>IF(OR(Calculators[[#This Row],[CalculatorEnabled]]=TRUE,Calculators[[#This Row],[CalculatorEnabled]]=FALSE),0,1)</f>
        <v>0</v>
      </c>
      <c r="J92" s="86">
        <f>IF(ISBLANK(Calculators[[#This Row],[Title]])=TRUE,1,0)</f>
        <v>0</v>
      </c>
      <c r="K92" s="86">
        <f>IF(EXACT(Calculators[[#This Row],[CalculatorCode]],UPPER(Calculators[[#This Row],[CalculatorCode]])),0,1)</f>
        <v>0</v>
      </c>
      <c r="L92" s="86">
        <f>IF(SUBSTITUTE(TEXT(Calculators[[#This Row],[CalculatorCode]],10)," ","")=TEXT(Calculators[[#This Row],[CalculatorCode]],10),0,1)</f>
        <v>0</v>
      </c>
      <c r="M92" s="80">
        <f>SUM(Calculators[[#This Row],[Blank Data]:[Space in Code]])</f>
        <v>16</v>
      </c>
      <c r="N92" s="80" t="str" cm="1">
        <f t="array" ref="N92">_xlfn.TEXTJOIN(",",TRUE,IF(CalculatorFC[CalculatorCode]&amp;CalculatorFC[Type]=Calculators[[#This Row],[CalculatorCode]]&amp;Calculators[[#Headers],[SourceFinanceCodes]],CalculatorFC[FinanceCode],""))</f>
        <v/>
      </c>
      <c r="O92" s="80" t="str" cm="1">
        <f t="array" ref="O92">_xlfn.TEXTJOIN(",",TRUE,IF(CalculatorFC[CalculatorCode]&amp;CalculatorFC[Type]=Calculators[[#This Row],[CalculatorCode]]&amp;Calculators[[#Headers],[SourceGroupingCodes]],CalculatorFC[FinanceCode],""))</f>
        <v/>
      </c>
      <c r="P92" s="80" t="str" cm="1">
        <f t="array" ref="P92">_xlfn.TEXTJOIN(",",TRUE,IF(CalculatorFC[CalculatorCode]&amp;CalculatorFC[Type]=Calculators[[#This Row],[CalculatorCode]]&amp;Calculators[[#Headers],[DivisorFinanceCodes]],CalculatorFC[FinanceCode],""))</f>
        <v>PUPIL_CEN_00,PUPIL_CEN_01,PUPIL_CEN_02,PUPIL_CEN_03,PUPIL_CEN_04,PUPIL_CEN_05,PUPIL_CEN_06,PUPIL_CEN_07,PUPIL_CEN_08,PUPIL_CEN_09,PUPIL_CEN_10,PUPIL_CEN_11,PUPIL_CEN_12,PUPIL_CEN_13,PUPIL_CEN_14</v>
      </c>
      <c r="Q92" s="80" t="str" cm="1">
        <f t="array" ref="Q92">_xlfn.TEXTJOIN(",",TRUE,IF(CalculatorFC[CalculatorCode]&amp;CalculatorFC[Type]=Calculators[[#This Row],[CalculatorCode]]&amp;Calculators[[#Headers],[DivisorGroupingCodes]],CalculatorFC[FinanceCode],""))</f>
        <v/>
      </c>
      <c r="R92" s="80" t="str" cm="1">
        <f t="array" ref="R92">_xlfn.TEXTJOIN(",",TRUE,IF(CalculatorFC[CalculatorCode]&amp;CalculatorFC[Type]=Calculators[[#This Row],[CalculatorCode]]&amp;Calculators[[#Headers],[MultiplierFinanceCodes]],CalculatorFC[FinanceCode],""))</f>
        <v>PUPIL_CEN_00,PUPIL_CEN_01,PUPIL_CEN_02,PUPIL_CEN_03,PUPIL_CEN_04,PUPIL_CEN_05,PUPIL_CEN_06,PUPIL_CEN_07,PUPIL_CEN_08,PUPIL_CEN_09,PUPIL_CEN_10,PUPIL_CEN_11,PUPIL_CEN_12,PUPIL_CEN_13,PUPIL_CEN_14</v>
      </c>
      <c r="S92" s="80" t="str" cm="1">
        <f t="array" ref="S92">_xlfn.TEXTJOIN(",",TRUE,IF(CalculatorFC[CalculatorCode]&amp;CalculatorFC[Type]=Calculators[[#This Row],[CalculatorCode]]&amp;Calculators[[#Headers],[MultiplierGroupingCodes]],CalculatorFC[FinanceCode],""))</f>
        <v/>
      </c>
      <c r="T92" t="s">
        <v>1238</v>
      </c>
      <c r="U92" t="s">
        <v>1239</v>
      </c>
      <c r="V92" t="b">
        <v>0</v>
      </c>
      <c r="W92" t="b">
        <v>1</v>
      </c>
      <c r="X92" t="b">
        <v>1</v>
      </c>
      <c r="Y92" t="b">
        <v>1</v>
      </c>
      <c r="Z92" t="b">
        <v>1</v>
      </c>
      <c r="AA92" t="b">
        <v>1</v>
      </c>
      <c r="AB92" t="b">
        <v>0</v>
      </c>
      <c r="AC92">
        <v>0</v>
      </c>
      <c r="AD92" t="b">
        <v>0</v>
      </c>
      <c r="AE92" t="b">
        <v>0</v>
      </c>
      <c r="AF92" t="b">
        <v>0</v>
      </c>
      <c r="AG92" t="b">
        <v>1</v>
      </c>
      <c r="AH92" t="b">
        <v>1</v>
      </c>
      <c r="AI92" t="b">
        <v>1</v>
      </c>
      <c r="AJ92" t="b">
        <v>0</v>
      </c>
      <c r="AK92" t="b">
        <v>1</v>
      </c>
      <c r="AL92" t="b">
        <v>0</v>
      </c>
      <c r="AM92">
        <v>0</v>
      </c>
      <c r="AN92" t="b">
        <v>0</v>
      </c>
      <c r="AO92" t="b">
        <v>0</v>
      </c>
      <c r="AP92" t="b">
        <v>0</v>
      </c>
      <c r="AQ92" t="b">
        <v>1</v>
      </c>
      <c r="AR92" t="b">
        <v>1</v>
      </c>
      <c r="AS92" t="b">
        <v>1</v>
      </c>
      <c r="AT92" t="b">
        <v>0</v>
      </c>
      <c r="AU92" t="b">
        <v>0</v>
      </c>
      <c r="AV92" t="b">
        <v>0</v>
      </c>
      <c r="AW92">
        <v>0</v>
      </c>
      <c r="AX92" t="b">
        <v>0</v>
      </c>
      <c r="AY92" t="b">
        <v>0</v>
      </c>
      <c r="AZ92" t="b">
        <v>1</v>
      </c>
      <c r="BA92">
        <v>0</v>
      </c>
      <c r="BB92" t="s">
        <v>51</v>
      </c>
      <c r="BC92">
        <v>0</v>
      </c>
    </row>
    <row r="93" spans="1:55" hidden="1" x14ac:dyDescent="0.3">
      <c r="A93" s="80">
        <f t="shared" si="2"/>
        <v>0</v>
      </c>
      <c r="B93" s="80">
        <f>SUMIFS(CalculatorFC[FinCodeIssue],CalculatorFC[CalculatorCode],Calculators[[#This Row],[CalculatorCode]])</f>
        <v>0</v>
      </c>
      <c r="C93" s="80">
        <f>IF(LEN(Calculators[[#This Row],[CalculatorCode]])&lt;100,0,1)</f>
        <v>0</v>
      </c>
      <c r="D93" s="86">
        <f>IF(LEN(Calculators[[#This Row],[Title]])&lt;100,0,1)</f>
        <v>0</v>
      </c>
      <c r="E93" s="86">
        <f>(COUNTIF(CalculatorTypeCode[CalculatorTypeCode],Calculators[[#This Row],[CalculatorTypeCode]])-1)*-1</f>
        <v>0</v>
      </c>
      <c r="F93"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93"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93"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93" s="86">
        <f>IF(OR(Calculators[[#This Row],[CalculatorEnabled]]=TRUE,Calculators[[#This Row],[CalculatorEnabled]]=FALSE),0,1)</f>
        <v>0</v>
      </c>
      <c r="J93" s="86">
        <f>IF(ISBLANK(Calculators[[#This Row],[Title]])=TRUE,1,0)</f>
        <v>0</v>
      </c>
      <c r="K93" s="86">
        <f>IF(EXACT(Calculators[[#This Row],[CalculatorCode]],UPPER(Calculators[[#This Row],[CalculatorCode]])),0,1)</f>
        <v>0</v>
      </c>
      <c r="L93" s="86">
        <f>IF(SUBSTITUTE(TEXT(Calculators[[#This Row],[CalculatorCode]],10)," ","")=TEXT(Calculators[[#This Row],[CalculatorCode]],10),0,1)</f>
        <v>0</v>
      </c>
      <c r="M93" s="80">
        <f>SUM(Calculators[[#This Row],[Blank Data]:[Space in Code]])</f>
        <v>0</v>
      </c>
      <c r="N93" s="80" t="str" cm="1">
        <f t="array" ref="N93">_xlfn.TEXTJOIN(",",TRUE,IF(CalculatorFC[CalculatorCode]&amp;CalculatorFC[Type]=Calculators[[#This Row],[CalculatorCode]]&amp;Calculators[[#Headers],[SourceFinanceCodes]],CalculatorFC[FinanceCode],""))</f>
        <v/>
      </c>
      <c r="O93" s="80" t="str" cm="1">
        <f t="array" ref="O93">_xlfn.TEXTJOIN(",",TRUE,IF(CalculatorFC[CalculatorCode]&amp;CalculatorFC[Type]=Calculators[[#This Row],[CalculatorCode]]&amp;Calculators[[#Headers],[SourceGroupingCodes]],CalculatorFC[FinanceCode],""))</f>
        <v/>
      </c>
      <c r="P93" s="80" t="str" cm="1">
        <f t="array" ref="P93">_xlfn.TEXTJOIN(",",TRUE,IF(CalculatorFC[CalculatorCode]&amp;CalculatorFC[Type]=Calculators[[#This Row],[CalculatorCode]]&amp;Calculators[[#Headers],[DivisorFinanceCodes]],CalculatorFC[FinanceCode],""))</f>
        <v/>
      </c>
      <c r="Q93" s="80" t="str" cm="1">
        <f t="array" ref="Q93">_xlfn.TEXTJOIN(",",TRUE,IF(CalculatorFC[CalculatorCode]&amp;CalculatorFC[Type]=Calculators[[#This Row],[CalculatorCode]]&amp;Calculators[[#Headers],[DivisorGroupingCodes]],CalculatorFC[FinanceCode],""))</f>
        <v/>
      </c>
      <c r="R93" s="80" t="str" cm="1">
        <f t="array" ref="R93">_xlfn.TEXTJOIN(",",TRUE,IF(CalculatorFC[CalculatorCode]&amp;CalculatorFC[Type]=Calculators[[#This Row],[CalculatorCode]]&amp;Calculators[[#Headers],[MultiplierFinanceCodes]],CalculatorFC[FinanceCode],""))</f>
        <v>UPLIFT_RPI</v>
      </c>
      <c r="S93" s="80" t="str" cm="1">
        <f t="array" ref="S93">_xlfn.TEXTJOIN(",",TRUE,IF(CalculatorFC[CalculatorCode]&amp;CalculatorFC[Type]=Calculators[[#This Row],[CalculatorCode]]&amp;Calculators[[#Headers],[MultiplierGroupingCodes]],CalculatorFC[FinanceCode],""))</f>
        <v/>
      </c>
      <c r="T93" t="s">
        <v>1054</v>
      </c>
      <c r="U93" t="s">
        <v>1308</v>
      </c>
      <c r="V93" t="b">
        <v>0</v>
      </c>
      <c r="W93" t="b">
        <v>0</v>
      </c>
      <c r="X93" t="b">
        <v>0</v>
      </c>
      <c r="Y93" t="b">
        <v>0</v>
      </c>
      <c r="Z93" t="b">
        <v>1</v>
      </c>
      <c r="AA93" t="b">
        <v>1</v>
      </c>
      <c r="AB93" t="b">
        <v>0</v>
      </c>
      <c r="AC93">
        <v>0</v>
      </c>
      <c r="AD93" t="b">
        <v>0</v>
      </c>
      <c r="AE93" t="b">
        <v>0</v>
      </c>
      <c r="AF93" t="b">
        <v>1</v>
      </c>
      <c r="AG93" t="b">
        <v>1</v>
      </c>
      <c r="AH93" t="b">
        <v>1</v>
      </c>
      <c r="AI93" t="b">
        <v>1</v>
      </c>
      <c r="AJ93" t="b">
        <v>0</v>
      </c>
      <c r="AK93" t="b">
        <v>1</v>
      </c>
      <c r="AL93" t="b">
        <v>0</v>
      </c>
      <c r="AM93">
        <v>100</v>
      </c>
      <c r="AN93" t="b">
        <v>0</v>
      </c>
      <c r="AO93" t="b">
        <v>0</v>
      </c>
      <c r="AP93" t="b">
        <v>1</v>
      </c>
      <c r="AQ93" t="b">
        <v>1</v>
      </c>
      <c r="AR93" t="b">
        <v>1</v>
      </c>
      <c r="AS93" t="b">
        <v>1</v>
      </c>
      <c r="AT93" t="b">
        <v>0</v>
      </c>
      <c r="AU93" t="b">
        <v>0</v>
      </c>
      <c r="AV93" t="b">
        <v>0</v>
      </c>
      <c r="AW93">
        <v>100</v>
      </c>
      <c r="AX93" t="b">
        <v>0</v>
      </c>
      <c r="AY93" t="b">
        <v>0</v>
      </c>
      <c r="AZ93" t="b">
        <v>1</v>
      </c>
      <c r="BA93">
        <v>0</v>
      </c>
      <c r="BB93" t="s">
        <v>51</v>
      </c>
      <c r="BC93">
        <v>0</v>
      </c>
    </row>
    <row r="94" spans="1:55" hidden="1" x14ac:dyDescent="0.3">
      <c r="A94" s="80">
        <f t="shared" si="2"/>
        <v>0</v>
      </c>
      <c r="B94" s="80">
        <f>SUMIFS(CalculatorFC[FinCodeIssue],CalculatorFC[CalculatorCode],Calculators[[#This Row],[CalculatorCode]])</f>
        <v>0</v>
      </c>
      <c r="C94" s="80">
        <f>IF(LEN(Calculators[[#This Row],[CalculatorCode]])&lt;100,0,1)</f>
        <v>0</v>
      </c>
      <c r="D94" s="86">
        <f>IF(LEN(Calculators[[#This Row],[Title]])&lt;100,0,1)</f>
        <v>0</v>
      </c>
      <c r="E94" s="86">
        <f>(COUNTIF(CalculatorTypeCode[CalculatorTypeCode],Calculators[[#This Row],[CalculatorTypeCode]])-1)*-1</f>
        <v>0</v>
      </c>
      <c r="F94"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94"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94"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94" s="86">
        <f>IF(OR(Calculators[[#This Row],[CalculatorEnabled]]=TRUE,Calculators[[#This Row],[CalculatorEnabled]]=FALSE),0,1)</f>
        <v>0</v>
      </c>
      <c r="J94" s="86">
        <f>IF(ISBLANK(Calculators[[#This Row],[Title]])=TRUE,1,0)</f>
        <v>0</v>
      </c>
      <c r="K94" s="86">
        <f>IF(EXACT(Calculators[[#This Row],[CalculatorCode]],UPPER(Calculators[[#This Row],[CalculatorCode]])),0,1)</f>
        <v>0</v>
      </c>
      <c r="L94" s="86">
        <f>IF(SUBSTITUTE(TEXT(Calculators[[#This Row],[CalculatorCode]],10)," ","")=TEXT(Calculators[[#This Row],[CalculatorCode]],10),0,1)</f>
        <v>0</v>
      </c>
      <c r="M94" s="80">
        <f>SUM(Calculators[[#This Row],[Blank Data]:[Space in Code]])</f>
        <v>0</v>
      </c>
      <c r="N94" s="80" t="str" cm="1">
        <f t="array" ref="N94">_xlfn.TEXTJOIN(",",TRUE,IF(CalculatorFC[CalculatorCode]&amp;CalculatorFC[Type]=Calculators[[#This Row],[CalculatorCode]]&amp;Calculators[[#Headers],[SourceFinanceCodes]],CalculatorFC[FinanceCode],""))</f>
        <v/>
      </c>
      <c r="O94" s="80" t="str" cm="1">
        <f t="array" ref="O94">_xlfn.TEXTJOIN(",",TRUE,IF(CalculatorFC[CalculatorCode]&amp;CalculatorFC[Type]=Calculators[[#This Row],[CalculatorCode]]&amp;Calculators[[#Headers],[SourceGroupingCodes]],CalculatorFC[FinanceCode],""))</f>
        <v/>
      </c>
      <c r="P94" s="80" t="str" cm="1">
        <f t="array" ref="P94">_xlfn.TEXTJOIN(",",TRUE,IF(CalculatorFC[CalculatorCode]&amp;CalculatorFC[Type]=Calculators[[#This Row],[CalculatorCode]]&amp;Calculators[[#Headers],[DivisorFinanceCodes]],CalculatorFC[FinanceCode],""))</f>
        <v/>
      </c>
      <c r="Q94" s="80" t="str" cm="1">
        <f t="array" ref="Q94">_xlfn.TEXTJOIN(",",TRUE,IF(CalculatorFC[CalculatorCode]&amp;CalculatorFC[Type]=Calculators[[#This Row],[CalculatorCode]]&amp;Calculators[[#Headers],[DivisorGroupingCodes]],CalculatorFC[FinanceCode],""))</f>
        <v/>
      </c>
      <c r="R94" s="80" t="str" cm="1">
        <f t="array" ref="R94">_xlfn.TEXTJOIN(",",TRUE,IF(CalculatorFC[CalculatorCode]&amp;CalculatorFC[Type]=Calculators[[#This Row],[CalculatorCode]]&amp;Calculators[[#Headers],[MultiplierFinanceCodes]],CalculatorFC[FinanceCode],""))</f>
        <v>UPLIFT_SUPSTF</v>
      </c>
      <c r="S94" s="80" t="str" cm="1">
        <f t="array" ref="S94">_xlfn.TEXTJOIN(",",TRUE,IF(CalculatorFC[CalculatorCode]&amp;CalculatorFC[Type]=Calculators[[#This Row],[CalculatorCode]]&amp;Calculators[[#Headers],[MultiplierGroupingCodes]],CalculatorFC[FinanceCode],""))</f>
        <v/>
      </c>
      <c r="T94" t="s">
        <v>2059</v>
      </c>
      <c r="U94" t="s">
        <v>2061</v>
      </c>
      <c r="V94" t="b">
        <v>0</v>
      </c>
      <c r="W94" t="b">
        <v>0</v>
      </c>
      <c r="X94" t="b">
        <v>0</v>
      </c>
      <c r="Y94" t="b">
        <v>0</v>
      </c>
      <c r="Z94" t="b">
        <v>1</v>
      </c>
      <c r="AA94" t="b">
        <v>1</v>
      </c>
      <c r="AB94" t="b">
        <v>0</v>
      </c>
      <c r="AC94">
        <v>0</v>
      </c>
      <c r="AD94" t="b">
        <v>0</v>
      </c>
      <c r="AE94" t="b">
        <v>0</v>
      </c>
      <c r="AF94" t="b">
        <v>0</v>
      </c>
      <c r="AG94" t="b">
        <v>0</v>
      </c>
      <c r="AH94" t="b">
        <v>0</v>
      </c>
      <c r="AI94" t="b">
        <v>0</v>
      </c>
      <c r="AJ94" t="b">
        <v>0</v>
      </c>
      <c r="AK94" t="b">
        <v>0</v>
      </c>
      <c r="AL94" t="b">
        <v>0</v>
      </c>
      <c r="AM94">
        <v>100</v>
      </c>
      <c r="AN94" t="b">
        <v>0</v>
      </c>
      <c r="AO94" t="b">
        <v>0</v>
      </c>
      <c r="AP94" t="b">
        <v>1</v>
      </c>
      <c r="AQ94" t="b">
        <v>1</v>
      </c>
      <c r="AR94" t="b">
        <v>1</v>
      </c>
      <c r="AS94" t="b">
        <v>1</v>
      </c>
      <c r="AT94" t="b">
        <v>0</v>
      </c>
      <c r="AU94" t="b">
        <v>0</v>
      </c>
      <c r="AV94" t="b">
        <v>0</v>
      </c>
      <c r="AW94">
        <v>100</v>
      </c>
      <c r="AX94" t="b">
        <v>0</v>
      </c>
      <c r="AY94" t="b">
        <v>0</v>
      </c>
      <c r="AZ94" t="b">
        <v>1</v>
      </c>
      <c r="BA94">
        <v>0</v>
      </c>
      <c r="BB94" t="s">
        <v>51</v>
      </c>
      <c r="BC94">
        <v>0</v>
      </c>
    </row>
    <row r="95" spans="1:55" hidden="1" x14ac:dyDescent="0.3">
      <c r="A95" s="80">
        <f t="shared" si="2"/>
        <v>0</v>
      </c>
      <c r="B95" s="80">
        <f>SUMIFS(CalculatorFC[FinCodeIssue],CalculatorFC[CalculatorCode],Calculators[[#This Row],[CalculatorCode]])</f>
        <v>0</v>
      </c>
      <c r="C95" s="80">
        <f>IF(LEN(Calculators[[#This Row],[CalculatorCode]])&lt;100,0,1)</f>
        <v>0</v>
      </c>
      <c r="D95" s="86">
        <f>IF(LEN(Calculators[[#This Row],[Title]])&lt;100,0,1)</f>
        <v>0</v>
      </c>
      <c r="E95" s="86">
        <f>(COUNTIF(CalculatorTypeCode[CalculatorTypeCode],Calculators[[#This Row],[CalculatorTypeCode]])-1)*-1</f>
        <v>0</v>
      </c>
      <c r="F95" s="86">
        <f>IF(OR(Calculators[[#This Row],[SourceSelectAllSchools]]=TRUE,Calculators[[#This Row],[SourceSelectAllSchools]]=FALSE),IF(OR(Calculators[[#This Row],[SourceSelectAllFunds]]=TRUE,Calculators[[#This Row],[SourceSelectAllFunds]]=FALSE),IF(OR(Calculators[[#This Row],[SourceSelectAllDepartments]]=TRUE,Calculators[[#This Row],[SourceSelectAllDepartments]]=FALSE),IF(OR(Calculators[[#This Row],[SourceDepartmentsAcrossLedgers]]=TRUE,Calculators[[#This Row],[SourceDepartmentsAcrossLedgers]]=FALSE),IF(OR(Calculators[[#This Row],[SourceIncludeScenarioRow]]=TRUE,Calculators[[#This Row],[SourceIncludeScenarioRow]]=FALSE),IF(OR(Calculators[[#This Row],[SourceUseLastYear]]=TRUE,Calculators[[#This Row],[SourceUseLastYear]]=FALSE),IF(OR(Calculators[[#This Row],[SourceSchoolLocalAuthority]]=TRUE,Calculators[[#This Row],[SourceSchoolLocalAuthority]]=FALSE),IF(OR(Calculators[[#This Row],[SourceSchoolHubSelectedScenarioRow]]=TRUE,Calculators[[#This Row],[SourceSchoolHubSelectedScenarioRow]]=FALSE),IF(OR(Calculators[[#This Row],[SourceSchoolTypeSelectedScenarioRow]]=TRUE,Calculators[[#This Row],[SourceSchoolTypeSelectedScenarioRow]]=FALSE),0,1),1),1),1),1),1),1),1),1)</f>
        <v>0</v>
      </c>
      <c r="G95" s="86">
        <f>IF(OR(Calculators[[#This Row],[DivisorSelectAllSchools]]=TRUE,Calculators[[#This Row],[DivisorSelectAllSchools]]=FALSE),IF(OR(Calculators[[#This Row],[DivisorSelectAllFunds]]=TRUE,Calculators[[#This Row],[DivisorSelectAllFunds]]=FALSE),IF(OR(Calculators[[#This Row],[DivisorSelectAllDepartments]]=TRUE,Calculators[[#This Row],[DivisorSelectAllDepartments]]=FALSE),IF(OR(Calculators[[#This Row],[DivisorDepartmentsAcrossLedgers]]=TRUE,Calculators[[#This Row],[DivisorDepartmentsAcrossLedgers]]=FALSE),IF(OR(Calculators[[#This Row],[DivisorIncludeScenarioRow]]=TRUE,Calculators[[#This Row],[DivisorIncludeScenarioRow]]=FALSE),IF(OR(Calculators[[#This Row],[DivisorUseLastYear]]=TRUE,Calculators[[#This Row],[DivisorUseLastYear]]=FALSE),IF(OR(Calculators[[#This Row],[DivisorSchoolLocalAuthority]]=TRUE,Calculators[[#This Row],[DivisorSchoolLocalAuthority]]=FALSE),IF(OR(Calculators[[#This Row],[DivisorSchoolHubSelectedScenarioRow]]=TRUE,Calculators[[#This Row],[DivisorSchoolHubSelectedScenarioRow]]=FALSE),IF(OR(Calculators[[#This Row],[DivisorSchoolTypeSelectedScenarioRow]]=TRUE,Calculators[[#This Row],[DivisorSchoolTypeSelectedScenarioRow]]=FALSE),0,1),1),1),1),1),1),1),1),1)</f>
        <v>0</v>
      </c>
      <c r="H95" s="86">
        <f>IF(OR(Calculators[[#This Row],[MultiplierSelectAllSchools]]=TRUE,Calculators[[#This Row],[MultiplierSelectAllSchools]]=FALSE),IF(OR(Calculators[[#This Row],[MultiplierSelectAllFunds]]=TRUE,Calculators[[#This Row],[MultiplierSelectAllFunds]]=FALSE),IF(OR(Calculators[[#This Row],[MultiplierSelectAllDepartments]]=TRUE,Calculators[[#This Row],[MultiplierSelectAllDepartments]]=FALSE),IF(OR(Calculators[[#This Row],[MultiplierDepartmentsAcrossLedgers]]=TRUE,Calculators[[#This Row],[MultiplierDepartmentsAcrossLedgers]]=FALSE),IF(OR(Calculators[[#This Row],[MultiplierIncludeScenarioRow]]=TRUE,Calculators[[#This Row],[MultiplierIncludeScenarioRow]]=FALSE),IF(OR(Calculators[[#This Row],[MultiplierUseLastYear]]=TRUE,Calculators[[#This Row],[MultiplierUseLastYear]]=FALSE),IF(OR(Calculators[[#This Row],[MultiplierSchoolLocalAuthority]]=TRUE,Calculators[[#This Row],[MultiplierSchoolLocalAuthority]]=FALSE),IF(OR(Calculators[[#This Row],[MultiplierSchoolHubSelectedScenarioRow]]=TRUE,Calculators[[#This Row],[MultiplierSchoolHubSelectedScenarioRow]]=FALSE),IF(OR(Calculators[[#This Row],[MultiplierSchoolTypeSelectedScenarioRow]]=TRUE,Calculators[[#This Row],[MultiplierSchoolTypeSelectedScenarioRow]]=FALSE),0,1),1),1),1),1),1),1),1),1)</f>
        <v>0</v>
      </c>
      <c r="I95" s="86">
        <f>IF(OR(Calculators[[#This Row],[CalculatorEnabled]]=TRUE,Calculators[[#This Row],[CalculatorEnabled]]=FALSE),0,1)</f>
        <v>0</v>
      </c>
      <c r="J95" s="86">
        <f>IF(ISBLANK(Calculators[[#This Row],[Title]])=TRUE,1,0)</f>
        <v>0</v>
      </c>
      <c r="K95" s="86">
        <f>IF(EXACT(Calculators[[#This Row],[CalculatorCode]],UPPER(Calculators[[#This Row],[CalculatorCode]])),0,1)</f>
        <v>0</v>
      </c>
      <c r="L95" s="86">
        <f>IF(SUBSTITUTE(TEXT(Calculators[[#This Row],[CalculatorCode]],10)," ","")=TEXT(Calculators[[#This Row],[CalculatorCode]],10),0,1)</f>
        <v>0</v>
      </c>
      <c r="M95" s="80">
        <f>SUM(Calculators[[#This Row],[Blank Data]:[Space in Code]])</f>
        <v>0</v>
      </c>
      <c r="N95" s="80" t="str" cm="1">
        <f t="array" ref="N95">_xlfn.TEXTJOIN(",",TRUE,IF(CalculatorFC[CalculatorCode]&amp;CalculatorFC[Type]=Calculators[[#This Row],[CalculatorCode]]&amp;Calculators[[#Headers],[SourceFinanceCodes]],CalculatorFC[FinanceCode],""))</f>
        <v/>
      </c>
      <c r="O95" s="80" t="str" cm="1">
        <f t="array" ref="O95">_xlfn.TEXTJOIN(",",TRUE,IF(CalculatorFC[CalculatorCode]&amp;CalculatorFC[Type]=Calculators[[#This Row],[CalculatorCode]]&amp;Calculators[[#Headers],[SourceGroupingCodes]],CalculatorFC[FinanceCode],""))</f>
        <v/>
      </c>
      <c r="P95" s="80" t="str" cm="1">
        <f t="array" ref="P95">_xlfn.TEXTJOIN(",",TRUE,IF(CalculatorFC[CalculatorCode]&amp;CalculatorFC[Type]=Calculators[[#This Row],[CalculatorCode]]&amp;Calculators[[#Headers],[DivisorFinanceCodes]],CalculatorFC[FinanceCode],""))</f>
        <v/>
      </c>
      <c r="Q95" s="80" t="str" cm="1">
        <f t="array" ref="Q95">_xlfn.TEXTJOIN(",",TRUE,IF(CalculatorFC[CalculatorCode]&amp;CalculatorFC[Type]=Calculators[[#This Row],[CalculatorCode]]&amp;Calculators[[#Headers],[DivisorGroupingCodes]],CalculatorFC[FinanceCode],""))</f>
        <v/>
      </c>
      <c r="R95" s="80" t="str" cm="1">
        <f t="array" ref="R95">_xlfn.TEXTJOIN(",",TRUE,IF(CalculatorFC[CalculatorCode]&amp;CalculatorFC[Type]=Calculators[[#This Row],[CalculatorCode]]&amp;Calculators[[#Headers],[MultiplierFinanceCodes]],CalculatorFC[FinanceCode],""))</f>
        <v>UPLIFT_TEACH</v>
      </c>
      <c r="S95" s="80" t="str" cm="1">
        <f t="array" ref="S95">_xlfn.TEXTJOIN(",",TRUE,IF(CalculatorFC[CalculatorCode]&amp;CalculatorFC[Type]=Calculators[[#This Row],[CalculatorCode]]&amp;Calculators[[#Headers],[MultiplierGroupingCodes]],CalculatorFC[FinanceCode],""))</f>
        <v/>
      </c>
      <c r="T95" t="s">
        <v>2058</v>
      </c>
      <c r="U95" t="s">
        <v>2060</v>
      </c>
      <c r="V95" t="b">
        <v>0</v>
      </c>
      <c r="W95" t="b">
        <v>0</v>
      </c>
      <c r="X95" t="b">
        <v>0</v>
      </c>
      <c r="Y95" t="b">
        <v>0</v>
      </c>
      <c r="Z95" t="b">
        <v>1</v>
      </c>
      <c r="AA95" t="b">
        <v>1</v>
      </c>
      <c r="AB95" t="b">
        <v>0</v>
      </c>
      <c r="AC95">
        <v>0</v>
      </c>
      <c r="AD95" t="b">
        <v>0</v>
      </c>
      <c r="AE95" t="b">
        <v>0</v>
      </c>
      <c r="AF95" t="b">
        <v>0</v>
      </c>
      <c r="AG95" t="b">
        <v>0</v>
      </c>
      <c r="AH95" t="b">
        <v>0</v>
      </c>
      <c r="AI95" t="b">
        <v>0</v>
      </c>
      <c r="AJ95" t="b">
        <v>0</v>
      </c>
      <c r="AK95" t="b">
        <v>0</v>
      </c>
      <c r="AL95" t="b">
        <v>0</v>
      </c>
      <c r="AM95">
        <v>100</v>
      </c>
      <c r="AN95" t="b">
        <v>0</v>
      </c>
      <c r="AO95" t="b">
        <v>0</v>
      </c>
      <c r="AP95" t="b">
        <v>1</v>
      </c>
      <c r="AQ95" t="b">
        <v>1</v>
      </c>
      <c r="AR95" t="b">
        <v>1</v>
      </c>
      <c r="AS95" t="b">
        <v>1</v>
      </c>
      <c r="AT95" t="b">
        <v>0</v>
      </c>
      <c r="AU95" t="b">
        <v>0</v>
      </c>
      <c r="AV95" t="b">
        <v>0</v>
      </c>
      <c r="AW95">
        <v>100</v>
      </c>
      <c r="AX95" t="b">
        <v>0</v>
      </c>
      <c r="AY95" t="b">
        <v>0</v>
      </c>
      <c r="AZ95" t="b">
        <v>1</v>
      </c>
      <c r="BA95">
        <v>0</v>
      </c>
      <c r="BB95" t="s">
        <v>51</v>
      </c>
      <c r="BC95">
        <v>0</v>
      </c>
    </row>
    <row r="106" spans="14:14" x14ac:dyDescent="0.3">
      <c r="N106" s="6"/>
    </row>
  </sheetData>
  <phoneticPr fontId="2" type="noConversion"/>
  <conditionalFormatting sqref="V1:BC1048576">
    <cfRule type="containsText" dxfId="0" priority="1" operator="containsText" text="TRUE">
      <formula>NOT(ISERROR(SEARCH("TRUE",V1)))</formula>
    </cfRule>
  </conditionalFormatting>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CCBCB-ED7E-4AFF-881E-300E280E94CA}">
  <sheetPr codeName="Sheet5">
    <tabColor rgb="FFC8B3D5"/>
  </sheetPr>
  <dimension ref="A1:F377"/>
  <sheetViews>
    <sheetView workbookViewId="0">
      <selection activeCell="E250" sqref="E250"/>
    </sheetView>
  </sheetViews>
  <sheetFormatPr defaultRowHeight="14.4" outlineLevelCol="1" x14ac:dyDescent="0.3"/>
  <cols>
    <col min="1" max="1" width="15.109375" customWidth="1" outlineLevel="1"/>
    <col min="2" max="2" width="16.109375" customWidth="1" outlineLevel="1"/>
    <col min="3" max="3" width="19.6640625" bestFit="1" customWidth="1"/>
    <col min="4" max="4" width="21.5546875" bestFit="1" customWidth="1"/>
    <col min="5" max="5" width="81.109375" bestFit="1" customWidth="1"/>
    <col min="6" max="6" width="22.5546875" bestFit="1" customWidth="1"/>
    <col min="7" max="7" width="22.5546875" customWidth="1"/>
    <col min="8" max="8" width="23.33203125" bestFit="1" customWidth="1"/>
    <col min="9" max="9" width="80.88671875" bestFit="1" customWidth="1"/>
    <col min="10" max="10" width="21.88671875" bestFit="1" customWidth="1"/>
  </cols>
  <sheetData>
    <row r="1" spans="1:6" x14ac:dyDescent="0.3">
      <c r="A1" s="87" t="s">
        <v>1328</v>
      </c>
      <c r="B1" s="88" t="s">
        <v>1329</v>
      </c>
      <c r="C1" s="89" t="s">
        <v>48</v>
      </c>
      <c r="D1" t="s">
        <v>1136</v>
      </c>
      <c r="E1" t="s">
        <v>893</v>
      </c>
      <c r="F1" t="s">
        <v>42</v>
      </c>
    </row>
    <row r="2" spans="1:6" x14ac:dyDescent="0.3">
      <c r="A2" s="165">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2" s="168">
        <f>1-COUNTIF(Calculators[CalculatorCode],CalculatorFC[[#This Row],[CalculatorCode]])</f>
        <v>1</v>
      </c>
      <c r="C2" s="168">
        <f>SUM(CalculatorFC[[#This Row],[FinCodeIssue]:[CalcCodeIssue]])</f>
        <v>2</v>
      </c>
      <c r="D2" t="s">
        <v>2667</v>
      </c>
      <c r="E2" t="s">
        <v>2667</v>
      </c>
      <c r="F2" t="s">
        <v>1169</v>
      </c>
    </row>
    <row r="3" spans="1:6" x14ac:dyDescent="0.3">
      <c r="A3"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3" s="167">
        <f>1-COUNTIF(Calculators[CalculatorCode],CalculatorFC[[#This Row],[CalculatorCode]])</f>
        <v>1</v>
      </c>
      <c r="C3" s="167">
        <f>SUM(CalculatorFC[[#This Row],[FinCodeIssue]:[CalcCodeIssue]])</f>
        <v>1</v>
      </c>
      <c r="D3" t="s">
        <v>2667</v>
      </c>
      <c r="E3" t="s">
        <v>920</v>
      </c>
      <c r="F3" t="s">
        <v>1147</v>
      </c>
    </row>
    <row r="4" spans="1:6" x14ac:dyDescent="0.3">
      <c r="A4"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4" s="167">
        <f>1-COUNTIF(Calculators[CalculatorCode],CalculatorFC[[#This Row],[CalculatorCode]])</f>
        <v>1</v>
      </c>
      <c r="C4" s="167">
        <f>SUM(CalculatorFC[[#This Row],[FinCodeIssue]:[CalcCodeIssue]])</f>
        <v>1</v>
      </c>
      <c r="D4" t="s">
        <v>2667</v>
      </c>
      <c r="E4" t="s">
        <v>923</v>
      </c>
      <c r="F4" t="s">
        <v>1147</v>
      </c>
    </row>
    <row r="5" spans="1:6" x14ac:dyDescent="0.3">
      <c r="A5"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5" s="167">
        <f>1-COUNTIF(Calculators[CalculatorCode],CalculatorFC[[#This Row],[CalculatorCode]])</f>
        <v>1</v>
      </c>
      <c r="C5" s="167">
        <f>SUM(CalculatorFC[[#This Row],[FinCodeIssue]:[CalcCodeIssue]])</f>
        <v>1</v>
      </c>
      <c r="D5" t="s">
        <v>2667</v>
      </c>
      <c r="E5" t="s">
        <v>925</v>
      </c>
      <c r="F5" t="s">
        <v>1147</v>
      </c>
    </row>
    <row r="6" spans="1:6" x14ac:dyDescent="0.3">
      <c r="A6"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6" s="167">
        <f>1-COUNTIF(Calculators[CalculatorCode],CalculatorFC[[#This Row],[CalculatorCode]])</f>
        <v>1</v>
      </c>
      <c r="C6" s="167">
        <f>SUM(CalculatorFC[[#This Row],[FinCodeIssue]:[CalcCodeIssue]])</f>
        <v>1</v>
      </c>
      <c r="D6" t="s">
        <v>2667</v>
      </c>
      <c r="E6" t="s">
        <v>1503</v>
      </c>
      <c r="F6" t="s">
        <v>1147</v>
      </c>
    </row>
    <row r="7" spans="1:6" x14ac:dyDescent="0.3">
      <c r="A7"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7" s="167">
        <f>1-COUNTIF(Calculators[CalculatorCode],CalculatorFC[[#This Row],[CalculatorCode]])</f>
        <v>1</v>
      </c>
      <c r="C7" s="167">
        <f>SUM(CalculatorFC[[#This Row],[FinCodeIssue]:[CalcCodeIssue]])</f>
        <v>2</v>
      </c>
      <c r="D7" t="s">
        <v>2668</v>
      </c>
      <c r="E7" t="s">
        <v>2668</v>
      </c>
      <c r="F7" t="s">
        <v>1169</v>
      </c>
    </row>
    <row r="8" spans="1:6" x14ac:dyDescent="0.3">
      <c r="A8"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8" s="167">
        <f>1-COUNTIF(Calculators[CalculatorCode],CalculatorFC[[#This Row],[CalculatorCode]])</f>
        <v>1</v>
      </c>
      <c r="C8" s="167">
        <f>SUM(CalculatorFC[[#This Row],[FinCodeIssue]:[CalcCodeIssue]])</f>
        <v>1</v>
      </c>
      <c r="D8" t="s">
        <v>2668</v>
      </c>
      <c r="E8" t="s">
        <v>920</v>
      </c>
      <c r="F8" t="s">
        <v>1147</v>
      </c>
    </row>
    <row r="9" spans="1:6" x14ac:dyDescent="0.3">
      <c r="A9"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9" s="167">
        <f>1-COUNTIF(Calculators[CalculatorCode],CalculatorFC[[#This Row],[CalculatorCode]])</f>
        <v>1</v>
      </c>
      <c r="C9" s="167">
        <f>SUM(CalculatorFC[[#This Row],[FinCodeIssue]:[CalcCodeIssue]])</f>
        <v>1</v>
      </c>
      <c r="D9" t="s">
        <v>2668</v>
      </c>
      <c r="E9" t="s">
        <v>923</v>
      </c>
      <c r="F9" t="s">
        <v>1147</v>
      </c>
    </row>
    <row r="10" spans="1:6" x14ac:dyDescent="0.3">
      <c r="A10"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0" s="167">
        <f>1-COUNTIF(Calculators[CalculatorCode],CalculatorFC[[#This Row],[CalculatorCode]])</f>
        <v>1</v>
      </c>
      <c r="C10" s="167">
        <f>SUM(CalculatorFC[[#This Row],[FinCodeIssue]:[CalcCodeIssue]])</f>
        <v>1</v>
      </c>
      <c r="D10" t="s">
        <v>2668</v>
      </c>
      <c r="E10" t="s">
        <v>925</v>
      </c>
      <c r="F10" t="s">
        <v>1147</v>
      </c>
    </row>
    <row r="11" spans="1:6" x14ac:dyDescent="0.3">
      <c r="A11"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1" s="167">
        <f>1-COUNTIF(Calculators[CalculatorCode],CalculatorFC[[#This Row],[CalculatorCode]])</f>
        <v>1</v>
      </c>
      <c r="C11" s="167">
        <f>SUM(CalculatorFC[[#This Row],[FinCodeIssue]:[CalcCodeIssue]])</f>
        <v>1</v>
      </c>
      <c r="D11" t="s">
        <v>2668</v>
      </c>
      <c r="E11" t="s">
        <v>1503</v>
      </c>
      <c r="F11" t="s">
        <v>1147</v>
      </c>
    </row>
    <row r="12" spans="1:6" x14ac:dyDescent="0.3">
      <c r="A12"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2" s="167">
        <f>1-COUNTIF(Calculators[CalculatorCode],CalculatorFC[[#This Row],[CalculatorCode]])</f>
        <v>1</v>
      </c>
      <c r="C12" s="167">
        <f>SUM(CalculatorFC[[#This Row],[FinCodeIssue]:[CalcCodeIssue]])</f>
        <v>2</v>
      </c>
      <c r="D12" t="s">
        <v>2669</v>
      </c>
      <c r="E12" t="s">
        <v>2669</v>
      </c>
      <c r="F12" t="s">
        <v>1169</v>
      </c>
    </row>
    <row r="13" spans="1:6" x14ac:dyDescent="0.3">
      <c r="A13"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3" s="167">
        <f>1-COUNTIF(Calculators[CalculatorCode],CalculatorFC[[#This Row],[CalculatorCode]])</f>
        <v>1</v>
      </c>
      <c r="C13" s="167">
        <f>SUM(CalculatorFC[[#This Row],[FinCodeIssue]:[CalcCodeIssue]])</f>
        <v>2</v>
      </c>
      <c r="D13" t="s">
        <v>2669</v>
      </c>
      <c r="E13" t="s">
        <v>927</v>
      </c>
      <c r="F13" t="s">
        <v>1147</v>
      </c>
    </row>
    <row r="14" spans="1:6" x14ac:dyDescent="0.3">
      <c r="A14"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4" s="167">
        <f>1-COUNTIF(Calculators[CalculatorCode],CalculatorFC[[#This Row],[CalculatorCode]])</f>
        <v>1</v>
      </c>
      <c r="C14" s="167">
        <f>SUM(CalculatorFC[[#This Row],[FinCodeIssue]:[CalcCodeIssue]])</f>
        <v>2</v>
      </c>
      <c r="D14" t="s">
        <v>2669</v>
      </c>
      <c r="E14" t="s">
        <v>1504</v>
      </c>
      <c r="F14" t="s">
        <v>1147</v>
      </c>
    </row>
    <row r="15" spans="1:6" x14ac:dyDescent="0.3">
      <c r="A15"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5" s="167">
        <f>1-COUNTIF(Calculators[CalculatorCode],CalculatorFC[[#This Row],[CalculatorCode]])</f>
        <v>1</v>
      </c>
      <c r="C15" s="167">
        <f>SUM(CalculatorFC[[#This Row],[FinCodeIssue]:[CalcCodeIssue]])</f>
        <v>2</v>
      </c>
      <c r="D15" t="s">
        <v>2670</v>
      </c>
      <c r="E15" t="s">
        <v>2670</v>
      </c>
      <c r="F15" t="s">
        <v>1169</v>
      </c>
    </row>
    <row r="16" spans="1:6" x14ac:dyDescent="0.3">
      <c r="A16"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6" s="167">
        <f>1-COUNTIF(Calculators[CalculatorCode],CalculatorFC[[#This Row],[CalculatorCode]])</f>
        <v>1</v>
      </c>
      <c r="C16" s="167">
        <f>SUM(CalculatorFC[[#This Row],[FinCodeIssue]:[CalcCodeIssue]])</f>
        <v>2</v>
      </c>
      <c r="D16" t="s">
        <v>2670</v>
      </c>
      <c r="E16" t="s">
        <v>927</v>
      </c>
      <c r="F16" t="s">
        <v>1147</v>
      </c>
    </row>
    <row r="17" spans="1:6" x14ac:dyDescent="0.3">
      <c r="A17"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7" s="167">
        <f>1-COUNTIF(Calculators[CalculatorCode],CalculatorFC[[#This Row],[CalculatorCode]])</f>
        <v>1</v>
      </c>
      <c r="C17" s="167">
        <f>SUM(CalculatorFC[[#This Row],[FinCodeIssue]:[CalcCodeIssue]])</f>
        <v>2</v>
      </c>
      <c r="D17" t="s">
        <v>2670</v>
      </c>
      <c r="E17" t="s">
        <v>1504</v>
      </c>
      <c r="F17" t="s">
        <v>1147</v>
      </c>
    </row>
    <row r="18" spans="1:6" x14ac:dyDescent="0.3">
      <c r="A18"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8" s="167">
        <f>1-COUNTIF(Calculators[CalculatorCode],CalculatorFC[[#This Row],[CalculatorCode]])</f>
        <v>1</v>
      </c>
      <c r="C18" s="167">
        <f>SUM(CalculatorFC[[#This Row],[FinCodeIssue]:[CalcCodeIssue]])</f>
        <v>2</v>
      </c>
      <c r="D18" t="s">
        <v>2671</v>
      </c>
      <c r="E18" t="s">
        <v>2671</v>
      </c>
      <c r="F18" t="s">
        <v>1169</v>
      </c>
    </row>
    <row r="19" spans="1:6" x14ac:dyDescent="0.3">
      <c r="A19"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9" s="167">
        <f>1-COUNTIF(Calculators[CalculatorCode],CalculatorFC[[#This Row],[CalculatorCode]])</f>
        <v>1</v>
      </c>
      <c r="C19" s="167">
        <f>SUM(CalculatorFC[[#This Row],[FinCodeIssue]:[CalcCodeIssue]])</f>
        <v>2</v>
      </c>
      <c r="D19" t="s">
        <v>2671</v>
      </c>
      <c r="E19" t="s">
        <v>929</v>
      </c>
      <c r="F19" t="s">
        <v>1147</v>
      </c>
    </row>
    <row r="20" spans="1:6" x14ac:dyDescent="0.3">
      <c r="A20"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20" s="167">
        <f>1-COUNTIF(Calculators[CalculatorCode],CalculatorFC[[#This Row],[CalculatorCode]])</f>
        <v>1</v>
      </c>
      <c r="C20" s="167">
        <f>SUM(CalculatorFC[[#This Row],[FinCodeIssue]:[CalcCodeIssue]])</f>
        <v>2</v>
      </c>
      <c r="D20" t="s">
        <v>2671</v>
      </c>
      <c r="E20" t="s">
        <v>1505</v>
      </c>
      <c r="F20" t="s">
        <v>1147</v>
      </c>
    </row>
    <row r="21" spans="1:6" x14ac:dyDescent="0.3">
      <c r="A21"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21" s="167">
        <f>1-COUNTIF(Calculators[CalculatorCode],CalculatorFC[[#This Row],[CalculatorCode]])</f>
        <v>1</v>
      </c>
      <c r="C21" s="167">
        <f>SUM(CalculatorFC[[#This Row],[FinCodeIssue]:[CalcCodeIssue]])</f>
        <v>2</v>
      </c>
      <c r="D21" t="s">
        <v>2672</v>
      </c>
      <c r="E21" t="s">
        <v>2672</v>
      </c>
      <c r="F21" t="s">
        <v>1169</v>
      </c>
    </row>
    <row r="22" spans="1:6" x14ac:dyDescent="0.3">
      <c r="A22"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22" s="167">
        <f>1-COUNTIF(Calculators[CalculatorCode],CalculatorFC[[#This Row],[CalculatorCode]])</f>
        <v>1</v>
      </c>
      <c r="C22" s="167">
        <f>SUM(CalculatorFC[[#This Row],[FinCodeIssue]:[CalcCodeIssue]])</f>
        <v>2</v>
      </c>
      <c r="D22" t="s">
        <v>2672</v>
      </c>
      <c r="E22" t="s">
        <v>929</v>
      </c>
      <c r="F22" t="s">
        <v>1147</v>
      </c>
    </row>
    <row r="23" spans="1:6" x14ac:dyDescent="0.3">
      <c r="A23"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23" s="167">
        <f>1-COUNTIF(Calculators[CalculatorCode],CalculatorFC[[#This Row],[CalculatorCode]])</f>
        <v>1</v>
      </c>
      <c r="C23" s="167">
        <f>SUM(CalculatorFC[[#This Row],[FinCodeIssue]:[CalcCodeIssue]])</f>
        <v>2</v>
      </c>
      <c r="D23" t="s">
        <v>2672</v>
      </c>
      <c r="E23" t="s">
        <v>1505</v>
      </c>
      <c r="F23" t="s">
        <v>1147</v>
      </c>
    </row>
    <row r="24" spans="1:6" x14ac:dyDescent="0.3">
      <c r="A24"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24" s="167">
        <f>1-COUNTIF(Calculators[CalculatorCode],CalculatorFC[[#This Row],[CalculatorCode]])</f>
        <v>0</v>
      </c>
      <c r="C24" s="167">
        <f>SUM(CalculatorFC[[#This Row],[FinCodeIssue]:[CalcCodeIssue]])</f>
        <v>1</v>
      </c>
      <c r="D24" t="s">
        <v>1184</v>
      </c>
      <c r="F24" t="s">
        <v>1147</v>
      </c>
    </row>
    <row r="25" spans="1:6" x14ac:dyDescent="0.3">
      <c r="A25"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5" s="167">
        <f>1-COUNTIF(Calculators[CalculatorCode],CalculatorFC[[#This Row],[CalculatorCode]])</f>
        <v>0</v>
      </c>
      <c r="C25" s="167">
        <f>SUM(CalculatorFC[[#This Row],[FinCodeIssue]:[CalcCodeIssue]])</f>
        <v>0</v>
      </c>
      <c r="D25" t="s">
        <v>1186</v>
      </c>
      <c r="E25" t="s">
        <v>997</v>
      </c>
      <c r="F25" t="s">
        <v>1169</v>
      </c>
    </row>
    <row r="26" spans="1:6" x14ac:dyDescent="0.3">
      <c r="A26"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26" s="167">
        <f>1-COUNTIF(Calculators[CalculatorCode],CalculatorFC[[#This Row],[CalculatorCode]])</f>
        <v>0</v>
      </c>
      <c r="C26" s="167">
        <f>SUM(CalculatorFC[[#This Row],[FinCodeIssue]:[CalcCodeIssue]])</f>
        <v>1</v>
      </c>
      <c r="D26" t="s">
        <v>1186</v>
      </c>
      <c r="E26" t="s">
        <v>1586</v>
      </c>
      <c r="F26" t="s">
        <v>1147</v>
      </c>
    </row>
    <row r="27" spans="1:6" x14ac:dyDescent="0.3">
      <c r="A27"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7" s="167">
        <f>1-COUNTIF(Calculators[CalculatorCode],CalculatorFC[[#This Row],[CalculatorCode]])</f>
        <v>0</v>
      </c>
      <c r="C27" s="167">
        <f>SUM(CalculatorFC[[#This Row],[FinCodeIssue]:[CalcCodeIssue]])</f>
        <v>0</v>
      </c>
      <c r="D27" t="s">
        <v>1186</v>
      </c>
      <c r="E27" t="s">
        <v>1585</v>
      </c>
      <c r="F27" t="s">
        <v>1147</v>
      </c>
    </row>
    <row r="28" spans="1:6" x14ac:dyDescent="0.3">
      <c r="A28"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28" s="167">
        <f>1-COUNTIF(Calculators[CalculatorCode],CalculatorFC[[#This Row],[CalculatorCode]])</f>
        <v>0</v>
      </c>
      <c r="C28" s="167">
        <f>SUM(CalculatorFC[[#This Row],[FinCodeIssue]:[CalcCodeIssue]])</f>
        <v>1</v>
      </c>
      <c r="D28" t="s">
        <v>1186</v>
      </c>
      <c r="E28" t="s">
        <v>904</v>
      </c>
      <c r="F28" t="s">
        <v>1147</v>
      </c>
    </row>
    <row r="29" spans="1:6" x14ac:dyDescent="0.3">
      <c r="A29"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9" s="167">
        <f>1-COUNTIF(Calculators[CalculatorCode],CalculatorFC[[#This Row],[CalculatorCode]])</f>
        <v>0</v>
      </c>
      <c r="C29" s="167">
        <f>SUM(CalculatorFC[[#This Row],[FinCodeIssue]:[CalcCodeIssue]])</f>
        <v>0</v>
      </c>
      <c r="D29" t="s">
        <v>1186</v>
      </c>
      <c r="E29" t="s">
        <v>906</v>
      </c>
      <c r="F29" t="s">
        <v>1147</v>
      </c>
    </row>
    <row r="30" spans="1:6" x14ac:dyDescent="0.3">
      <c r="A30"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0" s="167">
        <f>1-COUNTIF(Calculators[CalculatorCode],CalculatorFC[[#This Row],[CalculatorCode]])</f>
        <v>0</v>
      </c>
      <c r="C30" s="167">
        <f>SUM(CalculatorFC[[#This Row],[FinCodeIssue]:[CalcCodeIssue]])</f>
        <v>1</v>
      </c>
      <c r="D30" t="s">
        <v>1186</v>
      </c>
      <c r="E30" t="s">
        <v>2047</v>
      </c>
      <c r="F30" t="s">
        <v>1147</v>
      </c>
    </row>
    <row r="31" spans="1:6" x14ac:dyDescent="0.3">
      <c r="A31"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31" s="167">
        <f>1-COUNTIF(Calculators[CalculatorCode],CalculatorFC[[#This Row],[CalculatorCode]])</f>
        <v>0</v>
      </c>
      <c r="C31" s="167">
        <f>SUM(CalculatorFC[[#This Row],[FinCodeIssue]:[CalcCodeIssue]])</f>
        <v>0</v>
      </c>
      <c r="D31" t="s">
        <v>999</v>
      </c>
      <c r="E31" t="s">
        <v>999</v>
      </c>
      <c r="F31" t="s">
        <v>1147</v>
      </c>
    </row>
    <row r="32" spans="1:6" x14ac:dyDescent="0.3">
      <c r="A32"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2" s="167">
        <f>1-COUNTIF(Calculators[CalculatorCode],CalculatorFC[[#This Row],[CalculatorCode]])</f>
        <v>0</v>
      </c>
      <c r="C32" s="167">
        <f>SUM(CalculatorFC[[#This Row],[FinCodeIssue]:[CalcCodeIssue]])</f>
        <v>1</v>
      </c>
      <c r="D32" t="s">
        <v>1994</v>
      </c>
      <c r="E32">
        <v>550250</v>
      </c>
      <c r="F32" t="s">
        <v>1147</v>
      </c>
    </row>
    <row r="33" spans="1:6" x14ac:dyDescent="0.3">
      <c r="A33"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33" s="167">
        <f>1-COUNTIF(Calculators[CalculatorCode],CalculatorFC[[#This Row],[CalculatorCode]])</f>
        <v>0</v>
      </c>
      <c r="C33" s="167">
        <f>SUM(CalculatorFC[[#This Row],[FinCodeIssue]:[CalcCodeIssue]])</f>
        <v>0</v>
      </c>
      <c r="D33" t="s">
        <v>1517</v>
      </c>
      <c r="E33" t="s">
        <v>1517</v>
      </c>
      <c r="F33" t="s">
        <v>1169</v>
      </c>
    </row>
    <row r="34" spans="1:6" x14ac:dyDescent="0.3">
      <c r="A34"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34" s="167">
        <f>1-COUNTIF(Calculators[CalculatorCode],CalculatorFC[[#This Row],[CalculatorCode]])</f>
        <v>0</v>
      </c>
      <c r="C34" s="167">
        <f>SUM(CalculatorFC[[#This Row],[FinCodeIssue]:[CalcCodeIssue]])</f>
        <v>0</v>
      </c>
      <c r="D34" t="s">
        <v>1517</v>
      </c>
      <c r="E34" t="s">
        <v>1522</v>
      </c>
      <c r="F34" t="s">
        <v>1147</v>
      </c>
    </row>
    <row r="35" spans="1:6" x14ac:dyDescent="0.3">
      <c r="A35"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5" s="167">
        <f>1-COUNTIF(Calculators[CalculatorCode],CalculatorFC[[#This Row],[CalculatorCode]])</f>
        <v>1</v>
      </c>
      <c r="C35" s="167">
        <f>SUM(CalculatorFC[[#This Row],[FinCodeIssue]:[CalcCodeIssue]])</f>
        <v>2</v>
      </c>
      <c r="D35" t="s">
        <v>1001</v>
      </c>
      <c r="E35" t="s">
        <v>1001</v>
      </c>
      <c r="F35" t="s">
        <v>1169</v>
      </c>
    </row>
    <row r="36" spans="1:6" x14ac:dyDescent="0.3">
      <c r="A36"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6" s="167">
        <f>1-COUNTIF(Calculators[CalculatorCode],CalculatorFC[[#This Row],[CalculatorCode]])</f>
        <v>1</v>
      </c>
      <c r="C36" s="167">
        <f>SUM(CalculatorFC[[#This Row],[FinCodeIssue]:[CalcCodeIssue]])</f>
        <v>2</v>
      </c>
      <c r="D36" t="s">
        <v>1001</v>
      </c>
      <c r="E36" t="s">
        <v>1527</v>
      </c>
      <c r="F36" t="s">
        <v>1147</v>
      </c>
    </row>
    <row r="37" spans="1:6" x14ac:dyDescent="0.3">
      <c r="A37"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37" s="167">
        <f>1-COUNTIF(Calculators[CalculatorCode],CalculatorFC[[#This Row],[CalculatorCode]])</f>
        <v>0</v>
      </c>
      <c r="C37" s="167">
        <f>SUM(CalculatorFC[[#This Row],[FinCodeIssue]:[CalcCodeIssue]])</f>
        <v>0</v>
      </c>
      <c r="D37" t="s">
        <v>1003</v>
      </c>
      <c r="E37" t="s">
        <v>1003</v>
      </c>
      <c r="F37" t="s">
        <v>1169</v>
      </c>
    </row>
    <row r="38" spans="1:6" x14ac:dyDescent="0.3">
      <c r="A38"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38" s="167">
        <f>1-COUNTIF(Calculators[CalculatorCode],CalculatorFC[[#This Row],[CalculatorCode]])</f>
        <v>0</v>
      </c>
      <c r="C38" s="167">
        <f>SUM(CalculatorFC[[#This Row],[FinCodeIssue]:[CalcCodeIssue]])</f>
        <v>0</v>
      </c>
      <c r="D38" t="s">
        <v>1003</v>
      </c>
      <c r="E38" t="s">
        <v>1528</v>
      </c>
      <c r="F38" t="s">
        <v>1147</v>
      </c>
    </row>
    <row r="39" spans="1:6" x14ac:dyDescent="0.3">
      <c r="A39"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39" s="167">
        <f>1-COUNTIF(Calculators[CalculatorCode],CalculatorFC[[#This Row],[CalculatorCode]])</f>
        <v>0</v>
      </c>
      <c r="C39" s="167">
        <f>SUM(CalculatorFC[[#This Row],[FinCodeIssue]:[CalcCodeIssue]])</f>
        <v>0</v>
      </c>
      <c r="D39" t="s">
        <v>1003</v>
      </c>
      <c r="E39" t="s">
        <v>1523</v>
      </c>
      <c r="F39" t="s">
        <v>1147</v>
      </c>
    </row>
    <row r="40" spans="1:6" x14ac:dyDescent="0.3">
      <c r="A40"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40" s="167">
        <f>1-COUNTIF(Calculators[CalculatorCode],CalculatorFC[[#This Row],[CalculatorCode]])</f>
        <v>0</v>
      </c>
      <c r="C40" s="167">
        <f>SUM(CalculatorFC[[#This Row],[FinCodeIssue]:[CalcCodeIssue]])</f>
        <v>0</v>
      </c>
      <c r="D40" t="s">
        <v>1003</v>
      </c>
      <c r="E40" t="s">
        <v>1524</v>
      </c>
      <c r="F40" t="s">
        <v>1147</v>
      </c>
    </row>
    <row r="41" spans="1:6" x14ac:dyDescent="0.3">
      <c r="A41"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41" s="167">
        <f>1-COUNTIF(Calculators[CalculatorCode],CalculatorFC[[#This Row],[CalculatorCode]])</f>
        <v>1</v>
      </c>
      <c r="C41" s="167">
        <f>SUM(CalculatorFC[[#This Row],[FinCodeIssue]:[CalcCodeIssue]])</f>
        <v>2</v>
      </c>
      <c r="D41" t="s">
        <v>1005</v>
      </c>
      <c r="E41" t="s">
        <v>1005</v>
      </c>
      <c r="F41" t="s">
        <v>1169</v>
      </c>
    </row>
    <row r="42" spans="1:6" x14ac:dyDescent="0.3">
      <c r="A42"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42" s="167">
        <f>1-COUNTIF(Calculators[CalculatorCode],CalculatorFC[[#This Row],[CalculatorCode]])</f>
        <v>1</v>
      </c>
      <c r="C42" s="167">
        <f>SUM(CalculatorFC[[#This Row],[FinCodeIssue]:[CalcCodeIssue]])</f>
        <v>2</v>
      </c>
      <c r="D42" t="s">
        <v>1005</v>
      </c>
      <c r="E42" t="s">
        <v>1525</v>
      </c>
      <c r="F42" t="s">
        <v>1147</v>
      </c>
    </row>
    <row r="43" spans="1:6" x14ac:dyDescent="0.3">
      <c r="A43"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43" s="167">
        <f>1-COUNTIF(Calculators[CalculatorCode],CalculatorFC[[#This Row],[CalculatorCode]])</f>
        <v>1</v>
      </c>
      <c r="C43" s="167">
        <f>SUM(CalculatorFC[[#This Row],[FinCodeIssue]:[CalcCodeIssue]])</f>
        <v>2</v>
      </c>
      <c r="D43" t="s">
        <v>1005</v>
      </c>
      <c r="E43" t="s">
        <v>1526</v>
      </c>
      <c r="F43" t="s">
        <v>1147</v>
      </c>
    </row>
    <row r="44" spans="1:6" x14ac:dyDescent="0.3">
      <c r="A44"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44" s="167">
        <f>1-COUNTIF(Calculators[CalculatorCode],CalculatorFC[[#This Row],[CalculatorCode]])</f>
        <v>1</v>
      </c>
      <c r="C44" s="167">
        <f>SUM(CalculatorFC[[#This Row],[FinCodeIssue]:[CalcCodeIssue]])</f>
        <v>2</v>
      </c>
      <c r="D44" t="s">
        <v>1007</v>
      </c>
      <c r="E44" t="s">
        <v>1007</v>
      </c>
      <c r="F44" t="s">
        <v>1169</v>
      </c>
    </row>
    <row r="45" spans="1:6" x14ac:dyDescent="0.3">
      <c r="A45"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45" s="167">
        <f>1-COUNTIF(Calculators[CalculatorCode],CalculatorFC[[#This Row],[CalculatorCode]])</f>
        <v>1</v>
      </c>
      <c r="C45" s="167">
        <f>SUM(CalculatorFC[[#This Row],[FinCodeIssue]:[CalcCodeIssue]])</f>
        <v>1</v>
      </c>
      <c r="D45" t="s">
        <v>1007</v>
      </c>
      <c r="E45" t="s">
        <v>1528</v>
      </c>
      <c r="F45" t="s">
        <v>1147</v>
      </c>
    </row>
    <row r="46" spans="1:6" x14ac:dyDescent="0.3">
      <c r="A46"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46" s="167">
        <f>1-COUNTIF(Calculators[CalculatorCode],CalculatorFC[[#This Row],[CalculatorCode]])</f>
        <v>1</v>
      </c>
      <c r="C46" s="167">
        <f>SUM(CalculatorFC[[#This Row],[FinCodeIssue]:[CalcCodeIssue]])</f>
        <v>1</v>
      </c>
      <c r="D46" t="s">
        <v>1007</v>
      </c>
      <c r="E46" t="s">
        <v>1523</v>
      </c>
      <c r="F46" t="s">
        <v>1147</v>
      </c>
    </row>
    <row r="47" spans="1:6" x14ac:dyDescent="0.3">
      <c r="A47"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47" s="167">
        <f>1-COUNTIF(Calculators[CalculatorCode],CalculatorFC[[#This Row],[CalculatorCode]])</f>
        <v>1</v>
      </c>
      <c r="C47" s="167">
        <f>SUM(CalculatorFC[[#This Row],[FinCodeIssue]:[CalcCodeIssue]])</f>
        <v>1</v>
      </c>
      <c r="D47" t="s">
        <v>1007</v>
      </c>
      <c r="E47" t="s">
        <v>1524</v>
      </c>
      <c r="F47" t="s">
        <v>1147</v>
      </c>
    </row>
    <row r="48" spans="1:6" x14ac:dyDescent="0.3">
      <c r="A48"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48" s="167">
        <f>1-COUNTIF(Calculators[CalculatorCode],CalculatorFC[[#This Row],[CalculatorCode]])</f>
        <v>1</v>
      </c>
      <c r="C48" s="167">
        <f>SUM(CalculatorFC[[#This Row],[FinCodeIssue]:[CalcCodeIssue]])</f>
        <v>2</v>
      </c>
      <c r="D48" t="s">
        <v>1007</v>
      </c>
      <c r="E48" t="s">
        <v>1525</v>
      </c>
      <c r="F48" t="s">
        <v>1147</v>
      </c>
    </row>
    <row r="49" spans="1:6" x14ac:dyDescent="0.3">
      <c r="A49"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49" s="167">
        <f>1-COUNTIF(Calculators[CalculatorCode],CalculatorFC[[#This Row],[CalculatorCode]])</f>
        <v>1</v>
      </c>
      <c r="C49" s="167">
        <f>SUM(CalculatorFC[[#This Row],[FinCodeIssue]:[CalcCodeIssue]])</f>
        <v>2</v>
      </c>
      <c r="D49" t="s">
        <v>1007</v>
      </c>
      <c r="E49" t="s">
        <v>1526</v>
      </c>
      <c r="F49" t="s">
        <v>1147</v>
      </c>
    </row>
    <row r="50" spans="1:6" x14ac:dyDescent="0.3">
      <c r="A50"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50" s="167">
        <f>1-COUNTIF(Calculators[CalculatorCode],CalculatorFC[[#This Row],[CalculatorCode]])</f>
        <v>1</v>
      </c>
      <c r="C50" s="167">
        <f>SUM(CalculatorFC[[#This Row],[FinCodeIssue]:[CalcCodeIssue]])</f>
        <v>2</v>
      </c>
      <c r="D50" t="s">
        <v>1007</v>
      </c>
      <c r="E50" t="s">
        <v>1527</v>
      </c>
      <c r="F50" t="s">
        <v>1147</v>
      </c>
    </row>
    <row r="51" spans="1:6" x14ac:dyDescent="0.3">
      <c r="A51"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51" s="167">
        <f>1-COUNTIF(Calculators[CalculatorCode],CalculatorFC[[#This Row],[CalculatorCode]])</f>
        <v>1</v>
      </c>
      <c r="C51" s="167">
        <f>SUM(CalculatorFC[[#This Row],[FinCodeIssue]:[CalcCodeIssue]])</f>
        <v>1</v>
      </c>
      <c r="D51" t="s">
        <v>1007</v>
      </c>
      <c r="E51" t="s">
        <v>1522</v>
      </c>
      <c r="F51" t="s">
        <v>1147</v>
      </c>
    </row>
    <row r="52" spans="1:6" x14ac:dyDescent="0.3">
      <c r="A52"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52" s="167">
        <f>1-COUNTIF(Calculators[CalculatorCode],CalculatorFC[[#This Row],[CalculatorCode]])</f>
        <v>1</v>
      </c>
      <c r="C52" s="167">
        <f>SUM(CalculatorFC[[#This Row],[FinCodeIssue]:[CalcCodeIssue]])</f>
        <v>2</v>
      </c>
      <c r="D52" t="s">
        <v>2093</v>
      </c>
      <c r="E52" t="s">
        <v>1586</v>
      </c>
      <c r="F52" t="s">
        <v>1147</v>
      </c>
    </row>
    <row r="53" spans="1:6" x14ac:dyDescent="0.3">
      <c r="A53"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53" s="167">
        <f>1-COUNTIF(Calculators[CalculatorCode],CalculatorFC[[#This Row],[CalculatorCode]])</f>
        <v>1</v>
      </c>
      <c r="C53" s="167">
        <f>SUM(CalculatorFC[[#This Row],[FinCodeIssue]:[CalcCodeIssue]])</f>
        <v>2</v>
      </c>
      <c r="D53" t="s">
        <v>2093</v>
      </c>
      <c r="E53" t="s">
        <v>904</v>
      </c>
      <c r="F53" t="s">
        <v>1147</v>
      </c>
    </row>
    <row r="54" spans="1:6" x14ac:dyDescent="0.3">
      <c r="A54"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54" s="167">
        <f>1-COUNTIF(Calculators[CalculatorCode],CalculatorFC[[#This Row],[CalculatorCode]])</f>
        <v>1</v>
      </c>
      <c r="C54" s="167">
        <f>SUM(CalculatorFC[[#This Row],[FinCodeIssue]:[CalcCodeIssue]])</f>
        <v>2</v>
      </c>
      <c r="D54" t="s">
        <v>2093</v>
      </c>
      <c r="E54" t="s">
        <v>2047</v>
      </c>
      <c r="F54" t="s">
        <v>1147</v>
      </c>
    </row>
    <row r="55" spans="1:6" x14ac:dyDescent="0.3">
      <c r="A55"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55" s="167">
        <f>1-COUNTIF(Calculators[CalculatorCode],CalculatorFC[[#This Row],[CalculatorCode]])</f>
        <v>0</v>
      </c>
      <c r="C55" s="167">
        <f>SUM(CalculatorFC[[#This Row],[FinCodeIssue]:[CalcCodeIssue]])</f>
        <v>0</v>
      </c>
      <c r="D55" t="s">
        <v>2094</v>
      </c>
      <c r="E55" t="s">
        <v>1585</v>
      </c>
      <c r="F55" t="s">
        <v>1147</v>
      </c>
    </row>
    <row r="56" spans="1:6" x14ac:dyDescent="0.3">
      <c r="A56"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56" s="167">
        <f>1-COUNTIF(Calculators[CalculatorCode],CalculatorFC[[#This Row],[CalculatorCode]])</f>
        <v>0</v>
      </c>
      <c r="C56" s="167">
        <f>SUM(CalculatorFC[[#This Row],[FinCodeIssue]:[CalcCodeIssue]])</f>
        <v>0</v>
      </c>
      <c r="D56" t="s">
        <v>2094</v>
      </c>
      <c r="E56" t="s">
        <v>906</v>
      </c>
      <c r="F56" t="s">
        <v>1147</v>
      </c>
    </row>
    <row r="57" spans="1:6" x14ac:dyDescent="0.3">
      <c r="A57"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57" s="167">
        <f>1-COUNTIF(Calculators[CalculatorCode],CalculatorFC[[#This Row],[CalculatorCode]])</f>
        <v>1</v>
      </c>
      <c r="C57" s="167">
        <f>SUM(CalculatorFC[[#This Row],[FinCodeIssue]:[CalcCodeIssue]])</f>
        <v>2</v>
      </c>
      <c r="D57" t="s">
        <v>2001</v>
      </c>
      <c r="E57" t="s">
        <v>967</v>
      </c>
      <c r="F57" t="s">
        <v>1147</v>
      </c>
    </row>
    <row r="58" spans="1:6" x14ac:dyDescent="0.3">
      <c r="A58"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58" s="167">
        <f>1-COUNTIF(Calculators[CalculatorCode],CalculatorFC[[#This Row],[CalculatorCode]])</f>
        <v>1</v>
      </c>
      <c r="C58" s="167">
        <f>SUM(CalculatorFC[[#This Row],[FinCodeIssue]:[CalcCodeIssue]])</f>
        <v>2</v>
      </c>
      <c r="D58" t="s">
        <v>2001</v>
      </c>
      <c r="E58" t="s">
        <v>969</v>
      </c>
      <c r="F58" t="s">
        <v>1147</v>
      </c>
    </row>
    <row r="59" spans="1:6" x14ac:dyDescent="0.3">
      <c r="A59"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59" s="167">
        <f>1-COUNTIF(Calculators[CalculatorCode],CalculatorFC[[#This Row],[CalculatorCode]])</f>
        <v>1</v>
      </c>
      <c r="C59" s="167">
        <f>SUM(CalculatorFC[[#This Row],[FinCodeIssue]:[CalcCodeIssue]])</f>
        <v>2</v>
      </c>
      <c r="D59" t="s">
        <v>2001</v>
      </c>
      <c r="E59" t="s">
        <v>1501</v>
      </c>
      <c r="F59" t="s">
        <v>1147</v>
      </c>
    </row>
    <row r="60" spans="1:6" x14ac:dyDescent="0.3">
      <c r="A60"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60" s="167">
        <f>1-COUNTIF(Calculators[CalculatorCode],CalculatorFC[[#This Row],[CalculatorCode]])</f>
        <v>0</v>
      </c>
      <c r="C60" s="167">
        <f>SUM(CalculatorFC[[#This Row],[FinCodeIssue]:[CalcCodeIssue]])</f>
        <v>0</v>
      </c>
      <c r="D60" t="s">
        <v>2084</v>
      </c>
      <c r="E60" t="s">
        <v>941</v>
      </c>
      <c r="F60" t="s">
        <v>1147</v>
      </c>
    </row>
    <row r="61" spans="1:6" x14ac:dyDescent="0.3">
      <c r="A61"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61" s="167">
        <f>1-COUNTIF(Calculators[CalculatorCode],CalculatorFC[[#This Row],[CalculatorCode]])</f>
        <v>0</v>
      </c>
      <c r="C61" s="167">
        <f>SUM(CalculatorFC[[#This Row],[FinCodeIssue]:[CalcCodeIssue]])</f>
        <v>0</v>
      </c>
      <c r="D61" t="s">
        <v>920</v>
      </c>
      <c r="E61" t="s">
        <v>943</v>
      </c>
      <c r="F61" t="s">
        <v>1147</v>
      </c>
    </row>
    <row r="62" spans="1:6" x14ac:dyDescent="0.3">
      <c r="A62"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62" s="167">
        <f>1-COUNTIF(Calculators[CalculatorCode],CalculatorFC[[#This Row],[CalculatorCode]])</f>
        <v>0</v>
      </c>
      <c r="C62" s="167">
        <f>SUM(CalculatorFC[[#This Row],[FinCodeIssue]:[CalcCodeIssue]])</f>
        <v>0</v>
      </c>
      <c r="D62" t="s">
        <v>923</v>
      </c>
      <c r="E62" t="s">
        <v>945</v>
      </c>
      <c r="F62" t="s">
        <v>1147</v>
      </c>
    </row>
    <row r="63" spans="1:6" x14ac:dyDescent="0.3">
      <c r="A63"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63" s="167">
        <f>1-COUNTIF(Calculators[CalculatorCode],CalculatorFC[[#This Row],[CalculatorCode]])</f>
        <v>0</v>
      </c>
      <c r="C63" s="167">
        <f>SUM(CalculatorFC[[#This Row],[FinCodeIssue]:[CalcCodeIssue]])</f>
        <v>0</v>
      </c>
      <c r="D63" t="s">
        <v>923</v>
      </c>
      <c r="E63" t="s">
        <v>947</v>
      </c>
      <c r="F63" t="s">
        <v>1147</v>
      </c>
    </row>
    <row r="64" spans="1:6" x14ac:dyDescent="0.3">
      <c r="A64"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64" s="167">
        <f>1-COUNTIF(Calculators[CalculatorCode],CalculatorFC[[#This Row],[CalculatorCode]])</f>
        <v>0</v>
      </c>
      <c r="C64" s="167">
        <f>SUM(CalculatorFC[[#This Row],[FinCodeIssue]:[CalcCodeIssue]])</f>
        <v>0</v>
      </c>
      <c r="D64" t="s">
        <v>925</v>
      </c>
      <c r="E64" t="s">
        <v>949</v>
      </c>
      <c r="F64" t="s">
        <v>1147</v>
      </c>
    </row>
    <row r="65" spans="1:6" x14ac:dyDescent="0.3">
      <c r="A65"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65" s="167">
        <f>1-COUNTIF(Calculators[CalculatorCode],CalculatorFC[[#This Row],[CalculatorCode]])</f>
        <v>0</v>
      </c>
      <c r="C65" s="167">
        <f>SUM(CalculatorFC[[#This Row],[FinCodeIssue]:[CalcCodeIssue]])</f>
        <v>0</v>
      </c>
      <c r="D65" t="s">
        <v>925</v>
      </c>
      <c r="E65" t="s">
        <v>951</v>
      </c>
      <c r="F65" t="s">
        <v>1147</v>
      </c>
    </row>
    <row r="66" spans="1:6" x14ac:dyDescent="0.3">
      <c r="A66"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66" s="167">
        <f>1-COUNTIF(Calculators[CalculatorCode],CalculatorFC[[#This Row],[CalculatorCode]])</f>
        <v>0</v>
      </c>
      <c r="C66" s="167">
        <f>SUM(CalculatorFC[[#This Row],[FinCodeIssue]:[CalcCodeIssue]])</f>
        <v>0</v>
      </c>
      <c r="D66" t="s">
        <v>925</v>
      </c>
      <c r="E66" t="s">
        <v>953</v>
      </c>
      <c r="F66" t="s">
        <v>1147</v>
      </c>
    </row>
    <row r="67" spans="1:6" x14ac:dyDescent="0.3">
      <c r="A67"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67" s="167">
        <f>1-COUNTIF(Calculators[CalculatorCode],CalculatorFC[[#This Row],[CalculatorCode]])</f>
        <v>0</v>
      </c>
      <c r="C67" s="167">
        <f>SUM(CalculatorFC[[#This Row],[FinCodeIssue]:[CalcCodeIssue]])</f>
        <v>0</v>
      </c>
      <c r="D67" t="s">
        <v>925</v>
      </c>
      <c r="E67" t="s">
        <v>955</v>
      </c>
      <c r="F67" t="s">
        <v>1147</v>
      </c>
    </row>
    <row r="68" spans="1:6" x14ac:dyDescent="0.3">
      <c r="A68"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68" s="167">
        <f>1-COUNTIF(Calculators[CalculatorCode],CalculatorFC[[#This Row],[CalculatorCode]])</f>
        <v>1</v>
      </c>
      <c r="C68" s="167">
        <f>SUM(CalculatorFC[[#This Row],[FinCodeIssue]:[CalcCodeIssue]])</f>
        <v>2</v>
      </c>
      <c r="D68" t="s">
        <v>927</v>
      </c>
      <c r="E68" t="s">
        <v>957</v>
      </c>
      <c r="F68" t="s">
        <v>1147</v>
      </c>
    </row>
    <row r="69" spans="1:6" x14ac:dyDescent="0.3">
      <c r="A69"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69" s="167">
        <f>1-COUNTIF(Calculators[CalculatorCode],CalculatorFC[[#This Row],[CalculatorCode]])</f>
        <v>1</v>
      </c>
      <c r="C69" s="167">
        <f>SUM(CalculatorFC[[#This Row],[FinCodeIssue]:[CalcCodeIssue]])</f>
        <v>2</v>
      </c>
      <c r="D69" t="s">
        <v>927</v>
      </c>
      <c r="E69" t="s">
        <v>959</v>
      </c>
      <c r="F69" t="s">
        <v>1147</v>
      </c>
    </row>
    <row r="70" spans="1:6" x14ac:dyDescent="0.3">
      <c r="A70"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70" s="167">
        <f>1-COUNTIF(Calculators[CalculatorCode],CalculatorFC[[#This Row],[CalculatorCode]])</f>
        <v>1</v>
      </c>
      <c r="C70" s="167">
        <f>SUM(CalculatorFC[[#This Row],[FinCodeIssue]:[CalcCodeIssue]])</f>
        <v>2</v>
      </c>
      <c r="D70" t="s">
        <v>927</v>
      </c>
      <c r="E70" t="s">
        <v>961</v>
      </c>
      <c r="F70" t="s">
        <v>1147</v>
      </c>
    </row>
    <row r="71" spans="1:6" x14ac:dyDescent="0.3">
      <c r="A71"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71" s="167">
        <f>1-COUNTIF(Calculators[CalculatorCode],CalculatorFC[[#This Row],[CalculatorCode]])</f>
        <v>1</v>
      </c>
      <c r="C71" s="167">
        <f>SUM(CalculatorFC[[#This Row],[FinCodeIssue]:[CalcCodeIssue]])</f>
        <v>2</v>
      </c>
      <c r="D71" t="s">
        <v>929</v>
      </c>
      <c r="E71" t="s">
        <v>963</v>
      </c>
      <c r="F71" t="s">
        <v>1147</v>
      </c>
    </row>
    <row r="72" spans="1:6" x14ac:dyDescent="0.3">
      <c r="A72"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72" s="167">
        <f>1-COUNTIF(Calculators[CalculatorCode],CalculatorFC[[#This Row],[CalculatorCode]])</f>
        <v>1</v>
      </c>
      <c r="C72" s="167">
        <f>SUM(CalculatorFC[[#This Row],[FinCodeIssue]:[CalcCodeIssue]])</f>
        <v>2</v>
      </c>
      <c r="D72" t="s">
        <v>929</v>
      </c>
      <c r="E72" t="s">
        <v>965</v>
      </c>
      <c r="F72" t="s">
        <v>1147</v>
      </c>
    </row>
    <row r="73" spans="1:6" x14ac:dyDescent="0.3">
      <c r="A73"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73" s="167">
        <f>1-COUNTIF(Calculators[CalculatorCode],CalculatorFC[[#This Row],[CalculatorCode]])</f>
        <v>1</v>
      </c>
      <c r="C73" s="167">
        <f>SUM(CalculatorFC[[#This Row],[FinCodeIssue]:[CalcCodeIssue]])</f>
        <v>2</v>
      </c>
      <c r="D73" t="s">
        <v>931</v>
      </c>
      <c r="E73" t="s">
        <v>967</v>
      </c>
      <c r="F73" t="s">
        <v>1147</v>
      </c>
    </row>
    <row r="74" spans="1:6" x14ac:dyDescent="0.3">
      <c r="A74"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74" s="167">
        <f>1-COUNTIF(Calculators[CalculatorCode],CalculatorFC[[#This Row],[CalculatorCode]])</f>
        <v>1</v>
      </c>
      <c r="C74" s="167">
        <f>SUM(CalculatorFC[[#This Row],[FinCodeIssue]:[CalcCodeIssue]])</f>
        <v>2</v>
      </c>
      <c r="D74" t="s">
        <v>931</v>
      </c>
      <c r="E74" t="s">
        <v>969</v>
      </c>
      <c r="F74" t="s">
        <v>1147</v>
      </c>
    </row>
    <row r="75" spans="1:6" x14ac:dyDescent="0.3">
      <c r="A75"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75" s="167">
        <f>1-COUNTIF(Calculators[CalculatorCode],CalculatorFC[[#This Row],[CalculatorCode]])</f>
        <v>1</v>
      </c>
      <c r="C75" s="167">
        <f>SUM(CalculatorFC[[#This Row],[FinCodeIssue]:[CalcCodeIssue]])</f>
        <v>2</v>
      </c>
      <c r="D75" t="s">
        <v>931</v>
      </c>
      <c r="E75" t="s">
        <v>1501</v>
      </c>
      <c r="F75" t="s">
        <v>1147</v>
      </c>
    </row>
    <row r="76" spans="1:6" x14ac:dyDescent="0.3">
      <c r="A76"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76" s="167">
        <f>1-COUNTIF(Calculators[CalculatorCode],CalculatorFC[[#This Row],[CalculatorCode]])</f>
        <v>0</v>
      </c>
      <c r="C76" s="167">
        <f>SUM(CalculatorFC[[#This Row],[FinCodeIssue]:[CalcCodeIssue]])</f>
        <v>0</v>
      </c>
      <c r="D76" t="s">
        <v>1563</v>
      </c>
      <c r="E76" t="s">
        <v>943</v>
      </c>
      <c r="F76" t="s">
        <v>1147</v>
      </c>
    </row>
    <row r="77" spans="1:6" x14ac:dyDescent="0.3">
      <c r="A77"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77" s="167">
        <f>1-COUNTIF(Calculators[CalculatorCode],CalculatorFC[[#This Row],[CalculatorCode]])</f>
        <v>0</v>
      </c>
      <c r="C77" s="167">
        <f>SUM(CalculatorFC[[#This Row],[FinCodeIssue]:[CalcCodeIssue]])</f>
        <v>0</v>
      </c>
      <c r="D77" t="s">
        <v>1563</v>
      </c>
      <c r="E77" t="s">
        <v>945</v>
      </c>
      <c r="F77" t="s">
        <v>1147</v>
      </c>
    </row>
    <row r="78" spans="1:6" x14ac:dyDescent="0.3">
      <c r="A78"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78" s="167">
        <f>1-COUNTIF(Calculators[CalculatorCode],CalculatorFC[[#This Row],[CalculatorCode]])</f>
        <v>0</v>
      </c>
      <c r="C78" s="167">
        <f>SUM(CalculatorFC[[#This Row],[FinCodeIssue]:[CalcCodeIssue]])</f>
        <v>0</v>
      </c>
      <c r="D78" t="s">
        <v>1563</v>
      </c>
      <c r="E78" t="s">
        <v>947</v>
      </c>
      <c r="F78" t="s">
        <v>1147</v>
      </c>
    </row>
    <row r="79" spans="1:6" x14ac:dyDescent="0.3">
      <c r="A79"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79" s="167">
        <f>1-COUNTIF(Calculators[CalculatorCode],CalculatorFC[[#This Row],[CalculatorCode]])</f>
        <v>0</v>
      </c>
      <c r="C79" s="167">
        <f>SUM(CalculatorFC[[#This Row],[FinCodeIssue]:[CalcCodeIssue]])</f>
        <v>0</v>
      </c>
      <c r="D79" t="s">
        <v>1563</v>
      </c>
      <c r="E79" t="s">
        <v>949</v>
      </c>
      <c r="F79" t="s">
        <v>1147</v>
      </c>
    </row>
    <row r="80" spans="1:6" x14ac:dyDescent="0.3">
      <c r="A80"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80" s="167">
        <f>1-COUNTIF(Calculators[CalculatorCode],CalculatorFC[[#This Row],[CalculatorCode]])</f>
        <v>0</v>
      </c>
      <c r="C80" s="167">
        <f>SUM(CalculatorFC[[#This Row],[FinCodeIssue]:[CalcCodeIssue]])</f>
        <v>0</v>
      </c>
      <c r="D80" t="s">
        <v>1563</v>
      </c>
      <c r="E80" t="s">
        <v>951</v>
      </c>
      <c r="F80" t="s">
        <v>1147</v>
      </c>
    </row>
    <row r="81" spans="1:6" x14ac:dyDescent="0.3">
      <c r="A81"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81" s="167">
        <f>1-COUNTIF(Calculators[CalculatorCode],CalculatorFC[[#This Row],[CalculatorCode]])</f>
        <v>0</v>
      </c>
      <c r="C81" s="167">
        <f>SUM(CalculatorFC[[#This Row],[FinCodeIssue]:[CalcCodeIssue]])</f>
        <v>0</v>
      </c>
      <c r="D81" t="s">
        <v>1563</v>
      </c>
      <c r="E81" t="s">
        <v>953</v>
      </c>
      <c r="F81" t="s">
        <v>1147</v>
      </c>
    </row>
    <row r="82" spans="1:6" x14ac:dyDescent="0.3">
      <c r="A82"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82" s="167">
        <f>1-COUNTIF(Calculators[CalculatorCode],CalculatorFC[[#This Row],[CalculatorCode]])</f>
        <v>0</v>
      </c>
      <c r="C82" s="167">
        <f>SUM(CalculatorFC[[#This Row],[FinCodeIssue]:[CalcCodeIssue]])</f>
        <v>0</v>
      </c>
      <c r="D82" t="s">
        <v>1563</v>
      </c>
      <c r="E82" t="s">
        <v>955</v>
      </c>
      <c r="F82" t="s">
        <v>1147</v>
      </c>
    </row>
    <row r="83" spans="1:6" x14ac:dyDescent="0.3">
      <c r="A83"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83" s="167">
        <f>1-COUNTIF(Calculators[CalculatorCode],CalculatorFC[[#This Row],[CalculatorCode]])</f>
        <v>1</v>
      </c>
      <c r="C83" s="167">
        <f>SUM(CalculatorFC[[#This Row],[FinCodeIssue]:[CalcCodeIssue]])</f>
        <v>2</v>
      </c>
      <c r="D83" t="s">
        <v>1586</v>
      </c>
      <c r="E83" t="s">
        <v>1586</v>
      </c>
      <c r="F83" t="s">
        <v>1147</v>
      </c>
    </row>
    <row r="84" spans="1:6" x14ac:dyDescent="0.3">
      <c r="A84"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84" s="167">
        <f>1-COUNTIF(Calculators[CalculatorCode],CalculatorFC[[#This Row],[CalculatorCode]])</f>
        <v>0</v>
      </c>
      <c r="C84" s="167">
        <f>SUM(CalculatorFC[[#This Row],[FinCodeIssue]:[CalcCodeIssue]])</f>
        <v>0</v>
      </c>
      <c r="D84" t="s">
        <v>1585</v>
      </c>
      <c r="E84" t="s">
        <v>1585</v>
      </c>
      <c r="F84" t="s">
        <v>1147</v>
      </c>
    </row>
    <row r="85" spans="1:6" x14ac:dyDescent="0.3">
      <c r="A85"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85" s="167">
        <f>1-COUNTIF(Calculators[CalculatorCode],CalculatorFC[[#This Row],[CalculatorCode]])</f>
        <v>1</v>
      </c>
      <c r="C85" s="167">
        <f>SUM(CalculatorFC[[#This Row],[FinCodeIssue]:[CalcCodeIssue]])</f>
        <v>2</v>
      </c>
      <c r="D85" t="s">
        <v>904</v>
      </c>
      <c r="E85" t="s">
        <v>904</v>
      </c>
      <c r="F85" t="s">
        <v>1147</v>
      </c>
    </row>
    <row r="86" spans="1:6" x14ac:dyDescent="0.3">
      <c r="A86"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86" s="167">
        <f>1-COUNTIF(Calculators[CalculatorCode],CalculatorFC[[#This Row],[CalculatorCode]])</f>
        <v>1</v>
      </c>
      <c r="C86" s="167">
        <f>SUM(CalculatorFC[[#This Row],[FinCodeIssue]:[CalcCodeIssue]])</f>
        <v>2</v>
      </c>
      <c r="D86" t="s">
        <v>908</v>
      </c>
      <c r="E86" t="s">
        <v>908</v>
      </c>
      <c r="F86" t="s">
        <v>1147</v>
      </c>
    </row>
    <row r="87" spans="1:6" x14ac:dyDescent="0.3">
      <c r="A87"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87" s="167">
        <f>1-COUNTIF(Calculators[CalculatorCode],CalculatorFC[[#This Row],[CalculatorCode]])</f>
        <v>0</v>
      </c>
      <c r="C87" s="167">
        <f>SUM(CalculatorFC[[#This Row],[FinCodeIssue]:[CalcCodeIssue]])</f>
        <v>0</v>
      </c>
      <c r="D87" t="s">
        <v>906</v>
      </c>
      <c r="E87" t="s">
        <v>906</v>
      </c>
      <c r="F87" t="s">
        <v>1147</v>
      </c>
    </row>
    <row r="88" spans="1:6" x14ac:dyDescent="0.3">
      <c r="A88"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88" s="167">
        <f>1-COUNTIF(Calculators[CalculatorCode],CalculatorFC[[#This Row],[CalculatorCode]])</f>
        <v>0</v>
      </c>
      <c r="C88" s="167">
        <f>SUM(CalculatorFC[[#This Row],[FinCodeIssue]:[CalcCodeIssue]])</f>
        <v>0</v>
      </c>
      <c r="D88" t="s">
        <v>910</v>
      </c>
      <c r="E88" t="s">
        <v>910</v>
      </c>
      <c r="F88" t="s">
        <v>1147</v>
      </c>
    </row>
    <row r="89" spans="1:6" x14ac:dyDescent="0.3">
      <c r="A89"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89" s="167">
        <f>1-COUNTIF(Calculators[CalculatorCode],CalculatorFC[[#This Row],[CalculatorCode]])</f>
        <v>1</v>
      </c>
      <c r="C89" s="167">
        <f>SUM(CalculatorFC[[#This Row],[FinCodeIssue]:[CalcCodeIssue]])</f>
        <v>2</v>
      </c>
      <c r="D89" t="s">
        <v>2047</v>
      </c>
      <c r="E89" t="s">
        <v>2047</v>
      </c>
      <c r="F89" t="s">
        <v>1147</v>
      </c>
    </row>
    <row r="90" spans="1:6" x14ac:dyDescent="0.3">
      <c r="A90"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90" s="167">
        <f>1-COUNTIF(Calculators[CalculatorCode],CalculatorFC[[#This Row],[CalculatorCode]])</f>
        <v>1</v>
      </c>
      <c r="C90" s="167">
        <f>SUM(CalculatorFC[[#This Row],[FinCodeIssue]:[CalcCodeIssue]])</f>
        <v>2</v>
      </c>
      <c r="D90" t="s">
        <v>1207</v>
      </c>
      <c r="E90" t="s">
        <v>937</v>
      </c>
      <c r="F90" t="s">
        <v>1147</v>
      </c>
    </row>
    <row r="91" spans="1:6" x14ac:dyDescent="0.3">
      <c r="A91"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91" s="167">
        <f>1-COUNTIF(Calculators[CalculatorCode],CalculatorFC[[#This Row],[CalculatorCode]])</f>
        <v>1</v>
      </c>
      <c r="C91" s="167">
        <f>SUM(CalculatorFC[[#This Row],[FinCodeIssue]:[CalcCodeIssue]])</f>
        <v>1</v>
      </c>
      <c r="D91" t="s">
        <v>1207</v>
      </c>
      <c r="E91" t="s">
        <v>1011</v>
      </c>
      <c r="F91" t="s">
        <v>1169</v>
      </c>
    </row>
    <row r="92" spans="1:6" x14ac:dyDescent="0.3">
      <c r="A92"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92" s="167">
        <f>1-COUNTIF(Calculators[CalculatorCode],CalculatorFC[[#This Row],[CalculatorCode]])</f>
        <v>1</v>
      </c>
      <c r="C92" s="167">
        <f>SUM(CalculatorFC[[#This Row],[FinCodeIssue]:[CalcCodeIssue]])</f>
        <v>2</v>
      </c>
      <c r="D92" t="s">
        <v>1203</v>
      </c>
      <c r="E92" t="s">
        <v>933</v>
      </c>
      <c r="F92" t="s">
        <v>1147</v>
      </c>
    </row>
    <row r="93" spans="1:6" x14ac:dyDescent="0.3">
      <c r="A93"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93" s="167">
        <f>1-COUNTIF(Calculators[CalculatorCode],CalculatorFC[[#This Row],[CalculatorCode]])</f>
        <v>1</v>
      </c>
      <c r="C93" s="167">
        <f>SUM(CalculatorFC[[#This Row],[FinCodeIssue]:[CalcCodeIssue]])</f>
        <v>1</v>
      </c>
      <c r="D93" t="s">
        <v>1203</v>
      </c>
      <c r="E93" t="s">
        <v>1009</v>
      </c>
      <c r="F93" t="s">
        <v>1169</v>
      </c>
    </row>
    <row r="94" spans="1:6" x14ac:dyDescent="0.3">
      <c r="A94"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94" s="167">
        <f>1-COUNTIF(Calculators[CalculatorCode],CalculatorFC[[#This Row],[CalculatorCode]])</f>
        <v>0</v>
      </c>
      <c r="C94" s="167">
        <f>SUM(CalculatorFC[[#This Row],[FinCodeIssue]:[CalcCodeIssue]])</f>
        <v>0</v>
      </c>
      <c r="D94" t="s">
        <v>1209</v>
      </c>
      <c r="E94" t="s">
        <v>939</v>
      </c>
      <c r="F94" t="s">
        <v>1147</v>
      </c>
    </row>
    <row r="95" spans="1:6" x14ac:dyDescent="0.3">
      <c r="A95"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95" s="167">
        <f>1-COUNTIF(Calculators[CalculatorCode],CalculatorFC[[#This Row],[CalculatorCode]])</f>
        <v>0</v>
      </c>
      <c r="C95" s="167">
        <f>SUM(CalculatorFC[[#This Row],[FinCodeIssue]:[CalcCodeIssue]])</f>
        <v>0</v>
      </c>
      <c r="D95" t="s">
        <v>1209</v>
      </c>
      <c r="E95" t="s">
        <v>1011</v>
      </c>
      <c r="F95" t="s">
        <v>1169</v>
      </c>
    </row>
    <row r="96" spans="1:6" x14ac:dyDescent="0.3">
      <c r="A96"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96" s="167">
        <f>1-COUNTIF(Calculators[CalculatorCode],CalculatorFC[[#This Row],[CalculatorCode]])</f>
        <v>0</v>
      </c>
      <c r="C96" s="167">
        <f>SUM(CalculatorFC[[#This Row],[FinCodeIssue]:[CalcCodeIssue]])</f>
        <v>0</v>
      </c>
      <c r="D96" t="s">
        <v>1205</v>
      </c>
      <c r="E96" t="s">
        <v>935</v>
      </c>
      <c r="F96" t="s">
        <v>1147</v>
      </c>
    </row>
    <row r="97" spans="1:6" x14ac:dyDescent="0.3">
      <c r="A97"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97" s="167">
        <f>1-COUNTIF(Calculators[CalculatorCode],CalculatorFC[[#This Row],[CalculatorCode]])</f>
        <v>0</v>
      </c>
      <c r="C97" s="167">
        <f>SUM(CalculatorFC[[#This Row],[FinCodeIssue]:[CalcCodeIssue]])</f>
        <v>0</v>
      </c>
      <c r="D97" t="s">
        <v>1205</v>
      </c>
      <c r="E97" t="s">
        <v>1009</v>
      </c>
      <c r="F97" t="s">
        <v>1169</v>
      </c>
    </row>
    <row r="98" spans="1:6" x14ac:dyDescent="0.3">
      <c r="A98"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98" s="167">
        <f>1-COUNTIF(Calculators[CalculatorCode],CalculatorFC[[#This Row],[CalculatorCode]])</f>
        <v>0</v>
      </c>
      <c r="C98" s="167">
        <f>SUM(CalculatorFC[[#This Row],[FinCodeIssue]:[CalcCodeIssue]])</f>
        <v>1</v>
      </c>
      <c r="D98" t="s">
        <v>2346</v>
      </c>
      <c r="F98" t="s">
        <v>1169</v>
      </c>
    </row>
    <row r="99" spans="1:6" x14ac:dyDescent="0.3">
      <c r="A99"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99" s="167">
        <f>1-COUNTIF(Calculators[CalculatorCode],CalculatorFC[[#This Row],[CalculatorCode]])</f>
        <v>0</v>
      </c>
      <c r="C99" s="167">
        <f>SUM(CalculatorFC[[#This Row],[FinCodeIssue]:[CalcCodeIssue]])</f>
        <v>1</v>
      </c>
      <c r="D99" t="s">
        <v>2346</v>
      </c>
      <c r="E99" t="s">
        <v>1920</v>
      </c>
      <c r="F99" t="s">
        <v>1158</v>
      </c>
    </row>
    <row r="100" spans="1:6" x14ac:dyDescent="0.3">
      <c r="A100"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00" s="167">
        <f>1-COUNTIF(Calculators[CalculatorCode],CalculatorFC[[#This Row],[CalculatorCode]])</f>
        <v>0</v>
      </c>
      <c r="C100" s="167">
        <f>SUM(CalculatorFC[[#This Row],[FinCodeIssue]:[CalcCodeIssue]])</f>
        <v>0</v>
      </c>
      <c r="D100" t="s">
        <v>2346</v>
      </c>
      <c r="E100" t="s">
        <v>1502</v>
      </c>
      <c r="F100" t="s">
        <v>1147</v>
      </c>
    </row>
    <row r="101" spans="1:6" x14ac:dyDescent="0.3">
      <c r="A101"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01" s="167">
        <f>1-COUNTIF(Calculators[CalculatorCode],CalculatorFC[[#This Row],[CalculatorCode]])</f>
        <v>0</v>
      </c>
      <c r="C101" s="167">
        <f>SUM(CalculatorFC[[#This Row],[FinCodeIssue]:[CalcCodeIssue]])</f>
        <v>1</v>
      </c>
      <c r="D101" t="s">
        <v>2347</v>
      </c>
      <c r="F101" t="s">
        <v>1169</v>
      </c>
    </row>
    <row r="102" spans="1:6" x14ac:dyDescent="0.3">
      <c r="A102"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02" s="167">
        <f>1-COUNTIF(Calculators[CalculatorCode],CalculatorFC[[#This Row],[CalculatorCode]])</f>
        <v>0</v>
      </c>
      <c r="C102" s="167">
        <f>SUM(CalculatorFC[[#This Row],[FinCodeIssue]:[CalcCodeIssue]])</f>
        <v>1</v>
      </c>
      <c r="D102" t="s">
        <v>2347</v>
      </c>
      <c r="E102" t="s">
        <v>1920</v>
      </c>
      <c r="F102" t="s">
        <v>1158</v>
      </c>
    </row>
    <row r="103" spans="1:6" x14ac:dyDescent="0.3">
      <c r="A103"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03" s="167">
        <f>1-COUNTIF(Calculators[CalculatorCode],CalculatorFC[[#This Row],[CalculatorCode]])</f>
        <v>0</v>
      </c>
      <c r="C103" s="167">
        <f>SUM(CalculatorFC[[#This Row],[FinCodeIssue]:[CalcCodeIssue]])</f>
        <v>0</v>
      </c>
      <c r="D103" t="s">
        <v>2347</v>
      </c>
      <c r="E103" t="s">
        <v>1502</v>
      </c>
      <c r="F103" t="s">
        <v>1147</v>
      </c>
    </row>
    <row r="104" spans="1:6" x14ac:dyDescent="0.3">
      <c r="A104"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04" s="167">
        <f>1-COUNTIF(Calculators[CalculatorCode],CalculatorFC[[#This Row],[CalculatorCode]])</f>
        <v>0</v>
      </c>
      <c r="C104" s="167">
        <f>SUM(CalculatorFC[[#This Row],[FinCodeIssue]:[CalcCodeIssue]])</f>
        <v>0</v>
      </c>
      <c r="D104" t="s">
        <v>2343</v>
      </c>
      <c r="E104">
        <v>611100</v>
      </c>
      <c r="F104" t="s">
        <v>1986</v>
      </c>
    </row>
    <row r="105" spans="1:6" x14ac:dyDescent="0.3">
      <c r="A105"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05" s="167">
        <f>1-COUNTIF(Calculators[CalculatorCode],CalculatorFC[[#This Row],[CalculatorCode]])</f>
        <v>0</v>
      </c>
      <c r="C105" s="167">
        <f>SUM(CalculatorFC[[#This Row],[FinCodeIssue]:[CalcCodeIssue]])</f>
        <v>0</v>
      </c>
      <c r="D105" t="s">
        <v>2343</v>
      </c>
      <c r="E105" t="s">
        <v>244</v>
      </c>
      <c r="F105" t="s">
        <v>1986</v>
      </c>
    </row>
    <row r="106" spans="1:6" x14ac:dyDescent="0.3">
      <c r="A106"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06" s="167">
        <f>1-COUNTIF(Calculators[CalculatorCode],CalculatorFC[[#This Row],[CalculatorCode]])</f>
        <v>0</v>
      </c>
      <c r="C106" s="167">
        <f>SUM(CalculatorFC[[#This Row],[FinCodeIssue]:[CalcCodeIssue]])</f>
        <v>0</v>
      </c>
      <c r="D106" t="s">
        <v>2343</v>
      </c>
      <c r="E106" t="s">
        <v>252</v>
      </c>
      <c r="F106" t="s">
        <v>1986</v>
      </c>
    </row>
    <row r="107" spans="1:6" x14ac:dyDescent="0.3">
      <c r="A107"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07" s="167">
        <f>1-COUNTIF(Calculators[CalculatorCode],CalculatorFC[[#This Row],[CalculatorCode]])</f>
        <v>0</v>
      </c>
      <c r="C107" s="167">
        <f>SUM(CalculatorFC[[#This Row],[FinCodeIssue]:[CalcCodeIssue]])</f>
        <v>0</v>
      </c>
      <c r="D107" t="s">
        <v>2343</v>
      </c>
      <c r="E107" t="s">
        <v>260</v>
      </c>
      <c r="F107" t="s">
        <v>1986</v>
      </c>
    </row>
    <row r="108" spans="1:6" x14ac:dyDescent="0.3">
      <c r="A108"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08" s="167">
        <f>1-COUNTIF(Calculators[CalculatorCode],CalculatorFC[[#This Row],[CalculatorCode]])</f>
        <v>0</v>
      </c>
      <c r="C108" s="167">
        <f>SUM(CalculatorFC[[#This Row],[FinCodeIssue]:[CalcCodeIssue]])</f>
        <v>0</v>
      </c>
      <c r="D108" t="s">
        <v>2343</v>
      </c>
      <c r="E108" t="s">
        <v>2194</v>
      </c>
      <c r="F108" t="s">
        <v>1986</v>
      </c>
    </row>
    <row r="109" spans="1:6" x14ac:dyDescent="0.3">
      <c r="A109"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09" s="167">
        <f>1-COUNTIF(Calculators[CalculatorCode],CalculatorFC[[#This Row],[CalculatorCode]])</f>
        <v>0</v>
      </c>
      <c r="C109" s="167">
        <f>SUM(CalculatorFC[[#This Row],[FinCodeIssue]:[CalcCodeIssue]])</f>
        <v>0</v>
      </c>
      <c r="D109" t="s">
        <v>2343</v>
      </c>
      <c r="E109" t="s">
        <v>268</v>
      </c>
      <c r="F109" t="s">
        <v>1986</v>
      </c>
    </row>
    <row r="110" spans="1:6" x14ac:dyDescent="0.3">
      <c r="A110"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10" s="167">
        <f>1-COUNTIF(Calculators[CalculatorCode],CalculatorFC[[#This Row],[CalculatorCode]])</f>
        <v>0</v>
      </c>
      <c r="C110" s="167">
        <f>SUM(CalculatorFC[[#This Row],[FinCodeIssue]:[CalcCodeIssue]])</f>
        <v>0</v>
      </c>
      <c r="D110" t="s">
        <v>2343</v>
      </c>
      <c r="E110" t="s">
        <v>276</v>
      </c>
      <c r="F110" t="s">
        <v>1986</v>
      </c>
    </row>
    <row r="111" spans="1:6" x14ac:dyDescent="0.3">
      <c r="A111"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11" s="167">
        <f>1-COUNTIF(Calculators[CalculatorCode],CalculatorFC[[#This Row],[CalculatorCode]])</f>
        <v>0</v>
      </c>
      <c r="C111" s="167">
        <f>SUM(CalculatorFC[[#This Row],[FinCodeIssue]:[CalcCodeIssue]])</f>
        <v>0</v>
      </c>
      <c r="D111" t="s">
        <v>2343</v>
      </c>
      <c r="E111" t="s">
        <v>284</v>
      </c>
      <c r="F111" t="s">
        <v>1986</v>
      </c>
    </row>
    <row r="112" spans="1:6" x14ac:dyDescent="0.3">
      <c r="A112"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12" s="167">
        <f>1-COUNTIF(Calculators[CalculatorCode],CalculatorFC[[#This Row],[CalculatorCode]])</f>
        <v>0</v>
      </c>
      <c r="C112" s="167">
        <f>SUM(CalculatorFC[[#This Row],[FinCodeIssue]:[CalcCodeIssue]])</f>
        <v>0</v>
      </c>
      <c r="D112" t="s">
        <v>2343</v>
      </c>
      <c r="E112" t="s">
        <v>292</v>
      </c>
      <c r="F112" t="s">
        <v>1986</v>
      </c>
    </row>
    <row r="113" spans="1:6" x14ac:dyDescent="0.3">
      <c r="A113"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13" s="167">
        <f>1-COUNTIF(Calculators[CalculatorCode],CalculatorFC[[#This Row],[CalculatorCode]])</f>
        <v>0</v>
      </c>
      <c r="C113" s="167">
        <f>SUM(CalculatorFC[[#This Row],[FinCodeIssue]:[CalcCodeIssue]])</f>
        <v>0</v>
      </c>
      <c r="D113" t="s">
        <v>2343</v>
      </c>
      <c r="E113" t="s">
        <v>300</v>
      </c>
      <c r="F113" t="s">
        <v>1986</v>
      </c>
    </row>
    <row r="114" spans="1:6" x14ac:dyDescent="0.3">
      <c r="A114"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14" s="167">
        <f>1-COUNTIF(Calculators[CalculatorCode],CalculatorFC[[#This Row],[CalculatorCode]])</f>
        <v>0</v>
      </c>
      <c r="C114" s="167">
        <f>SUM(CalculatorFC[[#This Row],[FinCodeIssue]:[CalcCodeIssue]])</f>
        <v>0</v>
      </c>
      <c r="D114" t="s">
        <v>2343</v>
      </c>
      <c r="E114" t="s">
        <v>308</v>
      </c>
      <c r="F114" t="s">
        <v>1986</v>
      </c>
    </row>
    <row r="115" spans="1:6" x14ac:dyDescent="0.3">
      <c r="A115"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15" s="167">
        <f>1-COUNTIF(Calculators[CalculatorCode],CalculatorFC[[#This Row],[CalculatorCode]])</f>
        <v>0</v>
      </c>
      <c r="C115" s="167">
        <f>SUM(CalculatorFC[[#This Row],[FinCodeIssue]:[CalcCodeIssue]])</f>
        <v>0</v>
      </c>
      <c r="D115" t="s">
        <v>2343</v>
      </c>
      <c r="E115" t="s">
        <v>316</v>
      </c>
      <c r="F115" t="s">
        <v>1986</v>
      </c>
    </row>
    <row r="116" spans="1:6" x14ac:dyDescent="0.3">
      <c r="A116"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16" s="167">
        <f>1-COUNTIF(Calculators[CalculatorCode],CalculatorFC[[#This Row],[CalculatorCode]])</f>
        <v>0</v>
      </c>
      <c r="C116" s="167">
        <f>SUM(CalculatorFC[[#This Row],[FinCodeIssue]:[CalcCodeIssue]])</f>
        <v>0</v>
      </c>
      <c r="D116" t="s">
        <v>2343</v>
      </c>
      <c r="E116" t="s">
        <v>332</v>
      </c>
      <c r="F116" t="s">
        <v>1986</v>
      </c>
    </row>
    <row r="117" spans="1:6" x14ac:dyDescent="0.3">
      <c r="A117"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17" s="167">
        <f>1-COUNTIF(Calculators[CalculatorCode],CalculatorFC[[#This Row],[CalculatorCode]])</f>
        <v>0</v>
      </c>
      <c r="C117" s="167">
        <f>SUM(CalculatorFC[[#This Row],[FinCodeIssue]:[CalcCodeIssue]])</f>
        <v>0</v>
      </c>
      <c r="D117" t="s">
        <v>2343</v>
      </c>
      <c r="E117" t="s">
        <v>340</v>
      </c>
      <c r="F117" t="s">
        <v>1986</v>
      </c>
    </row>
    <row r="118" spans="1:6" x14ac:dyDescent="0.3">
      <c r="A118"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18" s="167">
        <f>1-COUNTIF(Calculators[CalculatorCode],CalculatorFC[[#This Row],[CalculatorCode]])</f>
        <v>0</v>
      </c>
      <c r="C118" s="167">
        <f>SUM(CalculatorFC[[#This Row],[FinCodeIssue]:[CalcCodeIssue]])</f>
        <v>0</v>
      </c>
      <c r="D118" t="s">
        <v>2343</v>
      </c>
      <c r="E118" t="s">
        <v>2343</v>
      </c>
      <c r="F118" t="s">
        <v>1169</v>
      </c>
    </row>
    <row r="119" spans="1:6" x14ac:dyDescent="0.3">
      <c r="A119"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19" s="167">
        <f>1-COUNTIF(Calculators[CalculatorCode],CalculatorFC[[#This Row],[CalculatorCode]])</f>
        <v>0</v>
      </c>
      <c r="C119" s="167">
        <f>SUM(CalculatorFC[[#This Row],[FinCodeIssue]:[CalcCodeIssue]])</f>
        <v>0</v>
      </c>
      <c r="D119" t="s">
        <v>2342</v>
      </c>
      <c r="E119">
        <v>610100</v>
      </c>
      <c r="F119" t="s">
        <v>1986</v>
      </c>
    </row>
    <row r="120" spans="1:6" x14ac:dyDescent="0.3">
      <c r="A120"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20" s="167">
        <f>1-COUNTIF(Calculators[CalculatorCode],CalculatorFC[[#This Row],[CalculatorCode]])</f>
        <v>0</v>
      </c>
      <c r="C120" s="167">
        <f>SUM(CalculatorFC[[#This Row],[FinCodeIssue]:[CalcCodeIssue]])</f>
        <v>0</v>
      </c>
      <c r="D120" t="s">
        <v>2342</v>
      </c>
      <c r="E120" t="s">
        <v>228</v>
      </c>
      <c r="F120" t="s">
        <v>1986</v>
      </c>
    </row>
    <row r="121" spans="1:6" x14ac:dyDescent="0.3">
      <c r="A121"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21" s="167">
        <f>1-COUNTIF(Calculators[CalculatorCode],CalculatorFC[[#This Row],[CalculatorCode]])</f>
        <v>0</v>
      </c>
      <c r="C121" s="167">
        <f>SUM(CalculatorFC[[#This Row],[FinCodeIssue]:[CalcCodeIssue]])</f>
        <v>0</v>
      </c>
      <c r="D121" t="s">
        <v>2342</v>
      </c>
      <c r="E121" t="s">
        <v>236</v>
      </c>
      <c r="F121" t="s">
        <v>1986</v>
      </c>
    </row>
    <row r="122" spans="1:6" x14ac:dyDescent="0.3">
      <c r="A122"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22" s="167">
        <f>1-COUNTIF(Calculators[CalculatorCode],CalculatorFC[[#This Row],[CalculatorCode]])</f>
        <v>0</v>
      </c>
      <c r="C122" s="167">
        <f>SUM(CalculatorFC[[#This Row],[FinCodeIssue]:[CalcCodeIssue]])</f>
        <v>0</v>
      </c>
      <c r="D122" t="s">
        <v>2342</v>
      </c>
      <c r="E122" t="s">
        <v>2342</v>
      </c>
      <c r="F122" t="s">
        <v>1169</v>
      </c>
    </row>
    <row r="123" spans="1:6" x14ac:dyDescent="0.3">
      <c r="A123"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23" s="167">
        <f>1-COUNTIF(Calculators[CalculatorCode],CalculatorFC[[#This Row],[CalculatorCode]])</f>
        <v>1</v>
      </c>
      <c r="C123" s="167">
        <f>SUM(CalculatorFC[[#This Row],[FinCodeIssue]:[CalcCodeIssue]])</f>
        <v>2</v>
      </c>
      <c r="D123" t="s">
        <v>2673</v>
      </c>
      <c r="E123" t="s">
        <v>2673</v>
      </c>
      <c r="F123" t="s">
        <v>1147</v>
      </c>
    </row>
    <row r="124" spans="1:6" x14ac:dyDescent="0.3">
      <c r="A124"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24" s="167">
        <f>1-COUNTIF(Calculators[CalculatorCode],CalculatorFC[[#This Row],[CalculatorCode]])</f>
        <v>1</v>
      </c>
      <c r="C124" s="167">
        <f>SUM(CalculatorFC[[#This Row],[FinCodeIssue]:[CalcCodeIssue]])</f>
        <v>2</v>
      </c>
      <c r="D124" t="s">
        <v>2674</v>
      </c>
      <c r="E124" t="s">
        <v>2674</v>
      </c>
      <c r="F124" t="s">
        <v>1147</v>
      </c>
    </row>
    <row r="125" spans="1:6" x14ac:dyDescent="0.3">
      <c r="A125"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25" s="167">
        <f>1-COUNTIF(Calculators[CalculatorCode],CalculatorFC[[#This Row],[CalculatorCode]])</f>
        <v>1</v>
      </c>
      <c r="C125" s="167">
        <f>SUM(CalculatorFC[[#This Row],[FinCodeIssue]:[CalcCodeIssue]])</f>
        <v>2</v>
      </c>
      <c r="D125" t="s">
        <v>2675</v>
      </c>
      <c r="E125" t="s">
        <v>2675</v>
      </c>
      <c r="F125" t="s">
        <v>1147</v>
      </c>
    </row>
    <row r="126" spans="1:6" x14ac:dyDescent="0.3">
      <c r="A126"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26" s="167">
        <f>1-COUNTIF(Calculators[CalculatorCode],CalculatorFC[[#This Row],[CalculatorCode]])</f>
        <v>1</v>
      </c>
      <c r="C126" s="167">
        <f>SUM(CalculatorFC[[#This Row],[FinCodeIssue]:[CalcCodeIssue]])</f>
        <v>2</v>
      </c>
      <c r="D126" t="s">
        <v>2676</v>
      </c>
      <c r="E126" t="s">
        <v>2676</v>
      </c>
      <c r="F126" t="s">
        <v>1147</v>
      </c>
    </row>
    <row r="127" spans="1:6" x14ac:dyDescent="0.3">
      <c r="A127"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27" s="167">
        <f>1-COUNTIF(Calculators[CalculatorCode],CalculatorFC[[#This Row],[CalculatorCode]])</f>
        <v>0</v>
      </c>
      <c r="C127" s="167">
        <f>SUM(CalculatorFC[[#This Row],[FinCodeIssue]:[CalcCodeIssue]])</f>
        <v>0</v>
      </c>
      <c r="D127" t="s">
        <v>1017</v>
      </c>
      <c r="E127" t="s">
        <v>1017</v>
      </c>
      <c r="F127" t="s">
        <v>1147</v>
      </c>
    </row>
    <row r="128" spans="1:6" x14ac:dyDescent="0.3">
      <c r="A128"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28" s="167">
        <f>1-COUNTIF(Calculators[CalculatorCode],CalculatorFC[[#This Row],[CalculatorCode]])</f>
        <v>0</v>
      </c>
      <c r="C128" s="167">
        <f>SUM(CalculatorFC[[#This Row],[FinCodeIssue]:[CalcCodeIssue]])</f>
        <v>0</v>
      </c>
      <c r="D128" t="s">
        <v>1019</v>
      </c>
      <c r="E128" t="s">
        <v>1019</v>
      </c>
      <c r="F128" t="s">
        <v>1169</v>
      </c>
    </row>
    <row r="129" spans="1:6" x14ac:dyDescent="0.3">
      <c r="A129"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29" s="167">
        <f>1-COUNTIF(Calculators[CalculatorCode],CalculatorFC[[#This Row],[CalculatorCode]])</f>
        <v>0</v>
      </c>
      <c r="C129" s="167">
        <f>SUM(CalculatorFC[[#This Row],[FinCodeIssue]:[CalcCodeIssue]])</f>
        <v>0</v>
      </c>
      <c r="D129" t="s">
        <v>1019</v>
      </c>
      <c r="E129" t="s">
        <v>1523</v>
      </c>
      <c r="F129" t="s">
        <v>1147</v>
      </c>
    </row>
    <row r="130" spans="1:6" x14ac:dyDescent="0.3">
      <c r="A130"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30" s="167">
        <f>1-COUNTIF(Calculators[CalculatorCode],CalculatorFC[[#This Row],[CalculatorCode]])</f>
        <v>0</v>
      </c>
      <c r="C130" s="167">
        <f>SUM(CalculatorFC[[#This Row],[FinCodeIssue]:[CalcCodeIssue]])</f>
        <v>0</v>
      </c>
      <c r="D130" t="s">
        <v>1019</v>
      </c>
      <c r="E130" t="s">
        <v>1524</v>
      </c>
      <c r="F130" t="s">
        <v>1147</v>
      </c>
    </row>
    <row r="131" spans="1:6" x14ac:dyDescent="0.3">
      <c r="A131"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31" s="167">
        <f>1-COUNTIF(Calculators[CalculatorCode],CalculatorFC[[#This Row],[CalculatorCode]])</f>
        <v>0</v>
      </c>
      <c r="C131" s="167">
        <f>SUM(CalculatorFC[[#This Row],[FinCodeIssue]:[CalcCodeIssue]])</f>
        <v>0</v>
      </c>
      <c r="D131" t="s">
        <v>1242</v>
      </c>
      <c r="E131" t="s">
        <v>1030</v>
      </c>
      <c r="F131" t="s">
        <v>1169</v>
      </c>
    </row>
    <row r="132" spans="1:6" x14ac:dyDescent="0.3">
      <c r="A132"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32" s="167">
        <f>1-COUNTIF(Calculators[CalculatorCode],CalculatorFC[[#This Row],[CalculatorCode]])</f>
        <v>0</v>
      </c>
      <c r="C132" s="167">
        <f>SUM(CalculatorFC[[#This Row],[FinCodeIssue]:[CalcCodeIssue]])</f>
        <v>0</v>
      </c>
      <c r="D132" t="s">
        <v>1242</v>
      </c>
      <c r="E132" t="s">
        <v>851</v>
      </c>
      <c r="F132" t="s">
        <v>1986</v>
      </c>
    </row>
    <row r="133" spans="1:6" x14ac:dyDescent="0.3">
      <c r="A133"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33" s="167">
        <f>1-COUNTIF(Calculators[CalculatorCode],CalculatorFC[[#This Row],[CalculatorCode]])</f>
        <v>0</v>
      </c>
      <c r="C133" s="167">
        <f>SUM(CalculatorFC[[#This Row],[FinCodeIssue]:[CalcCodeIssue]])</f>
        <v>0</v>
      </c>
      <c r="D133" t="s">
        <v>1242</v>
      </c>
      <c r="E133" t="s">
        <v>851</v>
      </c>
      <c r="F133" t="s">
        <v>1987</v>
      </c>
    </row>
    <row r="134" spans="1:6" x14ac:dyDescent="0.3">
      <c r="A134"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34" s="167">
        <f>1-COUNTIF(Calculators[CalculatorCode],CalculatorFC[[#This Row],[CalculatorCode]])</f>
        <v>0</v>
      </c>
      <c r="C134" s="167">
        <f>SUM(CalculatorFC[[#This Row],[FinCodeIssue]:[CalcCodeIssue]])</f>
        <v>0</v>
      </c>
      <c r="D134" t="s">
        <v>1244</v>
      </c>
      <c r="E134" t="s">
        <v>1032</v>
      </c>
      <c r="F134" t="s">
        <v>1169</v>
      </c>
    </row>
    <row r="135" spans="1:6" x14ac:dyDescent="0.3">
      <c r="A135"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35" s="167">
        <f>1-COUNTIF(Calculators[CalculatorCode],CalculatorFC[[#This Row],[CalculatorCode]])</f>
        <v>0</v>
      </c>
      <c r="C135" s="167">
        <f>SUM(CalculatorFC[[#This Row],[FinCodeIssue]:[CalcCodeIssue]])</f>
        <v>0</v>
      </c>
      <c r="D135" t="s">
        <v>1244</v>
      </c>
      <c r="E135" t="s">
        <v>851</v>
      </c>
      <c r="F135" t="s">
        <v>1986</v>
      </c>
    </row>
    <row r="136" spans="1:6" x14ac:dyDescent="0.3">
      <c r="A136"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36" s="167">
        <f>1-COUNTIF(Calculators[CalculatorCode],CalculatorFC[[#This Row],[CalculatorCode]])</f>
        <v>0</v>
      </c>
      <c r="C136" s="167">
        <f>SUM(CalculatorFC[[#This Row],[FinCodeIssue]:[CalcCodeIssue]])</f>
        <v>0</v>
      </c>
      <c r="D136" t="s">
        <v>1244</v>
      </c>
      <c r="E136" t="s">
        <v>851</v>
      </c>
      <c r="F136" t="s">
        <v>1987</v>
      </c>
    </row>
    <row r="137" spans="1:6" x14ac:dyDescent="0.3">
      <c r="A137"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37" s="167">
        <f>1-COUNTIF(Calculators[CalculatorCode],CalculatorFC[[#This Row],[CalculatorCode]])</f>
        <v>0</v>
      </c>
      <c r="C137" s="167">
        <f>SUM(CalculatorFC[[#This Row],[FinCodeIssue]:[CalcCodeIssue]])</f>
        <v>0</v>
      </c>
      <c r="D137" t="s">
        <v>1248</v>
      </c>
      <c r="E137" t="s">
        <v>920</v>
      </c>
      <c r="F137" t="s">
        <v>1147</v>
      </c>
    </row>
    <row r="138" spans="1:6" x14ac:dyDescent="0.3">
      <c r="A138"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38" s="167">
        <f>1-COUNTIF(Calculators[CalculatorCode],CalculatorFC[[#This Row],[CalculatorCode]])</f>
        <v>0</v>
      </c>
      <c r="C138" s="167">
        <f>SUM(CalculatorFC[[#This Row],[FinCodeIssue]:[CalcCodeIssue]])</f>
        <v>0</v>
      </c>
      <c r="D138" t="s">
        <v>1248</v>
      </c>
      <c r="E138" t="s">
        <v>920</v>
      </c>
      <c r="F138" t="s">
        <v>1158</v>
      </c>
    </row>
    <row r="139" spans="1:6" x14ac:dyDescent="0.3">
      <c r="A139"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39" s="167">
        <f>1-COUNTIF(Calculators[CalculatorCode],CalculatorFC[[#This Row],[CalculatorCode]])</f>
        <v>0</v>
      </c>
      <c r="C139" s="167">
        <f>SUM(CalculatorFC[[#This Row],[FinCodeIssue]:[CalcCodeIssue]])</f>
        <v>0</v>
      </c>
      <c r="D139" t="s">
        <v>1248</v>
      </c>
      <c r="E139" t="s">
        <v>923</v>
      </c>
      <c r="F139" t="s">
        <v>1147</v>
      </c>
    </row>
    <row r="140" spans="1:6" x14ac:dyDescent="0.3">
      <c r="A140"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40" s="167">
        <f>1-COUNTIF(Calculators[CalculatorCode],CalculatorFC[[#This Row],[CalculatorCode]])</f>
        <v>0</v>
      </c>
      <c r="C140" s="167">
        <f>SUM(CalculatorFC[[#This Row],[FinCodeIssue]:[CalcCodeIssue]])</f>
        <v>0</v>
      </c>
      <c r="D140" t="s">
        <v>1248</v>
      </c>
      <c r="E140" t="s">
        <v>923</v>
      </c>
      <c r="F140" t="s">
        <v>1158</v>
      </c>
    </row>
    <row r="141" spans="1:6" x14ac:dyDescent="0.3">
      <c r="A141"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41" s="167">
        <f>1-COUNTIF(Calculators[CalculatorCode],CalculatorFC[[#This Row],[CalculatorCode]])</f>
        <v>0</v>
      </c>
      <c r="C141" s="167">
        <f>SUM(CalculatorFC[[#This Row],[FinCodeIssue]:[CalcCodeIssue]])</f>
        <v>0</v>
      </c>
      <c r="D141" t="s">
        <v>1248</v>
      </c>
      <c r="E141" t="s">
        <v>925</v>
      </c>
      <c r="F141" t="s">
        <v>1147</v>
      </c>
    </row>
    <row r="142" spans="1:6" x14ac:dyDescent="0.3">
      <c r="A142"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42" s="167">
        <f>1-COUNTIF(Calculators[CalculatorCode],CalculatorFC[[#This Row],[CalculatorCode]])</f>
        <v>0</v>
      </c>
      <c r="C142" s="167">
        <f>SUM(CalculatorFC[[#This Row],[FinCodeIssue]:[CalcCodeIssue]])</f>
        <v>0</v>
      </c>
      <c r="D142" t="s">
        <v>1248</v>
      </c>
      <c r="E142" t="s">
        <v>925</v>
      </c>
      <c r="F142" t="s">
        <v>1158</v>
      </c>
    </row>
    <row r="143" spans="1:6" x14ac:dyDescent="0.3">
      <c r="A143"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43" s="167">
        <f>1-COUNTIF(Calculators[CalculatorCode],CalculatorFC[[#This Row],[CalculatorCode]])</f>
        <v>0</v>
      </c>
      <c r="C143" s="167">
        <f>SUM(CalculatorFC[[#This Row],[FinCodeIssue]:[CalcCodeIssue]])</f>
        <v>1</v>
      </c>
      <c r="D143" t="s">
        <v>1248</v>
      </c>
      <c r="E143" t="s">
        <v>927</v>
      </c>
      <c r="F143" t="s">
        <v>1147</v>
      </c>
    </row>
    <row r="144" spans="1:6" x14ac:dyDescent="0.3">
      <c r="A144"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44" s="167">
        <f>1-COUNTIF(Calculators[CalculatorCode],CalculatorFC[[#This Row],[CalculatorCode]])</f>
        <v>0</v>
      </c>
      <c r="C144" s="167">
        <f>SUM(CalculatorFC[[#This Row],[FinCodeIssue]:[CalcCodeIssue]])</f>
        <v>1</v>
      </c>
      <c r="D144" t="s">
        <v>1248</v>
      </c>
      <c r="E144" t="s">
        <v>927</v>
      </c>
      <c r="F144" t="s">
        <v>1158</v>
      </c>
    </row>
    <row r="145" spans="1:6" x14ac:dyDescent="0.3">
      <c r="A145"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45" s="167">
        <f>1-COUNTIF(Calculators[CalculatorCode],CalculatorFC[[#This Row],[CalculatorCode]])</f>
        <v>0</v>
      </c>
      <c r="C145" s="167">
        <f>SUM(CalculatorFC[[#This Row],[FinCodeIssue]:[CalcCodeIssue]])</f>
        <v>1</v>
      </c>
      <c r="D145" t="s">
        <v>1248</v>
      </c>
      <c r="E145" t="s">
        <v>1504</v>
      </c>
      <c r="F145" t="s">
        <v>1158</v>
      </c>
    </row>
    <row r="146" spans="1:6" x14ac:dyDescent="0.3">
      <c r="A146"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46" s="167">
        <f>1-COUNTIF(Calculators[CalculatorCode],CalculatorFC[[#This Row],[CalculatorCode]])</f>
        <v>0</v>
      </c>
      <c r="C146" s="167">
        <f>SUM(CalculatorFC[[#This Row],[FinCodeIssue]:[CalcCodeIssue]])</f>
        <v>1</v>
      </c>
      <c r="D146" t="s">
        <v>1248</v>
      </c>
      <c r="E146" t="s">
        <v>1504</v>
      </c>
      <c r="F146" t="s">
        <v>1147</v>
      </c>
    </row>
    <row r="147" spans="1:6" x14ac:dyDescent="0.3">
      <c r="A147"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47" s="167">
        <f>1-COUNTIF(Calculators[CalculatorCode],CalculatorFC[[#This Row],[CalculatorCode]])</f>
        <v>0</v>
      </c>
      <c r="C147" s="167">
        <f>SUM(CalculatorFC[[#This Row],[FinCodeIssue]:[CalcCodeIssue]])</f>
        <v>1</v>
      </c>
      <c r="D147" t="s">
        <v>1248</v>
      </c>
      <c r="E147" t="s">
        <v>929</v>
      </c>
      <c r="F147" t="s">
        <v>1147</v>
      </c>
    </row>
    <row r="148" spans="1:6" x14ac:dyDescent="0.3">
      <c r="A148"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48" s="167">
        <f>1-COUNTIF(Calculators[CalculatorCode],CalculatorFC[[#This Row],[CalculatorCode]])</f>
        <v>0</v>
      </c>
      <c r="C148" s="167">
        <f>SUM(CalculatorFC[[#This Row],[FinCodeIssue]:[CalcCodeIssue]])</f>
        <v>1</v>
      </c>
      <c r="D148" t="s">
        <v>1248</v>
      </c>
      <c r="E148" t="s">
        <v>929</v>
      </c>
      <c r="F148" t="s">
        <v>1158</v>
      </c>
    </row>
    <row r="149" spans="1:6" x14ac:dyDescent="0.3">
      <c r="A149"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49" s="167">
        <f>1-COUNTIF(Calculators[CalculatorCode],CalculatorFC[[#This Row],[CalculatorCode]])</f>
        <v>0</v>
      </c>
      <c r="C149" s="167">
        <f>SUM(CalculatorFC[[#This Row],[FinCodeIssue]:[CalcCodeIssue]])</f>
        <v>1</v>
      </c>
      <c r="D149" t="s">
        <v>1248</v>
      </c>
      <c r="E149" t="s">
        <v>1505</v>
      </c>
      <c r="F149" t="s">
        <v>1158</v>
      </c>
    </row>
    <row r="150" spans="1:6" x14ac:dyDescent="0.3">
      <c r="A150"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50" s="167">
        <f>1-COUNTIF(Calculators[CalculatorCode],CalculatorFC[[#This Row],[CalculatorCode]])</f>
        <v>0</v>
      </c>
      <c r="C150" s="167">
        <f>SUM(CalculatorFC[[#This Row],[FinCodeIssue]:[CalcCodeIssue]])</f>
        <v>1</v>
      </c>
      <c r="D150" t="s">
        <v>1248</v>
      </c>
      <c r="E150" t="s">
        <v>1505</v>
      </c>
      <c r="F150" t="s">
        <v>1147</v>
      </c>
    </row>
    <row r="151" spans="1:6" x14ac:dyDescent="0.3">
      <c r="A151"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51" s="167">
        <f>1-COUNTIF(Calculators[CalculatorCode],CalculatorFC[[#This Row],[CalculatorCode]])</f>
        <v>0</v>
      </c>
      <c r="C151" s="167">
        <f>SUM(CalculatorFC[[#This Row],[FinCodeIssue]:[CalcCodeIssue]])</f>
        <v>0</v>
      </c>
      <c r="D151" t="s">
        <v>1248</v>
      </c>
      <c r="E151" t="s">
        <v>1503</v>
      </c>
      <c r="F151" t="s">
        <v>1147</v>
      </c>
    </row>
    <row r="152" spans="1:6" x14ac:dyDescent="0.3">
      <c r="A152"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52" s="167">
        <f>1-COUNTIF(Calculators[CalculatorCode],CalculatorFC[[#This Row],[CalculatorCode]])</f>
        <v>0</v>
      </c>
      <c r="C152" s="167">
        <f>SUM(CalculatorFC[[#This Row],[FinCodeIssue]:[CalcCodeIssue]])</f>
        <v>0</v>
      </c>
      <c r="D152" t="s">
        <v>1248</v>
      </c>
      <c r="E152" t="s">
        <v>1503</v>
      </c>
      <c r="F152" t="s">
        <v>1158</v>
      </c>
    </row>
    <row r="153" spans="1:6" x14ac:dyDescent="0.3">
      <c r="A153"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53" s="167">
        <f>1-COUNTIF(Calculators[CalculatorCode],CalculatorFC[[#This Row],[CalculatorCode]])</f>
        <v>0</v>
      </c>
      <c r="C153" s="167">
        <f>SUM(CalculatorFC[[#This Row],[FinCodeIssue]:[CalcCodeIssue]])</f>
        <v>0</v>
      </c>
      <c r="D153" t="s">
        <v>1248</v>
      </c>
      <c r="E153" t="s">
        <v>1036</v>
      </c>
      <c r="F153" t="s">
        <v>1169</v>
      </c>
    </row>
    <row r="154" spans="1:6" x14ac:dyDescent="0.3">
      <c r="A154"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54" s="167">
        <f>1-COUNTIF(Calculators[CalculatorCode],CalculatorFC[[#This Row],[CalculatorCode]])</f>
        <v>0</v>
      </c>
      <c r="C154" s="167">
        <f>SUM(CalculatorFC[[#This Row],[FinCodeIssue]:[CalcCodeIssue]])</f>
        <v>0</v>
      </c>
      <c r="D154" t="s">
        <v>1250</v>
      </c>
      <c r="E154" t="s">
        <v>1038</v>
      </c>
      <c r="F154" t="s">
        <v>1169</v>
      </c>
    </row>
    <row r="155" spans="1:6" x14ac:dyDescent="0.3">
      <c r="A155"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55" s="167">
        <f>1-COUNTIF(Calculators[CalculatorCode],CalculatorFC[[#This Row],[CalculatorCode]])</f>
        <v>0</v>
      </c>
      <c r="C155" s="167">
        <f>SUM(CalculatorFC[[#This Row],[FinCodeIssue]:[CalcCodeIssue]])</f>
        <v>0</v>
      </c>
      <c r="D155" t="s">
        <v>1250</v>
      </c>
      <c r="E155" t="s">
        <v>851</v>
      </c>
      <c r="F155" t="s">
        <v>1987</v>
      </c>
    </row>
    <row r="156" spans="1:6" x14ac:dyDescent="0.3">
      <c r="A156"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56" s="167">
        <f>1-COUNTIF(Calculators[CalculatorCode],CalculatorFC[[#This Row],[CalculatorCode]])</f>
        <v>0</v>
      </c>
      <c r="C156" s="167">
        <f>SUM(CalculatorFC[[#This Row],[FinCodeIssue]:[CalcCodeIssue]])</f>
        <v>0</v>
      </c>
      <c r="D156" t="s">
        <v>1250</v>
      </c>
      <c r="E156" t="s">
        <v>851</v>
      </c>
      <c r="F156" t="s">
        <v>1986</v>
      </c>
    </row>
    <row r="157" spans="1:6" x14ac:dyDescent="0.3">
      <c r="A157"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57" s="167">
        <f>1-COUNTIF(Calculators[CalculatorCode],CalculatorFC[[#This Row],[CalculatorCode]])</f>
        <v>1</v>
      </c>
      <c r="C157" s="167">
        <f>SUM(CalculatorFC[[#This Row],[FinCodeIssue]:[CalcCodeIssue]])</f>
        <v>2</v>
      </c>
      <c r="D157" t="s">
        <v>1246</v>
      </c>
      <c r="E157" t="s">
        <v>931</v>
      </c>
      <c r="F157" t="s">
        <v>1147</v>
      </c>
    </row>
    <row r="158" spans="1:6" x14ac:dyDescent="0.3">
      <c r="A158"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58" s="167">
        <f>1-COUNTIF(Calculators[CalculatorCode],CalculatorFC[[#This Row],[CalculatorCode]])</f>
        <v>1</v>
      </c>
      <c r="C158" s="167">
        <f>SUM(CalculatorFC[[#This Row],[FinCodeIssue]:[CalcCodeIssue]])</f>
        <v>2</v>
      </c>
      <c r="D158" t="s">
        <v>1246</v>
      </c>
      <c r="E158" t="s">
        <v>931</v>
      </c>
      <c r="F158" t="s">
        <v>1158</v>
      </c>
    </row>
    <row r="159" spans="1:6" x14ac:dyDescent="0.3">
      <c r="A159"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59" s="167">
        <f>1-COUNTIF(Calculators[CalculatorCode],CalculatorFC[[#This Row],[CalculatorCode]])</f>
        <v>1</v>
      </c>
      <c r="C159" s="167">
        <f>SUM(CalculatorFC[[#This Row],[FinCodeIssue]:[CalcCodeIssue]])</f>
        <v>2</v>
      </c>
      <c r="D159" t="s">
        <v>1246</v>
      </c>
      <c r="E159" t="s">
        <v>1034</v>
      </c>
      <c r="F159" t="s">
        <v>1169</v>
      </c>
    </row>
    <row r="160" spans="1:6" x14ac:dyDescent="0.3">
      <c r="A160"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60" s="167">
        <f>1-COUNTIF(Calculators[CalculatorCode],CalculatorFC[[#This Row],[CalculatorCode]])</f>
        <v>0</v>
      </c>
      <c r="C160" s="167">
        <f>SUM(CalculatorFC[[#This Row],[FinCodeIssue]:[CalcCodeIssue]])</f>
        <v>0</v>
      </c>
      <c r="D160" t="s">
        <v>1252</v>
      </c>
      <c r="E160" t="s">
        <v>1054</v>
      </c>
      <c r="F160" t="s">
        <v>1169</v>
      </c>
    </row>
    <row r="161" spans="1:6" x14ac:dyDescent="0.3">
      <c r="A161"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61" s="167">
        <f>1-COUNTIF(Calculators[CalculatorCode],CalculatorFC[[#This Row],[CalculatorCode]])</f>
        <v>0</v>
      </c>
      <c r="C161" s="167">
        <f>SUM(CalculatorFC[[#This Row],[FinCodeIssue]:[CalcCodeIssue]])</f>
        <v>0</v>
      </c>
      <c r="D161" t="s">
        <v>1252</v>
      </c>
      <c r="E161" t="s">
        <v>851</v>
      </c>
      <c r="F161" t="s">
        <v>1986</v>
      </c>
    </row>
    <row r="162" spans="1:6" x14ac:dyDescent="0.3">
      <c r="A162"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62" s="167">
        <f>1-COUNTIF(Calculators[CalculatorCode],CalculatorFC[[#This Row],[CalculatorCode]])</f>
        <v>0</v>
      </c>
      <c r="C162" s="167">
        <f>SUM(CalculatorFC[[#This Row],[FinCodeIssue]:[CalcCodeIssue]])</f>
        <v>0</v>
      </c>
      <c r="D162" t="s">
        <v>1252</v>
      </c>
      <c r="E162" t="s">
        <v>851</v>
      </c>
      <c r="F162" t="s">
        <v>1987</v>
      </c>
    </row>
    <row r="163" spans="1:6" x14ac:dyDescent="0.3">
      <c r="A163"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63" s="167">
        <f>1-COUNTIF(Calculators[CalculatorCode],CalculatorFC[[#This Row],[CalculatorCode]])</f>
        <v>0</v>
      </c>
      <c r="C163" s="167">
        <f>SUM(CalculatorFC[[#This Row],[FinCodeIssue]:[CalcCodeIssue]])</f>
        <v>0</v>
      </c>
      <c r="D163" t="s">
        <v>1254</v>
      </c>
      <c r="E163" t="s">
        <v>943</v>
      </c>
      <c r="F163" t="s">
        <v>1147</v>
      </c>
    </row>
    <row r="164" spans="1:6" x14ac:dyDescent="0.3">
      <c r="A164"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64" s="167">
        <f>1-COUNTIF(Calculators[CalculatorCode],CalculatorFC[[#This Row],[CalculatorCode]])</f>
        <v>0</v>
      </c>
      <c r="C164" s="167">
        <f>SUM(CalculatorFC[[#This Row],[FinCodeIssue]:[CalcCodeIssue]])</f>
        <v>0</v>
      </c>
      <c r="D164" t="s">
        <v>1256</v>
      </c>
      <c r="E164" t="s">
        <v>945</v>
      </c>
      <c r="F164" t="s">
        <v>1147</v>
      </c>
    </row>
    <row r="165" spans="1:6" x14ac:dyDescent="0.3">
      <c r="A165"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65" s="167">
        <f>1-COUNTIF(Calculators[CalculatorCode],CalculatorFC[[#This Row],[CalculatorCode]])</f>
        <v>0</v>
      </c>
      <c r="C165" s="167">
        <f>SUM(CalculatorFC[[#This Row],[FinCodeIssue]:[CalcCodeIssue]])</f>
        <v>0</v>
      </c>
      <c r="D165" t="s">
        <v>1258</v>
      </c>
      <c r="E165" t="s">
        <v>947</v>
      </c>
      <c r="F165" t="s">
        <v>1147</v>
      </c>
    </row>
    <row r="166" spans="1:6" x14ac:dyDescent="0.3">
      <c r="A166"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66" s="167">
        <f>1-COUNTIF(Calculators[CalculatorCode],CalculatorFC[[#This Row],[CalculatorCode]])</f>
        <v>0</v>
      </c>
      <c r="C166" s="167">
        <f>SUM(CalculatorFC[[#This Row],[FinCodeIssue]:[CalcCodeIssue]])</f>
        <v>0</v>
      </c>
      <c r="D166" t="s">
        <v>1260</v>
      </c>
      <c r="E166" t="s">
        <v>949</v>
      </c>
      <c r="F166" t="s">
        <v>1147</v>
      </c>
    </row>
    <row r="167" spans="1:6" x14ac:dyDescent="0.3">
      <c r="A167"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67" s="167">
        <f>1-COUNTIF(Calculators[CalculatorCode],CalculatorFC[[#This Row],[CalculatorCode]])</f>
        <v>0</v>
      </c>
      <c r="C167" s="167">
        <f>SUM(CalculatorFC[[#This Row],[FinCodeIssue]:[CalcCodeIssue]])</f>
        <v>0</v>
      </c>
      <c r="D167" t="s">
        <v>1262</v>
      </c>
      <c r="E167" t="s">
        <v>951</v>
      </c>
      <c r="F167" t="s">
        <v>1147</v>
      </c>
    </row>
    <row r="168" spans="1:6" x14ac:dyDescent="0.3">
      <c r="A168"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68" s="167">
        <f>1-COUNTIF(Calculators[CalculatorCode],CalculatorFC[[#This Row],[CalculatorCode]])</f>
        <v>0</v>
      </c>
      <c r="C168" s="167">
        <f>SUM(CalculatorFC[[#This Row],[FinCodeIssue]:[CalcCodeIssue]])</f>
        <v>0</v>
      </c>
      <c r="D168" t="s">
        <v>1264</v>
      </c>
      <c r="E168" t="s">
        <v>953</v>
      </c>
      <c r="F168" t="s">
        <v>1147</v>
      </c>
    </row>
    <row r="169" spans="1:6" x14ac:dyDescent="0.3">
      <c r="A169"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69" s="167">
        <f>1-COUNTIF(Calculators[CalculatorCode],CalculatorFC[[#This Row],[CalculatorCode]])</f>
        <v>0</v>
      </c>
      <c r="C169" s="167">
        <f>SUM(CalculatorFC[[#This Row],[FinCodeIssue]:[CalcCodeIssue]])</f>
        <v>0</v>
      </c>
      <c r="D169" t="s">
        <v>1266</v>
      </c>
      <c r="E169" t="s">
        <v>955</v>
      </c>
      <c r="F169" t="s">
        <v>1147</v>
      </c>
    </row>
    <row r="170" spans="1:6" x14ac:dyDescent="0.3">
      <c r="A170"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70" s="167">
        <f>1-COUNTIF(Calculators[CalculatorCode],CalculatorFC[[#This Row],[CalculatorCode]])</f>
        <v>1</v>
      </c>
      <c r="C170" s="167">
        <f>SUM(CalculatorFC[[#This Row],[FinCodeIssue]:[CalcCodeIssue]])</f>
        <v>2</v>
      </c>
      <c r="D170" t="s">
        <v>1268</v>
      </c>
      <c r="E170" t="s">
        <v>957</v>
      </c>
      <c r="F170" t="s">
        <v>1147</v>
      </c>
    </row>
    <row r="171" spans="1:6" x14ac:dyDescent="0.3">
      <c r="A171"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71" s="167">
        <f>1-COUNTIF(Calculators[CalculatorCode],CalculatorFC[[#This Row],[CalculatorCode]])</f>
        <v>1</v>
      </c>
      <c r="C171" s="167">
        <f>SUM(CalculatorFC[[#This Row],[FinCodeIssue]:[CalcCodeIssue]])</f>
        <v>2</v>
      </c>
      <c r="D171" t="s">
        <v>1270</v>
      </c>
      <c r="E171" t="s">
        <v>959</v>
      </c>
      <c r="F171" t="s">
        <v>1147</v>
      </c>
    </row>
    <row r="172" spans="1:6" x14ac:dyDescent="0.3">
      <c r="A172"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72" s="167">
        <f>1-COUNTIF(Calculators[CalculatorCode],CalculatorFC[[#This Row],[CalculatorCode]])</f>
        <v>1</v>
      </c>
      <c r="C172" s="167">
        <f>SUM(CalculatorFC[[#This Row],[FinCodeIssue]:[CalcCodeIssue]])</f>
        <v>2</v>
      </c>
      <c r="D172" t="s">
        <v>1272</v>
      </c>
      <c r="E172" t="s">
        <v>961</v>
      </c>
      <c r="F172" t="s">
        <v>1147</v>
      </c>
    </row>
    <row r="173" spans="1:6" x14ac:dyDescent="0.3">
      <c r="A173"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73" s="167">
        <f>1-COUNTIF(Calculators[CalculatorCode],CalculatorFC[[#This Row],[CalculatorCode]])</f>
        <v>1</v>
      </c>
      <c r="C173" s="167">
        <f>SUM(CalculatorFC[[#This Row],[FinCodeIssue]:[CalcCodeIssue]])</f>
        <v>2</v>
      </c>
      <c r="D173" t="s">
        <v>1274</v>
      </c>
      <c r="E173" t="s">
        <v>963</v>
      </c>
      <c r="F173" t="s">
        <v>1147</v>
      </c>
    </row>
    <row r="174" spans="1:6" x14ac:dyDescent="0.3">
      <c r="A174"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74" s="167">
        <f>1-COUNTIF(Calculators[CalculatorCode],CalculatorFC[[#This Row],[CalculatorCode]])</f>
        <v>1</v>
      </c>
      <c r="C174" s="167">
        <f>SUM(CalculatorFC[[#This Row],[FinCodeIssue]:[CalcCodeIssue]])</f>
        <v>2</v>
      </c>
      <c r="D174" t="s">
        <v>1276</v>
      </c>
      <c r="E174" t="s">
        <v>965</v>
      </c>
      <c r="F174" t="s">
        <v>1147</v>
      </c>
    </row>
    <row r="175" spans="1:6" x14ac:dyDescent="0.3">
      <c r="A175"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75" s="167">
        <f>1-COUNTIF(Calculators[CalculatorCode],CalculatorFC[[#This Row],[CalculatorCode]])</f>
        <v>1</v>
      </c>
      <c r="C175" s="167">
        <f>SUM(CalculatorFC[[#This Row],[FinCodeIssue]:[CalcCodeIssue]])</f>
        <v>2</v>
      </c>
      <c r="D175" t="s">
        <v>1278</v>
      </c>
      <c r="E175" t="s">
        <v>967</v>
      </c>
      <c r="F175" t="s">
        <v>1147</v>
      </c>
    </row>
    <row r="176" spans="1:6" x14ac:dyDescent="0.3">
      <c r="A176"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76" s="167">
        <f>1-COUNTIF(Calculators[CalculatorCode],CalculatorFC[[#This Row],[CalculatorCode]])</f>
        <v>1</v>
      </c>
      <c r="C176" s="167">
        <f>SUM(CalculatorFC[[#This Row],[FinCodeIssue]:[CalcCodeIssue]])</f>
        <v>2</v>
      </c>
      <c r="D176" t="s">
        <v>1280</v>
      </c>
      <c r="E176" t="s">
        <v>969</v>
      </c>
      <c r="F176" t="s">
        <v>1147</v>
      </c>
    </row>
    <row r="177" spans="1:6" x14ac:dyDescent="0.3">
      <c r="A177"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77" s="167">
        <f>1-COUNTIF(Calculators[CalculatorCode],CalculatorFC[[#This Row],[CalculatorCode]])</f>
        <v>0</v>
      </c>
      <c r="C177" s="167">
        <f>SUM(CalculatorFC[[#This Row],[FinCodeIssue]:[CalcCodeIssue]])</f>
        <v>0</v>
      </c>
      <c r="D177" t="s">
        <v>1282</v>
      </c>
      <c r="E177" t="s">
        <v>941</v>
      </c>
      <c r="F177" t="s">
        <v>1147</v>
      </c>
    </row>
    <row r="178" spans="1:6" x14ac:dyDescent="0.3">
      <c r="A178"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78" s="167">
        <f>1-COUNTIF(Calculators[CalculatorCode],CalculatorFC[[#This Row],[CalculatorCode]])</f>
        <v>0</v>
      </c>
      <c r="C178" s="167">
        <f>SUM(CalculatorFC[[#This Row],[FinCodeIssue]:[CalcCodeIssue]])</f>
        <v>0</v>
      </c>
      <c r="D178" t="s">
        <v>1528</v>
      </c>
      <c r="E178" t="s">
        <v>943</v>
      </c>
      <c r="F178" t="s">
        <v>1147</v>
      </c>
    </row>
    <row r="179" spans="1:6" x14ac:dyDescent="0.3">
      <c r="A179"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79" s="167">
        <f>1-COUNTIF(Calculators[CalculatorCode],CalculatorFC[[#This Row],[CalculatorCode]])</f>
        <v>0</v>
      </c>
      <c r="C179" s="167">
        <f>SUM(CalculatorFC[[#This Row],[FinCodeIssue]:[CalcCodeIssue]])</f>
        <v>0</v>
      </c>
      <c r="D179" t="s">
        <v>1523</v>
      </c>
      <c r="E179" t="s">
        <v>945</v>
      </c>
      <c r="F179" t="s">
        <v>1147</v>
      </c>
    </row>
    <row r="180" spans="1:6" x14ac:dyDescent="0.3">
      <c r="A180"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80" s="167">
        <f>1-COUNTIF(Calculators[CalculatorCode],CalculatorFC[[#This Row],[CalculatorCode]])</f>
        <v>0</v>
      </c>
      <c r="C180" s="167">
        <f>SUM(CalculatorFC[[#This Row],[FinCodeIssue]:[CalcCodeIssue]])</f>
        <v>0</v>
      </c>
      <c r="D180" t="s">
        <v>1523</v>
      </c>
      <c r="E180" t="s">
        <v>947</v>
      </c>
      <c r="F180" t="s">
        <v>1147</v>
      </c>
    </row>
    <row r="181" spans="1:6" x14ac:dyDescent="0.3">
      <c r="A181"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81" s="167">
        <f>1-COUNTIF(Calculators[CalculatorCode],CalculatorFC[[#This Row],[CalculatorCode]])</f>
        <v>0</v>
      </c>
      <c r="C181" s="167">
        <f>SUM(CalculatorFC[[#This Row],[FinCodeIssue]:[CalcCodeIssue]])</f>
        <v>0</v>
      </c>
      <c r="D181" t="s">
        <v>1524</v>
      </c>
      <c r="E181" t="s">
        <v>949</v>
      </c>
      <c r="F181" t="s">
        <v>1147</v>
      </c>
    </row>
    <row r="182" spans="1:6" x14ac:dyDescent="0.3">
      <c r="A182"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82" s="167">
        <f>1-COUNTIF(Calculators[CalculatorCode],CalculatorFC[[#This Row],[CalculatorCode]])</f>
        <v>0</v>
      </c>
      <c r="C182" s="167">
        <f>SUM(CalculatorFC[[#This Row],[FinCodeIssue]:[CalcCodeIssue]])</f>
        <v>0</v>
      </c>
      <c r="D182" t="s">
        <v>1524</v>
      </c>
      <c r="E182" t="s">
        <v>951</v>
      </c>
      <c r="F182" t="s">
        <v>1147</v>
      </c>
    </row>
    <row r="183" spans="1:6" x14ac:dyDescent="0.3">
      <c r="A183"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83" s="167">
        <f>1-COUNTIF(Calculators[CalculatorCode],CalculatorFC[[#This Row],[CalculatorCode]])</f>
        <v>0</v>
      </c>
      <c r="C183" s="167">
        <f>SUM(CalculatorFC[[#This Row],[FinCodeIssue]:[CalcCodeIssue]])</f>
        <v>0</v>
      </c>
      <c r="D183" t="s">
        <v>1524</v>
      </c>
      <c r="E183" t="s">
        <v>953</v>
      </c>
      <c r="F183" t="s">
        <v>1147</v>
      </c>
    </row>
    <row r="184" spans="1:6" x14ac:dyDescent="0.3">
      <c r="A184"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84" s="167">
        <f>1-COUNTIF(Calculators[CalculatorCode],CalculatorFC[[#This Row],[CalculatorCode]])</f>
        <v>0</v>
      </c>
      <c r="C184" s="167">
        <f>SUM(CalculatorFC[[#This Row],[FinCodeIssue]:[CalcCodeIssue]])</f>
        <v>0</v>
      </c>
      <c r="D184" t="s">
        <v>1524</v>
      </c>
      <c r="E184" t="s">
        <v>955</v>
      </c>
      <c r="F184" t="s">
        <v>1147</v>
      </c>
    </row>
    <row r="185" spans="1:6" x14ac:dyDescent="0.3">
      <c r="A185"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85" s="167">
        <f>1-COUNTIF(Calculators[CalculatorCode],CalculatorFC[[#This Row],[CalculatorCode]])</f>
        <v>1</v>
      </c>
      <c r="C185" s="167">
        <f>SUM(CalculatorFC[[#This Row],[FinCodeIssue]:[CalcCodeIssue]])</f>
        <v>2</v>
      </c>
      <c r="D185" t="s">
        <v>1525</v>
      </c>
      <c r="E185" t="s">
        <v>957</v>
      </c>
      <c r="F185" t="s">
        <v>1147</v>
      </c>
    </row>
    <row r="186" spans="1:6" x14ac:dyDescent="0.3">
      <c r="A186"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86" s="167">
        <f>1-COUNTIF(Calculators[CalculatorCode],CalculatorFC[[#This Row],[CalculatorCode]])</f>
        <v>1</v>
      </c>
      <c r="C186" s="167">
        <f>SUM(CalculatorFC[[#This Row],[FinCodeIssue]:[CalcCodeIssue]])</f>
        <v>2</v>
      </c>
      <c r="D186" t="s">
        <v>1525</v>
      </c>
      <c r="E186" t="s">
        <v>959</v>
      </c>
      <c r="F186" t="s">
        <v>1147</v>
      </c>
    </row>
    <row r="187" spans="1:6" x14ac:dyDescent="0.3">
      <c r="A187"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87" s="167">
        <f>1-COUNTIF(Calculators[CalculatorCode],CalculatorFC[[#This Row],[CalculatorCode]])</f>
        <v>1</v>
      </c>
      <c r="C187" s="167">
        <f>SUM(CalculatorFC[[#This Row],[FinCodeIssue]:[CalcCodeIssue]])</f>
        <v>2</v>
      </c>
      <c r="D187" t="s">
        <v>1525</v>
      </c>
      <c r="E187" t="s">
        <v>961</v>
      </c>
      <c r="F187" t="s">
        <v>1147</v>
      </c>
    </row>
    <row r="188" spans="1:6" x14ac:dyDescent="0.3">
      <c r="A188"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88" s="167">
        <f>1-COUNTIF(Calculators[CalculatorCode],CalculatorFC[[#This Row],[CalculatorCode]])</f>
        <v>1</v>
      </c>
      <c r="C188" s="167">
        <f>SUM(CalculatorFC[[#This Row],[FinCodeIssue]:[CalcCodeIssue]])</f>
        <v>2</v>
      </c>
      <c r="D188" t="s">
        <v>1526</v>
      </c>
      <c r="E188" t="s">
        <v>963</v>
      </c>
      <c r="F188" t="s">
        <v>1147</v>
      </c>
    </row>
    <row r="189" spans="1:6" x14ac:dyDescent="0.3">
      <c r="A189"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89" s="167">
        <f>1-COUNTIF(Calculators[CalculatorCode],CalculatorFC[[#This Row],[CalculatorCode]])</f>
        <v>1</v>
      </c>
      <c r="C189" s="167">
        <f>SUM(CalculatorFC[[#This Row],[FinCodeIssue]:[CalcCodeIssue]])</f>
        <v>2</v>
      </c>
      <c r="D189" t="s">
        <v>1526</v>
      </c>
      <c r="E189" t="s">
        <v>965</v>
      </c>
      <c r="F189" t="s">
        <v>1147</v>
      </c>
    </row>
    <row r="190" spans="1:6" x14ac:dyDescent="0.3">
      <c r="A190"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90" s="167">
        <f>1-COUNTIF(Calculators[CalculatorCode],CalculatorFC[[#This Row],[CalculatorCode]])</f>
        <v>1</v>
      </c>
      <c r="C190" s="167">
        <f>SUM(CalculatorFC[[#This Row],[FinCodeIssue]:[CalcCodeIssue]])</f>
        <v>2</v>
      </c>
      <c r="D190" t="s">
        <v>1527</v>
      </c>
      <c r="E190" t="s">
        <v>967</v>
      </c>
      <c r="F190" t="s">
        <v>1147</v>
      </c>
    </row>
    <row r="191" spans="1:6" x14ac:dyDescent="0.3">
      <c r="A191"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91" s="167">
        <f>1-COUNTIF(Calculators[CalculatorCode],CalculatorFC[[#This Row],[CalculatorCode]])</f>
        <v>1</v>
      </c>
      <c r="C191" s="167">
        <f>SUM(CalculatorFC[[#This Row],[FinCodeIssue]:[CalcCodeIssue]])</f>
        <v>2</v>
      </c>
      <c r="D191" t="s">
        <v>1527</v>
      </c>
      <c r="E191" t="s">
        <v>969</v>
      </c>
      <c r="F191" t="s">
        <v>1147</v>
      </c>
    </row>
    <row r="192" spans="1:6" x14ac:dyDescent="0.3">
      <c r="A192"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92" s="167">
        <f>1-COUNTIF(Calculators[CalculatorCode],CalculatorFC[[#This Row],[CalculatorCode]])</f>
        <v>1</v>
      </c>
      <c r="C192" s="167">
        <f>SUM(CalculatorFC[[#This Row],[FinCodeIssue]:[CalcCodeIssue]])</f>
        <v>2</v>
      </c>
      <c r="D192" t="s">
        <v>1527</v>
      </c>
      <c r="E192" t="s">
        <v>1501</v>
      </c>
      <c r="F192" t="s">
        <v>1147</v>
      </c>
    </row>
    <row r="193" spans="1:6" x14ac:dyDescent="0.3">
      <c r="A193"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93" s="167">
        <f>1-COUNTIF(Calculators[CalculatorCode],CalculatorFC[[#This Row],[CalculatorCode]])</f>
        <v>0</v>
      </c>
      <c r="C193" s="167">
        <f>SUM(CalculatorFC[[#This Row],[FinCodeIssue]:[CalcCodeIssue]])</f>
        <v>0</v>
      </c>
      <c r="D193" t="s">
        <v>1522</v>
      </c>
      <c r="E193" t="s">
        <v>941</v>
      </c>
      <c r="F193" t="s">
        <v>1147</v>
      </c>
    </row>
    <row r="194" spans="1:6" x14ac:dyDescent="0.3">
      <c r="A194"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94" s="167">
        <f>1-COUNTIF(Calculators[CalculatorCode],CalculatorFC[[#This Row],[CalculatorCode]])</f>
        <v>0</v>
      </c>
      <c r="C194" s="167">
        <f>SUM(CalculatorFC[[#This Row],[FinCodeIssue]:[CalcCodeIssue]])</f>
        <v>0</v>
      </c>
      <c r="D194" t="s">
        <v>1284</v>
      </c>
      <c r="E194" t="s">
        <v>971</v>
      </c>
      <c r="F194" t="s">
        <v>1147</v>
      </c>
    </row>
    <row r="195" spans="1:6" x14ac:dyDescent="0.3">
      <c r="A195"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95" s="167">
        <f>1-COUNTIF(Calculators[CalculatorCode],CalculatorFC[[#This Row],[CalculatorCode]])</f>
        <v>0</v>
      </c>
      <c r="C195" s="167">
        <f>SUM(CalculatorFC[[#This Row],[FinCodeIssue]:[CalcCodeIssue]])</f>
        <v>0</v>
      </c>
      <c r="D195" t="s">
        <v>1284</v>
      </c>
      <c r="E195" t="s">
        <v>1023</v>
      </c>
      <c r="F195" t="s">
        <v>1169</v>
      </c>
    </row>
    <row r="196" spans="1:6" x14ac:dyDescent="0.3">
      <c r="A196"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96" s="167">
        <f>1-COUNTIF(Calculators[CalculatorCode],CalculatorFC[[#This Row],[CalculatorCode]])</f>
        <v>1</v>
      </c>
      <c r="C196" s="167">
        <f>SUM(CalculatorFC[[#This Row],[FinCodeIssue]:[CalcCodeIssue]])</f>
        <v>2</v>
      </c>
      <c r="D196" t="s">
        <v>1286</v>
      </c>
      <c r="E196" t="s">
        <v>973</v>
      </c>
      <c r="F196" t="s">
        <v>1147</v>
      </c>
    </row>
    <row r="197" spans="1:6" x14ac:dyDescent="0.3">
      <c r="A197"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197" s="167">
        <f>1-COUNTIF(Calculators[CalculatorCode],CalculatorFC[[#This Row],[CalculatorCode]])</f>
        <v>1</v>
      </c>
      <c r="C197" s="167">
        <f>SUM(CalculatorFC[[#This Row],[FinCodeIssue]:[CalcCodeIssue]])</f>
        <v>2</v>
      </c>
      <c r="D197" t="s">
        <v>1286</v>
      </c>
      <c r="E197" t="s">
        <v>1025</v>
      </c>
      <c r="F197" t="s">
        <v>1169</v>
      </c>
    </row>
    <row r="198" spans="1:6" x14ac:dyDescent="0.3">
      <c r="A198"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98" s="167">
        <f>1-COUNTIF(Calculators[CalculatorCode],CalculatorFC[[#This Row],[CalculatorCode]])</f>
        <v>0</v>
      </c>
      <c r="C198" s="167">
        <f>SUM(CalculatorFC[[#This Row],[FinCodeIssue]:[CalcCodeIssue]])</f>
        <v>0</v>
      </c>
      <c r="D198" t="s">
        <v>1949</v>
      </c>
      <c r="E198" t="s">
        <v>1941</v>
      </c>
      <c r="F198" t="s">
        <v>1147</v>
      </c>
    </row>
    <row r="199" spans="1:6" x14ac:dyDescent="0.3">
      <c r="A199"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199" s="167">
        <f>1-COUNTIF(Calculators[CalculatorCode],CalculatorFC[[#This Row],[CalculatorCode]])</f>
        <v>0</v>
      </c>
      <c r="C199" s="167">
        <f>SUM(CalculatorFC[[#This Row],[FinCodeIssue]:[CalcCodeIssue]])</f>
        <v>0</v>
      </c>
      <c r="D199" t="s">
        <v>1949</v>
      </c>
      <c r="E199" t="s">
        <v>1022</v>
      </c>
      <c r="F199" t="s">
        <v>1169</v>
      </c>
    </row>
    <row r="200" spans="1:6" x14ac:dyDescent="0.3">
      <c r="A200"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00" s="167">
        <f>1-COUNTIF(Calculators[CalculatorCode],CalculatorFC[[#This Row],[CalculatorCode]])</f>
        <v>0</v>
      </c>
      <c r="C200" s="167">
        <f>SUM(CalculatorFC[[#This Row],[FinCodeIssue]:[CalcCodeIssue]])</f>
        <v>0</v>
      </c>
      <c r="D200" t="s">
        <v>1236</v>
      </c>
      <c r="E200" t="s">
        <v>943</v>
      </c>
      <c r="F200" t="s">
        <v>1169</v>
      </c>
    </row>
    <row r="201" spans="1:6" x14ac:dyDescent="0.3">
      <c r="A201"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01" s="167">
        <f>1-COUNTIF(Calculators[CalculatorCode],CalculatorFC[[#This Row],[CalculatorCode]])</f>
        <v>0</v>
      </c>
      <c r="C201" s="167">
        <f>SUM(CalculatorFC[[#This Row],[FinCodeIssue]:[CalcCodeIssue]])</f>
        <v>0</v>
      </c>
      <c r="D201" t="s">
        <v>1236</v>
      </c>
      <c r="E201" t="s">
        <v>943</v>
      </c>
      <c r="F201" t="s">
        <v>1158</v>
      </c>
    </row>
    <row r="202" spans="1:6" x14ac:dyDescent="0.3">
      <c r="A202"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02" s="167">
        <f>1-COUNTIF(Calculators[CalculatorCode],CalculatorFC[[#This Row],[CalculatorCode]])</f>
        <v>0</v>
      </c>
      <c r="C202" s="167">
        <f>SUM(CalculatorFC[[#This Row],[FinCodeIssue]:[CalcCodeIssue]])</f>
        <v>0</v>
      </c>
      <c r="D202" t="s">
        <v>1236</v>
      </c>
      <c r="E202" t="s">
        <v>945</v>
      </c>
      <c r="F202" t="s">
        <v>1158</v>
      </c>
    </row>
    <row r="203" spans="1:6" x14ac:dyDescent="0.3">
      <c r="A203"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03" s="167">
        <f>1-COUNTIF(Calculators[CalculatorCode],CalculatorFC[[#This Row],[CalculatorCode]])</f>
        <v>0</v>
      </c>
      <c r="C203" s="167">
        <f>SUM(CalculatorFC[[#This Row],[FinCodeIssue]:[CalcCodeIssue]])</f>
        <v>0</v>
      </c>
      <c r="D203" t="s">
        <v>1236</v>
      </c>
      <c r="E203" t="s">
        <v>945</v>
      </c>
      <c r="F203" t="s">
        <v>1169</v>
      </c>
    </row>
    <row r="204" spans="1:6" x14ac:dyDescent="0.3">
      <c r="A204"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04" s="167">
        <f>1-COUNTIF(Calculators[CalculatorCode],CalculatorFC[[#This Row],[CalculatorCode]])</f>
        <v>0</v>
      </c>
      <c r="C204" s="167">
        <f>SUM(CalculatorFC[[#This Row],[FinCodeIssue]:[CalcCodeIssue]])</f>
        <v>0</v>
      </c>
      <c r="D204" t="s">
        <v>1236</v>
      </c>
      <c r="E204" t="s">
        <v>947</v>
      </c>
      <c r="F204" t="s">
        <v>1158</v>
      </c>
    </row>
    <row r="205" spans="1:6" x14ac:dyDescent="0.3">
      <c r="A205"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05" s="167">
        <f>1-COUNTIF(Calculators[CalculatorCode],CalculatorFC[[#This Row],[CalculatorCode]])</f>
        <v>0</v>
      </c>
      <c r="C205" s="167">
        <f>SUM(CalculatorFC[[#This Row],[FinCodeIssue]:[CalcCodeIssue]])</f>
        <v>0</v>
      </c>
      <c r="D205" t="s">
        <v>1236</v>
      </c>
      <c r="E205" t="s">
        <v>947</v>
      </c>
      <c r="F205" t="s">
        <v>1169</v>
      </c>
    </row>
    <row r="206" spans="1:6" x14ac:dyDescent="0.3">
      <c r="A206"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06" s="167">
        <f>1-COUNTIF(Calculators[CalculatorCode],CalculatorFC[[#This Row],[CalculatorCode]])</f>
        <v>0</v>
      </c>
      <c r="C206" s="167">
        <f>SUM(CalculatorFC[[#This Row],[FinCodeIssue]:[CalcCodeIssue]])</f>
        <v>0</v>
      </c>
      <c r="D206" t="s">
        <v>1236</v>
      </c>
      <c r="E206" t="s">
        <v>949</v>
      </c>
      <c r="F206" t="s">
        <v>1158</v>
      </c>
    </row>
    <row r="207" spans="1:6" x14ac:dyDescent="0.3">
      <c r="A207"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07" s="167">
        <f>1-COUNTIF(Calculators[CalculatorCode],CalculatorFC[[#This Row],[CalculatorCode]])</f>
        <v>0</v>
      </c>
      <c r="C207" s="167">
        <f>SUM(CalculatorFC[[#This Row],[FinCodeIssue]:[CalcCodeIssue]])</f>
        <v>0</v>
      </c>
      <c r="D207" t="s">
        <v>1236</v>
      </c>
      <c r="E207" t="s">
        <v>949</v>
      </c>
      <c r="F207" t="s">
        <v>1169</v>
      </c>
    </row>
    <row r="208" spans="1:6" x14ac:dyDescent="0.3">
      <c r="A208"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08" s="167">
        <f>1-COUNTIF(Calculators[CalculatorCode],CalculatorFC[[#This Row],[CalculatorCode]])</f>
        <v>0</v>
      </c>
      <c r="C208" s="167">
        <f>SUM(CalculatorFC[[#This Row],[FinCodeIssue]:[CalcCodeIssue]])</f>
        <v>0</v>
      </c>
      <c r="D208" t="s">
        <v>1236</v>
      </c>
      <c r="E208" t="s">
        <v>951</v>
      </c>
      <c r="F208" t="s">
        <v>1158</v>
      </c>
    </row>
    <row r="209" spans="1:6" x14ac:dyDescent="0.3">
      <c r="A209"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09" s="167">
        <f>1-COUNTIF(Calculators[CalculatorCode],CalculatorFC[[#This Row],[CalculatorCode]])</f>
        <v>0</v>
      </c>
      <c r="C209" s="167">
        <f>SUM(CalculatorFC[[#This Row],[FinCodeIssue]:[CalcCodeIssue]])</f>
        <v>0</v>
      </c>
      <c r="D209" t="s">
        <v>1236</v>
      </c>
      <c r="E209" t="s">
        <v>951</v>
      </c>
      <c r="F209" t="s">
        <v>1169</v>
      </c>
    </row>
    <row r="210" spans="1:6" x14ac:dyDescent="0.3">
      <c r="A210"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10" s="167">
        <f>1-COUNTIF(Calculators[CalculatorCode],CalculatorFC[[#This Row],[CalculatorCode]])</f>
        <v>0</v>
      </c>
      <c r="C210" s="167">
        <f>SUM(CalculatorFC[[#This Row],[FinCodeIssue]:[CalcCodeIssue]])</f>
        <v>0</v>
      </c>
      <c r="D210" t="s">
        <v>1236</v>
      </c>
      <c r="E210" t="s">
        <v>953</v>
      </c>
      <c r="F210" t="s">
        <v>1158</v>
      </c>
    </row>
    <row r="211" spans="1:6" x14ac:dyDescent="0.3">
      <c r="A211"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11" s="167">
        <f>1-COUNTIF(Calculators[CalculatorCode],CalculatorFC[[#This Row],[CalculatorCode]])</f>
        <v>0</v>
      </c>
      <c r="C211" s="167">
        <f>SUM(CalculatorFC[[#This Row],[FinCodeIssue]:[CalcCodeIssue]])</f>
        <v>0</v>
      </c>
      <c r="D211" t="s">
        <v>1236</v>
      </c>
      <c r="E211" t="s">
        <v>953</v>
      </c>
      <c r="F211" t="s">
        <v>1169</v>
      </c>
    </row>
    <row r="212" spans="1:6" x14ac:dyDescent="0.3">
      <c r="A212"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12" s="167">
        <f>1-COUNTIF(Calculators[CalculatorCode],CalculatorFC[[#This Row],[CalculatorCode]])</f>
        <v>0</v>
      </c>
      <c r="C212" s="167">
        <f>SUM(CalculatorFC[[#This Row],[FinCodeIssue]:[CalcCodeIssue]])</f>
        <v>0</v>
      </c>
      <c r="D212" t="s">
        <v>1236</v>
      </c>
      <c r="E212" t="s">
        <v>955</v>
      </c>
      <c r="F212" t="s">
        <v>1158</v>
      </c>
    </row>
    <row r="213" spans="1:6" x14ac:dyDescent="0.3">
      <c r="A213"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13" s="167">
        <f>1-COUNTIF(Calculators[CalculatorCode],CalculatorFC[[#This Row],[CalculatorCode]])</f>
        <v>0</v>
      </c>
      <c r="C213" s="167">
        <f>SUM(CalculatorFC[[#This Row],[FinCodeIssue]:[CalcCodeIssue]])</f>
        <v>0</v>
      </c>
      <c r="D213" t="s">
        <v>1236</v>
      </c>
      <c r="E213" t="s">
        <v>955</v>
      </c>
      <c r="F213" t="s">
        <v>1169</v>
      </c>
    </row>
    <row r="214" spans="1:6" x14ac:dyDescent="0.3">
      <c r="A214"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214" s="167">
        <f>1-COUNTIF(Calculators[CalculatorCode],CalculatorFC[[#This Row],[CalculatorCode]])</f>
        <v>0</v>
      </c>
      <c r="C214" s="167">
        <f>SUM(CalculatorFC[[#This Row],[FinCodeIssue]:[CalcCodeIssue]])</f>
        <v>1</v>
      </c>
      <c r="D214" t="s">
        <v>1236</v>
      </c>
      <c r="E214" t="s">
        <v>957</v>
      </c>
      <c r="F214" t="s">
        <v>1158</v>
      </c>
    </row>
    <row r="215" spans="1:6" x14ac:dyDescent="0.3">
      <c r="A215"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215" s="167">
        <f>1-COUNTIF(Calculators[CalculatorCode],CalculatorFC[[#This Row],[CalculatorCode]])</f>
        <v>0</v>
      </c>
      <c r="C215" s="167">
        <f>SUM(CalculatorFC[[#This Row],[FinCodeIssue]:[CalcCodeIssue]])</f>
        <v>1</v>
      </c>
      <c r="D215" t="s">
        <v>1236</v>
      </c>
      <c r="E215" t="s">
        <v>957</v>
      </c>
      <c r="F215" t="s">
        <v>1169</v>
      </c>
    </row>
    <row r="216" spans="1:6" x14ac:dyDescent="0.3">
      <c r="A216"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216" s="167">
        <f>1-COUNTIF(Calculators[CalculatorCode],CalculatorFC[[#This Row],[CalculatorCode]])</f>
        <v>0</v>
      </c>
      <c r="C216" s="167">
        <f>SUM(CalculatorFC[[#This Row],[FinCodeIssue]:[CalcCodeIssue]])</f>
        <v>1</v>
      </c>
      <c r="D216" t="s">
        <v>1236</v>
      </c>
      <c r="E216" t="s">
        <v>959</v>
      </c>
      <c r="F216" t="s">
        <v>1158</v>
      </c>
    </row>
    <row r="217" spans="1:6" x14ac:dyDescent="0.3">
      <c r="A217"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217" s="167">
        <f>1-COUNTIF(Calculators[CalculatorCode],CalculatorFC[[#This Row],[CalculatorCode]])</f>
        <v>0</v>
      </c>
      <c r="C217" s="167">
        <f>SUM(CalculatorFC[[#This Row],[FinCodeIssue]:[CalcCodeIssue]])</f>
        <v>1</v>
      </c>
      <c r="D217" t="s">
        <v>1236</v>
      </c>
      <c r="E217" t="s">
        <v>959</v>
      </c>
      <c r="F217" t="s">
        <v>1169</v>
      </c>
    </row>
    <row r="218" spans="1:6" x14ac:dyDescent="0.3">
      <c r="A218"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218" s="167">
        <f>1-COUNTIF(Calculators[CalculatorCode],CalculatorFC[[#This Row],[CalculatorCode]])</f>
        <v>0</v>
      </c>
      <c r="C218" s="167">
        <f>SUM(CalculatorFC[[#This Row],[FinCodeIssue]:[CalcCodeIssue]])</f>
        <v>1</v>
      </c>
      <c r="D218" t="s">
        <v>1236</v>
      </c>
      <c r="E218" t="s">
        <v>961</v>
      </c>
      <c r="F218" t="s">
        <v>1169</v>
      </c>
    </row>
    <row r="219" spans="1:6" x14ac:dyDescent="0.3">
      <c r="A219"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219" s="167">
        <f>1-COUNTIF(Calculators[CalculatorCode],CalculatorFC[[#This Row],[CalculatorCode]])</f>
        <v>0</v>
      </c>
      <c r="C219" s="167">
        <f>SUM(CalculatorFC[[#This Row],[FinCodeIssue]:[CalcCodeIssue]])</f>
        <v>1</v>
      </c>
      <c r="D219" t="s">
        <v>1236</v>
      </c>
      <c r="E219" t="s">
        <v>961</v>
      </c>
      <c r="F219" t="s">
        <v>1158</v>
      </c>
    </row>
    <row r="220" spans="1:6" x14ac:dyDescent="0.3">
      <c r="A220"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220" s="167">
        <f>1-COUNTIF(Calculators[CalculatorCode],CalculatorFC[[#This Row],[CalculatorCode]])</f>
        <v>0</v>
      </c>
      <c r="C220" s="167">
        <f>SUM(CalculatorFC[[#This Row],[FinCodeIssue]:[CalcCodeIssue]])</f>
        <v>1</v>
      </c>
      <c r="D220" t="s">
        <v>1236</v>
      </c>
      <c r="E220" t="s">
        <v>963</v>
      </c>
      <c r="F220" t="s">
        <v>1169</v>
      </c>
    </row>
    <row r="221" spans="1:6" x14ac:dyDescent="0.3">
      <c r="A221"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221" s="167">
        <f>1-COUNTIF(Calculators[CalculatorCode],CalculatorFC[[#This Row],[CalculatorCode]])</f>
        <v>0</v>
      </c>
      <c r="C221" s="167">
        <f>SUM(CalculatorFC[[#This Row],[FinCodeIssue]:[CalcCodeIssue]])</f>
        <v>1</v>
      </c>
      <c r="D221" t="s">
        <v>1236</v>
      </c>
      <c r="E221" t="s">
        <v>963</v>
      </c>
      <c r="F221" t="s">
        <v>1158</v>
      </c>
    </row>
    <row r="222" spans="1:6" x14ac:dyDescent="0.3">
      <c r="A222"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222" s="167">
        <f>1-COUNTIF(Calculators[CalculatorCode],CalculatorFC[[#This Row],[CalculatorCode]])</f>
        <v>0</v>
      </c>
      <c r="C222" s="167">
        <f>SUM(CalculatorFC[[#This Row],[FinCodeIssue]:[CalcCodeIssue]])</f>
        <v>1</v>
      </c>
      <c r="D222" t="s">
        <v>1236</v>
      </c>
      <c r="E222" t="s">
        <v>965</v>
      </c>
      <c r="F222" t="s">
        <v>1169</v>
      </c>
    </row>
    <row r="223" spans="1:6" x14ac:dyDescent="0.3">
      <c r="A223"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223" s="167">
        <f>1-COUNTIF(Calculators[CalculatorCode],CalculatorFC[[#This Row],[CalculatorCode]])</f>
        <v>0</v>
      </c>
      <c r="C223" s="167">
        <f>SUM(CalculatorFC[[#This Row],[FinCodeIssue]:[CalcCodeIssue]])</f>
        <v>1</v>
      </c>
      <c r="D223" t="s">
        <v>1236</v>
      </c>
      <c r="E223" t="s">
        <v>965</v>
      </c>
      <c r="F223" t="s">
        <v>1158</v>
      </c>
    </row>
    <row r="224" spans="1:6" x14ac:dyDescent="0.3">
      <c r="A224"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24" s="167">
        <f>1-COUNTIF(Calculators[CalculatorCode],CalculatorFC[[#This Row],[CalculatorCode]])</f>
        <v>0</v>
      </c>
      <c r="C224" s="167">
        <f>SUM(CalculatorFC[[#This Row],[FinCodeIssue]:[CalcCodeIssue]])</f>
        <v>0</v>
      </c>
      <c r="D224" t="s">
        <v>1288</v>
      </c>
      <c r="E224" t="s">
        <v>975</v>
      </c>
      <c r="F224" t="s">
        <v>1147</v>
      </c>
    </row>
    <row r="225" spans="1:6" x14ac:dyDescent="0.3">
      <c r="A225"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25" s="167">
        <f>1-COUNTIF(Calculators[CalculatorCode],CalculatorFC[[#This Row],[CalculatorCode]])</f>
        <v>0</v>
      </c>
      <c r="C225" s="167">
        <f>SUM(CalculatorFC[[#This Row],[FinCodeIssue]:[CalcCodeIssue]])</f>
        <v>0</v>
      </c>
      <c r="D225" t="s">
        <v>1288</v>
      </c>
      <c r="E225" t="s">
        <v>1027</v>
      </c>
      <c r="F225" t="s">
        <v>1169</v>
      </c>
    </row>
    <row r="226" spans="1:6" x14ac:dyDescent="0.3">
      <c r="A226"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26" s="167">
        <f>1-COUNTIF(Calculators[CalculatorCode],CalculatorFC[[#This Row],[CalculatorCode]])</f>
        <v>0</v>
      </c>
      <c r="C226" s="167">
        <f>SUM(CalculatorFC[[#This Row],[FinCodeIssue]:[CalcCodeIssue]])</f>
        <v>0</v>
      </c>
      <c r="D226" t="s">
        <v>1945</v>
      </c>
      <c r="E226" t="s">
        <v>1940</v>
      </c>
      <c r="F226" t="s">
        <v>1147</v>
      </c>
    </row>
    <row r="227" spans="1:6" x14ac:dyDescent="0.3">
      <c r="A227"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27" s="167">
        <f>1-COUNTIF(Calculators[CalculatorCode],CalculatorFC[[#This Row],[CalculatorCode]])</f>
        <v>0</v>
      </c>
      <c r="C227" s="167">
        <f>SUM(CalculatorFC[[#This Row],[FinCodeIssue]:[CalcCodeIssue]])</f>
        <v>0</v>
      </c>
      <c r="D227" t="s">
        <v>1947</v>
      </c>
      <c r="E227" t="s">
        <v>1940</v>
      </c>
      <c r="F227" t="s">
        <v>1147</v>
      </c>
    </row>
    <row r="228" spans="1:6" x14ac:dyDescent="0.3">
      <c r="A228"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28" s="167">
        <f>1-COUNTIF(Calculators[CalculatorCode],CalculatorFC[[#This Row],[CalculatorCode]])</f>
        <v>0</v>
      </c>
      <c r="C228" s="167">
        <f>SUM(CalculatorFC[[#This Row],[FinCodeIssue]:[CalcCodeIssue]])</f>
        <v>0</v>
      </c>
      <c r="D228" t="s">
        <v>1314</v>
      </c>
      <c r="E228" t="s">
        <v>914</v>
      </c>
      <c r="F228" t="s">
        <v>1147</v>
      </c>
    </row>
    <row r="229" spans="1:6" x14ac:dyDescent="0.3">
      <c r="A229"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29" s="167">
        <f>1-COUNTIF(Calculators[CalculatorCode],CalculatorFC[[#This Row],[CalculatorCode]])</f>
        <v>0</v>
      </c>
      <c r="C229" s="167">
        <f>SUM(CalculatorFC[[#This Row],[FinCodeIssue]:[CalcCodeIssue]])</f>
        <v>0</v>
      </c>
      <c r="D229" t="s">
        <v>1316</v>
      </c>
      <c r="E229" t="s">
        <v>914</v>
      </c>
      <c r="F229" t="s">
        <v>1147</v>
      </c>
    </row>
    <row r="230" spans="1:6" x14ac:dyDescent="0.3">
      <c r="A230"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230" s="167">
        <f>1-COUNTIF(Calculators[CalculatorCode],CalculatorFC[[#This Row],[CalculatorCode]])</f>
        <v>1</v>
      </c>
      <c r="C230" s="167">
        <f>SUM(CalculatorFC[[#This Row],[FinCodeIssue]:[CalcCodeIssue]])</f>
        <v>2</v>
      </c>
      <c r="D230" t="s">
        <v>1318</v>
      </c>
      <c r="E230" t="s">
        <v>916</v>
      </c>
      <c r="F230" t="s">
        <v>1147</v>
      </c>
    </row>
    <row r="231" spans="1:6" x14ac:dyDescent="0.3">
      <c r="A231"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231" s="167">
        <f>1-COUNTIF(Calculators[CalculatorCode],CalculatorFC[[#This Row],[CalculatorCode]])</f>
        <v>1</v>
      </c>
      <c r="C231" s="167">
        <f>SUM(CalculatorFC[[#This Row],[FinCodeIssue]:[CalcCodeIssue]])</f>
        <v>2</v>
      </c>
      <c r="D231" t="s">
        <v>1320</v>
      </c>
      <c r="E231" t="s">
        <v>916</v>
      </c>
      <c r="F231" t="s">
        <v>1147</v>
      </c>
    </row>
    <row r="232" spans="1:6" x14ac:dyDescent="0.3">
      <c r="A232"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32" s="167">
        <f>1-COUNTIF(Calculators[CalculatorCode],CalculatorFC[[#This Row],[CalculatorCode]])</f>
        <v>0</v>
      </c>
      <c r="C232" s="167">
        <f>SUM(CalculatorFC[[#This Row],[FinCodeIssue]:[CalcCodeIssue]])</f>
        <v>0</v>
      </c>
      <c r="D232" t="s">
        <v>1324</v>
      </c>
      <c r="E232" t="s">
        <v>918</v>
      </c>
      <c r="F232" t="s">
        <v>1147</v>
      </c>
    </row>
    <row r="233" spans="1:6" x14ac:dyDescent="0.3">
      <c r="A233"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33" s="167">
        <f>1-COUNTIF(Calculators[CalculatorCode],CalculatorFC[[#This Row],[CalculatorCode]])</f>
        <v>0</v>
      </c>
      <c r="C233" s="167">
        <f>SUM(CalculatorFC[[#This Row],[FinCodeIssue]:[CalcCodeIssue]])</f>
        <v>0</v>
      </c>
      <c r="D233" t="s">
        <v>1326</v>
      </c>
      <c r="E233" t="s">
        <v>918</v>
      </c>
      <c r="F233" t="s">
        <v>1147</v>
      </c>
    </row>
    <row r="234" spans="1:6" x14ac:dyDescent="0.3">
      <c r="A234"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234" s="167">
        <f>1-COUNTIF(Calculators[CalculatorCode],CalculatorFC[[#This Row],[CalculatorCode]])</f>
        <v>0</v>
      </c>
      <c r="C234" s="167">
        <f>SUM(CalculatorFC[[#This Row],[FinCodeIssue]:[CalcCodeIssue]])</f>
        <v>1</v>
      </c>
      <c r="D234" t="s">
        <v>1515</v>
      </c>
      <c r="F234" t="s">
        <v>1147</v>
      </c>
    </row>
    <row r="235" spans="1:6" x14ac:dyDescent="0.3">
      <c r="A235"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35" s="167">
        <f>1-COUNTIF(Calculators[CalculatorCode],CalculatorFC[[#This Row],[CalculatorCode]])</f>
        <v>0</v>
      </c>
      <c r="C235" s="167">
        <f>SUM(CalculatorFC[[#This Row],[FinCodeIssue]:[CalcCodeIssue]])</f>
        <v>0</v>
      </c>
      <c r="D235" t="s">
        <v>1290</v>
      </c>
      <c r="E235" t="s">
        <v>920</v>
      </c>
      <c r="F235" t="s">
        <v>1147</v>
      </c>
    </row>
    <row r="236" spans="1:6" x14ac:dyDescent="0.3">
      <c r="A236"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36" s="167">
        <f>1-COUNTIF(Calculators[CalculatorCode],CalculatorFC[[#This Row],[CalculatorCode]])</f>
        <v>0</v>
      </c>
      <c r="C236" s="167">
        <f>SUM(CalculatorFC[[#This Row],[FinCodeIssue]:[CalcCodeIssue]])</f>
        <v>0</v>
      </c>
      <c r="D236" t="s">
        <v>1290</v>
      </c>
      <c r="E236" t="s">
        <v>923</v>
      </c>
      <c r="F236" t="s">
        <v>1147</v>
      </c>
    </row>
    <row r="237" spans="1:6" x14ac:dyDescent="0.3">
      <c r="A237"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37" s="167">
        <f>1-COUNTIF(Calculators[CalculatorCode],CalculatorFC[[#This Row],[CalculatorCode]])</f>
        <v>0</v>
      </c>
      <c r="C237" s="167">
        <f>SUM(CalculatorFC[[#This Row],[FinCodeIssue]:[CalcCodeIssue]])</f>
        <v>0</v>
      </c>
      <c r="D237" t="s">
        <v>1290</v>
      </c>
      <c r="E237" t="s">
        <v>925</v>
      </c>
      <c r="F237" t="s">
        <v>1147</v>
      </c>
    </row>
    <row r="238" spans="1:6" x14ac:dyDescent="0.3">
      <c r="A238"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238" s="167">
        <f>1-COUNTIF(Calculators[CalculatorCode],CalculatorFC[[#This Row],[CalculatorCode]])</f>
        <v>0</v>
      </c>
      <c r="C238" s="167">
        <f>SUM(CalculatorFC[[#This Row],[FinCodeIssue]:[CalcCodeIssue]])</f>
        <v>1</v>
      </c>
      <c r="D238" t="s">
        <v>1290</v>
      </c>
      <c r="E238" t="s">
        <v>927</v>
      </c>
      <c r="F238" t="s">
        <v>1147</v>
      </c>
    </row>
    <row r="239" spans="1:6" x14ac:dyDescent="0.3">
      <c r="A239"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239" s="167">
        <f>1-COUNTIF(Calculators[CalculatorCode],CalculatorFC[[#This Row],[CalculatorCode]])</f>
        <v>0</v>
      </c>
      <c r="C239" s="167">
        <f>SUM(CalculatorFC[[#This Row],[FinCodeIssue]:[CalcCodeIssue]])</f>
        <v>1</v>
      </c>
      <c r="D239" t="s">
        <v>1290</v>
      </c>
      <c r="E239" t="s">
        <v>1504</v>
      </c>
      <c r="F239" t="s">
        <v>1147</v>
      </c>
    </row>
    <row r="240" spans="1:6" x14ac:dyDescent="0.3">
      <c r="A240"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240" s="167">
        <f>1-COUNTIF(Calculators[CalculatorCode],CalculatorFC[[#This Row],[CalculatorCode]])</f>
        <v>0</v>
      </c>
      <c r="C240" s="167">
        <f>SUM(CalculatorFC[[#This Row],[FinCodeIssue]:[CalcCodeIssue]])</f>
        <v>1</v>
      </c>
      <c r="D240" t="s">
        <v>1290</v>
      </c>
      <c r="E240" t="s">
        <v>929</v>
      </c>
      <c r="F240" t="s">
        <v>1147</v>
      </c>
    </row>
    <row r="241" spans="1:6" x14ac:dyDescent="0.3">
      <c r="A241"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241" s="167">
        <f>1-COUNTIF(Calculators[CalculatorCode],CalculatorFC[[#This Row],[CalculatorCode]])</f>
        <v>0</v>
      </c>
      <c r="C241" s="167">
        <f>SUM(CalculatorFC[[#This Row],[FinCodeIssue]:[CalcCodeIssue]])</f>
        <v>1</v>
      </c>
      <c r="D241" t="s">
        <v>1290</v>
      </c>
      <c r="E241" t="s">
        <v>1505</v>
      </c>
      <c r="F241" t="s">
        <v>1147</v>
      </c>
    </row>
    <row r="242" spans="1:6" x14ac:dyDescent="0.3">
      <c r="A242"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242" s="167">
        <f>1-COUNTIF(Calculators[CalculatorCode],CalculatorFC[[#This Row],[CalculatorCode]])</f>
        <v>0</v>
      </c>
      <c r="C242" s="167">
        <f>SUM(CalculatorFC[[#This Row],[FinCodeIssue]:[CalcCodeIssue]])</f>
        <v>1</v>
      </c>
      <c r="D242" t="s">
        <v>1290</v>
      </c>
      <c r="E242" t="s">
        <v>931</v>
      </c>
      <c r="F242" t="s">
        <v>1147</v>
      </c>
    </row>
    <row r="243" spans="1:6" x14ac:dyDescent="0.3">
      <c r="A243"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243" s="167">
        <f>1-COUNTIF(Calculators[CalculatorCode],CalculatorFC[[#This Row],[CalculatorCode]])</f>
        <v>0</v>
      </c>
      <c r="C243" s="167">
        <f>SUM(CalculatorFC[[#This Row],[FinCodeIssue]:[CalcCodeIssue]])</f>
        <v>1</v>
      </c>
      <c r="D243" t="s">
        <v>1290</v>
      </c>
      <c r="E243" t="s">
        <v>1506</v>
      </c>
      <c r="F243" t="s">
        <v>1147</v>
      </c>
    </row>
    <row r="244" spans="1:6" x14ac:dyDescent="0.3">
      <c r="A244"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44" s="167">
        <f>1-COUNTIF(Calculators[CalculatorCode],CalculatorFC[[#This Row],[CalculatorCode]])</f>
        <v>0</v>
      </c>
      <c r="C244" s="167">
        <f>SUM(CalculatorFC[[#This Row],[FinCodeIssue]:[CalcCodeIssue]])</f>
        <v>0</v>
      </c>
      <c r="D244" t="s">
        <v>1290</v>
      </c>
      <c r="E244" t="s">
        <v>1503</v>
      </c>
      <c r="F244" t="s">
        <v>1147</v>
      </c>
    </row>
    <row r="245" spans="1:6" x14ac:dyDescent="0.3">
      <c r="A245"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45" s="167">
        <f>1-COUNTIF(Calculators[CalculatorCode],CalculatorFC[[#This Row],[CalculatorCode]])</f>
        <v>0</v>
      </c>
      <c r="C245" s="167">
        <f>SUM(CalculatorFC[[#This Row],[FinCodeIssue]:[CalcCodeIssue]])</f>
        <v>0</v>
      </c>
      <c r="D245" t="s">
        <v>1290</v>
      </c>
      <c r="E245" t="s">
        <v>1028</v>
      </c>
      <c r="F245" t="s">
        <v>1169</v>
      </c>
    </row>
    <row r="246" spans="1:6" x14ac:dyDescent="0.3">
      <c r="A246"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46" s="167">
        <f>1-COUNTIF(Calculators[CalculatorCode],CalculatorFC[[#This Row],[CalculatorCode]])</f>
        <v>0</v>
      </c>
      <c r="C246" s="167">
        <f>SUM(CalculatorFC[[#This Row],[FinCodeIssue]:[CalcCodeIssue]])</f>
        <v>0</v>
      </c>
      <c r="D246" t="s">
        <v>2083</v>
      </c>
      <c r="E246" t="s">
        <v>2084</v>
      </c>
      <c r="F246" t="s">
        <v>1147</v>
      </c>
    </row>
    <row r="247" spans="1:6" x14ac:dyDescent="0.3">
      <c r="A247"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47" s="167">
        <f>1-COUNTIF(Calculators[CalculatorCode],CalculatorFC[[#This Row],[CalculatorCode]])</f>
        <v>0</v>
      </c>
      <c r="C247" s="167">
        <f>SUM(CalculatorFC[[#This Row],[FinCodeIssue]:[CalcCodeIssue]])</f>
        <v>0</v>
      </c>
      <c r="D247" t="s">
        <v>2083</v>
      </c>
      <c r="E247" t="s">
        <v>1028</v>
      </c>
      <c r="F247" t="s">
        <v>1169</v>
      </c>
    </row>
    <row r="248" spans="1:6" x14ac:dyDescent="0.3">
      <c r="A248"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248" s="167">
        <f>1-COUNTIF(Calculators[CalculatorCode],CalculatorFC[[#This Row],[CalculatorCode]])</f>
        <v>1</v>
      </c>
      <c r="C248" s="167">
        <f>SUM(CalculatorFC[[#This Row],[FinCodeIssue]:[CalcCodeIssue]])</f>
        <v>2</v>
      </c>
      <c r="D248" t="s">
        <v>1587</v>
      </c>
      <c r="E248" t="s">
        <v>937</v>
      </c>
      <c r="F248" t="s">
        <v>1147</v>
      </c>
    </row>
    <row r="249" spans="1:6" x14ac:dyDescent="0.3">
      <c r="A249"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49" s="167">
        <f>1-COUNTIF(Calculators[CalculatorCode],CalculatorFC[[#This Row],[CalculatorCode]])</f>
        <v>1</v>
      </c>
      <c r="C249" s="167">
        <f>SUM(CalculatorFC[[#This Row],[FinCodeIssue]:[CalcCodeIssue]])</f>
        <v>1</v>
      </c>
      <c r="D249" t="s">
        <v>1587</v>
      </c>
      <c r="E249" t="s">
        <v>939</v>
      </c>
      <c r="F249" t="s">
        <v>1147</v>
      </c>
    </row>
    <row r="250" spans="1:6" x14ac:dyDescent="0.3">
      <c r="A250"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50" s="167">
        <f>1-COUNTIF(Calculators[CalculatorCode],CalculatorFC[[#This Row],[CalculatorCode]])</f>
        <v>1</v>
      </c>
      <c r="C250" s="167">
        <f>SUM(CalculatorFC[[#This Row],[FinCodeIssue]:[CalcCodeIssue]])</f>
        <v>1</v>
      </c>
      <c r="D250" t="s">
        <v>1587</v>
      </c>
      <c r="E250" t="s">
        <v>1028</v>
      </c>
      <c r="F250" t="s">
        <v>1169</v>
      </c>
    </row>
    <row r="251" spans="1:6" x14ac:dyDescent="0.3">
      <c r="A251"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51" s="167">
        <f>1-COUNTIF(Calculators[CalculatorCode],CalculatorFC[[#This Row],[CalculatorCode]])</f>
        <v>0</v>
      </c>
      <c r="C251" s="167">
        <f>SUM(CalculatorFC[[#This Row],[FinCodeIssue]:[CalcCodeIssue]])</f>
        <v>0</v>
      </c>
      <c r="D251" t="s">
        <v>1292</v>
      </c>
      <c r="E251" t="s">
        <v>1046</v>
      </c>
      <c r="F251" t="s">
        <v>1169</v>
      </c>
    </row>
    <row r="252" spans="1:6" x14ac:dyDescent="0.3">
      <c r="A252"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52" s="167">
        <f>1-COUNTIF(Calculators[CalculatorCode],CalculatorFC[[#This Row],[CalculatorCode]])</f>
        <v>0</v>
      </c>
      <c r="C252" s="167">
        <f>SUM(CalculatorFC[[#This Row],[FinCodeIssue]:[CalcCodeIssue]])</f>
        <v>0</v>
      </c>
      <c r="D252" t="s">
        <v>1536</v>
      </c>
      <c r="E252" t="s">
        <v>898</v>
      </c>
      <c r="F252" t="s">
        <v>1147</v>
      </c>
    </row>
    <row r="253" spans="1:6" x14ac:dyDescent="0.3">
      <c r="A253"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53" s="167">
        <f>1-COUNTIF(Calculators[CalculatorCode],CalculatorFC[[#This Row],[CalculatorCode]])</f>
        <v>0</v>
      </c>
      <c r="C253" s="167">
        <f>SUM(CalculatorFC[[#This Row],[FinCodeIssue]:[CalcCodeIssue]])</f>
        <v>0</v>
      </c>
      <c r="D253" t="s">
        <v>1537</v>
      </c>
      <c r="E253" t="s">
        <v>898</v>
      </c>
      <c r="F253" t="s">
        <v>1147</v>
      </c>
    </row>
    <row r="254" spans="1:6" x14ac:dyDescent="0.3">
      <c r="A254"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54" s="167">
        <f>1-COUNTIF(Calculators[CalculatorCode],CalculatorFC[[#This Row],[CalculatorCode]])</f>
        <v>0</v>
      </c>
      <c r="C254" s="167">
        <f>SUM(CalculatorFC[[#This Row],[FinCodeIssue]:[CalcCodeIssue]])</f>
        <v>0</v>
      </c>
      <c r="D254" t="s">
        <v>1294</v>
      </c>
      <c r="E254" t="s">
        <v>912</v>
      </c>
      <c r="F254" t="s">
        <v>1147</v>
      </c>
    </row>
    <row r="255" spans="1:6" x14ac:dyDescent="0.3">
      <c r="A255"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55" s="167">
        <f>1-COUNTIF(Calculators[CalculatorCode],CalculatorFC[[#This Row],[CalculatorCode]])</f>
        <v>0</v>
      </c>
      <c r="C255" s="167">
        <f>SUM(CalculatorFC[[#This Row],[FinCodeIssue]:[CalcCodeIssue]])</f>
        <v>0</v>
      </c>
      <c r="D255" t="s">
        <v>1833</v>
      </c>
      <c r="E255" t="s">
        <v>971</v>
      </c>
      <c r="F255" t="s">
        <v>1147</v>
      </c>
    </row>
    <row r="256" spans="1:6" x14ac:dyDescent="0.3">
      <c r="A256"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256" s="167">
        <f>1-COUNTIF(Calculators[CalculatorCode],CalculatorFC[[#This Row],[CalculatorCode]])</f>
        <v>1</v>
      </c>
      <c r="C256" s="167">
        <f>SUM(CalculatorFC[[#This Row],[FinCodeIssue]:[CalcCodeIssue]])</f>
        <v>2</v>
      </c>
      <c r="D256" t="s">
        <v>1837</v>
      </c>
      <c r="E256" t="s">
        <v>973</v>
      </c>
      <c r="F256" t="s">
        <v>1147</v>
      </c>
    </row>
    <row r="257" spans="1:6" x14ac:dyDescent="0.3">
      <c r="A257"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57" s="167">
        <f>1-COUNTIF(Calculators[CalculatorCode],CalculatorFC[[#This Row],[CalculatorCode]])</f>
        <v>0</v>
      </c>
      <c r="C257" s="167">
        <f>SUM(CalculatorFC[[#This Row],[FinCodeIssue]:[CalcCodeIssue]])</f>
        <v>0</v>
      </c>
      <c r="D257" t="s">
        <v>1296</v>
      </c>
      <c r="E257" t="s">
        <v>1554</v>
      </c>
      <c r="F257" t="s">
        <v>1147</v>
      </c>
    </row>
    <row r="258" spans="1:6" x14ac:dyDescent="0.3">
      <c r="A258"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58" s="167">
        <f>1-COUNTIF(Calculators[CalculatorCode],CalculatorFC[[#This Row],[CalculatorCode]])</f>
        <v>0</v>
      </c>
      <c r="C258" s="167">
        <f>SUM(CalculatorFC[[#This Row],[FinCodeIssue]:[CalcCodeIssue]])</f>
        <v>0</v>
      </c>
      <c r="D258" t="s">
        <v>1296</v>
      </c>
      <c r="E258" t="s">
        <v>1556</v>
      </c>
      <c r="F258" t="s">
        <v>1147</v>
      </c>
    </row>
    <row r="259" spans="1:6" x14ac:dyDescent="0.3">
      <c r="A259"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59" s="167">
        <f>1-COUNTIF(Calculators[CalculatorCode],CalculatorFC[[#This Row],[CalculatorCode]])</f>
        <v>0</v>
      </c>
      <c r="C259" s="167">
        <f>SUM(CalculatorFC[[#This Row],[FinCodeIssue]:[CalcCodeIssue]])</f>
        <v>0</v>
      </c>
      <c r="D259" t="s">
        <v>1296</v>
      </c>
      <c r="E259" t="s">
        <v>1575</v>
      </c>
      <c r="F259" t="s">
        <v>1169</v>
      </c>
    </row>
    <row r="260" spans="1:6" x14ac:dyDescent="0.3">
      <c r="A260"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60" s="167">
        <f>1-COUNTIF(Calculators[CalculatorCode],CalculatorFC[[#This Row],[CalculatorCode]])</f>
        <v>0</v>
      </c>
      <c r="C260" s="167">
        <f>SUM(CalculatorFC[[#This Row],[FinCodeIssue]:[CalcCodeIssue]])</f>
        <v>0</v>
      </c>
      <c r="D260" t="s">
        <v>1309</v>
      </c>
      <c r="E260" t="s">
        <v>943</v>
      </c>
      <c r="F260" t="s">
        <v>1169</v>
      </c>
    </row>
    <row r="261" spans="1:6" x14ac:dyDescent="0.3">
      <c r="A261"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61" s="167">
        <f>1-COUNTIF(Calculators[CalculatorCode],CalculatorFC[[#This Row],[CalculatorCode]])</f>
        <v>0</v>
      </c>
      <c r="C261" s="167">
        <f>SUM(CalculatorFC[[#This Row],[FinCodeIssue]:[CalcCodeIssue]])</f>
        <v>0</v>
      </c>
      <c r="D261" t="s">
        <v>1309</v>
      </c>
      <c r="E261" t="s">
        <v>943</v>
      </c>
      <c r="F261" t="s">
        <v>1158</v>
      </c>
    </row>
    <row r="262" spans="1:6" x14ac:dyDescent="0.3">
      <c r="A262"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62" s="167">
        <f>1-COUNTIF(Calculators[CalculatorCode],CalculatorFC[[#This Row],[CalculatorCode]])</f>
        <v>0</v>
      </c>
      <c r="C262" s="167">
        <f>SUM(CalculatorFC[[#This Row],[FinCodeIssue]:[CalcCodeIssue]])</f>
        <v>0</v>
      </c>
      <c r="D262" t="s">
        <v>1309</v>
      </c>
      <c r="E262" t="s">
        <v>945</v>
      </c>
      <c r="F262" t="s">
        <v>1158</v>
      </c>
    </row>
    <row r="263" spans="1:6" x14ac:dyDescent="0.3">
      <c r="A263"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63" s="167">
        <f>1-COUNTIF(Calculators[CalculatorCode],CalculatorFC[[#This Row],[CalculatorCode]])</f>
        <v>0</v>
      </c>
      <c r="C263" s="167">
        <f>SUM(CalculatorFC[[#This Row],[FinCodeIssue]:[CalcCodeIssue]])</f>
        <v>0</v>
      </c>
      <c r="D263" t="s">
        <v>1309</v>
      </c>
      <c r="E263" t="s">
        <v>945</v>
      </c>
      <c r="F263" t="s">
        <v>1169</v>
      </c>
    </row>
    <row r="264" spans="1:6" x14ac:dyDescent="0.3">
      <c r="A264"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64" s="167">
        <f>1-COUNTIF(Calculators[CalculatorCode],CalculatorFC[[#This Row],[CalculatorCode]])</f>
        <v>0</v>
      </c>
      <c r="C264" s="167">
        <f>SUM(CalculatorFC[[#This Row],[FinCodeIssue]:[CalcCodeIssue]])</f>
        <v>0</v>
      </c>
      <c r="D264" t="s">
        <v>1309</v>
      </c>
      <c r="E264" t="s">
        <v>947</v>
      </c>
      <c r="F264" t="s">
        <v>1169</v>
      </c>
    </row>
    <row r="265" spans="1:6" x14ac:dyDescent="0.3">
      <c r="A265"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65" s="167">
        <f>1-COUNTIF(Calculators[CalculatorCode],CalculatorFC[[#This Row],[CalculatorCode]])</f>
        <v>0</v>
      </c>
      <c r="C265" s="167">
        <f>SUM(CalculatorFC[[#This Row],[FinCodeIssue]:[CalcCodeIssue]])</f>
        <v>0</v>
      </c>
      <c r="D265" t="s">
        <v>1309</v>
      </c>
      <c r="E265" t="s">
        <v>947</v>
      </c>
      <c r="F265" t="s">
        <v>1158</v>
      </c>
    </row>
    <row r="266" spans="1:6" x14ac:dyDescent="0.3">
      <c r="A266"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66" s="167">
        <f>1-COUNTIF(Calculators[CalculatorCode],CalculatorFC[[#This Row],[CalculatorCode]])</f>
        <v>0</v>
      </c>
      <c r="C266" s="167">
        <f>SUM(CalculatorFC[[#This Row],[FinCodeIssue]:[CalcCodeIssue]])</f>
        <v>0</v>
      </c>
      <c r="D266" t="s">
        <v>1558</v>
      </c>
      <c r="E266" t="s">
        <v>1623</v>
      </c>
      <c r="F266" t="s">
        <v>1147</v>
      </c>
    </row>
    <row r="267" spans="1:6" x14ac:dyDescent="0.3">
      <c r="A267"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67" s="167">
        <f>1-COUNTIF(Calculators[CalculatorCode],CalculatorFC[[#This Row],[CalculatorCode]])</f>
        <v>0</v>
      </c>
      <c r="C267" s="167">
        <f>SUM(CalculatorFC[[#This Row],[FinCodeIssue]:[CalcCodeIssue]])</f>
        <v>0</v>
      </c>
      <c r="D267" t="s">
        <v>1558</v>
      </c>
      <c r="E267" t="s">
        <v>1560</v>
      </c>
      <c r="F267" t="s">
        <v>1147</v>
      </c>
    </row>
    <row r="268" spans="1:6" x14ac:dyDescent="0.3">
      <c r="A268"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68" s="167">
        <f>1-COUNTIF(Calculators[CalculatorCode],CalculatorFC[[#This Row],[CalculatorCode]])</f>
        <v>0</v>
      </c>
      <c r="C268" s="167">
        <f>SUM(CalculatorFC[[#This Row],[FinCodeIssue]:[CalcCodeIssue]])</f>
        <v>0</v>
      </c>
      <c r="D268" t="s">
        <v>2050</v>
      </c>
      <c r="E268" t="s">
        <v>1558</v>
      </c>
      <c r="F268" t="s">
        <v>1147</v>
      </c>
    </row>
    <row r="269" spans="1:6" x14ac:dyDescent="0.3">
      <c r="A269"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69" s="167">
        <f>1-COUNTIF(Calculators[CalculatorCode],CalculatorFC[[#This Row],[CalculatorCode]])</f>
        <v>0</v>
      </c>
      <c r="C269" s="167">
        <f>SUM(CalculatorFC[[#This Row],[FinCodeIssue]:[CalcCodeIssue]])</f>
        <v>0</v>
      </c>
      <c r="D269" t="s">
        <v>1560</v>
      </c>
      <c r="E269" t="s">
        <v>1554</v>
      </c>
      <c r="F269" t="s">
        <v>1147</v>
      </c>
    </row>
    <row r="270" spans="1:6" x14ac:dyDescent="0.3">
      <c r="A270"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70" s="167">
        <f>1-COUNTIF(Calculators[CalculatorCode],CalculatorFC[[#This Row],[CalculatorCode]])</f>
        <v>0</v>
      </c>
      <c r="C270" s="167">
        <f>SUM(CalculatorFC[[#This Row],[FinCodeIssue]:[CalcCodeIssue]])</f>
        <v>0</v>
      </c>
      <c r="D270" t="s">
        <v>1560</v>
      </c>
      <c r="E270" t="s">
        <v>1556</v>
      </c>
      <c r="F270" t="s">
        <v>1147</v>
      </c>
    </row>
    <row r="271" spans="1:6" x14ac:dyDescent="0.3">
      <c r="A271"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71" s="167">
        <f>1-COUNTIF(Calculators[CalculatorCode],CalculatorFC[[#This Row],[CalculatorCode]])</f>
        <v>0</v>
      </c>
      <c r="C271" s="167">
        <f>SUM(CalculatorFC[[#This Row],[FinCodeIssue]:[CalcCodeIssue]])</f>
        <v>0</v>
      </c>
      <c r="D271" t="s">
        <v>1560</v>
      </c>
      <c r="E271" t="s">
        <v>1573</v>
      </c>
      <c r="F271" t="s">
        <v>1169</v>
      </c>
    </row>
    <row r="272" spans="1:6" x14ac:dyDescent="0.3">
      <c r="A272"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72" s="167">
        <f>1-COUNTIF(Calculators[CalculatorCode],CalculatorFC[[#This Row],[CalculatorCode]])</f>
        <v>0</v>
      </c>
      <c r="C272" s="167">
        <f>SUM(CalculatorFC[[#This Row],[FinCodeIssue]:[CalcCodeIssue]])</f>
        <v>0</v>
      </c>
      <c r="D272" t="s">
        <v>2052</v>
      </c>
      <c r="E272" t="s">
        <v>1560</v>
      </c>
      <c r="F272" t="s">
        <v>1147</v>
      </c>
    </row>
    <row r="273" spans="1:6" x14ac:dyDescent="0.3">
      <c r="A273"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73" s="167">
        <f>1-COUNTIF(Calculators[CalculatorCode],CalculatorFC[[#This Row],[CalculatorCode]])</f>
        <v>0</v>
      </c>
      <c r="C273" s="167">
        <f>SUM(CalculatorFC[[#This Row],[FinCodeIssue]:[CalcCodeIssue]])</f>
        <v>0</v>
      </c>
      <c r="D273" t="s">
        <v>2036</v>
      </c>
      <c r="E273" t="s">
        <v>1575</v>
      </c>
      <c r="F273" t="s">
        <v>1147</v>
      </c>
    </row>
    <row r="274" spans="1:6" x14ac:dyDescent="0.3">
      <c r="A274"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74" s="167">
        <f>1-COUNTIF(Calculators[CalculatorCode],CalculatorFC[[#This Row],[CalculatorCode]])</f>
        <v>0</v>
      </c>
      <c r="C274" s="167">
        <f>SUM(CalculatorFC[[#This Row],[FinCodeIssue]:[CalcCodeIssue]])</f>
        <v>0</v>
      </c>
      <c r="D274" t="s">
        <v>1580</v>
      </c>
      <c r="E274" t="s">
        <v>1621</v>
      </c>
      <c r="F274" t="s">
        <v>1147</v>
      </c>
    </row>
    <row r="275" spans="1:6" x14ac:dyDescent="0.3">
      <c r="A275"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75" s="167">
        <f>1-COUNTIF(Calculators[CalculatorCode],CalculatorFC[[#This Row],[CalculatorCode]])</f>
        <v>0</v>
      </c>
      <c r="C275" s="167">
        <f>SUM(CalculatorFC[[#This Row],[FinCodeIssue]:[CalcCodeIssue]])</f>
        <v>0</v>
      </c>
      <c r="D275" t="s">
        <v>1580</v>
      </c>
      <c r="E275" t="s">
        <v>1575</v>
      </c>
      <c r="F275" t="s">
        <v>1169</v>
      </c>
    </row>
    <row r="276" spans="1:6" x14ac:dyDescent="0.3">
      <c r="A276"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76" s="167">
        <f>1-COUNTIF(Calculators[CalculatorCode],CalculatorFC[[#This Row],[CalculatorCode]])</f>
        <v>0</v>
      </c>
      <c r="C276" s="167">
        <f>SUM(CalculatorFC[[#This Row],[FinCodeIssue]:[CalcCodeIssue]])</f>
        <v>0</v>
      </c>
      <c r="D276" t="s">
        <v>1030</v>
      </c>
      <c r="E276" t="s">
        <v>1030</v>
      </c>
      <c r="F276" t="s">
        <v>1169</v>
      </c>
    </row>
    <row r="277" spans="1:6" x14ac:dyDescent="0.3">
      <c r="A277"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77" s="167">
        <f>1-COUNTIF(Calculators[CalculatorCode],CalculatorFC[[#This Row],[CalculatorCode]])</f>
        <v>0</v>
      </c>
      <c r="C277" s="167">
        <f>SUM(CalculatorFC[[#This Row],[FinCodeIssue]:[CalcCodeIssue]])</f>
        <v>0</v>
      </c>
      <c r="D277" t="s">
        <v>1298</v>
      </c>
      <c r="E277" t="s">
        <v>1050</v>
      </c>
      <c r="F277" t="s">
        <v>1169</v>
      </c>
    </row>
    <row r="278" spans="1:6" x14ac:dyDescent="0.3">
      <c r="A278"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78" s="167">
        <f>1-COUNTIF(Calculators[CalculatorCode],CalculatorFC[[#This Row],[CalculatorCode]])</f>
        <v>0</v>
      </c>
      <c r="C278" s="167">
        <f>SUM(CalculatorFC[[#This Row],[FinCodeIssue]:[CalcCodeIssue]])</f>
        <v>0</v>
      </c>
      <c r="D278" t="s">
        <v>1052</v>
      </c>
      <c r="E278" t="s">
        <v>1052</v>
      </c>
      <c r="F278" t="s">
        <v>1169</v>
      </c>
    </row>
    <row r="279" spans="1:6" x14ac:dyDescent="0.3">
      <c r="A279"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79" s="167">
        <f>1-COUNTIF(Calculators[CalculatorCode],CalculatorFC[[#This Row],[CalculatorCode]])</f>
        <v>0</v>
      </c>
      <c r="C279" s="167">
        <f>SUM(CalculatorFC[[#This Row],[FinCodeIssue]:[CalcCodeIssue]])</f>
        <v>0</v>
      </c>
      <c r="D279" t="s">
        <v>1032</v>
      </c>
      <c r="E279" t="s">
        <v>1032</v>
      </c>
      <c r="F279" t="s">
        <v>1169</v>
      </c>
    </row>
    <row r="280" spans="1:6" x14ac:dyDescent="0.3">
      <c r="A280"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80" s="167">
        <f>1-COUNTIF(Calculators[CalculatorCode],CalculatorFC[[#This Row],[CalculatorCode]])</f>
        <v>0</v>
      </c>
      <c r="C280" s="167">
        <f>SUM(CalculatorFC[[#This Row],[FinCodeIssue]:[CalcCodeIssue]])</f>
        <v>0</v>
      </c>
      <c r="D280" t="s">
        <v>1300</v>
      </c>
      <c r="E280" t="s">
        <v>1048</v>
      </c>
      <c r="F280" t="s">
        <v>1169</v>
      </c>
    </row>
    <row r="281" spans="1:6" x14ac:dyDescent="0.3">
      <c r="A281"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81" s="167">
        <f>1-COUNTIF(Calculators[CalculatorCode],CalculatorFC[[#This Row],[CalculatorCode]])</f>
        <v>0</v>
      </c>
      <c r="C281" s="167">
        <f>SUM(CalculatorFC[[#This Row],[FinCodeIssue]:[CalcCodeIssue]])</f>
        <v>0</v>
      </c>
      <c r="D281" t="s">
        <v>1513</v>
      </c>
      <c r="E281" t="s">
        <v>920</v>
      </c>
      <c r="F281" t="s">
        <v>1158</v>
      </c>
    </row>
    <row r="282" spans="1:6" x14ac:dyDescent="0.3">
      <c r="A282"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82" s="167">
        <f>1-COUNTIF(Calculators[CalculatorCode],CalculatorFC[[#This Row],[CalculatorCode]])</f>
        <v>0</v>
      </c>
      <c r="C282" s="167">
        <f>SUM(CalculatorFC[[#This Row],[FinCodeIssue]:[CalcCodeIssue]])</f>
        <v>0</v>
      </c>
      <c r="D282" t="s">
        <v>1513</v>
      </c>
      <c r="E282" t="s">
        <v>920</v>
      </c>
      <c r="F282" t="s">
        <v>1169</v>
      </c>
    </row>
    <row r="283" spans="1:6" x14ac:dyDescent="0.3">
      <c r="A283"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83" s="167">
        <f>1-COUNTIF(Calculators[CalculatorCode],CalculatorFC[[#This Row],[CalculatorCode]])</f>
        <v>0</v>
      </c>
      <c r="C283" s="167">
        <f>SUM(CalculatorFC[[#This Row],[FinCodeIssue]:[CalcCodeIssue]])</f>
        <v>0</v>
      </c>
      <c r="D283" t="s">
        <v>1511</v>
      </c>
      <c r="E283" t="s">
        <v>943</v>
      </c>
      <c r="F283" t="s">
        <v>1158</v>
      </c>
    </row>
    <row r="284" spans="1:6" x14ac:dyDescent="0.3">
      <c r="A284"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84" s="167">
        <f>1-COUNTIF(Calculators[CalculatorCode],CalculatorFC[[#This Row],[CalculatorCode]])</f>
        <v>0</v>
      </c>
      <c r="C284" s="167">
        <f>SUM(CalculatorFC[[#This Row],[FinCodeIssue]:[CalcCodeIssue]])</f>
        <v>0</v>
      </c>
      <c r="D284" t="s">
        <v>1511</v>
      </c>
      <c r="E284" t="s">
        <v>943</v>
      </c>
      <c r="F284" t="s">
        <v>1169</v>
      </c>
    </row>
    <row r="285" spans="1:6" x14ac:dyDescent="0.3">
      <c r="A285"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85" s="167">
        <f>1-COUNTIF(Calculators[CalculatorCode],CalculatorFC[[#This Row],[CalculatorCode]])</f>
        <v>0</v>
      </c>
      <c r="C285" s="167">
        <f>SUM(CalculatorFC[[#This Row],[FinCodeIssue]:[CalcCodeIssue]])</f>
        <v>0</v>
      </c>
      <c r="D285" t="s">
        <v>1036</v>
      </c>
      <c r="E285" t="s">
        <v>1036</v>
      </c>
      <c r="F285" t="s">
        <v>1169</v>
      </c>
    </row>
    <row r="286" spans="1:6" x14ac:dyDescent="0.3">
      <c r="A286"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86" s="167">
        <f>1-COUNTIF(Calculators[CalculatorCode],CalculatorFC[[#This Row],[CalculatorCode]])</f>
        <v>0</v>
      </c>
      <c r="C286" s="167">
        <f>SUM(CalculatorFC[[#This Row],[FinCodeIssue]:[CalcCodeIssue]])</f>
        <v>0</v>
      </c>
      <c r="D286" t="s">
        <v>1303</v>
      </c>
      <c r="E286" t="s">
        <v>1042</v>
      </c>
      <c r="F286" t="s">
        <v>1169</v>
      </c>
    </row>
    <row r="287" spans="1:6" x14ac:dyDescent="0.3">
      <c r="A287"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87" s="167">
        <f>1-COUNTIF(Calculators[CalculatorCode],CalculatorFC[[#This Row],[CalculatorCode]])</f>
        <v>0</v>
      </c>
      <c r="C287" s="167">
        <f>SUM(CalculatorFC[[#This Row],[FinCodeIssue]:[CalcCodeIssue]])</f>
        <v>0</v>
      </c>
      <c r="D287" t="s">
        <v>1038</v>
      </c>
      <c r="E287" t="s">
        <v>1038</v>
      </c>
      <c r="F287" t="s">
        <v>1169</v>
      </c>
    </row>
    <row r="288" spans="1:6" x14ac:dyDescent="0.3">
      <c r="A288"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88" s="167">
        <f>1-COUNTIF(Calculators[CalculatorCode],CalculatorFC[[#This Row],[CalculatorCode]])</f>
        <v>0</v>
      </c>
      <c r="C288" s="167">
        <f>SUM(CalculatorFC[[#This Row],[FinCodeIssue]:[CalcCodeIssue]])</f>
        <v>0</v>
      </c>
      <c r="D288" t="s">
        <v>1305</v>
      </c>
      <c r="E288" t="s">
        <v>1044</v>
      </c>
      <c r="F288" t="s">
        <v>1169</v>
      </c>
    </row>
    <row r="289" spans="1:6" x14ac:dyDescent="0.3">
      <c r="A289"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89" s="167">
        <f>1-COUNTIF(Calculators[CalculatorCode],CalculatorFC[[#This Row],[CalculatorCode]])</f>
        <v>0</v>
      </c>
      <c r="C289" s="167">
        <f>SUM(CalculatorFC[[#This Row],[FinCodeIssue]:[CalcCodeIssue]])</f>
        <v>0</v>
      </c>
      <c r="D289" t="s">
        <v>1221</v>
      </c>
      <c r="E289" t="s">
        <v>923</v>
      </c>
      <c r="F289" t="s">
        <v>1158</v>
      </c>
    </row>
    <row r="290" spans="1:6" x14ac:dyDescent="0.3">
      <c r="A290"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90" s="167">
        <f>1-COUNTIF(Calculators[CalculatorCode],CalculatorFC[[#This Row],[CalculatorCode]])</f>
        <v>0</v>
      </c>
      <c r="C290" s="167">
        <f>SUM(CalculatorFC[[#This Row],[FinCodeIssue]:[CalcCodeIssue]])</f>
        <v>0</v>
      </c>
      <c r="D290" t="s">
        <v>1221</v>
      </c>
      <c r="E290" t="s">
        <v>923</v>
      </c>
      <c r="F290" t="s">
        <v>1169</v>
      </c>
    </row>
    <row r="291" spans="1:6" x14ac:dyDescent="0.3">
      <c r="A291"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91" s="167">
        <f>1-COUNTIF(Calculators[CalculatorCode],CalculatorFC[[#This Row],[CalculatorCode]])</f>
        <v>0</v>
      </c>
      <c r="C291" s="167">
        <f>SUM(CalculatorFC[[#This Row],[FinCodeIssue]:[CalcCodeIssue]])</f>
        <v>0</v>
      </c>
      <c r="D291" t="s">
        <v>1211</v>
      </c>
      <c r="E291" t="s">
        <v>945</v>
      </c>
      <c r="F291" t="s">
        <v>1158</v>
      </c>
    </row>
    <row r="292" spans="1:6" x14ac:dyDescent="0.3">
      <c r="A292"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92" s="167">
        <f>1-COUNTIF(Calculators[CalculatorCode],CalculatorFC[[#This Row],[CalculatorCode]])</f>
        <v>0</v>
      </c>
      <c r="C292" s="167">
        <f>SUM(CalculatorFC[[#This Row],[FinCodeIssue]:[CalcCodeIssue]])</f>
        <v>0</v>
      </c>
      <c r="D292" t="s">
        <v>1211</v>
      </c>
      <c r="E292" t="s">
        <v>945</v>
      </c>
      <c r="F292" t="s">
        <v>1169</v>
      </c>
    </row>
    <row r="293" spans="1:6" x14ac:dyDescent="0.3">
      <c r="A293"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93" s="167">
        <f>1-COUNTIF(Calculators[CalculatorCode],CalculatorFC[[#This Row],[CalculatorCode]])</f>
        <v>0</v>
      </c>
      <c r="C293" s="167">
        <f>SUM(CalculatorFC[[#This Row],[FinCodeIssue]:[CalcCodeIssue]])</f>
        <v>0</v>
      </c>
      <c r="D293" t="s">
        <v>1211</v>
      </c>
      <c r="E293" t="s">
        <v>947</v>
      </c>
      <c r="F293" t="s">
        <v>1158</v>
      </c>
    </row>
    <row r="294" spans="1:6" x14ac:dyDescent="0.3">
      <c r="A294"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94" s="167">
        <f>1-COUNTIF(Calculators[CalculatorCode],CalculatorFC[[#This Row],[CalculatorCode]])</f>
        <v>0</v>
      </c>
      <c r="C294" s="167">
        <f>SUM(CalculatorFC[[#This Row],[FinCodeIssue]:[CalcCodeIssue]])</f>
        <v>0</v>
      </c>
      <c r="D294" t="s">
        <v>1211</v>
      </c>
      <c r="E294" t="s">
        <v>947</v>
      </c>
      <c r="F294" t="s">
        <v>1169</v>
      </c>
    </row>
    <row r="295" spans="1:6" x14ac:dyDescent="0.3">
      <c r="A295"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95" s="167">
        <f>1-COUNTIF(Calculators[CalculatorCode],CalculatorFC[[#This Row],[CalculatorCode]])</f>
        <v>0</v>
      </c>
      <c r="C295" s="167">
        <f>SUM(CalculatorFC[[#This Row],[FinCodeIssue]:[CalcCodeIssue]])</f>
        <v>0</v>
      </c>
      <c r="D295" t="s">
        <v>1223</v>
      </c>
      <c r="E295" t="s">
        <v>925</v>
      </c>
      <c r="F295" t="s">
        <v>1158</v>
      </c>
    </row>
    <row r="296" spans="1:6" x14ac:dyDescent="0.3">
      <c r="A296"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96" s="167">
        <f>1-COUNTIF(Calculators[CalculatorCode],CalculatorFC[[#This Row],[CalculatorCode]])</f>
        <v>0</v>
      </c>
      <c r="C296" s="167">
        <f>SUM(CalculatorFC[[#This Row],[FinCodeIssue]:[CalcCodeIssue]])</f>
        <v>0</v>
      </c>
      <c r="D296" t="s">
        <v>1223</v>
      </c>
      <c r="E296" t="s">
        <v>925</v>
      </c>
      <c r="F296" t="s">
        <v>1169</v>
      </c>
    </row>
    <row r="297" spans="1:6" x14ac:dyDescent="0.3">
      <c r="A297"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97" s="167">
        <f>1-COUNTIF(Calculators[CalculatorCode],CalculatorFC[[#This Row],[CalculatorCode]])</f>
        <v>0</v>
      </c>
      <c r="C297" s="167">
        <f>SUM(CalculatorFC[[#This Row],[FinCodeIssue]:[CalcCodeIssue]])</f>
        <v>0</v>
      </c>
      <c r="D297" t="s">
        <v>1213</v>
      </c>
      <c r="E297" t="s">
        <v>949</v>
      </c>
      <c r="F297" t="s">
        <v>1169</v>
      </c>
    </row>
    <row r="298" spans="1:6" x14ac:dyDescent="0.3">
      <c r="A298"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98" s="167">
        <f>1-COUNTIF(Calculators[CalculatorCode],CalculatorFC[[#This Row],[CalculatorCode]])</f>
        <v>0</v>
      </c>
      <c r="C298" s="167">
        <f>SUM(CalculatorFC[[#This Row],[FinCodeIssue]:[CalcCodeIssue]])</f>
        <v>0</v>
      </c>
      <c r="D298" t="s">
        <v>1213</v>
      </c>
      <c r="E298" t="s">
        <v>949</v>
      </c>
      <c r="F298" t="s">
        <v>1158</v>
      </c>
    </row>
    <row r="299" spans="1:6" x14ac:dyDescent="0.3">
      <c r="A299"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299" s="167">
        <f>1-COUNTIF(Calculators[CalculatorCode],CalculatorFC[[#This Row],[CalculatorCode]])</f>
        <v>0</v>
      </c>
      <c r="C299" s="167">
        <f>SUM(CalculatorFC[[#This Row],[FinCodeIssue]:[CalcCodeIssue]])</f>
        <v>0</v>
      </c>
      <c r="D299" t="s">
        <v>1213</v>
      </c>
      <c r="E299" t="s">
        <v>951</v>
      </c>
      <c r="F299" t="s">
        <v>1158</v>
      </c>
    </row>
    <row r="300" spans="1:6" x14ac:dyDescent="0.3">
      <c r="A300"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300" s="167">
        <f>1-COUNTIF(Calculators[CalculatorCode],CalculatorFC[[#This Row],[CalculatorCode]])</f>
        <v>0</v>
      </c>
      <c r="C300" s="167">
        <f>SUM(CalculatorFC[[#This Row],[FinCodeIssue]:[CalcCodeIssue]])</f>
        <v>0</v>
      </c>
      <c r="D300" t="s">
        <v>1213</v>
      </c>
      <c r="E300" t="s">
        <v>951</v>
      </c>
      <c r="F300" t="s">
        <v>1169</v>
      </c>
    </row>
    <row r="301" spans="1:6" x14ac:dyDescent="0.3">
      <c r="A301"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301" s="167">
        <f>1-COUNTIF(Calculators[CalculatorCode],CalculatorFC[[#This Row],[CalculatorCode]])</f>
        <v>0</v>
      </c>
      <c r="C301" s="167">
        <f>SUM(CalculatorFC[[#This Row],[FinCodeIssue]:[CalcCodeIssue]])</f>
        <v>0</v>
      </c>
      <c r="D301" t="s">
        <v>1213</v>
      </c>
      <c r="E301" t="s">
        <v>953</v>
      </c>
      <c r="F301" t="s">
        <v>1169</v>
      </c>
    </row>
    <row r="302" spans="1:6" x14ac:dyDescent="0.3">
      <c r="A302"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302" s="167">
        <f>1-COUNTIF(Calculators[CalculatorCode],CalculatorFC[[#This Row],[CalculatorCode]])</f>
        <v>0</v>
      </c>
      <c r="C302" s="167">
        <f>SUM(CalculatorFC[[#This Row],[FinCodeIssue]:[CalcCodeIssue]])</f>
        <v>0</v>
      </c>
      <c r="D302" t="s">
        <v>1213</v>
      </c>
      <c r="E302" t="s">
        <v>953</v>
      </c>
      <c r="F302" t="s">
        <v>1158</v>
      </c>
    </row>
    <row r="303" spans="1:6" x14ac:dyDescent="0.3">
      <c r="A303"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303" s="167">
        <f>1-COUNTIF(Calculators[CalculatorCode],CalculatorFC[[#This Row],[CalculatorCode]])</f>
        <v>0</v>
      </c>
      <c r="C303" s="167">
        <f>SUM(CalculatorFC[[#This Row],[FinCodeIssue]:[CalcCodeIssue]])</f>
        <v>0</v>
      </c>
      <c r="D303" t="s">
        <v>1213</v>
      </c>
      <c r="E303" t="s">
        <v>955</v>
      </c>
      <c r="F303" t="s">
        <v>1169</v>
      </c>
    </row>
    <row r="304" spans="1:6" x14ac:dyDescent="0.3">
      <c r="A304"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304" s="167">
        <f>1-COUNTIF(Calculators[CalculatorCode],CalculatorFC[[#This Row],[CalculatorCode]])</f>
        <v>0</v>
      </c>
      <c r="C304" s="167">
        <f>SUM(CalculatorFC[[#This Row],[FinCodeIssue]:[CalcCodeIssue]])</f>
        <v>0</v>
      </c>
      <c r="D304" t="s">
        <v>1213</v>
      </c>
      <c r="E304" t="s">
        <v>955</v>
      </c>
      <c r="F304" t="s">
        <v>1158</v>
      </c>
    </row>
    <row r="305" spans="1:6" x14ac:dyDescent="0.3">
      <c r="A305"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05" s="167">
        <f>1-COUNTIF(Calculators[CalculatorCode],CalculatorFC[[#This Row],[CalculatorCode]])</f>
        <v>1</v>
      </c>
      <c r="C305" s="167">
        <f>SUM(CalculatorFC[[#This Row],[FinCodeIssue]:[CalcCodeIssue]])</f>
        <v>2</v>
      </c>
      <c r="D305" t="s">
        <v>1225</v>
      </c>
      <c r="E305" t="s">
        <v>927</v>
      </c>
      <c r="F305" t="s">
        <v>1169</v>
      </c>
    </row>
    <row r="306" spans="1:6" x14ac:dyDescent="0.3">
      <c r="A306"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06" s="167">
        <f>1-COUNTIF(Calculators[CalculatorCode],CalculatorFC[[#This Row],[CalculatorCode]])</f>
        <v>1</v>
      </c>
      <c r="C306" s="167">
        <f>SUM(CalculatorFC[[#This Row],[FinCodeIssue]:[CalcCodeIssue]])</f>
        <v>2</v>
      </c>
      <c r="D306" t="s">
        <v>1225</v>
      </c>
      <c r="E306" t="s">
        <v>927</v>
      </c>
      <c r="F306" t="s">
        <v>1158</v>
      </c>
    </row>
    <row r="307" spans="1:6" x14ac:dyDescent="0.3">
      <c r="A307"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07" s="167">
        <f>1-COUNTIF(Calculators[CalculatorCode],CalculatorFC[[#This Row],[CalculatorCode]])</f>
        <v>1</v>
      </c>
      <c r="C307" s="167">
        <f>SUM(CalculatorFC[[#This Row],[FinCodeIssue]:[CalcCodeIssue]])</f>
        <v>2</v>
      </c>
      <c r="D307" t="s">
        <v>1215</v>
      </c>
      <c r="E307" t="s">
        <v>957</v>
      </c>
      <c r="F307" t="s">
        <v>1169</v>
      </c>
    </row>
    <row r="308" spans="1:6" x14ac:dyDescent="0.3">
      <c r="A308"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08" s="167">
        <f>1-COUNTIF(Calculators[CalculatorCode],CalculatorFC[[#This Row],[CalculatorCode]])</f>
        <v>1</v>
      </c>
      <c r="C308" s="167">
        <f>SUM(CalculatorFC[[#This Row],[FinCodeIssue]:[CalcCodeIssue]])</f>
        <v>2</v>
      </c>
      <c r="D308" t="s">
        <v>1215</v>
      </c>
      <c r="E308" t="s">
        <v>957</v>
      </c>
      <c r="F308" t="s">
        <v>1158</v>
      </c>
    </row>
    <row r="309" spans="1:6" x14ac:dyDescent="0.3">
      <c r="A309"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09" s="167">
        <f>1-COUNTIF(Calculators[CalculatorCode],CalculatorFC[[#This Row],[CalculatorCode]])</f>
        <v>1</v>
      </c>
      <c r="C309" s="167">
        <f>SUM(CalculatorFC[[#This Row],[FinCodeIssue]:[CalcCodeIssue]])</f>
        <v>2</v>
      </c>
      <c r="D309" t="s">
        <v>1215</v>
      </c>
      <c r="E309" t="s">
        <v>959</v>
      </c>
      <c r="F309" t="s">
        <v>1169</v>
      </c>
    </row>
    <row r="310" spans="1:6" x14ac:dyDescent="0.3">
      <c r="A310"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10" s="167">
        <f>1-COUNTIF(Calculators[CalculatorCode],CalculatorFC[[#This Row],[CalculatorCode]])</f>
        <v>1</v>
      </c>
      <c r="C310" s="167">
        <f>SUM(CalculatorFC[[#This Row],[FinCodeIssue]:[CalcCodeIssue]])</f>
        <v>2</v>
      </c>
      <c r="D310" t="s">
        <v>1215</v>
      </c>
      <c r="E310" t="s">
        <v>959</v>
      </c>
      <c r="F310" t="s">
        <v>1158</v>
      </c>
    </row>
    <row r="311" spans="1:6" x14ac:dyDescent="0.3">
      <c r="A311"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11" s="167">
        <f>1-COUNTIF(Calculators[CalculatorCode],CalculatorFC[[#This Row],[CalculatorCode]])</f>
        <v>1</v>
      </c>
      <c r="C311" s="167">
        <f>SUM(CalculatorFC[[#This Row],[FinCodeIssue]:[CalcCodeIssue]])</f>
        <v>2</v>
      </c>
      <c r="D311" t="s">
        <v>1215</v>
      </c>
      <c r="E311" t="s">
        <v>961</v>
      </c>
      <c r="F311" t="s">
        <v>1158</v>
      </c>
    </row>
    <row r="312" spans="1:6" x14ac:dyDescent="0.3">
      <c r="A312"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12" s="167">
        <f>1-COUNTIF(Calculators[CalculatorCode],CalculatorFC[[#This Row],[CalculatorCode]])</f>
        <v>1</v>
      </c>
      <c r="C312" s="167">
        <f>SUM(CalculatorFC[[#This Row],[FinCodeIssue]:[CalcCodeIssue]])</f>
        <v>2</v>
      </c>
      <c r="D312" t="s">
        <v>1215</v>
      </c>
      <c r="E312" t="s">
        <v>961</v>
      </c>
      <c r="F312" t="s">
        <v>1169</v>
      </c>
    </row>
    <row r="313" spans="1:6" x14ac:dyDescent="0.3">
      <c r="A313"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13" s="167">
        <f>1-COUNTIF(Calculators[CalculatorCode],CalculatorFC[[#This Row],[CalculatorCode]])</f>
        <v>1</v>
      </c>
      <c r="C313" s="167">
        <f>SUM(CalculatorFC[[#This Row],[FinCodeIssue]:[CalcCodeIssue]])</f>
        <v>2</v>
      </c>
      <c r="D313" t="s">
        <v>1227</v>
      </c>
      <c r="E313" t="s">
        <v>929</v>
      </c>
      <c r="F313" t="s">
        <v>1158</v>
      </c>
    </row>
    <row r="314" spans="1:6" x14ac:dyDescent="0.3">
      <c r="A314"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14" s="167">
        <f>1-COUNTIF(Calculators[CalculatorCode],CalculatorFC[[#This Row],[CalculatorCode]])</f>
        <v>1</v>
      </c>
      <c r="C314" s="167">
        <f>SUM(CalculatorFC[[#This Row],[FinCodeIssue]:[CalcCodeIssue]])</f>
        <v>2</v>
      </c>
      <c r="D314" t="s">
        <v>1227</v>
      </c>
      <c r="E314" t="s">
        <v>929</v>
      </c>
      <c r="F314" t="s">
        <v>1169</v>
      </c>
    </row>
    <row r="315" spans="1:6" x14ac:dyDescent="0.3">
      <c r="A315"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15" s="167">
        <f>1-COUNTIF(Calculators[CalculatorCode],CalculatorFC[[#This Row],[CalculatorCode]])</f>
        <v>1</v>
      </c>
      <c r="C315" s="167">
        <f>SUM(CalculatorFC[[#This Row],[FinCodeIssue]:[CalcCodeIssue]])</f>
        <v>2</v>
      </c>
      <c r="D315" t="s">
        <v>1217</v>
      </c>
      <c r="E315" t="s">
        <v>963</v>
      </c>
      <c r="F315" t="s">
        <v>1158</v>
      </c>
    </row>
    <row r="316" spans="1:6" x14ac:dyDescent="0.3">
      <c r="A316"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16" s="167">
        <f>1-COUNTIF(Calculators[CalculatorCode],CalculatorFC[[#This Row],[CalculatorCode]])</f>
        <v>1</v>
      </c>
      <c r="C316" s="167">
        <f>SUM(CalculatorFC[[#This Row],[FinCodeIssue]:[CalcCodeIssue]])</f>
        <v>2</v>
      </c>
      <c r="D316" t="s">
        <v>1217</v>
      </c>
      <c r="E316" t="s">
        <v>963</v>
      </c>
      <c r="F316" t="s">
        <v>1169</v>
      </c>
    </row>
    <row r="317" spans="1:6" x14ac:dyDescent="0.3">
      <c r="A317"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17" s="167">
        <f>1-COUNTIF(Calculators[CalculatorCode],CalculatorFC[[#This Row],[CalculatorCode]])</f>
        <v>1</v>
      </c>
      <c r="C317" s="167">
        <f>SUM(CalculatorFC[[#This Row],[FinCodeIssue]:[CalcCodeIssue]])</f>
        <v>2</v>
      </c>
      <c r="D317" t="s">
        <v>1217</v>
      </c>
      <c r="E317" t="s">
        <v>965</v>
      </c>
      <c r="F317" t="s">
        <v>1169</v>
      </c>
    </row>
    <row r="318" spans="1:6" x14ac:dyDescent="0.3">
      <c r="A318"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18" s="167">
        <f>1-COUNTIF(Calculators[CalculatorCode],CalculatorFC[[#This Row],[CalculatorCode]])</f>
        <v>1</v>
      </c>
      <c r="C318" s="167">
        <f>SUM(CalculatorFC[[#This Row],[FinCodeIssue]:[CalcCodeIssue]])</f>
        <v>2</v>
      </c>
      <c r="D318" t="s">
        <v>1217</v>
      </c>
      <c r="E318" t="s">
        <v>965</v>
      </c>
      <c r="F318" t="s">
        <v>1158</v>
      </c>
    </row>
    <row r="319" spans="1:6" x14ac:dyDescent="0.3">
      <c r="A319"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19" s="167">
        <f>1-COUNTIF(Calculators[CalculatorCode],CalculatorFC[[#This Row],[CalculatorCode]])</f>
        <v>1</v>
      </c>
      <c r="C319" s="167">
        <f>SUM(CalculatorFC[[#This Row],[FinCodeIssue]:[CalcCodeIssue]])</f>
        <v>2</v>
      </c>
      <c r="D319" t="s">
        <v>1229</v>
      </c>
      <c r="E319" t="s">
        <v>931</v>
      </c>
      <c r="F319" t="s">
        <v>1169</v>
      </c>
    </row>
    <row r="320" spans="1:6" x14ac:dyDescent="0.3">
      <c r="A320"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20" s="167">
        <f>1-COUNTIF(Calculators[CalculatorCode],CalculatorFC[[#This Row],[CalculatorCode]])</f>
        <v>1</v>
      </c>
      <c r="C320" s="167">
        <f>SUM(CalculatorFC[[#This Row],[FinCodeIssue]:[CalcCodeIssue]])</f>
        <v>2</v>
      </c>
      <c r="D320" t="s">
        <v>1229</v>
      </c>
      <c r="E320" t="s">
        <v>931</v>
      </c>
      <c r="F320" t="s">
        <v>1158</v>
      </c>
    </row>
    <row r="321" spans="1:6" x14ac:dyDescent="0.3">
      <c r="A321"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21" s="167">
        <f>1-COUNTIF(Calculators[CalculatorCode],CalculatorFC[[#This Row],[CalculatorCode]])</f>
        <v>1</v>
      </c>
      <c r="C321" s="167">
        <f>SUM(CalculatorFC[[#This Row],[FinCodeIssue]:[CalcCodeIssue]])</f>
        <v>2</v>
      </c>
      <c r="D321" t="s">
        <v>1219</v>
      </c>
      <c r="E321" t="s">
        <v>967</v>
      </c>
      <c r="F321" t="s">
        <v>1158</v>
      </c>
    </row>
    <row r="322" spans="1:6" x14ac:dyDescent="0.3">
      <c r="A322"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22" s="167">
        <f>1-COUNTIF(Calculators[CalculatorCode],CalculatorFC[[#This Row],[CalculatorCode]])</f>
        <v>1</v>
      </c>
      <c r="C322" s="167">
        <f>SUM(CalculatorFC[[#This Row],[FinCodeIssue]:[CalcCodeIssue]])</f>
        <v>2</v>
      </c>
      <c r="D322" t="s">
        <v>1219</v>
      </c>
      <c r="E322" t="s">
        <v>967</v>
      </c>
      <c r="F322" t="s">
        <v>1169</v>
      </c>
    </row>
    <row r="323" spans="1:6" x14ac:dyDescent="0.3">
      <c r="A323"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23" s="167">
        <f>1-COUNTIF(Calculators[CalculatorCode],CalculatorFC[[#This Row],[CalculatorCode]])</f>
        <v>1</v>
      </c>
      <c r="C323" s="167">
        <f>SUM(CalculatorFC[[#This Row],[FinCodeIssue]:[CalcCodeIssue]])</f>
        <v>2</v>
      </c>
      <c r="D323" t="s">
        <v>1219</v>
      </c>
      <c r="E323" t="s">
        <v>969</v>
      </c>
      <c r="F323" t="s">
        <v>1158</v>
      </c>
    </row>
    <row r="324" spans="1:6" x14ac:dyDescent="0.3">
      <c r="A324"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24" s="167">
        <f>1-COUNTIF(Calculators[CalculatorCode],CalculatorFC[[#This Row],[CalculatorCode]])</f>
        <v>1</v>
      </c>
      <c r="C324" s="167">
        <f>SUM(CalculatorFC[[#This Row],[FinCodeIssue]:[CalcCodeIssue]])</f>
        <v>2</v>
      </c>
      <c r="D324" t="s">
        <v>1219</v>
      </c>
      <c r="E324" t="s">
        <v>969</v>
      </c>
      <c r="F324" t="s">
        <v>1169</v>
      </c>
    </row>
    <row r="325" spans="1:6" x14ac:dyDescent="0.3">
      <c r="A325"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25" s="167">
        <f>1-COUNTIF(Calculators[CalculatorCode],CalculatorFC[[#This Row],[CalculatorCode]])</f>
        <v>1</v>
      </c>
      <c r="C325" s="167">
        <f>SUM(CalculatorFC[[#This Row],[FinCodeIssue]:[CalcCodeIssue]])</f>
        <v>2</v>
      </c>
      <c r="D325" t="s">
        <v>1219</v>
      </c>
      <c r="E325" t="s">
        <v>1501</v>
      </c>
      <c r="F325" t="s">
        <v>1158</v>
      </c>
    </row>
    <row r="326" spans="1:6" x14ac:dyDescent="0.3">
      <c r="A326"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26" s="167">
        <f>1-COUNTIF(Calculators[CalculatorCode],CalculatorFC[[#This Row],[CalculatorCode]])</f>
        <v>1</v>
      </c>
      <c r="C326" s="167">
        <f>SUM(CalculatorFC[[#This Row],[FinCodeIssue]:[CalcCodeIssue]])</f>
        <v>2</v>
      </c>
      <c r="D326" t="s">
        <v>1219</v>
      </c>
      <c r="E326" t="s">
        <v>1501</v>
      </c>
      <c r="F326" t="s">
        <v>1169</v>
      </c>
    </row>
    <row r="327" spans="1:6" x14ac:dyDescent="0.3">
      <c r="A327"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27" s="167">
        <f>1-COUNTIF(Calculators[CalculatorCode],CalculatorFC[[#This Row],[CalculatorCode]])</f>
        <v>1</v>
      </c>
      <c r="C327" s="167">
        <f>SUM(CalculatorFC[[#This Row],[FinCodeIssue]:[CalcCodeIssue]])</f>
        <v>2</v>
      </c>
      <c r="D327" t="s">
        <v>1034</v>
      </c>
      <c r="E327" t="s">
        <v>1034</v>
      </c>
      <c r="F327" t="s">
        <v>1169</v>
      </c>
    </row>
    <row r="328" spans="1:6" x14ac:dyDescent="0.3">
      <c r="A328"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328" s="167">
        <f>1-COUNTIF(Calculators[CalculatorCode],CalculatorFC[[#This Row],[CalculatorCode]])</f>
        <v>1</v>
      </c>
      <c r="C328" s="167">
        <f>SUM(CalculatorFC[[#This Row],[FinCodeIssue]:[CalcCodeIssue]])</f>
        <v>1</v>
      </c>
      <c r="D328" t="s">
        <v>1312</v>
      </c>
      <c r="E328" t="s">
        <v>1040</v>
      </c>
      <c r="F328" t="s">
        <v>1169</v>
      </c>
    </row>
    <row r="329" spans="1:6" x14ac:dyDescent="0.3">
      <c r="A329"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329" s="167">
        <f>1-COUNTIF(Calculators[CalculatorCode],CalculatorFC[[#This Row],[CalculatorCode]])</f>
        <v>0</v>
      </c>
      <c r="C329" s="167">
        <f>SUM(CalculatorFC[[#This Row],[FinCodeIssue]:[CalcCodeIssue]])</f>
        <v>0</v>
      </c>
      <c r="D329" t="s">
        <v>1240</v>
      </c>
      <c r="E329" t="s">
        <v>920</v>
      </c>
      <c r="F329" t="s">
        <v>1158</v>
      </c>
    </row>
    <row r="330" spans="1:6" x14ac:dyDescent="0.3">
      <c r="A330"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330" s="167">
        <f>1-COUNTIF(Calculators[CalculatorCode],CalculatorFC[[#This Row],[CalculatorCode]])</f>
        <v>0</v>
      </c>
      <c r="C330" s="167">
        <f>SUM(CalculatorFC[[#This Row],[FinCodeIssue]:[CalcCodeIssue]])</f>
        <v>0</v>
      </c>
      <c r="D330" t="s">
        <v>1240</v>
      </c>
      <c r="E330" t="s">
        <v>920</v>
      </c>
      <c r="F330" t="s">
        <v>1169</v>
      </c>
    </row>
    <row r="331" spans="1:6" x14ac:dyDescent="0.3">
      <c r="A331"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331" s="167">
        <f>1-COUNTIF(Calculators[CalculatorCode],CalculatorFC[[#This Row],[CalculatorCode]])</f>
        <v>0</v>
      </c>
      <c r="C331" s="167">
        <f>SUM(CalculatorFC[[#This Row],[FinCodeIssue]:[CalcCodeIssue]])</f>
        <v>0</v>
      </c>
      <c r="D331" t="s">
        <v>1240</v>
      </c>
      <c r="E331" t="s">
        <v>923</v>
      </c>
      <c r="F331" t="s">
        <v>1158</v>
      </c>
    </row>
    <row r="332" spans="1:6" x14ac:dyDescent="0.3">
      <c r="A332"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332" s="167">
        <f>1-COUNTIF(Calculators[CalculatorCode],CalculatorFC[[#This Row],[CalculatorCode]])</f>
        <v>0</v>
      </c>
      <c r="C332" s="167">
        <f>SUM(CalculatorFC[[#This Row],[FinCodeIssue]:[CalcCodeIssue]])</f>
        <v>0</v>
      </c>
      <c r="D332" t="s">
        <v>1240</v>
      </c>
      <c r="E332" t="s">
        <v>923</v>
      </c>
      <c r="F332" t="s">
        <v>1169</v>
      </c>
    </row>
    <row r="333" spans="1:6" x14ac:dyDescent="0.3">
      <c r="A333"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333" s="167">
        <f>1-COUNTIF(Calculators[CalculatorCode],CalculatorFC[[#This Row],[CalculatorCode]])</f>
        <v>0</v>
      </c>
      <c r="C333" s="167">
        <f>SUM(CalculatorFC[[#This Row],[FinCodeIssue]:[CalcCodeIssue]])</f>
        <v>0</v>
      </c>
      <c r="D333" t="s">
        <v>1240</v>
      </c>
      <c r="E333" t="s">
        <v>925</v>
      </c>
      <c r="F333" t="s">
        <v>1158</v>
      </c>
    </row>
    <row r="334" spans="1:6" x14ac:dyDescent="0.3">
      <c r="A334"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334" s="167">
        <f>1-COUNTIF(Calculators[CalculatorCode],CalculatorFC[[#This Row],[CalculatorCode]])</f>
        <v>0</v>
      </c>
      <c r="C334" s="167">
        <f>SUM(CalculatorFC[[#This Row],[FinCodeIssue]:[CalcCodeIssue]])</f>
        <v>0</v>
      </c>
      <c r="D334" t="s">
        <v>1240</v>
      </c>
      <c r="E334" t="s">
        <v>925</v>
      </c>
      <c r="F334" t="s">
        <v>1169</v>
      </c>
    </row>
    <row r="335" spans="1:6" x14ac:dyDescent="0.3">
      <c r="A335"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35" s="167">
        <f>1-COUNTIF(Calculators[CalculatorCode],CalculatorFC[[#This Row],[CalculatorCode]])</f>
        <v>0</v>
      </c>
      <c r="C335" s="167">
        <f>SUM(CalculatorFC[[#This Row],[FinCodeIssue]:[CalcCodeIssue]])</f>
        <v>1</v>
      </c>
      <c r="D335" t="s">
        <v>1240</v>
      </c>
      <c r="E335" t="s">
        <v>927</v>
      </c>
      <c r="F335" t="s">
        <v>1169</v>
      </c>
    </row>
    <row r="336" spans="1:6" x14ac:dyDescent="0.3">
      <c r="A336"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36" s="167">
        <f>1-COUNTIF(Calculators[CalculatorCode],CalculatorFC[[#This Row],[CalculatorCode]])</f>
        <v>0</v>
      </c>
      <c r="C336" s="167">
        <f>SUM(CalculatorFC[[#This Row],[FinCodeIssue]:[CalcCodeIssue]])</f>
        <v>1</v>
      </c>
      <c r="D336" t="s">
        <v>1240</v>
      </c>
      <c r="E336" t="s">
        <v>927</v>
      </c>
      <c r="F336" t="s">
        <v>1158</v>
      </c>
    </row>
    <row r="337" spans="1:6" x14ac:dyDescent="0.3">
      <c r="A337"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37" s="167">
        <f>1-COUNTIF(Calculators[CalculatorCode],CalculatorFC[[#This Row],[CalculatorCode]])</f>
        <v>0</v>
      </c>
      <c r="C337" s="167">
        <f>SUM(CalculatorFC[[#This Row],[FinCodeIssue]:[CalcCodeIssue]])</f>
        <v>1</v>
      </c>
      <c r="D337" t="s">
        <v>1240</v>
      </c>
      <c r="E337" t="s">
        <v>1504</v>
      </c>
      <c r="F337" t="s">
        <v>1158</v>
      </c>
    </row>
    <row r="338" spans="1:6" x14ac:dyDescent="0.3">
      <c r="A338"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38" s="167">
        <f>1-COUNTIF(Calculators[CalculatorCode],CalculatorFC[[#This Row],[CalculatorCode]])</f>
        <v>0</v>
      </c>
      <c r="C338" s="167">
        <f>SUM(CalculatorFC[[#This Row],[FinCodeIssue]:[CalcCodeIssue]])</f>
        <v>1</v>
      </c>
      <c r="D338" t="s">
        <v>1240</v>
      </c>
      <c r="E338" t="s">
        <v>1504</v>
      </c>
      <c r="F338" t="s">
        <v>1169</v>
      </c>
    </row>
    <row r="339" spans="1:6" x14ac:dyDescent="0.3">
      <c r="A339"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39" s="167">
        <f>1-COUNTIF(Calculators[CalculatorCode],CalculatorFC[[#This Row],[CalculatorCode]])</f>
        <v>0</v>
      </c>
      <c r="C339" s="167">
        <f>SUM(CalculatorFC[[#This Row],[FinCodeIssue]:[CalcCodeIssue]])</f>
        <v>1</v>
      </c>
      <c r="D339" t="s">
        <v>1240</v>
      </c>
      <c r="E339" t="s">
        <v>929</v>
      </c>
      <c r="F339" t="s">
        <v>1169</v>
      </c>
    </row>
    <row r="340" spans="1:6" x14ac:dyDescent="0.3">
      <c r="A340"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40" s="167">
        <f>1-COUNTIF(Calculators[CalculatorCode],CalculatorFC[[#This Row],[CalculatorCode]])</f>
        <v>0</v>
      </c>
      <c r="C340" s="167">
        <f>SUM(CalculatorFC[[#This Row],[FinCodeIssue]:[CalcCodeIssue]])</f>
        <v>1</v>
      </c>
      <c r="D340" t="s">
        <v>1240</v>
      </c>
      <c r="E340" t="s">
        <v>929</v>
      </c>
      <c r="F340" t="s">
        <v>1158</v>
      </c>
    </row>
    <row r="341" spans="1:6" x14ac:dyDescent="0.3">
      <c r="A341"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41" s="167">
        <f>1-COUNTIF(Calculators[CalculatorCode],CalculatorFC[[#This Row],[CalculatorCode]])</f>
        <v>0</v>
      </c>
      <c r="C341" s="167">
        <f>SUM(CalculatorFC[[#This Row],[FinCodeIssue]:[CalcCodeIssue]])</f>
        <v>1</v>
      </c>
      <c r="D341" t="s">
        <v>1240</v>
      </c>
      <c r="E341" t="s">
        <v>1505</v>
      </c>
      <c r="F341" t="s">
        <v>1169</v>
      </c>
    </row>
    <row r="342" spans="1:6" x14ac:dyDescent="0.3">
      <c r="A342"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42" s="167">
        <f>1-COUNTIF(Calculators[CalculatorCode],CalculatorFC[[#This Row],[CalculatorCode]])</f>
        <v>0</v>
      </c>
      <c r="C342" s="167">
        <f>SUM(CalculatorFC[[#This Row],[FinCodeIssue]:[CalcCodeIssue]])</f>
        <v>1</v>
      </c>
      <c r="D342" t="s">
        <v>1240</v>
      </c>
      <c r="E342" t="s">
        <v>1505</v>
      </c>
      <c r="F342" t="s">
        <v>1158</v>
      </c>
    </row>
    <row r="343" spans="1:6" x14ac:dyDescent="0.3">
      <c r="A343"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343" s="167">
        <f>1-COUNTIF(Calculators[CalculatorCode],CalculatorFC[[#This Row],[CalculatorCode]])</f>
        <v>0</v>
      </c>
      <c r="C343" s="167">
        <f>SUM(CalculatorFC[[#This Row],[FinCodeIssue]:[CalcCodeIssue]])</f>
        <v>0</v>
      </c>
      <c r="D343" t="s">
        <v>1240</v>
      </c>
      <c r="E343" t="s">
        <v>1503</v>
      </c>
      <c r="F343" t="s">
        <v>1158</v>
      </c>
    </row>
    <row r="344" spans="1:6" x14ac:dyDescent="0.3">
      <c r="A344"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344" s="167">
        <f>1-COUNTIF(Calculators[CalculatorCode],CalculatorFC[[#This Row],[CalculatorCode]])</f>
        <v>0</v>
      </c>
      <c r="C344" s="167">
        <f>SUM(CalculatorFC[[#This Row],[FinCodeIssue]:[CalcCodeIssue]])</f>
        <v>0</v>
      </c>
      <c r="D344" t="s">
        <v>1240</v>
      </c>
      <c r="E344" t="s">
        <v>1503</v>
      </c>
      <c r="F344" t="s">
        <v>1169</v>
      </c>
    </row>
    <row r="345" spans="1:6" x14ac:dyDescent="0.3">
      <c r="A345"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345" s="167">
        <f>1-COUNTIF(Calculators[CalculatorCode],CalculatorFC[[#This Row],[CalculatorCode]])</f>
        <v>0</v>
      </c>
      <c r="C345" s="167">
        <f>SUM(CalculatorFC[[#This Row],[FinCodeIssue]:[CalcCodeIssue]])</f>
        <v>0</v>
      </c>
      <c r="D345" t="s">
        <v>1238</v>
      </c>
      <c r="E345" t="s">
        <v>943</v>
      </c>
      <c r="F345" t="s">
        <v>1169</v>
      </c>
    </row>
    <row r="346" spans="1:6" x14ac:dyDescent="0.3">
      <c r="A346"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346" s="167">
        <f>1-COUNTIF(Calculators[CalculatorCode],CalculatorFC[[#This Row],[CalculatorCode]])</f>
        <v>0</v>
      </c>
      <c r="C346" s="167">
        <f>SUM(CalculatorFC[[#This Row],[FinCodeIssue]:[CalcCodeIssue]])</f>
        <v>0</v>
      </c>
      <c r="D346" t="s">
        <v>1238</v>
      </c>
      <c r="E346" t="s">
        <v>943</v>
      </c>
      <c r="F346" t="s">
        <v>1158</v>
      </c>
    </row>
    <row r="347" spans="1:6" x14ac:dyDescent="0.3">
      <c r="A347"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347" s="167">
        <f>1-COUNTIF(Calculators[CalculatorCode],CalculatorFC[[#This Row],[CalculatorCode]])</f>
        <v>0</v>
      </c>
      <c r="C347" s="167">
        <f>SUM(CalculatorFC[[#This Row],[FinCodeIssue]:[CalcCodeIssue]])</f>
        <v>0</v>
      </c>
      <c r="D347" t="s">
        <v>1238</v>
      </c>
      <c r="E347" t="s">
        <v>945</v>
      </c>
      <c r="F347" t="s">
        <v>1158</v>
      </c>
    </row>
    <row r="348" spans="1:6" x14ac:dyDescent="0.3">
      <c r="A348"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348" s="167">
        <f>1-COUNTIF(Calculators[CalculatorCode],CalculatorFC[[#This Row],[CalculatorCode]])</f>
        <v>0</v>
      </c>
      <c r="C348" s="167">
        <f>SUM(CalculatorFC[[#This Row],[FinCodeIssue]:[CalcCodeIssue]])</f>
        <v>0</v>
      </c>
      <c r="D348" t="s">
        <v>1238</v>
      </c>
      <c r="E348" t="s">
        <v>945</v>
      </c>
      <c r="F348" t="s">
        <v>1169</v>
      </c>
    </row>
    <row r="349" spans="1:6" x14ac:dyDescent="0.3">
      <c r="A349"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349" s="167">
        <f>1-COUNTIF(Calculators[CalculatorCode],CalculatorFC[[#This Row],[CalculatorCode]])</f>
        <v>0</v>
      </c>
      <c r="C349" s="167">
        <f>SUM(CalculatorFC[[#This Row],[FinCodeIssue]:[CalcCodeIssue]])</f>
        <v>0</v>
      </c>
      <c r="D349" t="s">
        <v>1238</v>
      </c>
      <c r="E349" t="s">
        <v>947</v>
      </c>
      <c r="F349" t="s">
        <v>1169</v>
      </c>
    </row>
    <row r="350" spans="1:6" x14ac:dyDescent="0.3">
      <c r="A350"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350" s="167">
        <f>1-COUNTIF(Calculators[CalculatorCode],CalculatorFC[[#This Row],[CalculatorCode]])</f>
        <v>0</v>
      </c>
      <c r="C350" s="167">
        <f>SUM(CalculatorFC[[#This Row],[FinCodeIssue]:[CalcCodeIssue]])</f>
        <v>0</v>
      </c>
      <c r="D350" t="s">
        <v>1238</v>
      </c>
      <c r="E350" t="s">
        <v>947</v>
      </c>
      <c r="F350" t="s">
        <v>1158</v>
      </c>
    </row>
    <row r="351" spans="1:6" x14ac:dyDescent="0.3">
      <c r="A351"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351" s="167">
        <f>1-COUNTIF(Calculators[CalculatorCode],CalculatorFC[[#This Row],[CalculatorCode]])</f>
        <v>0</v>
      </c>
      <c r="C351" s="167">
        <f>SUM(CalculatorFC[[#This Row],[FinCodeIssue]:[CalcCodeIssue]])</f>
        <v>0</v>
      </c>
      <c r="D351" t="s">
        <v>1238</v>
      </c>
      <c r="E351" t="s">
        <v>949</v>
      </c>
      <c r="F351" t="s">
        <v>1158</v>
      </c>
    </row>
    <row r="352" spans="1:6" x14ac:dyDescent="0.3">
      <c r="A352"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352" s="167">
        <f>1-COUNTIF(Calculators[CalculatorCode],CalculatorFC[[#This Row],[CalculatorCode]])</f>
        <v>0</v>
      </c>
      <c r="C352" s="167">
        <f>SUM(CalculatorFC[[#This Row],[FinCodeIssue]:[CalcCodeIssue]])</f>
        <v>0</v>
      </c>
      <c r="D352" t="s">
        <v>1238</v>
      </c>
      <c r="E352" t="s">
        <v>949</v>
      </c>
      <c r="F352" t="s">
        <v>1169</v>
      </c>
    </row>
    <row r="353" spans="1:6" x14ac:dyDescent="0.3">
      <c r="A353"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353" s="167">
        <f>1-COUNTIF(Calculators[CalculatorCode],CalculatorFC[[#This Row],[CalculatorCode]])</f>
        <v>0</v>
      </c>
      <c r="C353" s="167">
        <f>SUM(CalculatorFC[[#This Row],[FinCodeIssue]:[CalcCodeIssue]])</f>
        <v>0</v>
      </c>
      <c r="D353" t="s">
        <v>1238</v>
      </c>
      <c r="E353" t="s">
        <v>951</v>
      </c>
      <c r="F353" t="s">
        <v>1158</v>
      </c>
    </row>
    <row r="354" spans="1:6" x14ac:dyDescent="0.3">
      <c r="A354"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354" s="167">
        <f>1-COUNTIF(Calculators[CalculatorCode],CalculatorFC[[#This Row],[CalculatorCode]])</f>
        <v>0</v>
      </c>
      <c r="C354" s="167">
        <f>SUM(CalculatorFC[[#This Row],[FinCodeIssue]:[CalcCodeIssue]])</f>
        <v>0</v>
      </c>
      <c r="D354" t="s">
        <v>1238</v>
      </c>
      <c r="E354" t="s">
        <v>951</v>
      </c>
      <c r="F354" t="s">
        <v>1169</v>
      </c>
    </row>
    <row r="355" spans="1:6" x14ac:dyDescent="0.3">
      <c r="A355"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355" s="167">
        <f>1-COUNTIF(Calculators[CalculatorCode],CalculatorFC[[#This Row],[CalculatorCode]])</f>
        <v>0</v>
      </c>
      <c r="C355" s="167">
        <f>SUM(CalculatorFC[[#This Row],[FinCodeIssue]:[CalcCodeIssue]])</f>
        <v>0</v>
      </c>
      <c r="D355" t="s">
        <v>1238</v>
      </c>
      <c r="E355" t="s">
        <v>953</v>
      </c>
      <c r="F355" t="s">
        <v>1169</v>
      </c>
    </row>
    <row r="356" spans="1:6" x14ac:dyDescent="0.3">
      <c r="A356"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356" s="167">
        <f>1-COUNTIF(Calculators[CalculatorCode],CalculatorFC[[#This Row],[CalculatorCode]])</f>
        <v>0</v>
      </c>
      <c r="C356" s="167">
        <f>SUM(CalculatorFC[[#This Row],[FinCodeIssue]:[CalcCodeIssue]])</f>
        <v>0</v>
      </c>
      <c r="D356" t="s">
        <v>1238</v>
      </c>
      <c r="E356" t="s">
        <v>953</v>
      </c>
      <c r="F356" t="s">
        <v>1158</v>
      </c>
    </row>
    <row r="357" spans="1:6" x14ac:dyDescent="0.3">
      <c r="A357"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357" s="167">
        <f>1-COUNTIF(Calculators[CalculatorCode],CalculatorFC[[#This Row],[CalculatorCode]])</f>
        <v>0</v>
      </c>
      <c r="C357" s="167">
        <f>SUM(CalculatorFC[[#This Row],[FinCodeIssue]:[CalcCodeIssue]])</f>
        <v>0</v>
      </c>
      <c r="D357" t="s">
        <v>1238</v>
      </c>
      <c r="E357" t="s">
        <v>955</v>
      </c>
      <c r="F357" t="s">
        <v>1169</v>
      </c>
    </row>
    <row r="358" spans="1:6" x14ac:dyDescent="0.3">
      <c r="A358"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358" s="167">
        <f>1-COUNTIF(Calculators[CalculatorCode],CalculatorFC[[#This Row],[CalculatorCode]])</f>
        <v>0</v>
      </c>
      <c r="C358" s="167">
        <f>SUM(CalculatorFC[[#This Row],[FinCodeIssue]:[CalcCodeIssue]])</f>
        <v>0</v>
      </c>
      <c r="D358" t="s">
        <v>1238</v>
      </c>
      <c r="E358" t="s">
        <v>955</v>
      </c>
      <c r="F358" t="s">
        <v>1158</v>
      </c>
    </row>
    <row r="359" spans="1:6" x14ac:dyDescent="0.3">
      <c r="A359"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59" s="167">
        <f>1-COUNTIF(Calculators[CalculatorCode],CalculatorFC[[#This Row],[CalculatorCode]])</f>
        <v>0</v>
      </c>
      <c r="C359" s="167">
        <f>SUM(CalculatorFC[[#This Row],[FinCodeIssue]:[CalcCodeIssue]])</f>
        <v>1</v>
      </c>
      <c r="D359" t="s">
        <v>1238</v>
      </c>
      <c r="E359" t="s">
        <v>957</v>
      </c>
      <c r="F359" t="s">
        <v>1169</v>
      </c>
    </row>
    <row r="360" spans="1:6" x14ac:dyDescent="0.3">
      <c r="A360"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60" s="167">
        <f>1-COUNTIF(Calculators[CalculatorCode],CalculatorFC[[#This Row],[CalculatorCode]])</f>
        <v>0</v>
      </c>
      <c r="C360" s="167">
        <f>SUM(CalculatorFC[[#This Row],[FinCodeIssue]:[CalcCodeIssue]])</f>
        <v>1</v>
      </c>
      <c r="D360" t="s">
        <v>1238</v>
      </c>
      <c r="E360" t="s">
        <v>957</v>
      </c>
      <c r="F360" t="s">
        <v>1158</v>
      </c>
    </row>
    <row r="361" spans="1:6" x14ac:dyDescent="0.3">
      <c r="A361"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61" s="167">
        <f>1-COUNTIF(Calculators[CalculatorCode],CalculatorFC[[#This Row],[CalculatorCode]])</f>
        <v>0</v>
      </c>
      <c r="C361" s="167">
        <f>SUM(CalculatorFC[[#This Row],[FinCodeIssue]:[CalcCodeIssue]])</f>
        <v>1</v>
      </c>
      <c r="D361" t="s">
        <v>1238</v>
      </c>
      <c r="E361" t="s">
        <v>959</v>
      </c>
      <c r="F361" t="s">
        <v>1169</v>
      </c>
    </row>
    <row r="362" spans="1:6" x14ac:dyDescent="0.3">
      <c r="A362"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62" s="167">
        <f>1-COUNTIF(Calculators[CalculatorCode],CalculatorFC[[#This Row],[CalculatorCode]])</f>
        <v>0</v>
      </c>
      <c r="C362" s="167">
        <f>SUM(CalculatorFC[[#This Row],[FinCodeIssue]:[CalcCodeIssue]])</f>
        <v>1</v>
      </c>
      <c r="D362" t="s">
        <v>1238</v>
      </c>
      <c r="E362" t="s">
        <v>959</v>
      </c>
      <c r="F362" t="s">
        <v>1158</v>
      </c>
    </row>
    <row r="363" spans="1:6" x14ac:dyDescent="0.3">
      <c r="A363"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63" s="167">
        <f>1-COUNTIF(Calculators[CalculatorCode],CalculatorFC[[#This Row],[CalculatorCode]])</f>
        <v>0</v>
      </c>
      <c r="C363" s="167">
        <f>SUM(CalculatorFC[[#This Row],[FinCodeIssue]:[CalcCodeIssue]])</f>
        <v>1</v>
      </c>
      <c r="D363" t="s">
        <v>1238</v>
      </c>
      <c r="E363" t="s">
        <v>961</v>
      </c>
      <c r="F363" t="s">
        <v>1158</v>
      </c>
    </row>
    <row r="364" spans="1:6" x14ac:dyDescent="0.3">
      <c r="A364"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64" s="167">
        <f>1-COUNTIF(Calculators[CalculatorCode],CalculatorFC[[#This Row],[CalculatorCode]])</f>
        <v>0</v>
      </c>
      <c r="C364" s="167">
        <f>SUM(CalculatorFC[[#This Row],[FinCodeIssue]:[CalcCodeIssue]])</f>
        <v>1</v>
      </c>
      <c r="D364" t="s">
        <v>1238</v>
      </c>
      <c r="E364" t="s">
        <v>961</v>
      </c>
      <c r="F364" t="s">
        <v>1169</v>
      </c>
    </row>
    <row r="365" spans="1:6" x14ac:dyDescent="0.3">
      <c r="A365"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65" s="167">
        <f>1-COUNTIF(Calculators[CalculatorCode],CalculatorFC[[#This Row],[CalculatorCode]])</f>
        <v>0</v>
      </c>
      <c r="C365" s="167">
        <f>SUM(CalculatorFC[[#This Row],[FinCodeIssue]:[CalcCodeIssue]])</f>
        <v>1</v>
      </c>
      <c r="D365" t="s">
        <v>1238</v>
      </c>
      <c r="E365" t="s">
        <v>963</v>
      </c>
      <c r="F365" t="s">
        <v>1158</v>
      </c>
    </row>
    <row r="366" spans="1:6" x14ac:dyDescent="0.3">
      <c r="A366"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66" s="167">
        <f>1-COUNTIF(Calculators[CalculatorCode],CalculatorFC[[#This Row],[CalculatorCode]])</f>
        <v>0</v>
      </c>
      <c r="C366" s="167">
        <f>SUM(CalculatorFC[[#This Row],[FinCodeIssue]:[CalcCodeIssue]])</f>
        <v>1</v>
      </c>
      <c r="D366" t="s">
        <v>1238</v>
      </c>
      <c r="E366" t="s">
        <v>963</v>
      </c>
      <c r="F366" t="s">
        <v>1169</v>
      </c>
    </row>
    <row r="367" spans="1:6" x14ac:dyDescent="0.3">
      <c r="A367"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67" s="167">
        <f>1-COUNTIF(Calculators[CalculatorCode],CalculatorFC[[#This Row],[CalculatorCode]])</f>
        <v>0</v>
      </c>
      <c r="C367" s="167">
        <f>SUM(CalculatorFC[[#This Row],[FinCodeIssue]:[CalcCodeIssue]])</f>
        <v>1</v>
      </c>
      <c r="D367" t="s">
        <v>1238</v>
      </c>
      <c r="E367" t="s">
        <v>965</v>
      </c>
      <c r="F367" t="s">
        <v>1158</v>
      </c>
    </row>
    <row r="368" spans="1:6" x14ac:dyDescent="0.3">
      <c r="A368"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68" s="167">
        <f>1-COUNTIF(Calculators[CalculatorCode],CalculatorFC[[#This Row],[CalculatorCode]])</f>
        <v>0</v>
      </c>
      <c r="C368" s="167">
        <f>SUM(CalculatorFC[[#This Row],[FinCodeIssue]:[CalcCodeIssue]])</f>
        <v>1</v>
      </c>
      <c r="D368" t="s">
        <v>1238</v>
      </c>
      <c r="E368" t="s">
        <v>965</v>
      </c>
      <c r="F368" t="s">
        <v>1169</v>
      </c>
    </row>
    <row r="369" spans="1:6" x14ac:dyDescent="0.3">
      <c r="A369"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69" s="167">
        <f>1-COUNTIF(Calculators[CalculatorCode],CalculatorFC[[#This Row],[CalculatorCode]])</f>
        <v>0</v>
      </c>
      <c r="C369" s="167">
        <f>SUM(CalculatorFC[[#This Row],[FinCodeIssue]:[CalcCodeIssue]])</f>
        <v>1</v>
      </c>
      <c r="D369" t="s">
        <v>1238</v>
      </c>
      <c r="E369" t="s">
        <v>967</v>
      </c>
      <c r="F369" t="s">
        <v>1158</v>
      </c>
    </row>
    <row r="370" spans="1:6" x14ac:dyDescent="0.3">
      <c r="A370"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70" s="167">
        <f>1-COUNTIF(Calculators[CalculatorCode],CalculatorFC[[#This Row],[CalculatorCode]])</f>
        <v>0</v>
      </c>
      <c r="C370" s="167">
        <f>SUM(CalculatorFC[[#This Row],[FinCodeIssue]:[CalcCodeIssue]])</f>
        <v>1</v>
      </c>
      <c r="D370" t="s">
        <v>1238</v>
      </c>
      <c r="E370" t="s">
        <v>967</v>
      </c>
      <c r="F370" t="s">
        <v>1169</v>
      </c>
    </row>
    <row r="371" spans="1:6" x14ac:dyDescent="0.3">
      <c r="A371"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71" s="167">
        <f>1-COUNTIF(Calculators[CalculatorCode],CalculatorFC[[#This Row],[CalculatorCode]])</f>
        <v>0</v>
      </c>
      <c r="C371" s="167">
        <f>SUM(CalculatorFC[[#This Row],[FinCodeIssue]:[CalcCodeIssue]])</f>
        <v>1</v>
      </c>
      <c r="D371" t="s">
        <v>1238</v>
      </c>
      <c r="E371" t="s">
        <v>969</v>
      </c>
      <c r="F371" t="s">
        <v>1169</v>
      </c>
    </row>
    <row r="372" spans="1:6" x14ac:dyDescent="0.3">
      <c r="A372"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72" s="167">
        <f>1-COUNTIF(Calculators[CalculatorCode],CalculatorFC[[#This Row],[CalculatorCode]])</f>
        <v>0</v>
      </c>
      <c r="C372" s="167">
        <f>SUM(CalculatorFC[[#This Row],[FinCodeIssue]:[CalcCodeIssue]])</f>
        <v>1</v>
      </c>
      <c r="D372" t="s">
        <v>1238</v>
      </c>
      <c r="E372" t="s">
        <v>969</v>
      </c>
      <c r="F372" t="s">
        <v>1158</v>
      </c>
    </row>
    <row r="373" spans="1:6" x14ac:dyDescent="0.3">
      <c r="A373"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73" s="167">
        <f>1-COUNTIF(Calculators[CalculatorCode],CalculatorFC[[#This Row],[CalculatorCode]])</f>
        <v>0</v>
      </c>
      <c r="C373" s="167">
        <f>SUM(CalculatorFC[[#This Row],[FinCodeIssue]:[CalcCodeIssue]])</f>
        <v>1</v>
      </c>
      <c r="D373" t="s">
        <v>1238</v>
      </c>
      <c r="E373" t="s">
        <v>1501</v>
      </c>
      <c r="F373" t="s">
        <v>1169</v>
      </c>
    </row>
    <row r="374" spans="1:6" x14ac:dyDescent="0.3">
      <c r="A374" s="164">
        <f>IF(IFERROR(FIND("Grouping",CalculatorFC[[#This Row],[Type]],1),0)=0,IF(COUNTIF(FC_import[FinanceCode],CalculatorFC[[#This Row],[FinanceCode]])+COUNTIF(FinanceCodesBudget[FinanceCode],CalculatorFC[[#This Row],[FinanceCode]])&gt;0,0,1),IF(COUNTIF(Table_System_Grouping_Codes[groupingCodeCode],CalculatorFC[[#This Row],[FinanceCode]])&gt;0,0,1))</f>
        <v>1</v>
      </c>
      <c r="B374" s="167">
        <f>1-COUNTIF(Calculators[CalculatorCode],CalculatorFC[[#This Row],[CalculatorCode]])</f>
        <v>0</v>
      </c>
      <c r="C374" s="167">
        <f>SUM(CalculatorFC[[#This Row],[FinCodeIssue]:[CalcCodeIssue]])</f>
        <v>1</v>
      </c>
      <c r="D374" t="s">
        <v>1238</v>
      </c>
      <c r="E374" t="s">
        <v>1501</v>
      </c>
      <c r="F374" t="s">
        <v>1158</v>
      </c>
    </row>
    <row r="375" spans="1:6" x14ac:dyDescent="0.3">
      <c r="A375"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375" s="167">
        <f>1-COUNTIF(Calculators[CalculatorCode],CalculatorFC[[#This Row],[CalculatorCode]])</f>
        <v>0</v>
      </c>
      <c r="C375" s="167">
        <f>SUM(CalculatorFC[[#This Row],[FinCodeIssue]:[CalcCodeIssue]])</f>
        <v>0</v>
      </c>
      <c r="D375" t="s">
        <v>1054</v>
      </c>
      <c r="E375" t="s">
        <v>1054</v>
      </c>
      <c r="F375" t="s">
        <v>1169</v>
      </c>
    </row>
    <row r="376" spans="1:6" x14ac:dyDescent="0.3">
      <c r="A376" s="164">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376" s="167">
        <f>1-COUNTIF(Calculators[CalculatorCode],CalculatorFC[[#This Row],[CalculatorCode]])</f>
        <v>0</v>
      </c>
      <c r="C376" s="167">
        <f>SUM(CalculatorFC[[#This Row],[FinCodeIssue]:[CalcCodeIssue]])</f>
        <v>0</v>
      </c>
      <c r="D376" t="s">
        <v>2059</v>
      </c>
      <c r="E376" t="s">
        <v>2059</v>
      </c>
      <c r="F376" t="s">
        <v>1169</v>
      </c>
    </row>
    <row r="377" spans="1:6" x14ac:dyDescent="0.3">
      <c r="A377" s="166">
        <f>IF(IFERROR(FIND("Grouping",CalculatorFC[[#This Row],[Type]],1),0)=0,IF(COUNTIF(FC_import[FinanceCode],CalculatorFC[[#This Row],[FinanceCode]])+COUNTIF(FinanceCodesBudget[FinanceCode],CalculatorFC[[#This Row],[FinanceCode]])&gt;0,0,1),IF(COUNTIF(Table_System_Grouping_Codes[groupingCodeCode],CalculatorFC[[#This Row],[FinanceCode]])&gt;0,0,1))</f>
        <v>0</v>
      </c>
      <c r="B377" s="169">
        <f>1-COUNTIF(Calculators[CalculatorCode],CalculatorFC[[#This Row],[CalculatorCode]])</f>
        <v>0</v>
      </c>
      <c r="C377" s="169">
        <f>SUM(CalculatorFC[[#This Row],[FinCodeIssue]:[CalcCodeIssue]])</f>
        <v>0</v>
      </c>
      <c r="D377" t="s">
        <v>2058</v>
      </c>
      <c r="E377" t="s">
        <v>2058</v>
      </c>
      <c r="F377" t="s">
        <v>1169</v>
      </c>
    </row>
  </sheetData>
  <phoneticPr fontId="2" type="noConversion"/>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8863C-0439-4AC1-BC3E-9954A49CD142}">
  <sheetPr codeName="Sheet53">
    <tabColor rgb="FFC8B3D5"/>
  </sheetPr>
  <dimension ref="A1:W24"/>
  <sheetViews>
    <sheetView workbookViewId="0">
      <pane ySplit="1" topLeftCell="A2" activePane="bottomLeft" state="frozen"/>
      <selection activeCell="D2" sqref="D2"/>
      <selection pane="bottomLeft" activeCell="I17" sqref="I17"/>
    </sheetView>
  </sheetViews>
  <sheetFormatPr defaultColWidth="9.33203125" defaultRowHeight="14.4" outlineLevelCol="1" x14ac:dyDescent="0.3"/>
  <cols>
    <col min="1" max="2" width="12" hidden="1" customWidth="1" outlineLevel="1"/>
    <col min="3" max="3" width="19.88671875" hidden="1" customWidth="1" outlineLevel="1"/>
    <col min="4" max="4" width="20" hidden="1" customWidth="1" outlineLevel="1"/>
    <col min="5" max="7" width="19" hidden="1" customWidth="1" outlineLevel="1"/>
    <col min="8" max="8" width="19.6640625" bestFit="1" customWidth="1" collapsed="1"/>
    <col min="9" max="9" width="14.88671875" bestFit="1" customWidth="1"/>
    <col min="10" max="10" width="27.6640625" bestFit="1" customWidth="1"/>
    <col min="11" max="22" width="19.5546875" style="137" customWidth="1"/>
    <col min="23" max="23" width="9.5546875" customWidth="1"/>
  </cols>
  <sheetData>
    <row r="1" spans="1:23" x14ac:dyDescent="0.3">
      <c r="A1" s="80" t="s">
        <v>1079</v>
      </c>
      <c r="B1" s="80" t="s">
        <v>1080</v>
      </c>
      <c r="C1" s="80" t="s">
        <v>1996</v>
      </c>
      <c r="D1" s="80" t="s">
        <v>1714</v>
      </c>
      <c r="E1" s="80" t="s">
        <v>1715</v>
      </c>
      <c r="F1" s="80" t="s">
        <v>1926</v>
      </c>
      <c r="G1" s="80" t="s">
        <v>2039</v>
      </c>
      <c r="H1" s="80" t="s">
        <v>48</v>
      </c>
      <c r="I1" s="90" t="s">
        <v>53</v>
      </c>
      <c r="J1" s="90" t="s">
        <v>50</v>
      </c>
      <c r="K1" s="136" t="s">
        <v>1081</v>
      </c>
      <c r="L1" s="136" t="s">
        <v>1082</v>
      </c>
      <c r="M1" s="136" t="s">
        <v>1083</v>
      </c>
      <c r="N1" s="136" t="s">
        <v>1084</v>
      </c>
      <c r="O1" s="136" t="s">
        <v>1085</v>
      </c>
      <c r="P1" s="136" t="s">
        <v>1086</v>
      </c>
      <c r="Q1" s="136" t="s">
        <v>1087</v>
      </c>
      <c r="R1" s="136" t="s">
        <v>1088</v>
      </c>
      <c r="S1" s="136" t="s">
        <v>1089</v>
      </c>
      <c r="T1" s="136" t="s">
        <v>1090</v>
      </c>
      <c r="U1" s="136" t="s">
        <v>1091</v>
      </c>
      <c r="V1" s="136" t="s">
        <v>1092</v>
      </c>
      <c r="W1" s="90" t="s">
        <v>1093</v>
      </c>
    </row>
    <row r="2" spans="1:23" x14ac:dyDescent="0.3">
      <c r="A2" s="80">
        <f t="shared" ref="A2:A21" si="0">IF(SUM(K2:V2)=100,0,1)</f>
        <v>0</v>
      </c>
      <c r="B2" s="80">
        <f t="shared" ref="B2:B21" si="1">COUNTBLANK(I2:W2)</f>
        <v>0</v>
      </c>
      <c r="C2" s="80">
        <f>IF(OR(MONTHPRF[[#This Row],[Enabled]]=TRUE,MONTHPRF[[#This Row],[Enabled]]=FALSE),0,1)</f>
        <v>0</v>
      </c>
      <c r="D2" s="80">
        <f>IF(LEN(MONTHPRF[[#This Row],[Code]])&lt;100,0,1)</f>
        <v>0</v>
      </c>
      <c r="E2" s="80">
        <f>IF(LEN(MONTHPRF[[#This Row],[Title]])&lt;100,0,1)</f>
        <v>0</v>
      </c>
      <c r="F2" s="80">
        <f>IF(EXACT(MONTHPRF[[#This Row],[Code]],UPPER(MONTHPRF[[#This Row],[Code]])),0,1)</f>
        <v>0</v>
      </c>
      <c r="G2" s="80">
        <f>IF(SUBSTITUTE(TEXT(MONTHPRF[[#This Row],[Code]],10)," ","")=TEXT(MONTHPRF[[#This Row],[Code]],10),0,1)</f>
        <v>0</v>
      </c>
      <c r="H2" s="80">
        <f>SUM(MONTHPRF[[#This Row],[Totals 100]:[Space in Code]])</f>
        <v>0</v>
      </c>
      <c r="I2" t="s">
        <v>1094</v>
      </c>
      <c r="J2" t="s">
        <v>1095</v>
      </c>
      <c r="K2" s="137">
        <v>100</v>
      </c>
      <c r="L2" s="137">
        <v>0</v>
      </c>
      <c r="M2" s="137">
        <v>0</v>
      </c>
      <c r="N2" s="137">
        <v>0</v>
      </c>
      <c r="O2" s="137">
        <v>0</v>
      </c>
      <c r="P2" s="137">
        <v>0</v>
      </c>
      <c r="Q2" s="137">
        <v>0</v>
      </c>
      <c r="R2" s="137">
        <v>0</v>
      </c>
      <c r="S2" s="137">
        <v>0</v>
      </c>
      <c r="T2" s="137">
        <v>0</v>
      </c>
      <c r="U2" s="137">
        <v>0</v>
      </c>
      <c r="V2" s="137">
        <v>0</v>
      </c>
      <c r="W2" t="b">
        <v>1</v>
      </c>
    </row>
    <row r="3" spans="1:23" x14ac:dyDescent="0.3">
      <c r="A3" s="80">
        <f t="shared" si="0"/>
        <v>0</v>
      </c>
      <c r="B3" s="80">
        <f t="shared" si="1"/>
        <v>0</v>
      </c>
      <c r="C3" s="80">
        <f>IF(OR(MONTHPRF[[#This Row],[Enabled]]=TRUE,MONTHPRF[[#This Row],[Enabled]]=FALSE),0,1)</f>
        <v>0</v>
      </c>
      <c r="D3" s="80">
        <f>IF(LEN(MONTHPRF[[#This Row],[Code]])&lt;100,0,1)</f>
        <v>0</v>
      </c>
      <c r="E3" s="80">
        <f>IF(LEN(MONTHPRF[[#This Row],[Title]])&lt;100,0,1)</f>
        <v>0</v>
      </c>
      <c r="F3" s="80">
        <f>IF(EXACT(MONTHPRF[[#This Row],[Code]],UPPER(MONTHPRF[[#This Row],[Code]])),0,1)</f>
        <v>0</v>
      </c>
      <c r="G3" s="80">
        <f>IF(SUBSTITUTE(TEXT(MONTHPRF[[#This Row],[Code]],10)," ","")=TEXT(MONTHPRF[[#This Row],[Code]],10),0,1)</f>
        <v>0</v>
      </c>
      <c r="H3" s="80">
        <f>SUM(MONTHPRF[[#This Row],[Totals 100]:[Space in Code]])</f>
        <v>0</v>
      </c>
      <c r="I3" t="s">
        <v>1096</v>
      </c>
      <c r="J3" t="s">
        <v>1097</v>
      </c>
      <c r="K3" s="137">
        <v>0</v>
      </c>
      <c r="L3" s="137">
        <v>100</v>
      </c>
      <c r="M3" s="137">
        <v>0</v>
      </c>
      <c r="N3" s="137">
        <v>0</v>
      </c>
      <c r="O3" s="137">
        <v>0</v>
      </c>
      <c r="P3" s="137">
        <v>0</v>
      </c>
      <c r="Q3" s="137">
        <v>0</v>
      </c>
      <c r="R3" s="137">
        <v>0</v>
      </c>
      <c r="S3" s="137">
        <v>0</v>
      </c>
      <c r="T3" s="137">
        <v>0</v>
      </c>
      <c r="U3" s="137">
        <v>0</v>
      </c>
      <c r="V3" s="137">
        <v>0</v>
      </c>
      <c r="W3" t="b">
        <v>1</v>
      </c>
    </row>
    <row r="4" spans="1:23" x14ac:dyDescent="0.3">
      <c r="A4" s="80">
        <f t="shared" si="0"/>
        <v>0</v>
      </c>
      <c r="B4" s="80">
        <f t="shared" si="1"/>
        <v>0</v>
      </c>
      <c r="C4" s="80">
        <f>IF(OR(MONTHPRF[[#This Row],[Enabled]]=TRUE,MONTHPRF[[#This Row],[Enabled]]=FALSE),0,1)</f>
        <v>0</v>
      </c>
      <c r="D4" s="80">
        <f>IF(LEN(MONTHPRF[[#This Row],[Code]])&lt;100,0,1)</f>
        <v>0</v>
      </c>
      <c r="E4" s="80">
        <f>IF(LEN(MONTHPRF[[#This Row],[Title]])&lt;100,0,1)</f>
        <v>0</v>
      </c>
      <c r="F4" s="80">
        <f>IF(EXACT(MONTHPRF[[#This Row],[Code]],UPPER(MONTHPRF[[#This Row],[Code]])),0,1)</f>
        <v>0</v>
      </c>
      <c r="G4" s="80">
        <f>IF(SUBSTITUTE(TEXT(MONTHPRF[[#This Row],[Code]],10)," ","")=TEXT(MONTHPRF[[#This Row],[Code]],10),0,1)</f>
        <v>0</v>
      </c>
      <c r="H4" s="80">
        <f>SUM(MONTHPRF[[#This Row],[Totals 100]:[Space in Code]])</f>
        <v>0</v>
      </c>
      <c r="I4" t="s">
        <v>1098</v>
      </c>
      <c r="J4" t="s">
        <v>1099</v>
      </c>
      <c r="K4" s="137">
        <v>0</v>
      </c>
      <c r="L4" s="137">
        <v>0</v>
      </c>
      <c r="M4" s="137">
        <v>100</v>
      </c>
      <c r="N4" s="137">
        <v>0</v>
      </c>
      <c r="O4" s="137">
        <v>0</v>
      </c>
      <c r="P4" s="137">
        <v>0</v>
      </c>
      <c r="Q4" s="137">
        <v>0</v>
      </c>
      <c r="R4" s="137">
        <v>0</v>
      </c>
      <c r="S4" s="137">
        <v>0</v>
      </c>
      <c r="T4" s="137">
        <v>0</v>
      </c>
      <c r="U4" s="137">
        <v>0</v>
      </c>
      <c r="V4" s="137">
        <v>0</v>
      </c>
      <c r="W4" t="b">
        <v>1</v>
      </c>
    </row>
    <row r="5" spans="1:23" x14ac:dyDescent="0.3">
      <c r="A5" s="80">
        <f t="shared" si="0"/>
        <v>0</v>
      </c>
      <c r="B5" s="80">
        <f t="shared" si="1"/>
        <v>0</v>
      </c>
      <c r="C5" s="80">
        <f>IF(OR(MONTHPRF[[#This Row],[Enabled]]=TRUE,MONTHPRF[[#This Row],[Enabled]]=FALSE),0,1)</f>
        <v>0</v>
      </c>
      <c r="D5" s="80">
        <f>IF(LEN(MONTHPRF[[#This Row],[Code]])&lt;100,0,1)</f>
        <v>0</v>
      </c>
      <c r="E5" s="80">
        <f>IF(LEN(MONTHPRF[[#This Row],[Title]])&lt;100,0,1)</f>
        <v>0</v>
      </c>
      <c r="F5" s="80">
        <f>IF(EXACT(MONTHPRF[[#This Row],[Code]],UPPER(MONTHPRF[[#This Row],[Code]])),0,1)</f>
        <v>0</v>
      </c>
      <c r="G5" s="80">
        <f>IF(SUBSTITUTE(TEXT(MONTHPRF[[#This Row],[Code]],10)," ","")=TEXT(MONTHPRF[[#This Row],[Code]],10),0,1)</f>
        <v>0</v>
      </c>
      <c r="H5" s="80">
        <f>SUM(MONTHPRF[[#This Row],[Totals 100]:[Space in Code]])</f>
        <v>0</v>
      </c>
      <c r="I5" t="s">
        <v>1100</v>
      </c>
      <c r="J5" t="s">
        <v>1101</v>
      </c>
      <c r="K5" s="137">
        <v>0</v>
      </c>
      <c r="L5" s="137">
        <v>0</v>
      </c>
      <c r="M5" s="137">
        <v>0</v>
      </c>
      <c r="N5" s="137">
        <v>100</v>
      </c>
      <c r="O5" s="137">
        <v>0</v>
      </c>
      <c r="P5" s="137">
        <v>0</v>
      </c>
      <c r="Q5" s="137">
        <v>0</v>
      </c>
      <c r="R5" s="137">
        <v>0</v>
      </c>
      <c r="S5" s="137">
        <v>0</v>
      </c>
      <c r="T5" s="137">
        <v>0</v>
      </c>
      <c r="U5" s="137">
        <v>0</v>
      </c>
      <c r="V5" s="137">
        <v>0</v>
      </c>
      <c r="W5" t="b">
        <v>1</v>
      </c>
    </row>
    <row r="6" spans="1:23" x14ac:dyDescent="0.3">
      <c r="A6" s="80">
        <f t="shared" si="0"/>
        <v>0</v>
      </c>
      <c r="B6" s="80">
        <f t="shared" si="1"/>
        <v>0</v>
      </c>
      <c r="C6" s="80">
        <f>IF(OR(MONTHPRF[[#This Row],[Enabled]]=TRUE,MONTHPRF[[#This Row],[Enabled]]=FALSE),0,1)</f>
        <v>0</v>
      </c>
      <c r="D6" s="80">
        <f>IF(LEN(MONTHPRF[[#This Row],[Code]])&lt;100,0,1)</f>
        <v>0</v>
      </c>
      <c r="E6" s="80">
        <f>IF(LEN(MONTHPRF[[#This Row],[Title]])&lt;100,0,1)</f>
        <v>0</v>
      </c>
      <c r="F6" s="80">
        <f>IF(EXACT(MONTHPRF[[#This Row],[Code]],UPPER(MONTHPRF[[#This Row],[Code]])),0,1)</f>
        <v>0</v>
      </c>
      <c r="G6" s="80">
        <f>IF(SUBSTITUTE(TEXT(MONTHPRF[[#This Row],[Code]],10)," ","")=TEXT(MONTHPRF[[#This Row],[Code]],10),0,1)</f>
        <v>0</v>
      </c>
      <c r="H6" s="80">
        <f>SUM(MONTHPRF[[#This Row],[Totals 100]:[Space in Code]])</f>
        <v>0</v>
      </c>
      <c r="I6" t="s">
        <v>1102</v>
      </c>
      <c r="J6" t="s">
        <v>1103</v>
      </c>
      <c r="K6" s="137">
        <v>0</v>
      </c>
      <c r="L6" s="137">
        <v>0</v>
      </c>
      <c r="M6" s="137">
        <v>0</v>
      </c>
      <c r="N6" s="137">
        <v>0</v>
      </c>
      <c r="O6" s="137">
        <v>100</v>
      </c>
      <c r="P6" s="137">
        <v>0</v>
      </c>
      <c r="Q6" s="137">
        <v>0</v>
      </c>
      <c r="R6" s="137">
        <v>0</v>
      </c>
      <c r="S6" s="137">
        <v>0</v>
      </c>
      <c r="T6" s="137">
        <v>0</v>
      </c>
      <c r="U6" s="137">
        <v>0</v>
      </c>
      <c r="V6" s="137">
        <v>0</v>
      </c>
      <c r="W6" t="b">
        <v>1</v>
      </c>
    </row>
    <row r="7" spans="1:23" x14ac:dyDescent="0.3">
      <c r="A7" s="80">
        <f t="shared" si="0"/>
        <v>0</v>
      </c>
      <c r="B7" s="80">
        <f t="shared" si="1"/>
        <v>0</v>
      </c>
      <c r="C7" s="80">
        <f>IF(OR(MONTHPRF[[#This Row],[Enabled]]=TRUE,MONTHPRF[[#This Row],[Enabled]]=FALSE),0,1)</f>
        <v>0</v>
      </c>
      <c r="D7" s="80">
        <f>IF(LEN(MONTHPRF[[#This Row],[Code]])&lt;100,0,1)</f>
        <v>0</v>
      </c>
      <c r="E7" s="80">
        <f>IF(LEN(MONTHPRF[[#This Row],[Title]])&lt;100,0,1)</f>
        <v>0</v>
      </c>
      <c r="F7" s="80">
        <f>IF(EXACT(MONTHPRF[[#This Row],[Code]],UPPER(MONTHPRF[[#This Row],[Code]])),0,1)</f>
        <v>0</v>
      </c>
      <c r="G7" s="80">
        <f>IF(SUBSTITUTE(TEXT(MONTHPRF[[#This Row],[Code]],10)," ","")=TEXT(MONTHPRF[[#This Row],[Code]],10),0,1)</f>
        <v>0</v>
      </c>
      <c r="H7" s="80">
        <f>SUM(MONTHPRF[[#This Row],[Totals 100]:[Space in Code]])</f>
        <v>0</v>
      </c>
      <c r="I7" t="s">
        <v>1104</v>
      </c>
      <c r="J7" t="s">
        <v>1105</v>
      </c>
      <c r="K7" s="137">
        <v>0</v>
      </c>
      <c r="L7" s="137">
        <v>0</v>
      </c>
      <c r="M7" s="137">
        <v>0</v>
      </c>
      <c r="N7" s="137">
        <v>0</v>
      </c>
      <c r="O7" s="137">
        <v>0</v>
      </c>
      <c r="P7" s="137">
        <v>100</v>
      </c>
      <c r="Q7" s="137">
        <v>0</v>
      </c>
      <c r="R7" s="137">
        <v>0</v>
      </c>
      <c r="S7" s="137">
        <v>0</v>
      </c>
      <c r="T7" s="137">
        <v>0</v>
      </c>
      <c r="U7" s="137">
        <v>0</v>
      </c>
      <c r="V7" s="137">
        <v>0</v>
      </c>
      <c r="W7" t="b">
        <v>1</v>
      </c>
    </row>
    <row r="8" spans="1:23" x14ac:dyDescent="0.3">
      <c r="A8" s="80">
        <f t="shared" si="0"/>
        <v>0</v>
      </c>
      <c r="B8" s="80">
        <f t="shared" si="1"/>
        <v>0</v>
      </c>
      <c r="C8" s="80">
        <f>IF(OR(MONTHPRF[[#This Row],[Enabled]]=TRUE,MONTHPRF[[#This Row],[Enabled]]=FALSE),0,1)</f>
        <v>0</v>
      </c>
      <c r="D8" s="80">
        <f>IF(LEN(MONTHPRF[[#This Row],[Code]])&lt;100,0,1)</f>
        <v>0</v>
      </c>
      <c r="E8" s="80">
        <f>IF(LEN(MONTHPRF[[#This Row],[Title]])&lt;100,0,1)</f>
        <v>0</v>
      </c>
      <c r="F8" s="80">
        <f>IF(EXACT(MONTHPRF[[#This Row],[Code]],UPPER(MONTHPRF[[#This Row],[Code]])),0,1)</f>
        <v>0</v>
      </c>
      <c r="G8" s="80">
        <f>IF(SUBSTITUTE(TEXT(MONTHPRF[[#This Row],[Code]],10)," ","")=TEXT(MONTHPRF[[#This Row],[Code]],10),0,1)</f>
        <v>0</v>
      </c>
      <c r="H8" s="80">
        <f>SUM(MONTHPRF[[#This Row],[Totals 100]:[Space in Code]])</f>
        <v>0</v>
      </c>
      <c r="I8" t="s">
        <v>1106</v>
      </c>
      <c r="J8" t="s">
        <v>1107</v>
      </c>
      <c r="K8" s="137">
        <v>0</v>
      </c>
      <c r="L8" s="137">
        <v>0</v>
      </c>
      <c r="M8" s="137">
        <v>0</v>
      </c>
      <c r="N8" s="137">
        <v>0</v>
      </c>
      <c r="O8" s="137">
        <v>0</v>
      </c>
      <c r="P8" s="137">
        <v>0</v>
      </c>
      <c r="Q8" s="137">
        <v>100</v>
      </c>
      <c r="R8" s="137">
        <v>0</v>
      </c>
      <c r="S8" s="137">
        <v>0</v>
      </c>
      <c r="T8" s="137">
        <v>0</v>
      </c>
      <c r="U8" s="137">
        <v>0</v>
      </c>
      <c r="V8" s="137">
        <v>0</v>
      </c>
      <c r="W8" t="b">
        <v>1</v>
      </c>
    </row>
    <row r="9" spans="1:23" x14ac:dyDescent="0.3">
      <c r="A9" s="80">
        <f t="shared" si="0"/>
        <v>0</v>
      </c>
      <c r="B9" s="80">
        <f t="shared" si="1"/>
        <v>0</v>
      </c>
      <c r="C9" s="80">
        <f>IF(OR(MONTHPRF[[#This Row],[Enabled]]=TRUE,MONTHPRF[[#This Row],[Enabled]]=FALSE),0,1)</f>
        <v>0</v>
      </c>
      <c r="D9" s="80">
        <f>IF(LEN(MONTHPRF[[#This Row],[Code]])&lt;100,0,1)</f>
        <v>0</v>
      </c>
      <c r="E9" s="80">
        <f>IF(LEN(MONTHPRF[[#This Row],[Title]])&lt;100,0,1)</f>
        <v>0</v>
      </c>
      <c r="F9" s="80">
        <f>IF(EXACT(MONTHPRF[[#This Row],[Code]],UPPER(MONTHPRF[[#This Row],[Code]])),0,1)</f>
        <v>0</v>
      </c>
      <c r="G9" s="80">
        <f>IF(SUBSTITUTE(TEXT(MONTHPRF[[#This Row],[Code]],10)," ","")=TEXT(MONTHPRF[[#This Row],[Code]],10),0,1)</f>
        <v>0</v>
      </c>
      <c r="H9" s="80">
        <f>SUM(MONTHPRF[[#This Row],[Totals 100]:[Space in Code]])</f>
        <v>0</v>
      </c>
      <c r="I9" t="s">
        <v>1108</v>
      </c>
      <c r="J9" t="s">
        <v>1109</v>
      </c>
      <c r="K9" s="137">
        <v>0</v>
      </c>
      <c r="L9" s="137">
        <v>0</v>
      </c>
      <c r="M9" s="137">
        <v>0</v>
      </c>
      <c r="N9" s="137">
        <v>0</v>
      </c>
      <c r="O9" s="137">
        <v>0</v>
      </c>
      <c r="P9" s="137">
        <v>0</v>
      </c>
      <c r="Q9" s="137">
        <v>0</v>
      </c>
      <c r="R9" s="137">
        <v>100</v>
      </c>
      <c r="S9" s="137">
        <v>0</v>
      </c>
      <c r="T9" s="137">
        <v>0</v>
      </c>
      <c r="U9" s="137">
        <v>0</v>
      </c>
      <c r="V9" s="137">
        <v>0</v>
      </c>
      <c r="W9" t="b">
        <v>1</v>
      </c>
    </row>
    <row r="10" spans="1:23" x14ac:dyDescent="0.3">
      <c r="A10" s="80">
        <f t="shared" si="0"/>
        <v>0</v>
      </c>
      <c r="B10" s="80">
        <f t="shared" si="1"/>
        <v>0</v>
      </c>
      <c r="C10" s="80">
        <f>IF(OR(MONTHPRF[[#This Row],[Enabled]]=TRUE,MONTHPRF[[#This Row],[Enabled]]=FALSE),0,1)</f>
        <v>0</v>
      </c>
      <c r="D10" s="80">
        <f>IF(LEN(MONTHPRF[[#This Row],[Code]])&lt;100,0,1)</f>
        <v>0</v>
      </c>
      <c r="E10" s="80">
        <f>IF(LEN(MONTHPRF[[#This Row],[Title]])&lt;100,0,1)</f>
        <v>0</v>
      </c>
      <c r="F10" s="80">
        <f>IF(EXACT(MONTHPRF[[#This Row],[Code]],UPPER(MONTHPRF[[#This Row],[Code]])),0,1)</f>
        <v>0</v>
      </c>
      <c r="G10" s="80">
        <f>IF(SUBSTITUTE(TEXT(MONTHPRF[[#This Row],[Code]],10)," ","")=TEXT(MONTHPRF[[#This Row],[Code]],10),0,1)</f>
        <v>0</v>
      </c>
      <c r="H10" s="80">
        <f>SUM(MONTHPRF[[#This Row],[Totals 100]:[Space in Code]])</f>
        <v>0</v>
      </c>
      <c r="I10" t="s">
        <v>1110</v>
      </c>
      <c r="J10" t="s">
        <v>1111</v>
      </c>
      <c r="K10" s="137">
        <v>0</v>
      </c>
      <c r="L10" s="137">
        <v>0</v>
      </c>
      <c r="M10" s="137">
        <v>0</v>
      </c>
      <c r="N10" s="137">
        <v>0</v>
      </c>
      <c r="O10" s="137">
        <v>0</v>
      </c>
      <c r="P10" s="137">
        <v>0</v>
      </c>
      <c r="Q10" s="137">
        <v>0</v>
      </c>
      <c r="R10" s="137">
        <v>0</v>
      </c>
      <c r="S10" s="137">
        <v>100</v>
      </c>
      <c r="T10" s="137">
        <v>0</v>
      </c>
      <c r="U10" s="137">
        <v>0</v>
      </c>
      <c r="V10" s="137">
        <v>0</v>
      </c>
      <c r="W10" t="b">
        <v>1</v>
      </c>
    </row>
    <row r="11" spans="1:23" x14ac:dyDescent="0.3">
      <c r="A11" s="80">
        <f t="shared" si="0"/>
        <v>0</v>
      </c>
      <c r="B11" s="80">
        <f t="shared" si="1"/>
        <v>0</v>
      </c>
      <c r="C11" s="80">
        <f>IF(OR(MONTHPRF[[#This Row],[Enabled]]=TRUE,MONTHPRF[[#This Row],[Enabled]]=FALSE),0,1)</f>
        <v>0</v>
      </c>
      <c r="D11" s="80">
        <f>IF(LEN(MONTHPRF[[#This Row],[Code]])&lt;100,0,1)</f>
        <v>0</v>
      </c>
      <c r="E11" s="80">
        <f>IF(LEN(MONTHPRF[[#This Row],[Title]])&lt;100,0,1)</f>
        <v>0</v>
      </c>
      <c r="F11" s="80">
        <f>IF(EXACT(MONTHPRF[[#This Row],[Code]],UPPER(MONTHPRF[[#This Row],[Code]])),0,1)</f>
        <v>0</v>
      </c>
      <c r="G11" s="80">
        <f>IF(SUBSTITUTE(TEXT(MONTHPRF[[#This Row],[Code]],10)," ","")=TEXT(MONTHPRF[[#This Row],[Code]],10),0,1)</f>
        <v>0</v>
      </c>
      <c r="H11" s="80">
        <f>SUM(MONTHPRF[[#This Row],[Totals 100]:[Space in Code]])</f>
        <v>0</v>
      </c>
      <c r="I11" t="s">
        <v>1112</v>
      </c>
      <c r="J11" t="s">
        <v>1113</v>
      </c>
      <c r="K11" s="137">
        <v>0</v>
      </c>
      <c r="L11" s="137">
        <v>0</v>
      </c>
      <c r="M11" s="137">
        <v>0</v>
      </c>
      <c r="N11" s="137">
        <v>0</v>
      </c>
      <c r="O11" s="137">
        <v>0</v>
      </c>
      <c r="P11" s="137">
        <v>0</v>
      </c>
      <c r="Q11" s="137">
        <v>0</v>
      </c>
      <c r="R11" s="137">
        <v>0</v>
      </c>
      <c r="S11" s="137">
        <v>0</v>
      </c>
      <c r="T11" s="137">
        <v>100</v>
      </c>
      <c r="U11" s="137">
        <v>0</v>
      </c>
      <c r="V11" s="137">
        <v>0</v>
      </c>
      <c r="W11" t="b">
        <v>1</v>
      </c>
    </row>
    <row r="12" spans="1:23" x14ac:dyDescent="0.3">
      <c r="A12" s="80">
        <f t="shared" si="0"/>
        <v>0</v>
      </c>
      <c r="B12" s="80">
        <f t="shared" si="1"/>
        <v>0</v>
      </c>
      <c r="C12" s="80">
        <f>IF(OR(MONTHPRF[[#This Row],[Enabled]]=TRUE,MONTHPRF[[#This Row],[Enabled]]=FALSE),0,1)</f>
        <v>0</v>
      </c>
      <c r="D12" s="80">
        <f>IF(LEN(MONTHPRF[[#This Row],[Code]])&lt;100,0,1)</f>
        <v>0</v>
      </c>
      <c r="E12" s="80">
        <f>IF(LEN(MONTHPRF[[#This Row],[Title]])&lt;100,0,1)</f>
        <v>0</v>
      </c>
      <c r="F12" s="80">
        <f>IF(EXACT(MONTHPRF[[#This Row],[Code]],UPPER(MONTHPRF[[#This Row],[Code]])),0,1)</f>
        <v>0</v>
      </c>
      <c r="G12" s="80">
        <f>IF(SUBSTITUTE(TEXT(MONTHPRF[[#This Row],[Code]],10)," ","")=TEXT(MONTHPRF[[#This Row],[Code]],10),0,1)</f>
        <v>0</v>
      </c>
      <c r="H12" s="80">
        <f>SUM(MONTHPRF[[#This Row],[Totals 100]:[Space in Code]])</f>
        <v>0</v>
      </c>
      <c r="I12" t="s">
        <v>1114</v>
      </c>
      <c r="J12" t="s">
        <v>1115</v>
      </c>
      <c r="K12" s="137">
        <v>0</v>
      </c>
      <c r="L12" s="137">
        <v>0</v>
      </c>
      <c r="M12" s="137">
        <v>0</v>
      </c>
      <c r="N12" s="137">
        <v>0</v>
      </c>
      <c r="O12" s="137">
        <v>0</v>
      </c>
      <c r="P12" s="137">
        <v>0</v>
      </c>
      <c r="Q12" s="137">
        <v>0</v>
      </c>
      <c r="R12" s="137">
        <v>0</v>
      </c>
      <c r="S12" s="137">
        <v>0</v>
      </c>
      <c r="T12" s="137">
        <v>0</v>
      </c>
      <c r="U12" s="137">
        <v>100</v>
      </c>
      <c r="V12" s="137">
        <v>0</v>
      </c>
      <c r="W12" t="b">
        <v>1</v>
      </c>
    </row>
    <row r="13" spans="1:23" x14ac:dyDescent="0.3">
      <c r="A13" s="80">
        <f t="shared" si="0"/>
        <v>0</v>
      </c>
      <c r="B13" s="80">
        <f t="shared" si="1"/>
        <v>0</v>
      </c>
      <c r="C13" s="80">
        <f>IF(OR(MONTHPRF[[#This Row],[Enabled]]=TRUE,MONTHPRF[[#This Row],[Enabled]]=FALSE),0,1)</f>
        <v>0</v>
      </c>
      <c r="D13" s="80">
        <f>IF(LEN(MONTHPRF[[#This Row],[Code]])&lt;100,0,1)</f>
        <v>0</v>
      </c>
      <c r="E13" s="80">
        <f>IF(LEN(MONTHPRF[[#This Row],[Title]])&lt;100,0,1)</f>
        <v>0</v>
      </c>
      <c r="F13" s="80">
        <f>IF(EXACT(MONTHPRF[[#This Row],[Code]],UPPER(MONTHPRF[[#This Row],[Code]])),0,1)</f>
        <v>0</v>
      </c>
      <c r="G13" s="80">
        <f>IF(SUBSTITUTE(TEXT(MONTHPRF[[#This Row],[Code]],10)," ","")=TEXT(MONTHPRF[[#This Row],[Code]],10),0,1)</f>
        <v>0</v>
      </c>
      <c r="H13" s="80">
        <f>SUM(MONTHPRF[[#This Row],[Totals 100]:[Space in Code]])</f>
        <v>0</v>
      </c>
      <c r="I13" t="s">
        <v>1116</v>
      </c>
      <c r="J13" t="s">
        <v>1117</v>
      </c>
      <c r="K13" s="137">
        <v>0</v>
      </c>
      <c r="L13" s="137">
        <v>0</v>
      </c>
      <c r="M13" s="137">
        <v>0</v>
      </c>
      <c r="N13" s="137">
        <v>0</v>
      </c>
      <c r="O13" s="137">
        <v>0</v>
      </c>
      <c r="P13" s="137">
        <v>0</v>
      </c>
      <c r="Q13" s="137">
        <v>0</v>
      </c>
      <c r="R13" s="137">
        <v>0</v>
      </c>
      <c r="S13" s="137">
        <v>0</v>
      </c>
      <c r="T13" s="137">
        <v>0</v>
      </c>
      <c r="U13" s="137">
        <v>0</v>
      </c>
      <c r="V13" s="137">
        <v>100</v>
      </c>
      <c r="W13" t="b">
        <v>1</v>
      </c>
    </row>
    <row r="14" spans="1:23" x14ac:dyDescent="0.3">
      <c r="A14" s="80">
        <f t="shared" si="0"/>
        <v>0</v>
      </c>
      <c r="B14" s="80">
        <f t="shared" si="1"/>
        <v>0</v>
      </c>
      <c r="C14" s="80">
        <f>IF(OR(MONTHPRF[[#This Row],[Enabled]]=TRUE,MONTHPRF[[#This Row],[Enabled]]=FALSE),0,1)</f>
        <v>0</v>
      </c>
      <c r="D14" s="80">
        <f>IF(LEN(MONTHPRF[[#This Row],[Code]])&lt;100,0,1)</f>
        <v>0</v>
      </c>
      <c r="E14" s="80">
        <f>IF(LEN(MONTHPRF[[#This Row],[Title]])&lt;100,0,1)</f>
        <v>0</v>
      </c>
      <c r="F14" s="80">
        <f>IF(EXACT(MONTHPRF[[#This Row],[Code]],UPPER(MONTHPRF[[#This Row],[Code]])),0,1)</f>
        <v>0</v>
      </c>
      <c r="G14" s="80">
        <f>IF(SUBSTITUTE(TEXT(MONTHPRF[[#This Row],[Code]],10)," ","")=TEXT(MONTHPRF[[#This Row],[Code]],10),0,1)</f>
        <v>0</v>
      </c>
      <c r="H14" s="80">
        <f>SUM(MONTHPRF[[#This Row],[Totals 100]:[Space in Code]])</f>
        <v>0</v>
      </c>
      <c r="I14" t="s">
        <v>1118</v>
      </c>
      <c r="J14" t="s">
        <v>1119</v>
      </c>
      <c r="K14" s="137">
        <v>0</v>
      </c>
      <c r="L14" s="137">
        <v>0</v>
      </c>
      <c r="M14" s="137">
        <v>0</v>
      </c>
      <c r="N14" s="137">
        <v>0</v>
      </c>
      <c r="O14" s="137">
        <v>0</v>
      </c>
      <c r="P14" s="137">
        <v>0</v>
      </c>
      <c r="Q14" s="137">
        <v>0</v>
      </c>
      <c r="R14" s="137">
        <v>20</v>
      </c>
      <c r="S14" s="137">
        <v>20</v>
      </c>
      <c r="T14" s="137">
        <v>20</v>
      </c>
      <c r="U14" s="137">
        <v>20</v>
      </c>
      <c r="V14" s="137">
        <v>20</v>
      </c>
      <c r="W14" t="b">
        <v>1</v>
      </c>
    </row>
    <row r="15" spans="1:23" x14ac:dyDescent="0.3">
      <c r="A15" s="80">
        <f t="shared" si="0"/>
        <v>0</v>
      </c>
      <c r="B15" s="80">
        <f t="shared" si="1"/>
        <v>0</v>
      </c>
      <c r="C15" s="80">
        <f>IF(OR(MONTHPRF[[#This Row],[Enabled]]=TRUE,MONTHPRF[[#This Row],[Enabled]]=FALSE),0,1)</f>
        <v>0</v>
      </c>
      <c r="D15" s="80">
        <f>IF(LEN(MONTHPRF[[#This Row],[Code]])&lt;100,0,1)</f>
        <v>0</v>
      </c>
      <c r="E15" s="80">
        <f>IF(LEN(MONTHPRF[[#This Row],[Title]])&lt;100,0,1)</f>
        <v>0</v>
      </c>
      <c r="F15" s="80">
        <f>IF(EXACT(MONTHPRF[[#This Row],[Code]],UPPER(MONTHPRF[[#This Row],[Code]])),0,1)</f>
        <v>0</v>
      </c>
      <c r="G15" s="80">
        <f>IF(SUBSTITUTE(TEXT(MONTHPRF[[#This Row],[Code]],10)," ","")=TEXT(MONTHPRF[[#This Row],[Code]],10),0,1)</f>
        <v>0</v>
      </c>
      <c r="H15" s="80">
        <f>SUM(MONTHPRF[[#This Row],[Totals 100]:[Space in Code]])</f>
        <v>0</v>
      </c>
      <c r="I15" t="s">
        <v>1120</v>
      </c>
      <c r="J15" t="s">
        <v>1121</v>
      </c>
      <c r="K15" s="137">
        <v>14.2858</v>
      </c>
      <c r="L15" s="137">
        <v>14.2857</v>
      </c>
      <c r="M15" s="137">
        <v>14.2857</v>
      </c>
      <c r="N15" s="137">
        <v>14.2857</v>
      </c>
      <c r="O15" s="137">
        <v>14.2857</v>
      </c>
      <c r="P15" s="137">
        <v>14.2857</v>
      </c>
      <c r="Q15" s="137">
        <v>14.2857</v>
      </c>
      <c r="R15" s="137">
        <v>0</v>
      </c>
      <c r="S15" s="137">
        <v>0</v>
      </c>
      <c r="T15" s="137">
        <v>0</v>
      </c>
      <c r="U15" s="137">
        <v>0</v>
      </c>
      <c r="V15" s="137">
        <v>0</v>
      </c>
      <c r="W15" t="b">
        <v>1</v>
      </c>
    </row>
    <row r="16" spans="1:23" x14ac:dyDescent="0.3">
      <c r="A16" s="80">
        <f t="shared" si="0"/>
        <v>0</v>
      </c>
      <c r="B16" s="80">
        <f t="shared" si="1"/>
        <v>0</v>
      </c>
      <c r="C16" s="80">
        <f>IF(OR(MONTHPRF[[#This Row],[Enabled]]=TRUE,MONTHPRF[[#This Row],[Enabled]]=FALSE),0,1)</f>
        <v>0</v>
      </c>
      <c r="D16" s="80">
        <f>IF(LEN(MONTHPRF[[#This Row],[Code]])&lt;100,0,1)</f>
        <v>0</v>
      </c>
      <c r="E16" s="80">
        <f>IF(LEN(MONTHPRF[[#This Row],[Title]])&lt;100,0,1)</f>
        <v>0</v>
      </c>
      <c r="F16" s="80">
        <f>IF(EXACT(MONTHPRF[[#This Row],[Code]],UPPER(MONTHPRF[[#This Row],[Code]])),0,1)</f>
        <v>0</v>
      </c>
      <c r="G16" s="80">
        <f>IF(SUBSTITUTE(TEXT(MONTHPRF[[#This Row],[Code]],10)," ","")=TEXT(MONTHPRF[[#This Row],[Code]],10),0,1)</f>
        <v>0</v>
      </c>
      <c r="H16" s="80">
        <f>SUM(MONTHPRF[[#This Row],[Totals 100]:[Space in Code]])</f>
        <v>0</v>
      </c>
      <c r="I16" t="s">
        <v>1122</v>
      </c>
      <c r="J16" t="s">
        <v>1123</v>
      </c>
      <c r="K16" s="137">
        <v>9.0909999999999993</v>
      </c>
      <c r="L16" s="137">
        <v>9.0908999999999995</v>
      </c>
      <c r="M16" s="137">
        <v>9.0908999999999995</v>
      </c>
      <c r="N16" s="137">
        <v>9.0908999999999995</v>
      </c>
      <c r="O16" s="137">
        <v>9.0908999999999995</v>
      </c>
      <c r="P16" s="137">
        <v>9.0908999999999995</v>
      </c>
      <c r="Q16" s="137">
        <v>9.0908999999999995</v>
      </c>
      <c r="R16" s="137">
        <v>9.0908999999999995</v>
      </c>
      <c r="S16" s="137">
        <v>9.0908999999999995</v>
      </c>
      <c r="T16" s="137">
        <v>9.0908999999999995</v>
      </c>
      <c r="U16" s="137">
        <v>9.0908999999999995</v>
      </c>
      <c r="V16" s="137">
        <v>0</v>
      </c>
      <c r="W16" t="b">
        <v>1</v>
      </c>
    </row>
    <row r="17" spans="1:23" x14ac:dyDescent="0.3">
      <c r="A17" s="80">
        <f t="shared" si="0"/>
        <v>0</v>
      </c>
      <c r="B17" s="80">
        <f t="shared" si="1"/>
        <v>0</v>
      </c>
      <c r="C17" s="80">
        <f>IF(OR(MONTHPRF[[#This Row],[Enabled]]=TRUE,MONTHPRF[[#This Row],[Enabled]]=FALSE),0,1)</f>
        <v>0</v>
      </c>
      <c r="D17" s="80">
        <f>IF(LEN(MONTHPRF[[#This Row],[Code]])&lt;100,0,1)</f>
        <v>0</v>
      </c>
      <c r="E17" s="80">
        <f>IF(LEN(MONTHPRF[[#This Row],[Title]])&lt;100,0,1)</f>
        <v>0</v>
      </c>
      <c r="F17" s="80">
        <f>IF(EXACT(MONTHPRF[[#This Row],[Code]],UPPER(MONTHPRF[[#This Row],[Code]])),0,1)</f>
        <v>0</v>
      </c>
      <c r="G17" s="80">
        <f>IF(SUBSTITUTE(TEXT(MONTHPRF[[#This Row],[Code]],10)," ","")=TEXT(MONTHPRF[[#This Row],[Code]],10),0,1)</f>
        <v>0</v>
      </c>
      <c r="H17" s="80">
        <f>SUM(MONTHPRF[[#This Row],[Totals 100]:[Space in Code]])</f>
        <v>0</v>
      </c>
      <c r="I17" t="s">
        <v>1124</v>
      </c>
      <c r="J17" t="s">
        <v>1125</v>
      </c>
      <c r="K17" s="137">
        <v>8.3333999999999993</v>
      </c>
      <c r="L17" s="137">
        <v>8.3332999999999995</v>
      </c>
      <c r="M17" s="137">
        <v>8.3332999999999995</v>
      </c>
      <c r="N17" s="137">
        <v>8.3333999999999993</v>
      </c>
      <c r="O17" s="137">
        <v>8.3332999999999995</v>
      </c>
      <c r="P17" s="137">
        <v>8.3332999999999995</v>
      </c>
      <c r="Q17" s="137">
        <v>8.3333999999999993</v>
      </c>
      <c r="R17" s="137">
        <v>8.3332999999999995</v>
      </c>
      <c r="S17" s="137">
        <v>8.3332999999999995</v>
      </c>
      <c r="T17" s="137">
        <v>8.3333999999999993</v>
      </c>
      <c r="U17" s="137">
        <v>8.3332999999999995</v>
      </c>
      <c r="V17" s="137">
        <v>8.3332999999999995</v>
      </c>
      <c r="W17" t="b">
        <v>1</v>
      </c>
    </row>
    <row r="18" spans="1:23" x14ac:dyDescent="0.3">
      <c r="A18" s="80">
        <f t="shared" si="0"/>
        <v>0</v>
      </c>
      <c r="B18" s="80">
        <f t="shared" si="1"/>
        <v>0</v>
      </c>
      <c r="C18" s="80">
        <f>IF(OR(MONTHPRF[[#This Row],[Enabled]]=TRUE,MONTHPRF[[#This Row],[Enabled]]=FALSE),0,1)</f>
        <v>0</v>
      </c>
      <c r="D18" s="80">
        <f>IF(LEN(MONTHPRF[[#This Row],[Code]])&lt;100,0,1)</f>
        <v>0</v>
      </c>
      <c r="E18" s="80">
        <f>IF(LEN(MONTHPRF[[#This Row],[Title]])&lt;100,0,1)</f>
        <v>0</v>
      </c>
      <c r="F18" s="80">
        <f>IF(EXACT(MONTHPRF[[#This Row],[Code]],UPPER(MONTHPRF[[#This Row],[Code]])),0,1)</f>
        <v>0</v>
      </c>
      <c r="G18" s="80">
        <f>IF(SUBSTITUTE(TEXT(MONTHPRF[[#This Row],[Code]],10)," ","")=TEXT(MONTHPRF[[#This Row],[Code]],10),0,1)</f>
        <v>0</v>
      </c>
      <c r="H18" s="80">
        <f>SUM(MONTHPRF[[#This Row],[Totals 100]:[Space in Code]])</f>
        <v>0</v>
      </c>
      <c r="I18" t="s">
        <v>1126</v>
      </c>
      <c r="J18" t="s">
        <v>1127</v>
      </c>
      <c r="K18" s="137">
        <v>25</v>
      </c>
      <c r="L18" s="137">
        <v>0</v>
      </c>
      <c r="M18" s="137">
        <v>0</v>
      </c>
      <c r="N18" s="137">
        <v>25</v>
      </c>
      <c r="O18" s="137">
        <v>0</v>
      </c>
      <c r="P18" s="137">
        <v>0</v>
      </c>
      <c r="Q18" s="137">
        <v>25</v>
      </c>
      <c r="R18" s="137">
        <v>0</v>
      </c>
      <c r="S18" s="137">
        <v>0</v>
      </c>
      <c r="T18" s="137">
        <v>25</v>
      </c>
      <c r="U18" s="137">
        <v>0</v>
      </c>
      <c r="V18" s="137">
        <v>0</v>
      </c>
      <c r="W18" t="b">
        <v>1</v>
      </c>
    </row>
    <row r="19" spans="1:23" x14ac:dyDescent="0.3">
      <c r="A19" s="80">
        <f t="shared" si="0"/>
        <v>0</v>
      </c>
      <c r="B19" s="80">
        <f t="shared" si="1"/>
        <v>0</v>
      </c>
      <c r="C19" s="80">
        <f>IF(OR(MONTHPRF[[#This Row],[Enabled]]=TRUE,MONTHPRF[[#This Row],[Enabled]]=FALSE),0,1)</f>
        <v>0</v>
      </c>
      <c r="D19" s="80">
        <f>IF(LEN(MONTHPRF[[#This Row],[Code]])&lt;100,0,1)</f>
        <v>0</v>
      </c>
      <c r="E19" s="80">
        <f>IF(LEN(MONTHPRF[[#This Row],[Title]])&lt;100,0,1)</f>
        <v>0</v>
      </c>
      <c r="F19" s="80">
        <f>IF(EXACT(MONTHPRF[[#This Row],[Code]],UPPER(MONTHPRF[[#This Row],[Code]])),0,1)</f>
        <v>0</v>
      </c>
      <c r="G19" s="80">
        <f>IF(SUBSTITUTE(TEXT(MONTHPRF[[#This Row],[Code]],10)," ","")=TEXT(MONTHPRF[[#This Row],[Code]],10),0,1)</f>
        <v>0</v>
      </c>
      <c r="H19" s="80">
        <f>SUM(MONTHPRF[[#This Row],[Totals 100]:[Space in Code]])</f>
        <v>0</v>
      </c>
      <c r="I19" t="s">
        <v>1128</v>
      </c>
      <c r="J19" t="s">
        <v>1129</v>
      </c>
      <c r="K19" s="137">
        <v>0</v>
      </c>
      <c r="L19" s="137">
        <v>25</v>
      </c>
      <c r="M19" s="137">
        <v>0</v>
      </c>
      <c r="N19" s="137">
        <v>0</v>
      </c>
      <c r="O19" s="137">
        <v>25</v>
      </c>
      <c r="P19" s="137">
        <v>0</v>
      </c>
      <c r="Q19" s="137">
        <v>0</v>
      </c>
      <c r="R19" s="137">
        <v>25</v>
      </c>
      <c r="S19" s="137">
        <v>0</v>
      </c>
      <c r="T19" s="137">
        <v>0</v>
      </c>
      <c r="U19" s="137">
        <v>25</v>
      </c>
      <c r="V19" s="137">
        <v>0</v>
      </c>
      <c r="W19" t="b">
        <v>1</v>
      </c>
    </row>
    <row r="20" spans="1:23" x14ac:dyDescent="0.3">
      <c r="A20" s="80">
        <f t="shared" si="0"/>
        <v>0</v>
      </c>
      <c r="B20" s="80">
        <f t="shared" si="1"/>
        <v>0</v>
      </c>
      <c r="C20" s="80">
        <f>IF(OR(MONTHPRF[[#This Row],[Enabled]]=TRUE,MONTHPRF[[#This Row],[Enabled]]=FALSE),0,1)</f>
        <v>0</v>
      </c>
      <c r="D20" s="80">
        <f>IF(LEN(MONTHPRF[[#This Row],[Code]])&lt;100,0,1)</f>
        <v>0</v>
      </c>
      <c r="E20" s="80">
        <f>IF(LEN(MONTHPRF[[#This Row],[Title]])&lt;100,0,1)</f>
        <v>0</v>
      </c>
      <c r="F20" s="80">
        <f>IF(EXACT(MONTHPRF[[#This Row],[Code]],UPPER(MONTHPRF[[#This Row],[Code]])),0,1)</f>
        <v>0</v>
      </c>
      <c r="G20" s="80">
        <f>IF(SUBSTITUTE(TEXT(MONTHPRF[[#This Row],[Code]],10)," ","")=TEXT(MONTHPRF[[#This Row],[Code]],10),0,1)</f>
        <v>0</v>
      </c>
      <c r="H20" s="80">
        <f>SUM(MONTHPRF[[#This Row],[Totals 100]:[Space in Code]])</f>
        <v>0</v>
      </c>
      <c r="I20" t="s">
        <v>1130</v>
      </c>
      <c r="J20" t="s">
        <v>1131</v>
      </c>
      <c r="K20" s="137">
        <v>0</v>
      </c>
      <c r="L20" s="137">
        <v>0</v>
      </c>
      <c r="M20" s="137">
        <v>25</v>
      </c>
      <c r="N20" s="137">
        <v>0</v>
      </c>
      <c r="O20" s="137">
        <v>0</v>
      </c>
      <c r="P20" s="137">
        <v>25</v>
      </c>
      <c r="Q20" s="137">
        <v>0</v>
      </c>
      <c r="R20" s="137">
        <v>0</v>
      </c>
      <c r="S20" s="137">
        <v>25</v>
      </c>
      <c r="T20" s="137">
        <v>0</v>
      </c>
      <c r="U20" s="137">
        <v>0</v>
      </c>
      <c r="V20" s="137">
        <v>25</v>
      </c>
      <c r="W20" t="b">
        <v>1</v>
      </c>
    </row>
    <row r="21" spans="1:23" x14ac:dyDescent="0.3">
      <c r="A21" s="80">
        <f t="shared" si="0"/>
        <v>0</v>
      </c>
      <c r="B21" s="80">
        <f t="shared" si="1"/>
        <v>0</v>
      </c>
      <c r="C21" s="80">
        <f>IF(OR(MONTHPRF[[#This Row],[Enabled]]=TRUE,MONTHPRF[[#This Row],[Enabled]]=FALSE),0,1)</f>
        <v>0</v>
      </c>
      <c r="D21" s="80">
        <f>IF(LEN(MONTHPRF[[#This Row],[Code]])&lt;100,0,1)</f>
        <v>0</v>
      </c>
      <c r="E21" s="80">
        <f>IF(LEN(MONTHPRF[[#This Row],[Title]])&lt;100,0,1)</f>
        <v>0</v>
      </c>
      <c r="F21" s="80">
        <f>IF(EXACT(MONTHPRF[[#This Row],[Code]],UPPER(MONTHPRF[[#This Row],[Code]])),0,1)</f>
        <v>0</v>
      </c>
      <c r="G21" s="80">
        <f>IF(SUBSTITUTE(TEXT(MONTHPRF[[#This Row],[Code]],10)," ","")=TEXT(MONTHPRF[[#This Row],[Code]],10),0,1)</f>
        <v>0</v>
      </c>
      <c r="H21" s="80">
        <f>SUM(MONTHPRF[[#This Row],[Totals 100]:[Space in Code]])</f>
        <v>0</v>
      </c>
      <c r="I21" t="s">
        <v>1132</v>
      </c>
      <c r="J21" t="s">
        <v>1133</v>
      </c>
      <c r="K21" s="137">
        <v>0</v>
      </c>
      <c r="L21" s="137">
        <v>0</v>
      </c>
      <c r="M21" s="137">
        <v>0</v>
      </c>
      <c r="N21" s="137">
        <v>33.33</v>
      </c>
      <c r="O21" s="137">
        <v>0</v>
      </c>
      <c r="P21" s="137">
        <v>0</v>
      </c>
      <c r="Q21" s="137">
        <v>0</v>
      </c>
      <c r="R21" s="137">
        <v>33.33</v>
      </c>
      <c r="S21" s="137">
        <v>0</v>
      </c>
      <c r="T21" s="137">
        <v>0</v>
      </c>
      <c r="U21" s="137">
        <v>33.340000000000003</v>
      </c>
      <c r="V21" s="137">
        <v>0</v>
      </c>
      <c r="W21" t="b">
        <v>1</v>
      </c>
    </row>
    <row r="22" spans="1:23" x14ac:dyDescent="0.3">
      <c r="A22" s="80">
        <f>IF(SUM(K22:V22)=100,0,1)</f>
        <v>0</v>
      </c>
      <c r="B22" s="80">
        <f>COUNTBLANK(I22:W22)</f>
        <v>0</v>
      </c>
      <c r="C22" s="80">
        <f>IF(OR(MONTHPRF[[#This Row],[Enabled]]=TRUE,MONTHPRF[[#This Row],[Enabled]]=FALSE),0,1)</f>
        <v>0</v>
      </c>
      <c r="D22" s="80">
        <f>IF(LEN(MONTHPRF[[#This Row],[Code]])&lt;100,0,1)</f>
        <v>0</v>
      </c>
      <c r="E22" s="80">
        <f>IF(LEN(MONTHPRF[[#This Row],[Title]])&lt;100,0,1)</f>
        <v>0</v>
      </c>
      <c r="F22" s="80">
        <f>IF(EXACT(MONTHPRF[[#This Row],[Code]],UPPER(MONTHPRF[[#This Row],[Code]])),0,1)</f>
        <v>0</v>
      </c>
      <c r="G22" s="80">
        <f>IF(SUBSTITUTE(TEXT(MONTHPRF[[#This Row],[Code]],10)," ","")=TEXT(MONTHPRF[[#This Row],[Code]],10),0,1)</f>
        <v>0</v>
      </c>
      <c r="H22" s="80">
        <f>SUM(MONTHPRF[[#This Row],[Totals 100]:[Space in Code]])</f>
        <v>0</v>
      </c>
      <c r="I22" t="s">
        <v>1713</v>
      </c>
      <c r="J22" t="s">
        <v>1712</v>
      </c>
      <c r="K22" s="137">
        <v>7</v>
      </c>
      <c r="L22" s="137">
        <v>9</v>
      </c>
      <c r="M22" s="137">
        <v>11</v>
      </c>
      <c r="N22" s="137">
        <v>13</v>
      </c>
      <c r="O22" s="137">
        <v>18</v>
      </c>
      <c r="P22" s="137">
        <v>17</v>
      </c>
      <c r="Q22" s="137">
        <v>8</v>
      </c>
      <c r="R22" s="137">
        <v>5</v>
      </c>
      <c r="S22" s="137">
        <v>4</v>
      </c>
      <c r="T22" s="137">
        <v>4</v>
      </c>
      <c r="U22" s="137">
        <v>3</v>
      </c>
      <c r="V22" s="137">
        <v>1</v>
      </c>
      <c r="W22" t="b">
        <v>1</v>
      </c>
    </row>
    <row r="23" spans="1:23" x14ac:dyDescent="0.3">
      <c r="A23" s="80">
        <f>IF(SUM(K23:V23)=100,0,1)</f>
        <v>0</v>
      </c>
      <c r="B23" s="80">
        <f>COUNTBLANK(I23:W23)</f>
        <v>0</v>
      </c>
      <c r="C23" s="80">
        <f>IF(OR(MONTHPRF[[#This Row],[Enabled]]=TRUE,MONTHPRF[[#This Row],[Enabled]]=FALSE),0,1)</f>
        <v>0</v>
      </c>
      <c r="D23" s="80">
        <f>IF(LEN(MONTHPRF[[#This Row],[Code]])&lt;100,0,1)</f>
        <v>0</v>
      </c>
      <c r="E23" s="80">
        <f>IF(LEN(MONTHPRF[[#This Row],[Title]])&lt;100,0,1)</f>
        <v>0</v>
      </c>
      <c r="F23" s="80">
        <f>IF(EXACT(MONTHPRF[[#This Row],[Code]],UPPER(MONTHPRF[[#This Row],[Code]])),0,1)</f>
        <v>0</v>
      </c>
      <c r="G23" s="80">
        <f>IF(SUBSTITUTE(TEXT(MONTHPRF[[#This Row],[Code]],10)," ","")=TEXT(MONTHPRF[[#This Row],[Code]],10),0,1)</f>
        <v>0</v>
      </c>
      <c r="H23" s="80">
        <f>SUM(MONTHPRF[[#This Row],[Totals 100]:[Space in Code]])</f>
        <v>0</v>
      </c>
      <c r="I23" t="s">
        <v>1839</v>
      </c>
      <c r="J23" t="s">
        <v>1840</v>
      </c>
      <c r="K23" s="137">
        <v>33.333399999999997</v>
      </c>
      <c r="L23" s="137">
        <v>0</v>
      </c>
      <c r="M23" s="137">
        <v>0</v>
      </c>
      <c r="N23" s="137">
        <v>33.333300000000001</v>
      </c>
      <c r="O23" s="137">
        <v>0</v>
      </c>
      <c r="P23" s="137">
        <v>0</v>
      </c>
      <c r="Q23" s="137">
        <v>33.333300000000001</v>
      </c>
      <c r="R23" s="137">
        <v>0</v>
      </c>
      <c r="S23" s="137">
        <v>0</v>
      </c>
      <c r="T23" s="137">
        <v>0</v>
      </c>
      <c r="U23" s="137">
        <v>0</v>
      </c>
      <c r="V23" s="137">
        <v>0</v>
      </c>
      <c r="W23" t="b">
        <v>1</v>
      </c>
    </row>
    <row r="24" spans="1:23" x14ac:dyDescent="0.3">
      <c r="A24" s="80">
        <f>IF(SUM(K24:V24)=100,0,1)</f>
        <v>0</v>
      </c>
      <c r="B24" s="80">
        <f>COUNTBLANK(I24:W24)</f>
        <v>0</v>
      </c>
      <c r="C24" s="80">
        <f>IF(OR(MONTHPRF[[#This Row],[Enabled]]=TRUE,MONTHPRF[[#This Row],[Enabled]]=FALSE),0,1)</f>
        <v>0</v>
      </c>
      <c r="D24" s="80">
        <f>IF(LEN(MONTHPRF[[#This Row],[Code]])&lt;100,0,1)</f>
        <v>0</v>
      </c>
      <c r="E24" s="80">
        <f>IF(LEN(MONTHPRF[[#This Row],[Title]])&lt;100,0,1)</f>
        <v>0</v>
      </c>
      <c r="F24" s="80">
        <f>IF(EXACT(MONTHPRF[[#This Row],[Code]],UPPER(MONTHPRF[[#This Row],[Code]])),0,1)</f>
        <v>0</v>
      </c>
      <c r="G24" s="80">
        <f>IF(SUBSTITUTE(TEXT(MONTHPRF[[#This Row],[Code]],10)," ","")=TEXT(MONTHPRF[[#This Row],[Code]],10),0,1)</f>
        <v>0</v>
      </c>
      <c r="H24" s="80">
        <f>SUM(MONTHPRF[[#This Row],[Totals 100]:[Space in Code]])</f>
        <v>0</v>
      </c>
      <c r="I24" t="s">
        <v>1924</v>
      </c>
      <c r="J24" t="s">
        <v>1925</v>
      </c>
      <c r="K24" s="137">
        <v>10</v>
      </c>
      <c r="L24" s="137">
        <v>10</v>
      </c>
      <c r="M24" s="137">
        <v>10</v>
      </c>
      <c r="N24" s="137">
        <v>10</v>
      </c>
      <c r="O24" s="137">
        <v>10</v>
      </c>
      <c r="P24" s="137">
        <v>10</v>
      </c>
      <c r="Q24" s="137">
        <v>10</v>
      </c>
      <c r="R24" s="137">
        <v>10</v>
      </c>
      <c r="S24" s="137">
        <v>10</v>
      </c>
      <c r="T24" s="137">
        <v>10</v>
      </c>
      <c r="U24" s="137">
        <v>0</v>
      </c>
      <c r="V24" s="137">
        <v>0</v>
      </c>
      <c r="W24" t="b">
        <v>1</v>
      </c>
    </row>
  </sheetData>
  <phoneticPr fontId="2" type="noConversion"/>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17853-CDF4-4F43-B9E9-52AD860D634E}">
  <sheetPr codeName="Sheet18">
    <tabColor theme="0"/>
  </sheetPr>
  <dimension ref="A1:M175"/>
  <sheetViews>
    <sheetView workbookViewId="0">
      <pane ySplit="1" topLeftCell="A128" activePane="bottomLeft" state="frozen"/>
      <selection pane="bottomLeft" activeCell="E166" sqref="E166"/>
    </sheetView>
  </sheetViews>
  <sheetFormatPr defaultColWidth="9.33203125" defaultRowHeight="14.4" x14ac:dyDescent="0.3"/>
  <cols>
    <col min="1" max="1" width="12.44140625" bestFit="1" customWidth="1"/>
    <col min="2" max="2" width="14.5546875" bestFit="1" customWidth="1"/>
    <col min="4" max="4" width="19.88671875" bestFit="1" customWidth="1"/>
    <col min="5" max="5" width="14" bestFit="1" customWidth="1"/>
    <col min="6" max="6" width="9.33203125" customWidth="1"/>
    <col min="7" max="7" width="43.5546875" bestFit="1" customWidth="1"/>
    <col min="8" max="10" width="10.109375" style="36" bestFit="1" customWidth="1"/>
    <col min="11" max="13" width="10.109375" bestFit="1" customWidth="1"/>
  </cols>
  <sheetData>
    <row r="1" spans="1:13" x14ac:dyDescent="0.3">
      <c r="A1" s="32" t="s">
        <v>43</v>
      </c>
      <c r="B1" s="32" t="s">
        <v>1407</v>
      </c>
      <c r="C1" s="32" t="s">
        <v>1408</v>
      </c>
      <c r="D1" s="32" t="s">
        <v>41</v>
      </c>
      <c r="E1" s="32" t="s">
        <v>1409</v>
      </c>
      <c r="F1" s="32" t="s">
        <v>34</v>
      </c>
      <c r="G1" s="32" t="s">
        <v>1383</v>
      </c>
      <c r="H1" s="48" t="s">
        <v>1394</v>
      </c>
      <c r="I1" s="48" t="s">
        <v>1410</v>
      </c>
      <c r="J1" s="48" t="s">
        <v>1497</v>
      </c>
      <c r="K1" s="32" t="s">
        <v>1499</v>
      </c>
      <c r="L1" s="32" t="s">
        <v>1931</v>
      </c>
      <c r="M1" s="32" t="s">
        <v>2411</v>
      </c>
    </row>
    <row r="2" spans="1:13" x14ac:dyDescent="0.3">
      <c r="A2" t="s">
        <v>1548</v>
      </c>
      <c r="B2" t="s">
        <v>1413</v>
      </c>
      <c r="C2" s="31"/>
      <c r="D2" s="27" t="s">
        <v>937</v>
      </c>
      <c r="E2" s="27" t="s">
        <v>51</v>
      </c>
      <c r="F2" s="27" t="s">
        <v>51</v>
      </c>
      <c r="G2" s="27" t="s">
        <v>1428</v>
      </c>
      <c r="H2" s="37"/>
      <c r="I2" s="37"/>
      <c r="J2" s="37"/>
      <c r="K2" s="37"/>
      <c r="L2" s="37"/>
      <c r="M2" s="37"/>
    </row>
    <row r="3" spans="1:13" x14ac:dyDescent="0.3">
      <c r="A3" t="s">
        <v>1548</v>
      </c>
      <c r="B3" t="s">
        <v>1413</v>
      </c>
      <c r="C3" s="31"/>
      <c r="D3" s="27" t="s">
        <v>933</v>
      </c>
      <c r="E3" s="27" t="s">
        <v>51</v>
      </c>
      <c r="F3" s="27" t="s">
        <v>51</v>
      </c>
      <c r="G3" s="27" t="s">
        <v>1607</v>
      </c>
      <c r="H3" s="37"/>
      <c r="I3" s="37"/>
      <c r="J3" s="37"/>
      <c r="K3" s="37"/>
      <c r="L3" s="37"/>
      <c r="M3" s="37"/>
    </row>
    <row r="4" spans="1:13" x14ac:dyDescent="0.3">
      <c r="A4" t="s">
        <v>1548</v>
      </c>
      <c r="B4" t="s">
        <v>1413</v>
      </c>
      <c r="C4" s="31"/>
      <c r="D4" s="27" t="s">
        <v>939</v>
      </c>
      <c r="E4" s="27" t="s">
        <v>51</v>
      </c>
      <c r="F4" s="27" t="s">
        <v>51</v>
      </c>
      <c r="G4" s="27" t="s">
        <v>1429</v>
      </c>
      <c r="H4" s="37"/>
      <c r="I4" s="37"/>
      <c r="J4" s="37"/>
      <c r="K4" s="37"/>
      <c r="L4" s="37"/>
      <c r="M4" s="37"/>
    </row>
    <row r="5" spans="1:13" x14ac:dyDescent="0.3">
      <c r="A5" t="s">
        <v>1548</v>
      </c>
      <c r="B5" t="s">
        <v>1413</v>
      </c>
      <c r="C5" s="31"/>
      <c r="D5" s="27" t="s">
        <v>935</v>
      </c>
      <c r="E5" s="27" t="s">
        <v>51</v>
      </c>
      <c r="F5" s="27" t="s">
        <v>51</v>
      </c>
      <c r="G5" s="27" t="s">
        <v>936</v>
      </c>
      <c r="H5" s="37"/>
      <c r="I5" s="37"/>
      <c r="J5" s="37"/>
      <c r="K5" s="37"/>
      <c r="L5" s="37"/>
      <c r="M5" s="37"/>
    </row>
    <row r="6" spans="1:13" x14ac:dyDescent="0.3">
      <c r="A6" t="s">
        <v>1548</v>
      </c>
      <c r="B6" t="s">
        <v>1411</v>
      </c>
      <c r="C6" s="31"/>
      <c r="D6" s="27" t="s">
        <v>941</v>
      </c>
      <c r="E6" s="27" t="s">
        <v>51</v>
      </c>
      <c r="F6" s="27" t="s">
        <v>51</v>
      </c>
      <c r="G6" s="27" t="s">
        <v>1412</v>
      </c>
      <c r="H6" s="37"/>
      <c r="I6" s="37"/>
      <c r="J6" s="37"/>
      <c r="K6" s="37"/>
      <c r="L6" s="37"/>
      <c r="M6" s="37"/>
    </row>
    <row r="7" spans="1:13" x14ac:dyDescent="0.3">
      <c r="A7" t="s">
        <v>1548</v>
      </c>
      <c r="B7" t="s">
        <v>1413</v>
      </c>
      <c r="C7" s="31"/>
      <c r="D7" s="27" t="s">
        <v>943</v>
      </c>
      <c r="E7" s="27" t="s">
        <v>51</v>
      </c>
      <c r="F7" s="27" t="s">
        <v>51</v>
      </c>
      <c r="G7" s="27" t="s">
        <v>1414</v>
      </c>
      <c r="H7" s="37"/>
      <c r="I7" s="37"/>
      <c r="J7" s="37"/>
      <c r="K7" s="37"/>
      <c r="L7" s="37"/>
      <c r="M7" s="37"/>
    </row>
    <row r="8" spans="1:13" x14ac:dyDescent="0.3">
      <c r="A8" t="s">
        <v>1548</v>
      </c>
      <c r="B8" t="s">
        <v>1413</v>
      </c>
      <c r="C8" s="31"/>
      <c r="D8" s="27" t="s">
        <v>945</v>
      </c>
      <c r="E8" s="27" t="s">
        <v>51</v>
      </c>
      <c r="F8" s="27" t="s">
        <v>51</v>
      </c>
      <c r="G8" s="27" t="s">
        <v>1415</v>
      </c>
      <c r="H8" s="37"/>
      <c r="I8" s="37"/>
      <c r="J8" s="37"/>
      <c r="K8" s="37"/>
      <c r="L8" s="37"/>
      <c r="M8" s="37"/>
    </row>
    <row r="9" spans="1:13" x14ac:dyDescent="0.3">
      <c r="A9" t="s">
        <v>1548</v>
      </c>
      <c r="B9" t="s">
        <v>1413</v>
      </c>
      <c r="C9" s="31"/>
      <c r="D9" s="27" t="s">
        <v>947</v>
      </c>
      <c r="E9" s="27" t="s">
        <v>51</v>
      </c>
      <c r="F9" s="27" t="s">
        <v>51</v>
      </c>
      <c r="G9" s="27" t="s">
        <v>1416</v>
      </c>
      <c r="H9" s="37"/>
      <c r="I9" s="37"/>
      <c r="J9" s="37"/>
      <c r="K9" s="37"/>
      <c r="L9" s="37"/>
      <c r="M9" s="37"/>
    </row>
    <row r="10" spans="1:13" x14ac:dyDescent="0.3">
      <c r="A10" t="s">
        <v>1548</v>
      </c>
      <c r="B10" t="s">
        <v>1413</v>
      </c>
      <c r="C10" s="31"/>
      <c r="D10" s="27" t="s">
        <v>949</v>
      </c>
      <c r="E10" s="27" t="s">
        <v>51</v>
      </c>
      <c r="F10" s="27" t="s">
        <v>51</v>
      </c>
      <c r="G10" s="27" t="s">
        <v>1417</v>
      </c>
      <c r="H10" s="37"/>
      <c r="I10" s="37"/>
      <c r="J10" s="37"/>
      <c r="K10" s="37"/>
      <c r="L10" s="37"/>
      <c r="M10" s="37"/>
    </row>
    <row r="11" spans="1:13" x14ac:dyDescent="0.3">
      <c r="A11" t="s">
        <v>1548</v>
      </c>
      <c r="B11" t="s">
        <v>1413</v>
      </c>
      <c r="C11" s="31"/>
      <c r="D11" s="27" t="s">
        <v>951</v>
      </c>
      <c r="E11" s="27" t="s">
        <v>51</v>
      </c>
      <c r="F11" s="27" t="s">
        <v>51</v>
      </c>
      <c r="G11" s="27" t="s">
        <v>1418</v>
      </c>
      <c r="H11" s="37"/>
      <c r="I11" s="37"/>
      <c r="J11" s="37"/>
      <c r="K11" s="37"/>
      <c r="L11" s="37"/>
      <c r="M11" s="37"/>
    </row>
    <row r="12" spans="1:13" x14ac:dyDescent="0.3">
      <c r="A12" t="s">
        <v>1548</v>
      </c>
      <c r="B12" t="s">
        <v>1413</v>
      </c>
      <c r="C12" s="31"/>
      <c r="D12" s="27" t="s">
        <v>953</v>
      </c>
      <c r="E12" s="27" t="s">
        <v>51</v>
      </c>
      <c r="F12" s="27" t="s">
        <v>51</v>
      </c>
      <c r="G12" s="27" t="s">
        <v>1419</v>
      </c>
      <c r="H12" s="37"/>
      <c r="I12" s="37"/>
      <c r="J12" s="37"/>
      <c r="K12" s="37"/>
      <c r="L12" s="37"/>
      <c r="M12" s="37"/>
    </row>
    <row r="13" spans="1:13" x14ac:dyDescent="0.3">
      <c r="A13" t="s">
        <v>1548</v>
      </c>
      <c r="B13" t="s">
        <v>1413</v>
      </c>
      <c r="C13" s="31"/>
      <c r="D13" s="27" t="s">
        <v>955</v>
      </c>
      <c r="E13" s="27" t="s">
        <v>51</v>
      </c>
      <c r="F13" s="27" t="s">
        <v>51</v>
      </c>
      <c r="G13" s="27" t="s">
        <v>1420</v>
      </c>
      <c r="H13" s="37"/>
      <c r="I13" s="37"/>
      <c r="J13" s="37"/>
      <c r="K13" s="37"/>
      <c r="L13" s="37"/>
      <c r="M13" s="37"/>
    </row>
    <row r="14" spans="1:13" x14ac:dyDescent="0.3">
      <c r="A14" t="s">
        <v>1548</v>
      </c>
      <c r="B14" t="s">
        <v>1413</v>
      </c>
      <c r="C14" s="31"/>
      <c r="D14" s="27" t="s">
        <v>957</v>
      </c>
      <c r="E14" s="27" t="s">
        <v>51</v>
      </c>
      <c r="F14" s="27" t="s">
        <v>51</v>
      </c>
      <c r="G14" s="27" t="s">
        <v>1421</v>
      </c>
      <c r="H14" s="37"/>
      <c r="I14" s="37"/>
      <c r="J14" s="37"/>
      <c r="K14" s="37"/>
      <c r="L14" s="37"/>
      <c r="M14" s="37"/>
    </row>
    <row r="15" spans="1:13" x14ac:dyDescent="0.3">
      <c r="A15" t="s">
        <v>1548</v>
      </c>
      <c r="B15" t="s">
        <v>1413</v>
      </c>
      <c r="C15" s="31"/>
      <c r="D15" s="27" t="s">
        <v>959</v>
      </c>
      <c r="E15" s="27" t="s">
        <v>51</v>
      </c>
      <c r="F15" s="27" t="s">
        <v>51</v>
      </c>
      <c r="G15" s="27" t="s">
        <v>1422</v>
      </c>
      <c r="H15" s="37"/>
      <c r="I15" s="37"/>
      <c r="J15" s="37"/>
      <c r="K15" s="37"/>
      <c r="L15" s="37"/>
      <c r="M15" s="37"/>
    </row>
    <row r="16" spans="1:13" x14ac:dyDescent="0.3">
      <c r="A16" t="s">
        <v>1548</v>
      </c>
      <c r="B16" t="s">
        <v>1413</v>
      </c>
      <c r="C16" s="31"/>
      <c r="D16" s="27" t="s">
        <v>961</v>
      </c>
      <c r="E16" s="27" t="s">
        <v>51</v>
      </c>
      <c r="F16" s="27" t="s">
        <v>51</v>
      </c>
      <c r="G16" s="27" t="s">
        <v>1423</v>
      </c>
      <c r="H16" s="37"/>
      <c r="I16" s="37"/>
      <c r="J16" s="37"/>
      <c r="K16" s="37"/>
      <c r="L16" s="37"/>
      <c r="M16" s="37"/>
    </row>
    <row r="17" spans="1:13" x14ac:dyDescent="0.3">
      <c r="A17" t="s">
        <v>1548</v>
      </c>
      <c r="B17" t="s">
        <v>1413</v>
      </c>
      <c r="C17" s="31"/>
      <c r="D17" s="27" t="s">
        <v>963</v>
      </c>
      <c r="E17" s="27" t="s">
        <v>51</v>
      </c>
      <c r="F17" s="27" t="s">
        <v>51</v>
      </c>
      <c r="G17" s="27" t="s">
        <v>1424</v>
      </c>
      <c r="H17" s="37"/>
      <c r="I17" s="37"/>
      <c r="J17" s="37"/>
      <c r="K17" s="37"/>
      <c r="L17" s="37"/>
      <c r="M17" s="37"/>
    </row>
    <row r="18" spans="1:13" x14ac:dyDescent="0.3">
      <c r="A18" t="s">
        <v>1548</v>
      </c>
      <c r="B18" t="s">
        <v>1413</v>
      </c>
      <c r="C18" s="31"/>
      <c r="D18" s="27" t="s">
        <v>965</v>
      </c>
      <c r="E18" s="27" t="s">
        <v>51</v>
      </c>
      <c r="F18" s="27" t="s">
        <v>51</v>
      </c>
      <c r="G18" s="27" t="s">
        <v>1425</v>
      </c>
      <c r="H18" s="37"/>
      <c r="I18" s="37"/>
      <c r="J18" s="37"/>
      <c r="K18" s="37"/>
      <c r="L18" s="37"/>
      <c r="M18" s="37"/>
    </row>
    <row r="19" spans="1:13" x14ac:dyDescent="0.3">
      <c r="A19" t="s">
        <v>1548</v>
      </c>
      <c r="B19" t="s">
        <v>1411</v>
      </c>
      <c r="C19" s="31"/>
      <c r="D19" s="27" t="s">
        <v>967</v>
      </c>
      <c r="E19" s="27" t="s">
        <v>51</v>
      </c>
      <c r="F19" s="27" t="s">
        <v>51</v>
      </c>
      <c r="G19" s="27" t="s">
        <v>1426</v>
      </c>
      <c r="H19" s="37"/>
      <c r="I19" s="37"/>
      <c r="J19" s="37"/>
      <c r="K19" s="37"/>
      <c r="L19" s="37"/>
      <c r="M19" s="37"/>
    </row>
    <row r="20" spans="1:13" x14ac:dyDescent="0.3">
      <c r="A20" t="s">
        <v>1548</v>
      </c>
      <c r="B20" t="s">
        <v>1411</v>
      </c>
      <c r="C20" s="31"/>
      <c r="D20" s="27" t="s">
        <v>969</v>
      </c>
      <c r="E20" s="27" t="s">
        <v>51</v>
      </c>
      <c r="F20" s="27" t="s">
        <v>51</v>
      </c>
      <c r="G20" s="27" t="s">
        <v>1427</v>
      </c>
      <c r="H20" s="37"/>
      <c r="I20" s="37"/>
      <c r="J20" s="37"/>
      <c r="K20" s="37"/>
      <c r="L20" s="37"/>
      <c r="M20" s="37"/>
    </row>
    <row r="21" spans="1:13" x14ac:dyDescent="0.3">
      <c r="A21" t="s">
        <v>1548</v>
      </c>
      <c r="B21" t="s">
        <v>1411</v>
      </c>
      <c r="C21" s="31"/>
      <c r="D21" s="27" t="s">
        <v>1501</v>
      </c>
      <c r="E21" s="27" t="s">
        <v>51</v>
      </c>
      <c r="F21" s="27" t="s">
        <v>51</v>
      </c>
      <c r="G21" s="27" t="s">
        <v>1590</v>
      </c>
      <c r="H21" s="37"/>
      <c r="I21" s="37"/>
      <c r="J21" s="37"/>
      <c r="K21" s="37"/>
      <c r="L21" s="37"/>
      <c r="M21" s="37"/>
    </row>
    <row r="22" spans="1:13" x14ac:dyDescent="0.3">
      <c r="A22" t="s">
        <v>1548</v>
      </c>
      <c r="B22" t="s">
        <v>1413</v>
      </c>
      <c r="C22" s="31"/>
      <c r="D22" s="27" t="s">
        <v>1528</v>
      </c>
      <c r="E22" s="27" t="s">
        <v>51</v>
      </c>
      <c r="F22" s="27" t="s">
        <v>51</v>
      </c>
      <c r="G22" s="27" t="s">
        <v>1530</v>
      </c>
      <c r="H22" s="37"/>
      <c r="I22" s="37"/>
      <c r="J22" s="37"/>
      <c r="K22" s="37"/>
      <c r="L22" s="37"/>
      <c r="M22" s="37"/>
    </row>
    <row r="23" spans="1:13" x14ac:dyDescent="0.3">
      <c r="A23" t="s">
        <v>1548</v>
      </c>
      <c r="B23" t="s">
        <v>1413</v>
      </c>
      <c r="C23" s="31"/>
      <c r="D23" s="27" t="s">
        <v>1523</v>
      </c>
      <c r="E23" s="27" t="s">
        <v>51</v>
      </c>
      <c r="F23" s="27" t="s">
        <v>51</v>
      </c>
      <c r="G23" s="27" t="s">
        <v>1531</v>
      </c>
      <c r="H23" s="37"/>
      <c r="I23" s="37"/>
      <c r="J23" s="37"/>
      <c r="K23" s="37"/>
      <c r="L23" s="37"/>
      <c r="M23" s="37"/>
    </row>
    <row r="24" spans="1:13" x14ac:dyDescent="0.3">
      <c r="A24" t="s">
        <v>1548</v>
      </c>
      <c r="B24" t="s">
        <v>1413</v>
      </c>
      <c r="C24" s="31"/>
      <c r="D24" s="27" t="s">
        <v>1524</v>
      </c>
      <c r="E24" s="27" t="s">
        <v>51</v>
      </c>
      <c r="F24" s="27" t="s">
        <v>51</v>
      </c>
      <c r="G24" s="27" t="s">
        <v>1532</v>
      </c>
      <c r="H24" s="37"/>
      <c r="I24" s="37"/>
      <c r="J24" s="37"/>
      <c r="K24" s="37"/>
      <c r="L24" s="37"/>
      <c r="M24" s="37"/>
    </row>
    <row r="25" spans="1:13" x14ac:dyDescent="0.3">
      <c r="A25" t="s">
        <v>1548</v>
      </c>
      <c r="B25" t="s">
        <v>1413</v>
      </c>
      <c r="C25" s="31"/>
      <c r="D25" s="27" t="s">
        <v>1525</v>
      </c>
      <c r="E25" s="27" t="s">
        <v>51</v>
      </c>
      <c r="F25" s="27" t="s">
        <v>51</v>
      </c>
      <c r="G25" s="27" t="s">
        <v>1533</v>
      </c>
      <c r="H25" s="37"/>
      <c r="I25" s="37"/>
      <c r="J25" s="37"/>
      <c r="K25" s="37"/>
      <c r="L25" s="37"/>
      <c r="M25" s="37"/>
    </row>
    <row r="26" spans="1:13" x14ac:dyDescent="0.3">
      <c r="A26" t="s">
        <v>1548</v>
      </c>
      <c r="B26" t="s">
        <v>1413</v>
      </c>
      <c r="C26" s="31"/>
      <c r="D26" s="27" t="s">
        <v>1526</v>
      </c>
      <c r="E26" s="27" t="s">
        <v>51</v>
      </c>
      <c r="F26" s="27" t="s">
        <v>51</v>
      </c>
      <c r="G26" s="27" t="s">
        <v>1534</v>
      </c>
      <c r="H26" s="37"/>
      <c r="I26" s="37"/>
      <c r="J26" s="37"/>
      <c r="K26" s="37"/>
      <c r="L26" s="37"/>
      <c r="M26" s="37"/>
    </row>
    <row r="27" spans="1:13" x14ac:dyDescent="0.3">
      <c r="A27" t="s">
        <v>1548</v>
      </c>
      <c r="B27" t="s">
        <v>1413</v>
      </c>
      <c r="C27" s="31"/>
      <c r="D27" s="27" t="s">
        <v>1527</v>
      </c>
      <c r="E27" s="27" t="s">
        <v>51</v>
      </c>
      <c r="F27" s="27" t="s">
        <v>51</v>
      </c>
      <c r="G27" s="27" t="s">
        <v>1535</v>
      </c>
      <c r="H27" s="37"/>
      <c r="I27" s="37"/>
      <c r="J27" s="37"/>
      <c r="K27" s="37"/>
      <c r="L27" s="37"/>
      <c r="M27" s="37"/>
    </row>
    <row r="28" spans="1:13" x14ac:dyDescent="0.3">
      <c r="A28" t="s">
        <v>1548</v>
      </c>
      <c r="B28" t="s">
        <v>1413</v>
      </c>
      <c r="C28" s="31"/>
      <c r="D28" s="27" t="s">
        <v>1522</v>
      </c>
      <c r="E28" s="27" t="s">
        <v>51</v>
      </c>
      <c r="F28" s="27" t="s">
        <v>51</v>
      </c>
      <c r="G28" s="27" t="s">
        <v>1529</v>
      </c>
      <c r="H28" s="37"/>
      <c r="I28" s="37"/>
      <c r="J28" s="37"/>
      <c r="K28" s="37"/>
      <c r="L28" s="37"/>
      <c r="M28" s="37"/>
    </row>
    <row r="29" spans="1:13" x14ac:dyDescent="0.3">
      <c r="A29" t="s">
        <v>1548</v>
      </c>
      <c r="B29" t="s">
        <v>1413</v>
      </c>
      <c r="C29" s="31"/>
      <c r="D29" s="27" t="s">
        <v>1554</v>
      </c>
      <c r="E29" s="27" t="s">
        <v>51</v>
      </c>
      <c r="F29" s="27" t="s">
        <v>51</v>
      </c>
      <c r="G29" s="27" t="s">
        <v>1555</v>
      </c>
      <c r="H29" s="37"/>
      <c r="I29" s="37"/>
      <c r="J29" s="37"/>
      <c r="K29" s="37"/>
      <c r="L29" s="37"/>
      <c r="M29" s="37"/>
    </row>
    <row r="30" spans="1:13" x14ac:dyDescent="0.3">
      <c r="A30" t="s">
        <v>1548</v>
      </c>
      <c r="B30" t="s">
        <v>1413</v>
      </c>
      <c r="C30" s="31"/>
      <c r="D30" s="27" t="s">
        <v>1556</v>
      </c>
      <c r="E30" s="27" t="s">
        <v>51</v>
      </c>
      <c r="F30" s="27" t="s">
        <v>51</v>
      </c>
      <c r="G30" s="27" t="s">
        <v>1557</v>
      </c>
      <c r="H30" s="37"/>
      <c r="I30" s="37"/>
      <c r="J30" s="37"/>
      <c r="K30" s="37"/>
      <c r="L30" s="37"/>
      <c r="M30" s="37"/>
    </row>
    <row r="31" spans="1:13" x14ac:dyDescent="0.3">
      <c r="A31" t="s">
        <v>1548</v>
      </c>
      <c r="B31" t="s">
        <v>1413</v>
      </c>
      <c r="C31" s="31"/>
      <c r="D31" s="27" t="s">
        <v>971</v>
      </c>
      <c r="E31" s="27" t="s">
        <v>51</v>
      </c>
      <c r="F31" s="27" t="s">
        <v>51</v>
      </c>
      <c r="G31" s="27" t="s">
        <v>1430</v>
      </c>
      <c r="H31" s="37"/>
      <c r="I31" s="37"/>
      <c r="J31" s="37"/>
      <c r="K31" s="37"/>
      <c r="L31" s="37"/>
      <c r="M31" s="37"/>
    </row>
    <row r="32" spans="1:13" x14ac:dyDescent="0.3">
      <c r="A32" t="s">
        <v>1548</v>
      </c>
      <c r="B32" t="s">
        <v>1413</v>
      </c>
      <c r="C32" s="31"/>
      <c r="D32" s="27" t="s">
        <v>973</v>
      </c>
      <c r="E32" s="27" t="s">
        <v>51</v>
      </c>
      <c r="F32" s="27" t="s">
        <v>51</v>
      </c>
      <c r="G32" s="27" t="s">
        <v>1431</v>
      </c>
      <c r="H32" s="37"/>
      <c r="I32" s="37"/>
      <c r="J32" s="37"/>
      <c r="K32" s="37"/>
      <c r="L32" s="37"/>
      <c r="M32" s="37"/>
    </row>
    <row r="33" spans="1:13" x14ac:dyDescent="0.3">
      <c r="A33" t="s">
        <v>1548</v>
      </c>
      <c r="B33" t="s">
        <v>1413</v>
      </c>
      <c r="C33" s="31"/>
      <c r="D33" s="27" t="s">
        <v>1941</v>
      </c>
      <c r="E33" s="27" t="s">
        <v>51</v>
      </c>
      <c r="F33" s="27" t="s">
        <v>51</v>
      </c>
      <c r="G33" s="27" t="s">
        <v>1951</v>
      </c>
      <c r="H33" s="37"/>
      <c r="I33" s="37"/>
      <c r="J33" s="37"/>
      <c r="K33" s="37"/>
      <c r="L33" s="37"/>
      <c r="M33" s="37"/>
    </row>
    <row r="34" spans="1:13" x14ac:dyDescent="0.3">
      <c r="A34" t="s">
        <v>1548</v>
      </c>
      <c r="B34" t="s">
        <v>1413</v>
      </c>
      <c r="C34" s="31"/>
      <c r="D34" s="27" t="s">
        <v>975</v>
      </c>
      <c r="E34" s="27" t="s">
        <v>51</v>
      </c>
      <c r="F34" s="27" t="s">
        <v>51</v>
      </c>
      <c r="G34" s="27" t="s">
        <v>1432</v>
      </c>
      <c r="H34" s="37"/>
      <c r="I34" s="37"/>
      <c r="J34" s="37"/>
      <c r="K34" s="37"/>
      <c r="L34" s="37"/>
      <c r="M34" s="37"/>
    </row>
    <row r="35" spans="1:13" x14ac:dyDescent="0.3">
      <c r="A35" t="s">
        <v>858</v>
      </c>
      <c r="B35" t="s">
        <v>1413</v>
      </c>
      <c r="C35" s="31"/>
      <c r="D35" s="27" t="s">
        <v>939</v>
      </c>
      <c r="E35" s="27" t="s">
        <v>51</v>
      </c>
      <c r="F35" s="27" t="s">
        <v>51</v>
      </c>
      <c r="G35" s="27" t="s">
        <v>1429</v>
      </c>
      <c r="H35" s="37"/>
      <c r="I35" s="37"/>
      <c r="J35" s="37"/>
      <c r="K35" s="37"/>
      <c r="L35" s="37"/>
      <c r="M35" s="37"/>
    </row>
    <row r="36" spans="1:13" x14ac:dyDescent="0.3">
      <c r="A36" t="s">
        <v>858</v>
      </c>
      <c r="B36" t="s">
        <v>1413</v>
      </c>
      <c r="C36" s="31"/>
      <c r="D36" s="27" t="s">
        <v>935</v>
      </c>
      <c r="E36" s="27" t="s">
        <v>51</v>
      </c>
      <c r="F36" s="27" t="s">
        <v>51</v>
      </c>
      <c r="G36" s="27" t="s">
        <v>936</v>
      </c>
      <c r="H36" s="37"/>
      <c r="I36" s="37"/>
      <c r="J36" s="37"/>
      <c r="K36" s="37"/>
      <c r="L36" s="37"/>
      <c r="M36" s="37"/>
    </row>
    <row r="37" spans="1:13" x14ac:dyDescent="0.3">
      <c r="A37" t="s">
        <v>858</v>
      </c>
      <c r="B37" t="s">
        <v>1411</v>
      </c>
      <c r="C37" s="31"/>
      <c r="D37" s="27" t="s">
        <v>941</v>
      </c>
      <c r="E37" s="27" t="s">
        <v>51</v>
      </c>
      <c r="F37" s="27" t="s">
        <v>51</v>
      </c>
      <c r="G37" s="27" t="s">
        <v>1412</v>
      </c>
      <c r="H37" s="37"/>
      <c r="I37" s="37"/>
      <c r="J37" s="37"/>
      <c r="K37" s="37"/>
      <c r="L37" s="37"/>
      <c r="M37" s="37"/>
    </row>
    <row r="38" spans="1:13" x14ac:dyDescent="0.3">
      <c r="A38" t="s">
        <v>858</v>
      </c>
      <c r="B38" t="s">
        <v>1413</v>
      </c>
      <c r="C38" s="31"/>
      <c r="D38" s="27" t="s">
        <v>943</v>
      </c>
      <c r="E38" s="27" t="s">
        <v>51</v>
      </c>
      <c r="F38" s="27" t="s">
        <v>51</v>
      </c>
      <c r="G38" s="27" t="s">
        <v>1414</v>
      </c>
      <c r="H38" s="37"/>
      <c r="I38" s="37"/>
      <c r="J38" s="37"/>
      <c r="K38" s="37"/>
      <c r="L38" s="37"/>
      <c r="M38" s="37"/>
    </row>
    <row r="39" spans="1:13" x14ac:dyDescent="0.3">
      <c r="A39" t="s">
        <v>858</v>
      </c>
      <c r="B39" t="s">
        <v>1413</v>
      </c>
      <c r="C39" s="31"/>
      <c r="D39" s="27" t="s">
        <v>945</v>
      </c>
      <c r="E39" s="27" t="s">
        <v>51</v>
      </c>
      <c r="F39" s="27" t="s">
        <v>51</v>
      </c>
      <c r="G39" s="27" t="s">
        <v>1415</v>
      </c>
      <c r="H39" s="37"/>
      <c r="I39" s="37"/>
      <c r="J39" s="37"/>
      <c r="K39" s="37"/>
      <c r="L39" s="37"/>
      <c r="M39" s="37"/>
    </row>
    <row r="40" spans="1:13" x14ac:dyDescent="0.3">
      <c r="A40" t="s">
        <v>858</v>
      </c>
      <c r="B40" t="s">
        <v>1413</v>
      </c>
      <c r="C40" s="31"/>
      <c r="D40" s="27" t="s">
        <v>947</v>
      </c>
      <c r="E40" s="27" t="s">
        <v>51</v>
      </c>
      <c r="F40" s="27" t="s">
        <v>51</v>
      </c>
      <c r="G40" s="27" t="s">
        <v>1416</v>
      </c>
      <c r="H40" s="37"/>
      <c r="I40" s="37"/>
      <c r="J40" s="37"/>
      <c r="K40" s="37"/>
      <c r="L40" s="37"/>
      <c r="M40" s="37"/>
    </row>
    <row r="41" spans="1:13" x14ac:dyDescent="0.3">
      <c r="A41" t="s">
        <v>858</v>
      </c>
      <c r="B41" t="s">
        <v>1413</v>
      </c>
      <c r="C41" s="31"/>
      <c r="D41" s="27" t="s">
        <v>949</v>
      </c>
      <c r="E41" s="27" t="s">
        <v>51</v>
      </c>
      <c r="F41" s="27" t="s">
        <v>51</v>
      </c>
      <c r="G41" s="27" t="s">
        <v>1417</v>
      </c>
      <c r="H41" s="37"/>
      <c r="I41" s="37"/>
      <c r="J41" s="37"/>
      <c r="K41" s="37"/>
      <c r="L41" s="37"/>
      <c r="M41" s="37"/>
    </row>
    <row r="42" spans="1:13" x14ac:dyDescent="0.3">
      <c r="A42" t="s">
        <v>858</v>
      </c>
      <c r="B42" t="s">
        <v>1413</v>
      </c>
      <c r="C42" s="31"/>
      <c r="D42" s="27" t="s">
        <v>951</v>
      </c>
      <c r="E42" s="27" t="s">
        <v>51</v>
      </c>
      <c r="F42" s="27" t="s">
        <v>51</v>
      </c>
      <c r="G42" s="27" t="s">
        <v>1418</v>
      </c>
      <c r="H42" s="37"/>
      <c r="I42" s="37"/>
      <c r="J42" s="37"/>
      <c r="K42" s="37"/>
      <c r="L42" s="37"/>
      <c r="M42" s="37"/>
    </row>
    <row r="43" spans="1:13" x14ac:dyDescent="0.3">
      <c r="A43" t="s">
        <v>858</v>
      </c>
      <c r="B43" t="s">
        <v>1413</v>
      </c>
      <c r="C43" s="31"/>
      <c r="D43" s="27" t="s">
        <v>953</v>
      </c>
      <c r="E43" s="27" t="s">
        <v>51</v>
      </c>
      <c r="F43" s="27" t="s">
        <v>51</v>
      </c>
      <c r="G43" s="27" t="s">
        <v>1419</v>
      </c>
      <c r="H43" s="37"/>
      <c r="I43" s="37"/>
      <c r="J43" s="37"/>
      <c r="K43" s="37"/>
      <c r="L43" s="37"/>
      <c r="M43" s="37"/>
    </row>
    <row r="44" spans="1:13" x14ac:dyDescent="0.3">
      <c r="A44" t="s">
        <v>858</v>
      </c>
      <c r="B44" t="s">
        <v>1413</v>
      </c>
      <c r="C44" s="31"/>
      <c r="D44" s="27" t="s">
        <v>955</v>
      </c>
      <c r="E44" s="27" t="s">
        <v>51</v>
      </c>
      <c r="F44" s="27" t="s">
        <v>51</v>
      </c>
      <c r="G44" s="27" t="s">
        <v>1420</v>
      </c>
      <c r="H44" s="37"/>
      <c r="I44" s="37"/>
      <c r="J44" s="37"/>
      <c r="K44" s="37"/>
      <c r="L44" s="37"/>
      <c r="M44" s="37"/>
    </row>
    <row r="45" spans="1:13" x14ac:dyDescent="0.3">
      <c r="A45" t="s">
        <v>858</v>
      </c>
      <c r="B45" t="s">
        <v>1413</v>
      </c>
      <c r="C45" s="31"/>
      <c r="D45" s="27" t="s">
        <v>1528</v>
      </c>
      <c r="E45" s="27" t="s">
        <v>51</v>
      </c>
      <c r="F45" s="27" t="s">
        <v>51</v>
      </c>
      <c r="G45" s="27" t="s">
        <v>1530</v>
      </c>
      <c r="H45" s="37"/>
      <c r="I45" s="37"/>
      <c r="J45" s="37"/>
      <c r="K45" s="37"/>
      <c r="L45" s="37"/>
      <c r="M45" s="37"/>
    </row>
    <row r="46" spans="1:13" x14ac:dyDescent="0.3">
      <c r="A46" t="s">
        <v>858</v>
      </c>
      <c r="B46" t="s">
        <v>1413</v>
      </c>
      <c r="C46" s="31"/>
      <c r="D46" s="27" t="s">
        <v>1523</v>
      </c>
      <c r="E46" s="27" t="s">
        <v>51</v>
      </c>
      <c r="F46" s="27" t="s">
        <v>51</v>
      </c>
      <c r="G46" s="27" t="s">
        <v>1531</v>
      </c>
      <c r="H46" s="37"/>
      <c r="I46" s="37"/>
      <c r="J46" s="37"/>
      <c r="K46" s="37"/>
      <c r="L46" s="37"/>
      <c r="M46" s="37"/>
    </row>
    <row r="47" spans="1:13" x14ac:dyDescent="0.3">
      <c r="A47" t="s">
        <v>858</v>
      </c>
      <c r="B47" t="s">
        <v>1413</v>
      </c>
      <c r="C47" s="31"/>
      <c r="D47" s="27" t="s">
        <v>1524</v>
      </c>
      <c r="E47" s="27" t="s">
        <v>51</v>
      </c>
      <c r="F47" s="27" t="s">
        <v>51</v>
      </c>
      <c r="G47" s="27" t="s">
        <v>1532</v>
      </c>
      <c r="H47" s="37"/>
      <c r="I47" s="37"/>
      <c r="J47" s="37"/>
      <c r="K47" s="37"/>
      <c r="L47" s="37"/>
      <c r="M47" s="37"/>
    </row>
    <row r="48" spans="1:13" x14ac:dyDescent="0.3">
      <c r="A48" t="s">
        <v>858</v>
      </c>
      <c r="B48" t="s">
        <v>1413</v>
      </c>
      <c r="C48" s="31"/>
      <c r="D48" s="27" t="s">
        <v>1522</v>
      </c>
      <c r="E48" s="27" t="s">
        <v>51</v>
      </c>
      <c r="F48" s="27" t="s">
        <v>51</v>
      </c>
      <c r="G48" s="27" t="s">
        <v>1529</v>
      </c>
      <c r="H48" s="37"/>
      <c r="I48" s="37"/>
      <c r="J48" s="37"/>
      <c r="K48" s="37"/>
      <c r="L48" s="37"/>
      <c r="M48" s="37"/>
    </row>
    <row r="49" spans="1:13" x14ac:dyDescent="0.3">
      <c r="A49" t="s">
        <v>858</v>
      </c>
      <c r="B49" t="s">
        <v>1413</v>
      </c>
      <c r="C49" s="31"/>
      <c r="D49" s="27" t="s">
        <v>1554</v>
      </c>
      <c r="E49" s="27" t="s">
        <v>51</v>
      </c>
      <c r="F49" s="27" t="s">
        <v>51</v>
      </c>
      <c r="G49" s="27" t="s">
        <v>1555</v>
      </c>
      <c r="H49" s="37"/>
      <c r="I49" s="37"/>
      <c r="J49" s="37"/>
      <c r="K49" s="37"/>
      <c r="L49" s="37"/>
      <c r="M49" s="37"/>
    </row>
    <row r="50" spans="1:13" x14ac:dyDescent="0.3">
      <c r="A50" t="s">
        <v>858</v>
      </c>
      <c r="B50" t="s">
        <v>1413</v>
      </c>
      <c r="C50" s="31"/>
      <c r="D50" s="27" t="s">
        <v>1556</v>
      </c>
      <c r="E50" s="27" t="s">
        <v>51</v>
      </c>
      <c r="F50" s="27" t="s">
        <v>51</v>
      </c>
      <c r="G50" s="27" t="s">
        <v>1557</v>
      </c>
      <c r="H50" s="37"/>
      <c r="I50" s="37"/>
      <c r="J50" s="37"/>
      <c r="K50" s="37"/>
      <c r="L50" s="37"/>
      <c r="M50" s="37"/>
    </row>
    <row r="51" spans="1:13" x14ac:dyDescent="0.3">
      <c r="A51" t="s">
        <v>858</v>
      </c>
      <c r="B51" t="s">
        <v>1413</v>
      </c>
      <c r="C51" s="31"/>
      <c r="D51" s="27" t="s">
        <v>971</v>
      </c>
      <c r="E51" s="27" t="s">
        <v>51</v>
      </c>
      <c r="F51" s="27" t="s">
        <v>51</v>
      </c>
      <c r="G51" s="27" t="s">
        <v>1430</v>
      </c>
      <c r="H51" s="37"/>
      <c r="I51" s="37"/>
      <c r="J51" s="37"/>
      <c r="K51" s="37"/>
      <c r="L51" s="37"/>
      <c r="M51" s="37"/>
    </row>
    <row r="52" spans="1:13" x14ac:dyDescent="0.3">
      <c r="A52" t="s">
        <v>858</v>
      </c>
      <c r="B52" t="s">
        <v>1413</v>
      </c>
      <c r="C52" s="31"/>
      <c r="D52" s="27" t="s">
        <v>1941</v>
      </c>
      <c r="E52" s="27" t="s">
        <v>51</v>
      </c>
      <c r="F52" s="27" t="s">
        <v>51</v>
      </c>
      <c r="G52" s="27" t="s">
        <v>1951</v>
      </c>
      <c r="H52" s="37"/>
      <c r="I52" s="37"/>
      <c r="J52" s="37"/>
      <c r="K52" s="37"/>
      <c r="L52" s="37"/>
      <c r="M52" s="37"/>
    </row>
    <row r="53" spans="1:13" x14ac:dyDescent="0.3">
      <c r="A53" t="s">
        <v>858</v>
      </c>
      <c r="B53" t="s">
        <v>1413</v>
      </c>
      <c r="C53" s="31"/>
      <c r="D53" s="27" t="s">
        <v>975</v>
      </c>
      <c r="E53" s="27" t="s">
        <v>51</v>
      </c>
      <c r="F53" s="27" t="s">
        <v>51</v>
      </c>
      <c r="G53" s="27" t="s">
        <v>1432</v>
      </c>
      <c r="H53" s="37"/>
      <c r="I53" s="37"/>
      <c r="J53" s="37"/>
      <c r="K53" s="37"/>
      <c r="L53" s="37"/>
      <c r="M53" s="37"/>
    </row>
    <row r="54" spans="1:13" x14ac:dyDescent="0.3">
      <c r="A54" t="s">
        <v>859</v>
      </c>
      <c r="B54" t="s">
        <v>1413</v>
      </c>
      <c r="C54" s="31"/>
      <c r="D54" s="27" t="s">
        <v>937</v>
      </c>
      <c r="E54" s="27" t="s">
        <v>51</v>
      </c>
      <c r="F54" s="27" t="s">
        <v>51</v>
      </c>
      <c r="G54" s="27" t="s">
        <v>1428</v>
      </c>
      <c r="H54" s="37"/>
      <c r="I54" s="37"/>
      <c r="J54" s="37"/>
      <c r="K54" s="37"/>
      <c r="L54" s="37"/>
      <c r="M54" s="37"/>
    </row>
    <row r="55" spans="1:13" x14ac:dyDescent="0.3">
      <c r="A55" t="s">
        <v>859</v>
      </c>
      <c r="B55" t="s">
        <v>1413</v>
      </c>
      <c r="C55" s="31"/>
      <c r="D55" s="27" t="s">
        <v>933</v>
      </c>
      <c r="E55" s="27" t="s">
        <v>51</v>
      </c>
      <c r="F55" s="27" t="s">
        <v>51</v>
      </c>
      <c r="G55" s="27" t="s">
        <v>1607</v>
      </c>
      <c r="H55" s="37"/>
      <c r="I55" s="37"/>
      <c r="J55" s="37"/>
      <c r="K55" s="37"/>
      <c r="L55" s="37"/>
      <c r="M55" s="37"/>
    </row>
    <row r="56" spans="1:13" x14ac:dyDescent="0.3">
      <c r="A56" t="s">
        <v>859</v>
      </c>
      <c r="B56" t="s">
        <v>1413</v>
      </c>
      <c r="C56" s="31"/>
      <c r="D56" s="27" t="s">
        <v>939</v>
      </c>
      <c r="E56" s="27" t="s">
        <v>51</v>
      </c>
      <c r="F56" s="27" t="s">
        <v>51</v>
      </c>
      <c r="G56" s="27" t="s">
        <v>1429</v>
      </c>
      <c r="H56" s="37"/>
      <c r="I56" s="37"/>
      <c r="J56" s="37"/>
      <c r="K56" s="37"/>
      <c r="L56" s="37"/>
      <c r="M56" s="37"/>
    </row>
    <row r="57" spans="1:13" x14ac:dyDescent="0.3">
      <c r="A57" t="s">
        <v>859</v>
      </c>
      <c r="B57" t="s">
        <v>1413</v>
      </c>
      <c r="C57" s="31"/>
      <c r="D57" s="27" t="s">
        <v>935</v>
      </c>
      <c r="E57" s="27" t="s">
        <v>51</v>
      </c>
      <c r="F57" s="27" t="s">
        <v>51</v>
      </c>
      <c r="G57" s="27" t="s">
        <v>936</v>
      </c>
      <c r="H57" s="37"/>
      <c r="I57" s="37"/>
      <c r="J57" s="37"/>
      <c r="K57" s="37"/>
      <c r="L57" s="37"/>
      <c r="M57" s="37"/>
    </row>
    <row r="58" spans="1:13" x14ac:dyDescent="0.3">
      <c r="A58" t="s">
        <v>859</v>
      </c>
      <c r="B58" t="s">
        <v>1413</v>
      </c>
      <c r="C58" s="31"/>
      <c r="D58" s="27" t="s">
        <v>957</v>
      </c>
      <c r="E58" s="27" t="s">
        <v>51</v>
      </c>
      <c r="F58" s="27" t="s">
        <v>51</v>
      </c>
      <c r="G58" s="27" t="s">
        <v>1421</v>
      </c>
      <c r="H58" s="37"/>
      <c r="I58" s="37"/>
      <c r="J58" s="37"/>
      <c r="K58" s="37"/>
      <c r="L58" s="37"/>
      <c r="M58" s="37"/>
    </row>
    <row r="59" spans="1:13" x14ac:dyDescent="0.3">
      <c r="A59" t="s">
        <v>859</v>
      </c>
      <c r="B59" t="s">
        <v>1413</v>
      </c>
      <c r="C59" s="31"/>
      <c r="D59" s="27" t="s">
        <v>959</v>
      </c>
      <c r="E59" s="27" t="s">
        <v>51</v>
      </c>
      <c r="F59" s="27" t="s">
        <v>51</v>
      </c>
      <c r="G59" s="27" t="s">
        <v>1422</v>
      </c>
      <c r="H59" s="37"/>
      <c r="I59" s="37"/>
      <c r="J59" s="37"/>
      <c r="K59" s="37"/>
      <c r="L59" s="37"/>
      <c r="M59" s="37"/>
    </row>
    <row r="60" spans="1:13" x14ac:dyDescent="0.3">
      <c r="A60" t="s">
        <v>859</v>
      </c>
      <c r="B60" t="s">
        <v>1413</v>
      </c>
      <c r="C60" s="31"/>
      <c r="D60" s="27" t="s">
        <v>961</v>
      </c>
      <c r="E60" s="27" t="s">
        <v>51</v>
      </c>
      <c r="F60" s="27" t="s">
        <v>51</v>
      </c>
      <c r="G60" s="27" t="s">
        <v>1423</v>
      </c>
      <c r="H60" s="37"/>
      <c r="I60" s="37"/>
      <c r="J60" s="37"/>
      <c r="K60" s="37"/>
      <c r="L60" s="37"/>
      <c r="M60" s="37"/>
    </row>
    <row r="61" spans="1:13" x14ac:dyDescent="0.3">
      <c r="A61" t="s">
        <v>859</v>
      </c>
      <c r="B61" t="s">
        <v>1413</v>
      </c>
      <c r="C61" s="31"/>
      <c r="D61" s="27" t="s">
        <v>963</v>
      </c>
      <c r="E61" s="27" t="s">
        <v>51</v>
      </c>
      <c r="F61" s="27" t="s">
        <v>51</v>
      </c>
      <c r="G61" s="27" t="s">
        <v>1424</v>
      </c>
      <c r="H61" s="37"/>
      <c r="I61" s="37"/>
      <c r="J61" s="37"/>
      <c r="K61" s="37"/>
      <c r="L61" s="37"/>
      <c r="M61" s="37"/>
    </row>
    <row r="62" spans="1:13" x14ac:dyDescent="0.3">
      <c r="A62" t="s">
        <v>859</v>
      </c>
      <c r="B62" t="s">
        <v>1413</v>
      </c>
      <c r="C62" s="31"/>
      <c r="D62" s="27" t="s">
        <v>965</v>
      </c>
      <c r="E62" s="27" t="s">
        <v>51</v>
      </c>
      <c r="F62" s="27" t="s">
        <v>51</v>
      </c>
      <c r="G62" s="27" t="s">
        <v>1425</v>
      </c>
      <c r="H62" s="37"/>
      <c r="I62" s="37"/>
      <c r="J62" s="37"/>
      <c r="K62" s="37"/>
      <c r="L62" s="37"/>
      <c r="M62" s="37"/>
    </row>
    <row r="63" spans="1:13" x14ac:dyDescent="0.3">
      <c r="A63" t="s">
        <v>859</v>
      </c>
      <c r="B63" t="s">
        <v>1411</v>
      </c>
      <c r="C63" s="31"/>
      <c r="D63" s="27" t="s">
        <v>967</v>
      </c>
      <c r="E63" s="27" t="s">
        <v>51</v>
      </c>
      <c r="F63" s="27" t="s">
        <v>51</v>
      </c>
      <c r="G63" s="27" t="s">
        <v>1426</v>
      </c>
      <c r="H63" s="37"/>
      <c r="I63" s="37"/>
      <c r="J63" s="37"/>
      <c r="K63" s="37"/>
      <c r="L63" s="37"/>
      <c r="M63" s="37"/>
    </row>
    <row r="64" spans="1:13" x14ac:dyDescent="0.3">
      <c r="A64" t="s">
        <v>859</v>
      </c>
      <c r="B64" t="s">
        <v>1411</v>
      </c>
      <c r="C64" s="31"/>
      <c r="D64" s="27" t="s">
        <v>969</v>
      </c>
      <c r="E64" s="27" t="s">
        <v>51</v>
      </c>
      <c r="F64" s="27" t="s">
        <v>51</v>
      </c>
      <c r="G64" s="27" t="s">
        <v>1427</v>
      </c>
      <c r="H64" s="37"/>
      <c r="I64" s="37"/>
      <c r="J64" s="37"/>
      <c r="K64" s="37"/>
      <c r="L64" s="37"/>
      <c r="M64" s="37"/>
    </row>
    <row r="65" spans="1:13" x14ac:dyDescent="0.3">
      <c r="A65" t="s">
        <v>859</v>
      </c>
      <c r="B65" t="s">
        <v>1411</v>
      </c>
      <c r="C65" s="31"/>
      <c r="D65" s="27" t="s">
        <v>1501</v>
      </c>
      <c r="E65" s="27" t="s">
        <v>51</v>
      </c>
      <c r="F65" s="27" t="s">
        <v>51</v>
      </c>
      <c r="G65" s="27" t="s">
        <v>1590</v>
      </c>
      <c r="H65" s="37"/>
      <c r="I65" s="37"/>
      <c r="J65" s="37"/>
      <c r="K65" s="37"/>
      <c r="L65" s="37"/>
      <c r="M65" s="37"/>
    </row>
    <row r="66" spans="1:13" x14ac:dyDescent="0.3">
      <c r="A66" t="s">
        <v>859</v>
      </c>
      <c r="B66" t="s">
        <v>1413</v>
      </c>
      <c r="C66" s="31"/>
      <c r="D66" s="27" t="s">
        <v>1525</v>
      </c>
      <c r="E66" s="27" t="s">
        <v>51</v>
      </c>
      <c r="F66" s="27" t="s">
        <v>51</v>
      </c>
      <c r="G66" s="27" t="s">
        <v>1533</v>
      </c>
      <c r="H66" s="37"/>
      <c r="I66" s="37"/>
      <c r="J66" s="37"/>
      <c r="K66" s="37"/>
      <c r="L66" s="37"/>
      <c r="M66" s="37"/>
    </row>
    <row r="67" spans="1:13" x14ac:dyDescent="0.3">
      <c r="A67" t="s">
        <v>859</v>
      </c>
      <c r="B67" t="s">
        <v>1413</v>
      </c>
      <c r="C67" s="31"/>
      <c r="D67" s="27" t="s">
        <v>1526</v>
      </c>
      <c r="E67" s="27" t="s">
        <v>51</v>
      </c>
      <c r="F67" s="27" t="s">
        <v>51</v>
      </c>
      <c r="G67" s="27" t="s">
        <v>1534</v>
      </c>
      <c r="H67" s="37"/>
      <c r="I67" s="37"/>
      <c r="J67" s="37"/>
      <c r="K67" s="37"/>
      <c r="L67" s="37"/>
      <c r="M67" s="37"/>
    </row>
    <row r="68" spans="1:13" x14ac:dyDescent="0.3">
      <c r="A68" t="s">
        <v>859</v>
      </c>
      <c r="B68" t="s">
        <v>1413</v>
      </c>
      <c r="C68" s="31"/>
      <c r="D68" s="27" t="s">
        <v>1527</v>
      </c>
      <c r="E68" s="27" t="s">
        <v>51</v>
      </c>
      <c r="F68" s="27" t="s">
        <v>51</v>
      </c>
      <c r="G68" s="27" t="s">
        <v>1535</v>
      </c>
      <c r="H68" s="37"/>
      <c r="I68" s="37"/>
      <c r="J68" s="37"/>
      <c r="K68" s="37"/>
      <c r="L68" s="37"/>
      <c r="M68" s="37"/>
    </row>
    <row r="69" spans="1:13" x14ac:dyDescent="0.3">
      <c r="A69" t="s">
        <v>859</v>
      </c>
      <c r="B69" t="s">
        <v>1413</v>
      </c>
      <c r="C69" s="31"/>
      <c r="D69" s="27" t="s">
        <v>973</v>
      </c>
      <c r="E69" s="27" t="s">
        <v>51</v>
      </c>
      <c r="F69" s="27" t="s">
        <v>51</v>
      </c>
      <c r="G69" s="27" t="s">
        <v>1431</v>
      </c>
      <c r="H69" s="37"/>
      <c r="I69" s="37"/>
      <c r="J69" s="37"/>
      <c r="K69" s="37"/>
      <c r="L69" s="37"/>
      <c r="M69" s="37"/>
    </row>
    <row r="70" spans="1:13" x14ac:dyDescent="0.3">
      <c r="A70" t="s">
        <v>859</v>
      </c>
      <c r="B70" t="s">
        <v>1413</v>
      </c>
      <c r="C70" s="31"/>
      <c r="D70" s="27" t="s">
        <v>1941</v>
      </c>
      <c r="E70" s="27" t="s">
        <v>51</v>
      </c>
      <c r="F70" s="27" t="s">
        <v>51</v>
      </c>
      <c r="G70" s="27" t="s">
        <v>1951</v>
      </c>
      <c r="H70" s="37"/>
      <c r="I70" s="37"/>
      <c r="J70" s="37"/>
      <c r="K70" s="37"/>
      <c r="L70" s="37"/>
      <c r="M70" s="37"/>
    </row>
    <row r="71" spans="1:13" x14ac:dyDescent="0.3">
      <c r="A71" t="s">
        <v>859</v>
      </c>
      <c r="B71" t="s">
        <v>1413</v>
      </c>
      <c r="C71" s="31"/>
      <c r="D71" s="27" t="s">
        <v>975</v>
      </c>
      <c r="E71" s="27" t="s">
        <v>51</v>
      </c>
      <c r="F71" s="27" t="s">
        <v>51</v>
      </c>
      <c r="G71" s="27" t="s">
        <v>1432</v>
      </c>
      <c r="H71" s="37"/>
      <c r="I71" s="37"/>
      <c r="J71" s="37"/>
      <c r="K71" s="37"/>
      <c r="L71" s="37"/>
      <c r="M71" s="37"/>
    </row>
    <row r="72" spans="1:13" x14ac:dyDescent="0.3">
      <c r="A72" t="s">
        <v>860</v>
      </c>
      <c r="B72" t="s">
        <v>1413</v>
      </c>
      <c r="C72" s="31"/>
      <c r="D72" s="27" t="s">
        <v>937</v>
      </c>
      <c r="E72" s="27" t="s">
        <v>51</v>
      </c>
      <c r="F72" s="27" t="s">
        <v>51</v>
      </c>
      <c r="G72" s="27" t="s">
        <v>1428</v>
      </c>
      <c r="H72" s="37"/>
      <c r="I72" s="37"/>
      <c r="J72" s="37"/>
      <c r="K72" s="37"/>
      <c r="L72" s="37"/>
      <c r="M72" s="37"/>
    </row>
    <row r="73" spans="1:13" x14ac:dyDescent="0.3">
      <c r="A73" t="s">
        <v>860</v>
      </c>
      <c r="B73" t="s">
        <v>1413</v>
      </c>
      <c r="C73" s="31"/>
      <c r="D73" s="27" t="s">
        <v>939</v>
      </c>
      <c r="E73" s="27" t="s">
        <v>51</v>
      </c>
      <c r="F73" s="27" t="s">
        <v>51</v>
      </c>
      <c r="G73" s="27" t="s">
        <v>1429</v>
      </c>
      <c r="H73" s="37"/>
      <c r="I73" s="37"/>
      <c r="J73" s="37"/>
      <c r="K73" s="37"/>
      <c r="L73" s="37"/>
      <c r="M73" s="37"/>
    </row>
    <row r="74" spans="1:13" x14ac:dyDescent="0.3">
      <c r="A74" t="s">
        <v>860</v>
      </c>
      <c r="B74" t="s">
        <v>1411</v>
      </c>
      <c r="C74" s="31"/>
      <c r="D74" s="27" t="s">
        <v>941</v>
      </c>
      <c r="E74" s="27" t="s">
        <v>51</v>
      </c>
      <c r="F74" s="27" t="s">
        <v>51</v>
      </c>
      <c r="G74" s="27" t="s">
        <v>1412</v>
      </c>
      <c r="H74" s="37"/>
      <c r="I74" s="37"/>
      <c r="J74" s="37"/>
      <c r="K74" s="37"/>
      <c r="L74" s="37"/>
      <c r="M74" s="37"/>
    </row>
    <row r="75" spans="1:13" x14ac:dyDescent="0.3">
      <c r="A75" t="s">
        <v>860</v>
      </c>
      <c r="B75" t="s">
        <v>1413</v>
      </c>
      <c r="C75" s="31"/>
      <c r="D75" s="27" t="s">
        <v>943</v>
      </c>
      <c r="E75" s="27" t="s">
        <v>51</v>
      </c>
      <c r="F75" s="27" t="s">
        <v>51</v>
      </c>
      <c r="G75" s="27" t="s">
        <v>1414</v>
      </c>
      <c r="H75" s="37"/>
      <c r="I75" s="37"/>
      <c r="J75" s="37"/>
      <c r="K75" s="37"/>
      <c r="L75" s="37"/>
      <c r="M75" s="37"/>
    </row>
    <row r="76" spans="1:13" x14ac:dyDescent="0.3">
      <c r="A76" t="s">
        <v>860</v>
      </c>
      <c r="B76" t="s">
        <v>1413</v>
      </c>
      <c r="C76" s="31"/>
      <c r="D76" s="27" t="s">
        <v>945</v>
      </c>
      <c r="E76" s="27" t="s">
        <v>51</v>
      </c>
      <c r="F76" s="27" t="s">
        <v>51</v>
      </c>
      <c r="G76" s="27" t="s">
        <v>1415</v>
      </c>
      <c r="H76" s="37"/>
      <c r="I76" s="37"/>
      <c r="J76" s="37"/>
      <c r="K76" s="37"/>
      <c r="L76" s="37"/>
      <c r="M76" s="37"/>
    </row>
    <row r="77" spans="1:13" x14ac:dyDescent="0.3">
      <c r="A77" t="s">
        <v>860</v>
      </c>
      <c r="B77" t="s">
        <v>1413</v>
      </c>
      <c r="C77" s="31"/>
      <c r="D77" s="27" t="s">
        <v>947</v>
      </c>
      <c r="E77" s="27" t="s">
        <v>51</v>
      </c>
      <c r="F77" s="27" t="s">
        <v>51</v>
      </c>
      <c r="G77" s="27" t="s">
        <v>1416</v>
      </c>
      <c r="H77" s="37"/>
      <c r="I77" s="37"/>
      <c r="J77" s="37"/>
      <c r="K77" s="37"/>
      <c r="L77" s="37"/>
      <c r="M77" s="37"/>
    </row>
    <row r="78" spans="1:13" x14ac:dyDescent="0.3">
      <c r="A78" t="s">
        <v>860</v>
      </c>
      <c r="B78" t="s">
        <v>1413</v>
      </c>
      <c r="C78" s="31"/>
      <c r="D78" s="27" t="s">
        <v>949</v>
      </c>
      <c r="E78" s="27" t="s">
        <v>51</v>
      </c>
      <c r="F78" s="27" t="s">
        <v>51</v>
      </c>
      <c r="G78" s="27" t="s">
        <v>1417</v>
      </c>
      <c r="H78" s="37"/>
      <c r="I78" s="37"/>
      <c r="J78" s="37"/>
      <c r="K78" s="37"/>
      <c r="L78" s="37"/>
      <c r="M78" s="37"/>
    </row>
    <row r="79" spans="1:13" x14ac:dyDescent="0.3">
      <c r="A79" t="s">
        <v>860</v>
      </c>
      <c r="B79" t="s">
        <v>1413</v>
      </c>
      <c r="C79" s="31"/>
      <c r="D79" s="27" t="s">
        <v>951</v>
      </c>
      <c r="E79" s="27" t="s">
        <v>51</v>
      </c>
      <c r="F79" s="27" t="s">
        <v>51</v>
      </c>
      <c r="G79" s="27" t="s">
        <v>1418</v>
      </c>
      <c r="H79" s="37"/>
      <c r="I79" s="37"/>
      <c r="J79" s="37"/>
      <c r="K79" s="37"/>
      <c r="L79" s="37"/>
      <c r="M79" s="37"/>
    </row>
    <row r="80" spans="1:13" x14ac:dyDescent="0.3">
      <c r="A80" t="s">
        <v>860</v>
      </c>
      <c r="B80" t="s">
        <v>1413</v>
      </c>
      <c r="C80" s="31"/>
      <c r="D80" s="27" t="s">
        <v>953</v>
      </c>
      <c r="E80" s="27" t="s">
        <v>51</v>
      </c>
      <c r="F80" s="27" t="s">
        <v>51</v>
      </c>
      <c r="G80" s="27" t="s">
        <v>1419</v>
      </c>
      <c r="H80" s="37"/>
      <c r="I80" s="37"/>
      <c r="J80" s="37"/>
      <c r="K80" s="37"/>
      <c r="L80" s="37"/>
      <c r="M80" s="37"/>
    </row>
    <row r="81" spans="1:13" x14ac:dyDescent="0.3">
      <c r="A81" t="s">
        <v>860</v>
      </c>
      <c r="B81" t="s">
        <v>1413</v>
      </c>
      <c r="C81" s="31"/>
      <c r="D81" s="27" t="s">
        <v>955</v>
      </c>
      <c r="E81" s="27" t="s">
        <v>51</v>
      </c>
      <c r="F81" s="27" t="s">
        <v>51</v>
      </c>
      <c r="G81" s="27" t="s">
        <v>1420</v>
      </c>
      <c r="H81" s="37"/>
      <c r="I81" s="37"/>
      <c r="J81" s="37"/>
      <c r="K81" s="37"/>
      <c r="L81" s="37"/>
      <c r="M81" s="37"/>
    </row>
    <row r="82" spans="1:13" x14ac:dyDescent="0.3">
      <c r="A82" t="s">
        <v>860</v>
      </c>
      <c r="B82" t="s">
        <v>1413</v>
      </c>
      <c r="C82" s="31"/>
      <c r="D82" s="27" t="s">
        <v>957</v>
      </c>
      <c r="E82" s="27" t="s">
        <v>51</v>
      </c>
      <c r="F82" s="27" t="s">
        <v>51</v>
      </c>
      <c r="G82" s="27" t="s">
        <v>1421</v>
      </c>
      <c r="H82" s="37"/>
      <c r="I82" s="37"/>
      <c r="J82" s="37"/>
      <c r="K82" s="37"/>
      <c r="L82" s="37"/>
      <c r="M82" s="37"/>
    </row>
    <row r="83" spans="1:13" x14ac:dyDescent="0.3">
      <c r="A83" t="s">
        <v>860</v>
      </c>
      <c r="B83" t="s">
        <v>1413</v>
      </c>
      <c r="C83" s="31"/>
      <c r="D83" s="27" t="s">
        <v>959</v>
      </c>
      <c r="E83" s="27" t="s">
        <v>51</v>
      </c>
      <c r="F83" s="27" t="s">
        <v>51</v>
      </c>
      <c r="G83" s="27" t="s">
        <v>1422</v>
      </c>
      <c r="H83" s="37"/>
      <c r="I83" s="37"/>
      <c r="J83" s="37"/>
      <c r="K83" s="37"/>
      <c r="L83" s="37"/>
      <c r="M83" s="37"/>
    </row>
    <row r="84" spans="1:13" x14ac:dyDescent="0.3">
      <c r="A84" t="s">
        <v>860</v>
      </c>
      <c r="B84" t="s">
        <v>1413</v>
      </c>
      <c r="C84" s="31"/>
      <c r="D84" s="27" t="s">
        <v>961</v>
      </c>
      <c r="E84" s="27" t="s">
        <v>51</v>
      </c>
      <c r="F84" s="27" t="s">
        <v>51</v>
      </c>
      <c r="G84" s="27" t="s">
        <v>1423</v>
      </c>
      <c r="H84" s="37"/>
      <c r="I84" s="37"/>
      <c r="J84" s="37"/>
      <c r="K84" s="37"/>
      <c r="L84" s="37"/>
      <c r="M84" s="37"/>
    </row>
    <row r="85" spans="1:13" x14ac:dyDescent="0.3">
      <c r="A85" t="s">
        <v>860</v>
      </c>
      <c r="B85" t="s">
        <v>1413</v>
      </c>
      <c r="C85" s="31"/>
      <c r="D85" s="27" t="s">
        <v>963</v>
      </c>
      <c r="E85" s="27" t="s">
        <v>51</v>
      </c>
      <c r="F85" s="27" t="s">
        <v>51</v>
      </c>
      <c r="G85" s="27" t="s">
        <v>1424</v>
      </c>
      <c r="H85" s="37"/>
      <c r="I85" s="37"/>
      <c r="J85" s="37"/>
      <c r="K85" s="37"/>
      <c r="L85" s="37"/>
      <c r="M85" s="37"/>
    </row>
    <row r="86" spans="1:13" x14ac:dyDescent="0.3">
      <c r="A86" t="s">
        <v>860</v>
      </c>
      <c r="B86" t="s">
        <v>1413</v>
      </c>
      <c r="C86" s="31"/>
      <c r="D86" s="27" t="s">
        <v>965</v>
      </c>
      <c r="E86" s="27" t="s">
        <v>51</v>
      </c>
      <c r="F86" s="27" t="s">
        <v>51</v>
      </c>
      <c r="G86" s="27" t="s">
        <v>1425</v>
      </c>
      <c r="H86" s="37"/>
      <c r="I86" s="37"/>
      <c r="J86" s="37"/>
      <c r="K86" s="37"/>
      <c r="L86" s="37"/>
      <c r="M86" s="37"/>
    </row>
    <row r="87" spans="1:13" x14ac:dyDescent="0.3">
      <c r="A87" t="s">
        <v>860</v>
      </c>
      <c r="B87" t="s">
        <v>1411</v>
      </c>
      <c r="C87" s="31"/>
      <c r="D87" s="27" t="s">
        <v>967</v>
      </c>
      <c r="E87" s="27" t="s">
        <v>51</v>
      </c>
      <c r="F87" s="27" t="s">
        <v>51</v>
      </c>
      <c r="G87" s="27" t="s">
        <v>1426</v>
      </c>
      <c r="H87" s="37"/>
      <c r="I87" s="37"/>
      <c r="J87" s="37"/>
      <c r="K87" s="37"/>
      <c r="L87" s="37"/>
      <c r="M87" s="37"/>
    </row>
    <row r="88" spans="1:13" x14ac:dyDescent="0.3">
      <c r="A88" t="s">
        <v>860</v>
      </c>
      <c r="B88" t="s">
        <v>1411</v>
      </c>
      <c r="C88" s="31"/>
      <c r="D88" s="27" t="s">
        <v>969</v>
      </c>
      <c r="E88" s="27" t="s">
        <v>51</v>
      </c>
      <c r="F88" s="27" t="s">
        <v>51</v>
      </c>
      <c r="G88" s="27" t="s">
        <v>1427</v>
      </c>
      <c r="H88" s="37"/>
      <c r="I88" s="37"/>
      <c r="J88" s="37"/>
      <c r="K88" s="37"/>
      <c r="L88" s="37"/>
      <c r="M88" s="37"/>
    </row>
    <row r="89" spans="1:13" x14ac:dyDescent="0.3">
      <c r="A89" t="s">
        <v>860</v>
      </c>
      <c r="B89" t="s">
        <v>1411</v>
      </c>
      <c r="C89" s="31"/>
      <c r="D89" s="27" t="s">
        <v>1501</v>
      </c>
      <c r="E89" s="27" t="s">
        <v>51</v>
      </c>
      <c r="F89" s="27" t="s">
        <v>51</v>
      </c>
      <c r="G89" s="27" t="s">
        <v>1590</v>
      </c>
      <c r="H89" s="37"/>
      <c r="I89" s="37"/>
      <c r="J89" s="37"/>
      <c r="K89" s="37"/>
      <c r="L89" s="37"/>
      <c r="M89" s="37"/>
    </row>
    <row r="90" spans="1:13" x14ac:dyDescent="0.3">
      <c r="A90" t="s">
        <v>860</v>
      </c>
      <c r="B90" t="s">
        <v>1413</v>
      </c>
      <c r="C90" s="31"/>
      <c r="D90" s="27" t="s">
        <v>1528</v>
      </c>
      <c r="E90" s="27" t="s">
        <v>51</v>
      </c>
      <c r="F90" s="27" t="s">
        <v>51</v>
      </c>
      <c r="G90" s="27" t="s">
        <v>1530</v>
      </c>
      <c r="H90" s="37"/>
      <c r="I90" s="37"/>
      <c r="J90" s="37"/>
      <c r="K90" s="37"/>
      <c r="L90" s="37"/>
      <c r="M90" s="37"/>
    </row>
    <row r="91" spans="1:13" x14ac:dyDescent="0.3">
      <c r="A91" t="s">
        <v>860</v>
      </c>
      <c r="B91" t="s">
        <v>1413</v>
      </c>
      <c r="C91" s="31"/>
      <c r="D91" s="27" t="s">
        <v>1523</v>
      </c>
      <c r="E91" s="27" t="s">
        <v>51</v>
      </c>
      <c r="F91" s="27" t="s">
        <v>51</v>
      </c>
      <c r="G91" s="27" t="s">
        <v>1531</v>
      </c>
      <c r="H91" s="37"/>
      <c r="I91" s="37"/>
      <c r="J91" s="37"/>
      <c r="K91" s="37"/>
      <c r="L91" s="37"/>
      <c r="M91" s="37"/>
    </row>
    <row r="92" spans="1:13" x14ac:dyDescent="0.3">
      <c r="A92" t="s">
        <v>860</v>
      </c>
      <c r="B92" t="s">
        <v>1413</v>
      </c>
      <c r="C92" s="31"/>
      <c r="D92" s="27" t="s">
        <v>1524</v>
      </c>
      <c r="E92" s="27" t="s">
        <v>51</v>
      </c>
      <c r="F92" s="27" t="s">
        <v>51</v>
      </c>
      <c r="G92" s="27" t="s">
        <v>1532</v>
      </c>
      <c r="H92" s="37"/>
      <c r="I92" s="37"/>
      <c r="J92" s="37"/>
      <c r="K92" s="37"/>
      <c r="L92" s="37"/>
      <c r="M92" s="37"/>
    </row>
    <row r="93" spans="1:13" x14ac:dyDescent="0.3">
      <c r="A93" t="s">
        <v>860</v>
      </c>
      <c r="B93" t="s">
        <v>1413</v>
      </c>
      <c r="C93" s="31"/>
      <c r="D93" s="27" t="s">
        <v>1525</v>
      </c>
      <c r="E93" s="27" t="s">
        <v>51</v>
      </c>
      <c r="F93" s="27" t="s">
        <v>51</v>
      </c>
      <c r="G93" s="27" t="s">
        <v>1533</v>
      </c>
      <c r="H93" s="37"/>
      <c r="I93" s="37"/>
      <c r="J93" s="37"/>
      <c r="K93" s="37"/>
      <c r="L93" s="37"/>
      <c r="M93" s="37"/>
    </row>
    <row r="94" spans="1:13" x14ac:dyDescent="0.3">
      <c r="A94" t="s">
        <v>860</v>
      </c>
      <c r="B94" t="s">
        <v>1413</v>
      </c>
      <c r="C94" s="31"/>
      <c r="D94" s="27" t="s">
        <v>1526</v>
      </c>
      <c r="E94" s="27" t="s">
        <v>51</v>
      </c>
      <c r="F94" s="27" t="s">
        <v>51</v>
      </c>
      <c r="G94" s="27" t="s">
        <v>1534</v>
      </c>
      <c r="H94" s="37"/>
      <c r="I94" s="37"/>
      <c r="J94" s="37"/>
      <c r="K94" s="37"/>
      <c r="L94" s="37"/>
      <c r="M94" s="37"/>
    </row>
    <row r="95" spans="1:13" x14ac:dyDescent="0.3">
      <c r="A95" t="s">
        <v>860</v>
      </c>
      <c r="B95" t="s">
        <v>1413</v>
      </c>
      <c r="C95" s="31"/>
      <c r="D95" s="27" t="s">
        <v>1527</v>
      </c>
      <c r="E95" s="27" t="s">
        <v>51</v>
      </c>
      <c r="F95" s="27" t="s">
        <v>51</v>
      </c>
      <c r="G95" s="27" t="s">
        <v>1535</v>
      </c>
      <c r="H95" s="37"/>
      <c r="I95" s="37"/>
      <c r="J95" s="37"/>
      <c r="K95" s="37"/>
      <c r="L95" s="37"/>
      <c r="M95" s="37"/>
    </row>
    <row r="96" spans="1:13" x14ac:dyDescent="0.3">
      <c r="A96" t="s">
        <v>860</v>
      </c>
      <c r="B96" t="s">
        <v>1413</v>
      </c>
      <c r="C96" s="31"/>
      <c r="D96" s="27" t="s">
        <v>1522</v>
      </c>
      <c r="E96" s="27" t="s">
        <v>51</v>
      </c>
      <c r="F96" s="27" t="s">
        <v>51</v>
      </c>
      <c r="G96" s="27" t="s">
        <v>1529</v>
      </c>
      <c r="H96" s="37"/>
      <c r="I96" s="37"/>
      <c r="J96" s="37"/>
      <c r="K96" s="37"/>
      <c r="L96" s="37"/>
      <c r="M96" s="37"/>
    </row>
    <row r="97" spans="1:13" x14ac:dyDescent="0.3">
      <c r="A97" t="s">
        <v>860</v>
      </c>
      <c r="B97" t="s">
        <v>1413</v>
      </c>
      <c r="C97" s="31"/>
      <c r="D97" s="27" t="s">
        <v>1554</v>
      </c>
      <c r="E97" s="27" t="s">
        <v>51</v>
      </c>
      <c r="F97" s="27" t="s">
        <v>51</v>
      </c>
      <c r="G97" s="27" t="s">
        <v>1555</v>
      </c>
      <c r="H97" s="37"/>
      <c r="I97" s="37"/>
      <c r="J97" s="37"/>
      <c r="K97" s="37"/>
      <c r="L97" s="37"/>
      <c r="M97" s="37"/>
    </row>
    <row r="98" spans="1:13" x14ac:dyDescent="0.3">
      <c r="A98" t="s">
        <v>860</v>
      </c>
      <c r="B98" t="s">
        <v>1413</v>
      </c>
      <c r="C98" s="31"/>
      <c r="D98" s="27" t="s">
        <v>1556</v>
      </c>
      <c r="E98" s="27" t="s">
        <v>51</v>
      </c>
      <c r="F98" s="27" t="s">
        <v>51</v>
      </c>
      <c r="G98" s="27" t="s">
        <v>1557</v>
      </c>
      <c r="H98" s="37"/>
      <c r="I98" s="37"/>
      <c r="J98" s="37"/>
      <c r="K98" s="37"/>
      <c r="L98" s="37"/>
      <c r="M98" s="37"/>
    </row>
    <row r="99" spans="1:13" x14ac:dyDescent="0.3">
      <c r="A99" t="s">
        <v>860</v>
      </c>
      <c r="B99" t="s">
        <v>1413</v>
      </c>
      <c r="C99" s="31"/>
      <c r="D99" s="27" t="s">
        <v>971</v>
      </c>
      <c r="E99" s="27" t="s">
        <v>51</v>
      </c>
      <c r="F99" s="27" t="s">
        <v>51</v>
      </c>
      <c r="G99" s="27" t="s">
        <v>1430</v>
      </c>
      <c r="H99" s="37"/>
      <c r="I99" s="37"/>
      <c r="J99" s="37"/>
      <c r="K99" s="37"/>
      <c r="L99" s="37"/>
      <c r="M99" s="37"/>
    </row>
    <row r="100" spans="1:13" x14ac:dyDescent="0.3">
      <c r="A100" t="s">
        <v>860</v>
      </c>
      <c r="B100" t="s">
        <v>1413</v>
      </c>
      <c r="C100" s="31"/>
      <c r="D100" s="27" t="s">
        <v>973</v>
      </c>
      <c r="E100" s="27" t="s">
        <v>51</v>
      </c>
      <c r="F100" s="27" t="s">
        <v>51</v>
      </c>
      <c r="G100" s="27" t="s">
        <v>1431</v>
      </c>
      <c r="H100" s="37"/>
      <c r="I100" s="37"/>
      <c r="J100" s="37"/>
      <c r="K100" s="37"/>
      <c r="L100" s="37"/>
      <c r="M100" s="37"/>
    </row>
    <row r="101" spans="1:13" x14ac:dyDescent="0.3">
      <c r="A101" t="s">
        <v>860</v>
      </c>
      <c r="B101" t="s">
        <v>1413</v>
      </c>
      <c r="C101" s="31"/>
      <c r="D101" s="27" t="s">
        <v>1941</v>
      </c>
      <c r="E101" s="27" t="s">
        <v>51</v>
      </c>
      <c r="F101" s="27" t="s">
        <v>51</v>
      </c>
      <c r="G101" s="27" t="s">
        <v>1951</v>
      </c>
      <c r="H101" s="37"/>
      <c r="I101" s="37"/>
      <c r="J101" s="37"/>
      <c r="K101" s="37"/>
      <c r="L101" s="37"/>
      <c r="M101" s="37"/>
    </row>
    <row r="102" spans="1:13" x14ac:dyDescent="0.3">
      <c r="A102" t="s">
        <v>860</v>
      </c>
      <c r="B102" t="s">
        <v>1413</v>
      </c>
      <c r="C102" s="31"/>
      <c r="D102" s="27" t="s">
        <v>975</v>
      </c>
      <c r="E102" s="27" t="s">
        <v>51</v>
      </c>
      <c r="F102" s="27" t="s">
        <v>51</v>
      </c>
      <c r="G102" s="27" t="s">
        <v>1432</v>
      </c>
      <c r="H102" s="37"/>
      <c r="I102" s="37"/>
      <c r="J102" s="37"/>
      <c r="K102" s="37"/>
      <c r="L102" s="37"/>
      <c r="M102" s="37"/>
    </row>
    <row r="103" spans="1:13" x14ac:dyDescent="0.3">
      <c r="A103" t="s">
        <v>2177</v>
      </c>
      <c r="B103" t="s">
        <v>1413</v>
      </c>
      <c r="C103" s="31"/>
      <c r="D103" s="27" t="s">
        <v>939</v>
      </c>
      <c r="E103" s="27" t="s">
        <v>51</v>
      </c>
      <c r="F103" s="27" t="s">
        <v>51</v>
      </c>
      <c r="G103" s="27" t="s">
        <v>1429</v>
      </c>
      <c r="H103" s="37"/>
      <c r="I103" s="37"/>
      <c r="J103" s="37"/>
      <c r="K103" s="37"/>
      <c r="L103" s="37"/>
      <c r="M103" s="37"/>
    </row>
    <row r="104" spans="1:13" x14ac:dyDescent="0.3">
      <c r="A104" t="s">
        <v>2177</v>
      </c>
      <c r="B104" t="s">
        <v>1413</v>
      </c>
      <c r="C104" s="31"/>
      <c r="D104" s="27" t="s">
        <v>935</v>
      </c>
      <c r="E104" s="27" t="s">
        <v>51</v>
      </c>
      <c r="F104" s="27" t="s">
        <v>51</v>
      </c>
      <c r="G104" s="27" t="s">
        <v>936</v>
      </c>
      <c r="H104" s="37"/>
      <c r="I104" s="37"/>
      <c r="J104" s="37"/>
      <c r="K104" s="37"/>
      <c r="L104" s="37"/>
      <c r="M104" s="37"/>
    </row>
    <row r="105" spans="1:13" x14ac:dyDescent="0.3">
      <c r="A105" t="s">
        <v>2177</v>
      </c>
      <c r="B105" t="s">
        <v>1413</v>
      </c>
      <c r="C105" s="31"/>
      <c r="D105" s="27" t="s">
        <v>949</v>
      </c>
      <c r="E105" s="27" t="s">
        <v>51</v>
      </c>
      <c r="F105" s="27" t="s">
        <v>51</v>
      </c>
      <c r="G105" s="27" t="s">
        <v>1417</v>
      </c>
      <c r="H105" s="37"/>
      <c r="I105" s="37"/>
      <c r="J105" s="37"/>
      <c r="K105" s="37"/>
      <c r="L105" s="37"/>
      <c r="M105" s="37"/>
    </row>
    <row r="106" spans="1:13" x14ac:dyDescent="0.3">
      <c r="A106" t="s">
        <v>2177</v>
      </c>
      <c r="B106" t="s">
        <v>1413</v>
      </c>
      <c r="C106" s="31"/>
      <c r="D106" s="27" t="s">
        <v>951</v>
      </c>
      <c r="E106" s="27" t="s">
        <v>51</v>
      </c>
      <c r="F106" s="27" t="s">
        <v>51</v>
      </c>
      <c r="G106" s="27" t="s">
        <v>1418</v>
      </c>
      <c r="H106" s="37"/>
      <c r="I106" s="37"/>
      <c r="J106" s="37"/>
      <c r="K106" s="37"/>
      <c r="L106" s="37"/>
      <c r="M106" s="37"/>
    </row>
    <row r="107" spans="1:13" x14ac:dyDescent="0.3">
      <c r="A107" t="s">
        <v>2177</v>
      </c>
      <c r="B107" t="s">
        <v>1413</v>
      </c>
      <c r="C107" s="31"/>
      <c r="D107" s="27" t="s">
        <v>953</v>
      </c>
      <c r="E107" s="27" t="s">
        <v>51</v>
      </c>
      <c r="F107" s="27" t="s">
        <v>51</v>
      </c>
      <c r="G107" s="27" t="s">
        <v>1419</v>
      </c>
      <c r="H107" s="37"/>
      <c r="I107" s="37"/>
      <c r="J107" s="37"/>
      <c r="K107" s="37"/>
      <c r="L107" s="37"/>
      <c r="M107" s="37"/>
    </row>
    <row r="108" spans="1:13" x14ac:dyDescent="0.3">
      <c r="A108" t="s">
        <v>2177</v>
      </c>
      <c r="B108" t="s">
        <v>1413</v>
      </c>
      <c r="C108" s="31"/>
      <c r="D108" s="27" t="s">
        <v>955</v>
      </c>
      <c r="E108" s="27" t="s">
        <v>51</v>
      </c>
      <c r="F108" s="27" t="s">
        <v>51</v>
      </c>
      <c r="G108" s="27" t="s">
        <v>1420</v>
      </c>
      <c r="H108" s="37"/>
      <c r="I108" s="37"/>
      <c r="J108" s="37"/>
      <c r="K108" s="37"/>
      <c r="L108" s="37"/>
      <c r="M108" s="37"/>
    </row>
    <row r="109" spans="1:13" x14ac:dyDescent="0.3">
      <c r="A109" t="s">
        <v>2177</v>
      </c>
      <c r="B109" t="s">
        <v>1413</v>
      </c>
      <c r="C109" s="31"/>
      <c r="D109" s="27" t="s">
        <v>1524</v>
      </c>
      <c r="E109" s="27" t="s">
        <v>51</v>
      </c>
      <c r="F109" s="27" t="s">
        <v>51</v>
      </c>
      <c r="G109" s="27" t="s">
        <v>1532</v>
      </c>
      <c r="H109" s="37"/>
      <c r="I109" s="37"/>
      <c r="J109" s="37"/>
      <c r="K109" s="37"/>
      <c r="L109" s="37"/>
      <c r="M109" s="37"/>
    </row>
    <row r="110" spans="1:13" x14ac:dyDescent="0.3">
      <c r="A110" t="s">
        <v>2177</v>
      </c>
      <c r="B110" t="s">
        <v>1413</v>
      </c>
      <c r="C110" s="31"/>
      <c r="D110" s="27" t="s">
        <v>971</v>
      </c>
      <c r="E110" s="27" t="s">
        <v>51</v>
      </c>
      <c r="F110" s="27" t="s">
        <v>51</v>
      </c>
      <c r="G110" s="27" t="s">
        <v>1430</v>
      </c>
      <c r="H110" s="37"/>
      <c r="I110" s="37"/>
      <c r="J110" s="37"/>
      <c r="K110" s="37"/>
      <c r="L110" s="37"/>
      <c r="M110" s="37"/>
    </row>
    <row r="111" spans="1:13" x14ac:dyDescent="0.3">
      <c r="A111" t="s">
        <v>2177</v>
      </c>
      <c r="B111" t="s">
        <v>1413</v>
      </c>
      <c r="C111" s="31"/>
      <c r="D111" s="27" t="s">
        <v>1941</v>
      </c>
      <c r="E111" s="27" t="s">
        <v>51</v>
      </c>
      <c r="F111" s="27" t="s">
        <v>51</v>
      </c>
      <c r="G111" s="27" t="s">
        <v>1951</v>
      </c>
      <c r="H111" s="37"/>
      <c r="I111" s="37"/>
      <c r="J111" s="37"/>
      <c r="K111" s="37"/>
      <c r="L111" s="37"/>
      <c r="M111" s="37"/>
    </row>
    <row r="112" spans="1:13" x14ac:dyDescent="0.3">
      <c r="A112" t="s">
        <v>2177</v>
      </c>
      <c r="B112" t="s">
        <v>1413</v>
      </c>
      <c r="C112" s="31"/>
      <c r="D112" s="27" t="s">
        <v>975</v>
      </c>
      <c r="E112" s="27" t="s">
        <v>51</v>
      </c>
      <c r="F112" s="27" t="s">
        <v>51</v>
      </c>
      <c r="G112" s="27" t="s">
        <v>1432</v>
      </c>
      <c r="H112" s="37"/>
      <c r="I112" s="37"/>
      <c r="J112" s="37"/>
      <c r="K112" s="37"/>
      <c r="L112" s="37"/>
      <c r="M112" s="37"/>
    </row>
    <row r="113" spans="1:13" x14ac:dyDescent="0.3">
      <c r="A113" t="s">
        <v>2178</v>
      </c>
      <c r="B113" t="s">
        <v>1413</v>
      </c>
      <c r="C113" s="31"/>
      <c r="D113" s="27" t="s">
        <v>939</v>
      </c>
      <c r="E113" s="27" t="s">
        <v>51</v>
      </c>
      <c r="F113" s="27" t="s">
        <v>51</v>
      </c>
      <c r="G113" s="27" t="s">
        <v>1429</v>
      </c>
      <c r="H113" s="37"/>
      <c r="I113" s="37"/>
      <c r="J113" s="37"/>
      <c r="K113" s="37"/>
      <c r="L113" s="37"/>
      <c r="M113" s="37"/>
    </row>
    <row r="114" spans="1:13" x14ac:dyDescent="0.3">
      <c r="A114" t="s">
        <v>2178</v>
      </c>
      <c r="B114" t="s">
        <v>1413</v>
      </c>
      <c r="C114" s="31"/>
      <c r="D114" s="27" t="s">
        <v>935</v>
      </c>
      <c r="E114" s="27" t="s">
        <v>51</v>
      </c>
      <c r="F114" s="27" t="s">
        <v>51</v>
      </c>
      <c r="G114" s="27" t="s">
        <v>936</v>
      </c>
      <c r="H114" s="37"/>
      <c r="I114" s="37"/>
      <c r="J114" s="37"/>
      <c r="K114" s="37"/>
      <c r="L114" s="37"/>
      <c r="M114" s="37"/>
    </row>
    <row r="115" spans="1:13" x14ac:dyDescent="0.3">
      <c r="A115" t="s">
        <v>2178</v>
      </c>
      <c r="B115" t="s">
        <v>1411</v>
      </c>
      <c r="C115" s="31"/>
      <c r="D115" s="27" t="s">
        <v>941</v>
      </c>
      <c r="E115" s="27" t="s">
        <v>51</v>
      </c>
      <c r="F115" s="27" t="s">
        <v>51</v>
      </c>
      <c r="G115" s="27" t="s">
        <v>1412</v>
      </c>
      <c r="H115" s="37"/>
      <c r="I115" s="37"/>
      <c r="J115" s="37"/>
      <c r="K115" s="37"/>
      <c r="L115" s="37"/>
      <c r="M115" s="37"/>
    </row>
    <row r="116" spans="1:13" x14ac:dyDescent="0.3">
      <c r="A116" t="s">
        <v>2178</v>
      </c>
      <c r="B116" t="s">
        <v>1413</v>
      </c>
      <c r="C116" s="31"/>
      <c r="D116" s="27" t="s">
        <v>943</v>
      </c>
      <c r="E116" s="27" t="s">
        <v>51</v>
      </c>
      <c r="F116" s="27" t="s">
        <v>51</v>
      </c>
      <c r="G116" s="27" t="s">
        <v>1414</v>
      </c>
      <c r="H116" s="37"/>
      <c r="I116" s="37"/>
      <c r="J116" s="37"/>
      <c r="K116" s="37"/>
      <c r="L116" s="37"/>
      <c r="M116" s="37"/>
    </row>
    <row r="117" spans="1:13" x14ac:dyDescent="0.3">
      <c r="A117" t="s">
        <v>2178</v>
      </c>
      <c r="B117" t="s">
        <v>1413</v>
      </c>
      <c r="C117" s="31"/>
      <c r="D117" s="27" t="s">
        <v>945</v>
      </c>
      <c r="E117" s="27" t="s">
        <v>51</v>
      </c>
      <c r="F117" s="27" t="s">
        <v>51</v>
      </c>
      <c r="G117" s="27" t="s">
        <v>1415</v>
      </c>
      <c r="H117" s="37"/>
      <c r="I117" s="37"/>
      <c r="J117" s="37"/>
      <c r="K117" s="37"/>
      <c r="L117" s="37"/>
      <c r="M117" s="37"/>
    </row>
    <row r="118" spans="1:13" x14ac:dyDescent="0.3">
      <c r="A118" t="s">
        <v>2178</v>
      </c>
      <c r="B118" t="s">
        <v>1413</v>
      </c>
      <c r="C118" s="31"/>
      <c r="D118" s="27" t="s">
        <v>947</v>
      </c>
      <c r="E118" s="27" t="s">
        <v>51</v>
      </c>
      <c r="F118" s="27" t="s">
        <v>51</v>
      </c>
      <c r="G118" s="27" t="s">
        <v>1416</v>
      </c>
      <c r="H118" s="37"/>
      <c r="I118" s="37"/>
      <c r="J118" s="37"/>
      <c r="K118" s="37"/>
      <c r="L118" s="37"/>
      <c r="M118" s="37"/>
    </row>
    <row r="119" spans="1:13" x14ac:dyDescent="0.3">
      <c r="A119" t="s">
        <v>2178</v>
      </c>
      <c r="B119" t="s">
        <v>1413</v>
      </c>
      <c r="C119" s="31"/>
      <c r="D119" s="27" t="s">
        <v>1528</v>
      </c>
      <c r="E119" s="27" t="s">
        <v>51</v>
      </c>
      <c r="F119" s="27" t="s">
        <v>51</v>
      </c>
      <c r="G119" s="27" t="s">
        <v>1530</v>
      </c>
      <c r="H119" s="37"/>
      <c r="I119" s="37"/>
      <c r="J119" s="37"/>
      <c r="K119" s="37"/>
      <c r="L119" s="37"/>
      <c r="M119" s="37"/>
    </row>
    <row r="120" spans="1:13" x14ac:dyDescent="0.3">
      <c r="A120" t="s">
        <v>2178</v>
      </c>
      <c r="B120" t="s">
        <v>1413</v>
      </c>
      <c r="C120" s="31"/>
      <c r="D120" s="27" t="s">
        <v>1523</v>
      </c>
      <c r="E120" s="27" t="s">
        <v>51</v>
      </c>
      <c r="F120" s="27" t="s">
        <v>51</v>
      </c>
      <c r="G120" s="27" t="s">
        <v>1531</v>
      </c>
      <c r="H120" s="37"/>
      <c r="I120" s="37"/>
      <c r="J120" s="37"/>
      <c r="K120" s="37"/>
      <c r="L120" s="37"/>
      <c r="M120" s="37"/>
    </row>
    <row r="121" spans="1:13" x14ac:dyDescent="0.3">
      <c r="A121" t="s">
        <v>2178</v>
      </c>
      <c r="B121" t="s">
        <v>1413</v>
      </c>
      <c r="C121" s="31"/>
      <c r="D121" s="27" t="s">
        <v>1522</v>
      </c>
      <c r="E121" s="27" t="s">
        <v>51</v>
      </c>
      <c r="F121" s="27" t="s">
        <v>51</v>
      </c>
      <c r="G121" s="27" t="s">
        <v>1529</v>
      </c>
      <c r="H121" s="37"/>
      <c r="I121" s="37"/>
      <c r="J121" s="37"/>
      <c r="K121" s="37"/>
      <c r="L121" s="37"/>
      <c r="M121" s="37"/>
    </row>
    <row r="122" spans="1:13" x14ac:dyDescent="0.3">
      <c r="A122" t="s">
        <v>2178</v>
      </c>
      <c r="B122" t="s">
        <v>1413</v>
      </c>
      <c r="C122" s="31"/>
      <c r="D122" s="27" t="s">
        <v>1554</v>
      </c>
      <c r="E122" s="27" t="s">
        <v>51</v>
      </c>
      <c r="F122" s="27" t="s">
        <v>51</v>
      </c>
      <c r="G122" s="27" t="s">
        <v>1555</v>
      </c>
      <c r="H122" s="37"/>
      <c r="I122" s="37"/>
      <c r="J122" s="37"/>
      <c r="K122" s="37"/>
      <c r="L122" s="37"/>
      <c r="M122" s="37"/>
    </row>
    <row r="123" spans="1:13" x14ac:dyDescent="0.3">
      <c r="A123" t="s">
        <v>2178</v>
      </c>
      <c r="B123" t="s">
        <v>1413</v>
      </c>
      <c r="C123" s="31"/>
      <c r="D123" s="27" t="s">
        <v>1556</v>
      </c>
      <c r="E123" s="27" t="s">
        <v>51</v>
      </c>
      <c r="F123" s="27" t="s">
        <v>51</v>
      </c>
      <c r="G123" s="27" t="s">
        <v>1557</v>
      </c>
      <c r="H123" s="37"/>
      <c r="I123" s="37"/>
      <c r="J123" s="37"/>
      <c r="K123" s="37"/>
      <c r="L123" s="37"/>
      <c r="M123" s="37"/>
    </row>
    <row r="124" spans="1:13" x14ac:dyDescent="0.3">
      <c r="A124" t="s">
        <v>2178</v>
      </c>
      <c r="B124" t="s">
        <v>1413</v>
      </c>
      <c r="C124" s="31"/>
      <c r="D124" s="27" t="s">
        <v>971</v>
      </c>
      <c r="E124" s="27" t="s">
        <v>51</v>
      </c>
      <c r="F124" s="27" t="s">
        <v>51</v>
      </c>
      <c r="G124" s="27" t="s">
        <v>1430</v>
      </c>
      <c r="H124" s="37"/>
      <c r="I124" s="37"/>
      <c r="J124" s="37"/>
      <c r="K124" s="37"/>
      <c r="L124" s="37"/>
      <c r="M124" s="37"/>
    </row>
    <row r="125" spans="1:13" x14ac:dyDescent="0.3">
      <c r="A125" t="s">
        <v>2178</v>
      </c>
      <c r="B125" t="s">
        <v>1413</v>
      </c>
      <c r="C125" s="31"/>
      <c r="D125" s="27" t="s">
        <v>1941</v>
      </c>
      <c r="E125" s="27" t="s">
        <v>51</v>
      </c>
      <c r="F125" s="27" t="s">
        <v>51</v>
      </c>
      <c r="G125" s="27" t="s">
        <v>1951</v>
      </c>
      <c r="H125" s="37"/>
      <c r="I125" s="37"/>
      <c r="J125" s="37"/>
      <c r="K125" s="37"/>
      <c r="L125" s="37"/>
      <c r="M125" s="37"/>
    </row>
    <row r="126" spans="1:13" x14ac:dyDescent="0.3">
      <c r="A126" t="s">
        <v>2178</v>
      </c>
      <c r="B126" t="s">
        <v>1413</v>
      </c>
      <c r="C126" s="31"/>
      <c r="D126" s="27" t="s">
        <v>975</v>
      </c>
      <c r="E126" s="27" t="s">
        <v>51</v>
      </c>
      <c r="F126" s="27" t="s">
        <v>51</v>
      </c>
      <c r="G126" s="27" t="s">
        <v>1432</v>
      </c>
      <c r="H126" s="37"/>
      <c r="I126" s="37"/>
      <c r="J126" s="37"/>
      <c r="K126" s="37"/>
      <c r="L126" s="37"/>
      <c r="M126" s="37"/>
    </row>
    <row r="127" spans="1:13" x14ac:dyDescent="0.3">
      <c r="A127" t="s">
        <v>2180</v>
      </c>
      <c r="B127" t="s">
        <v>1413</v>
      </c>
      <c r="C127" s="31"/>
      <c r="D127" s="27" t="s">
        <v>939</v>
      </c>
      <c r="E127" s="27" t="s">
        <v>51</v>
      </c>
      <c r="F127" s="27" t="s">
        <v>51</v>
      </c>
      <c r="G127" s="27" t="s">
        <v>1429</v>
      </c>
      <c r="H127" s="37"/>
      <c r="I127" s="37"/>
      <c r="J127" s="37"/>
      <c r="K127" s="37"/>
      <c r="L127" s="37"/>
      <c r="M127" s="37"/>
    </row>
    <row r="128" spans="1:13" x14ac:dyDescent="0.3">
      <c r="A128" t="s">
        <v>2180</v>
      </c>
      <c r="B128" t="s">
        <v>1413</v>
      </c>
      <c r="C128" s="31"/>
      <c r="D128" s="27" t="s">
        <v>935</v>
      </c>
      <c r="E128" s="27" t="s">
        <v>51</v>
      </c>
      <c r="F128" s="27" t="s">
        <v>51</v>
      </c>
      <c r="G128" s="27" t="s">
        <v>936</v>
      </c>
      <c r="H128" s="37"/>
      <c r="I128" s="37"/>
      <c r="J128" s="37"/>
      <c r="K128" s="37"/>
      <c r="L128" s="37"/>
      <c r="M128" s="37"/>
    </row>
    <row r="129" spans="1:13" x14ac:dyDescent="0.3">
      <c r="A129" t="s">
        <v>2180</v>
      </c>
      <c r="B129" t="s">
        <v>1413</v>
      </c>
      <c r="C129" s="31"/>
      <c r="D129" s="27" t="s">
        <v>953</v>
      </c>
      <c r="E129" s="27" t="s">
        <v>51</v>
      </c>
      <c r="F129" s="27" t="s">
        <v>51</v>
      </c>
      <c r="G129" s="27" t="s">
        <v>1419</v>
      </c>
      <c r="H129" s="37"/>
      <c r="I129" s="37"/>
      <c r="J129" s="37"/>
      <c r="K129" s="37"/>
      <c r="L129" s="37"/>
      <c r="M129" s="37"/>
    </row>
    <row r="130" spans="1:13" x14ac:dyDescent="0.3">
      <c r="A130" t="s">
        <v>2180</v>
      </c>
      <c r="B130" t="s">
        <v>1413</v>
      </c>
      <c r="C130" s="31"/>
      <c r="D130" s="27" t="s">
        <v>955</v>
      </c>
      <c r="E130" s="27" t="s">
        <v>51</v>
      </c>
      <c r="F130" s="27" t="s">
        <v>51</v>
      </c>
      <c r="G130" s="27" t="s">
        <v>1420</v>
      </c>
      <c r="H130" s="37"/>
      <c r="I130" s="37"/>
      <c r="J130" s="37"/>
      <c r="K130" s="37"/>
      <c r="L130" s="37"/>
      <c r="M130" s="37"/>
    </row>
    <row r="131" spans="1:13" x14ac:dyDescent="0.3">
      <c r="A131" t="s">
        <v>2180</v>
      </c>
      <c r="B131" t="s">
        <v>1413</v>
      </c>
      <c r="C131" s="31"/>
      <c r="D131" s="27" t="s">
        <v>957</v>
      </c>
      <c r="E131" s="27" t="s">
        <v>51</v>
      </c>
      <c r="F131" s="27" t="s">
        <v>51</v>
      </c>
      <c r="G131" s="27" t="s">
        <v>1421</v>
      </c>
      <c r="H131" s="37"/>
      <c r="I131" s="37"/>
      <c r="J131" s="37"/>
      <c r="K131" s="37"/>
      <c r="L131" s="37"/>
      <c r="M131" s="37"/>
    </row>
    <row r="132" spans="1:13" x14ac:dyDescent="0.3">
      <c r="A132" t="s">
        <v>2180</v>
      </c>
      <c r="B132" t="s">
        <v>1413</v>
      </c>
      <c r="C132" s="31"/>
      <c r="D132" s="27" t="s">
        <v>959</v>
      </c>
      <c r="E132" s="27" t="s">
        <v>51</v>
      </c>
      <c r="F132" s="27" t="s">
        <v>51</v>
      </c>
      <c r="G132" s="27" t="s">
        <v>1422</v>
      </c>
      <c r="H132" s="37"/>
      <c r="I132" s="37"/>
      <c r="J132" s="37"/>
      <c r="K132" s="37"/>
      <c r="L132" s="37"/>
      <c r="M132" s="37"/>
    </row>
    <row r="133" spans="1:13" x14ac:dyDescent="0.3">
      <c r="A133" t="s">
        <v>2180</v>
      </c>
      <c r="B133" t="s">
        <v>1413</v>
      </c>
      <c r="C133" s="31"/>
      <c r="D133" s="27" t="s">
        <v>1524</v>
      </c>
      <c r="E133" s="27" t="s">
        <v>51</v>
      </c>
      <c r="F133" s="27" t="s">
        <v>51</v>
      </c>
      <c r="G133" s="27" t="s">
        <v>1532</v>
      </c>
      <c r="H133" s="37"/>
      <c r="I133" s="37"/>
      <c r="J133" s="37"/>
      <c r="K133" s="37"/>
      <c r="L133" s="37"/>
      <c r="M133" s="37"/>
    </row>
    <row r="134" spans="1:13" x14ac:dyDescent="0.3">
      <c r="A134" t="s">
        <v>2180</v>
      </c>
      <c r="B134" t="s">
        <v>1413</v>
      </c>
      <c r="C134" s="31"/>
      <c r="D134" s="27" t="s">
        <v>1525</v>
      </c>
      <c r="E134" s="27" t="s">
        <v>51</v>
      </c>
      <c r="F134" s="27" t="s">
        <v>51</v>
      </c>
      <c r="G134" s="27" t="s">
        <v>1533</v>
      </c>
      <c r="H134" s="37"/>
      <c r="I134" s="37"/>
      <c r="J134" s="37"/>
      <c r="K134" s="37"/>
      <c r="L134" s="37"/>
      <c r="M134" s="37"/>
    </row>
    <row r="135" spans="1:13" x14ac:dyDescent="0.3">
      <c r="A135" t="s">
        <v>2180</v>
      </c>
      <c r="B135" t="s">
        <v>1413</v>
      </c>
      <c r="C135" s="31"/>
      <c r="D135" s="27" t="s">
        <v>971</v>
      </c>
      <c r="E135" s="27" t="s">
        <v>51</v>
      </c>
      <c r="F135" s="27" t="s">
        <v>51</v>
      </c>
      <c r="G135" s="27" t="s">
        <v>1430</v>
      </c>
      <c r="H135" s="37"/>
      <c r="I135" s="37"/>
      <c r="J135" s="37"/>
      <c r="K135" s="37"/>
      <c r="L135" s="37"/>
      <c r="M135" s="37"/>
    </row>
    <row r="136" spans="1:13" x14ac:dyDescent="0.3">
      <c r="A136" t="s">
        <v>2180</v>
      </c>
      <c r="B136" t="s">
        <v>1413</v>
      </c>
      <c r="C136" s="31"/>
      <c r="D136" s="27" t="s">
        <v>973</v>
      </c>
      <c r="E136" s="27" t="s">
        <v>51</v>
      </c>
      <c r="F136" s="27" t="s">
        <v>51</v>
      </c>
      <c r="G136" s="27" t="s">
        <v>1431</v>
      </c>
      <c r="H136" s="37"/>
      <c r="I136" s="37"/>
      <c r="J136" s="37"/>
      <c r="K136" s="37"/>
      <c r="L136" s="37"/>
      <c r="M136" s="37"/>
    </row>
    <row r="137" spans="1:13" x14ac:dyDescent="0.3">
      <c r="A137" t="s">
        <v>2180</v>
      </c>
      <c r="B137" t="s">
        <v>1413</v>
      </c>
      <c r="C137" s="31"/>
      <c r="D137" s="27" t="s">
        <v>1941</v>
      </c>
      <c r="E137" s="27" t="s">
        <v>51</v>
      </c>
      <c r="F137" s="27" t="s">
        <v>51</v>
      </c>
      <c r="G137" s="27" t="s">
        <v>1951</v>
      </c>
      <c r="H137" s="37"/>
      <c r="I137" s="37"/>
      <c r="J137" s="37"/>
      <c r="K137" s="37"/>
      <c r="L137" s="37"/>
      <c r="M137" s="37"/>
    </row>
    <row r="138" spans="1:13" x14ac:dyDescent="0.3">
      <c r="A138" t="s">
        <v>2180</v>
      </c>
      <c r="B138" t="s">
        <v>1413</v>
      </c>
      <c r="C138" s="31"/>
      <c r="D138" s="27" t="s">
        <v>975</v>
      </c>
      <c r="E138" s="27" t="s">
        <v>51</v>
      </c>
      <c r="F138" s="27" t="s">
        <v>51</v>
      </c>
      <c r="G138" s="27" t="s">
        <v>1432</v>
      </c>
      <c r="H138" s="37"/>
      <c r="I138" s="37"/>
      <c r="J138" s="37"/>
      <c r="K138" s="37"/>
      <c r="L138" s="37"/>
      <c r="M138" s="37"/>
    </row>
    <row r="139" spans="1:13" x14ac:dyDescent="0.3">
      <c r="A139" t="s">
        <v>2179</v>
      </c>
      <c r="B139" t="s">
        <v>1413</v>
      </c>
      <c r="C139" s="31"/>
      <c r="D139" s="27" t="s">
        <v>937</v>
      </c>
      <c r="E139" s="27" t="s">
        <v>51</v>
      </c>
      <c r="F139" s="27" t="s">
        <v>51</v>
      </c>
      <c r="G139" s="27" t="s">
        <v>1428</v>
      </c>
      <c r="H139" s="37"/>
      <c r="I139" s="37"/>
      <c r="J139" s="37"/>
      <c r="K139" s="37"/>
      <c r="L139" s="37"/>
      <c r="M139" s="37"/>
    </row>
    <row r="140" spans="1:13" x14ac:dyDescent="0.3">
      <c r="A140" t="s">
        <v>2179</v>
      </c>
      <c r="B140" t="s">
        <v>1413</v>
      </c>
      <c r="C140" s="31"/>
      <c r="D140" s="27" t="s">
        <v>933</v>
      </c>
      <c r="E140" s="27" t="s">
        <v>51</v>
      </c>
      <c r="F140" s="27" t="s">
        <v>51</v>
      </c>
      <c r="G140" s="27" t="s">
        <v>1607</v>
      </c>
      <c r="H140" s="37"/>
      <c r="I140" s="37"/>
      <c r="J140" s="37"/>
      <c r="K140" s="37"/>
      <c r="L140" s="37"/>
      <c r="M140" s="37"/>
    </row>
    <row r="141" spans="1:13" x14ac:dyDescent="0.3">
      <c r="A141" t="s">
        <v>2179</v>
      </c>
      <c r="B141" t="s">
        <v>1411</v>
      </c>
      <c r="C141" s="31"/>
      <c r="D141" s="27" t="s">
        <v>967</v>
      </c>
      <c r="E141" s="27" t="s">
        <v>51</v>
      </c>
      <c r="F141" s="27" t="s">
        <v>51</v>
      </c>
      <c r="G141" s="27" t="s">
        <v>1426</v>
      </c>
      <c r="H141" s="37"/>
      <c r="I141" s="37"/>
      <c r="J141" s="37"/>
      <c r="K141" s="37"/>
      <c r="L141" s="37"/>
      <c r="M141" s="37"/>
    </row>
    <row r="142" spans="1:13" x14ac:dyDescent="0.3">
      <c r="A142" t="s">
        <v>2179</v>
      </c>
      <c r="B142" t="s">
        <v>1411</v>
      </c>
      <c r="C142" s="31"/>
      <c r="D142" s="27" t="s">
        <v>969</v>
      </c>
      <c r="E142" s="27" t="s">
        <v>51</v>
      </c>
      <c r="F142" s="27" t="s">
        <v>51</v>
      </c>
      <c r="G142" s="27" t="s">
        <v>1427</v>
      </c>
      <c r="H142" s="37"/>
      <c r="I142" s="37"/>
      <c r="J142" s="37"/>
      <c r="K142" s="37"/>
      <c r="L142" s="37"/>
      <c r="M142" s="37"/>
    </row>
    <row r="143" spans="1:13" x14ac:dyDescent="0.3">
      <c r="A143" t="s">
        <v>2179</v>
      </c>
      <c r="B143" t="s">
        <v>1411</v>
      </c>
      <c r="C143" s="31"/>
      <c r="D143" s="27" t="s">
        <v>1501</v>
      </c>
      <c r="E143" s="27" t="s">
        <v>51</v>
      </c>
      <c r="F143" s="27" t="s">
        <v>51</v>
      </c>
      <c r="G143" s="27" t="s">
        <v>1590</v>
      </c>
      <c r="H143" s="37"/>
      <c r="I143" s="37"/>
      <c r="J143" s="37"/>
      <c r="K143" s="37"/>
      <c r="L143" s="37"/>
      <c r="M143" s="37"/>
    </row>
    <row r="144" spans="1:13" x14ac:dyDescent="0.3">
      <c r="A144" t="s">
        <v>2179</v>
      </c>
      <c r="B144" t="s">
        <v>1413</v>
      </c>
      <c r="C144" s="31"/>
      <c r="D144" s="27" t="s">
        <v>1527</v>
      </c>
      <c r="E144" s="27" t="s">
        <v>51</v>
      </c>
      <c r="F144" s="27" t="s">
        <v>51</v>
      </c>
      <c r="G144" s="27" t="s">
        <v>1535</v>
      </c>
      <c r="H144" s="37"/>
      <c r="I144" s="37"/>
      <c r="J144" s="37"/>
      <c r="K144" s="37"/>
      <c r="L144" s="37"/>
      <c r="M144" s="37"/>
    </row>
    <row r="145" spans="1:13" x14ac:dyDescent="0.3">
      <c r="A145" t="s">
        <v>2181</v>
      </c>
      <c r="B145" t="s">
        <v>1411</v>
      </c>
      <c r="C145" s="31"/>
      <c r="D145" s="27" t="s">
        <v>941</v>
      </c>
      <c r="E145" s="27" t="s">
        <v>51</v>
      </c>
      <c r="F145" s="27" t="s">
        <v>51</v>
      </c>
      <c r="G145" s="27" t="s">
        <v>1412</v>
      </c>
      <c r="H145" s="37"/>
      <c r="I145" s="37"/>
      <c r="J145" s="37"/>
      <c r="K145" s="37"/>
      <c r="L145" s="37"/>
      <c r="M145" s="37"/>
    </row>
    <row r="146" spans="1:13" x14ac:dyDescent="0.3">
      <c r="A146" t="s">
        <v>2181</v>
      </c>
      <c r="B146" t="s">
        <v>1413</v>
      </c>
      <c r="C146" s="31"/>
      <c r="D146" s="27" t="s">
        <v>1522</v>
      </c>
      <c r="E146" s="27" t="s">
        <v>51</v>
      </c>
      <c r="F146" s="27" t="s">
        <v>51</v>
      </c>
      <c r="G146" s="27" t="s">
        <v>1529</v>
      </c>
      <c r="H146" s="37"/>
      <c r="I146" s="37"/>
      <c r="J146" s="37"/>
      <c r="K146" s="37"/>
      <c r="L146" s="37"/>
      <c r="M146" s="37"/>
    </row>
    <row r="147" spans="1:13" x14ac:dyDescent="0.3">
      <c r="A147" t="s">
        <v>2422</v>
      </c>
      <c r="B147" t="s">
        <v>1413</v>
      </c>
      <c r="C147" s="31"/>
      <c r="D147" s="27" t="s">
        <v>939</v>
      </c>
      <c r="E147" s="27" t="s">
        <v>51</v>
      </c>
      <c r="F147" s="27" t="s">
        <v>51</v>
      </c>
      <c r="G147" s="27" t="s">
        <v>1429</v>
      </c>
      <c r="H147" s="37"/>
      <c r="I147" s="37"/>
      <c r="J147" s="37"/>
      <c r="K147" s="37"/>
      <c r="L147" s="37"/>
      <c r="M147" s="37"/>
    </row>
    <row r="148" spans="1:13" x14ac:dyDescent="0.3">
      <c r="A148" t="s">
        <v>2422</v>
      </c>
      <c r="B148" t="s">
        <v>1413</v>
      </c>
      <c r="C148" s="31"/>
      <c r="D148" s="27" t="s">
        <v>935</v>
      </c>
      <c r="E148" s="27" t="s">
        <v>51</v>
      </c>
      <c r="F148" s="27" t="s">
        <v>51</v>
      </c>
      <c r="G148" s="27" t="s">
        <v>936</v>
      </c>
      <c r="H148" s="37"/>
      <c r="I148" s="37"/>
      <c r="J148" s="37"/>
      <c r="K148" s="37"/>
      <c r="L148" s="37"/>
      <c r="M148" s="37"/>
    </row>
    <row r="149" spans="1:13" x14ac:dyDescent="0.3">
      <c r="A149" t="s">
        <v>2422</v>
      </c>
      <c r="B149" t="s">
        <v>1413</v>
      </c>
      <c r="C149" s="31"/>
      <c r="D149" s="27" t="s">
        <v>943</v>
      </c>
      <c r="E149" s="27" t="s">
        <v>51</v>
      </c>
      <c r="F149" s="27" t="s">
        <v>51</v>
      </c>
      <c r="G149" s="27" t="s">
        <v>1414</v>
      </c>
      <c r="H149" s="37"/>
      <c r="I149" s="37"/>
      <c r="J149" s="37"/>
      <c r="K149" s="37"/>
      <c r="L149" s="37"/>
      <c r="M149" s="37"/>
    </row>
    <row r="150" spans="1:13" x14ac:dyDescent="0.3">
      <c r="A150" t="s">
        <v>2422</v>
      </c>
      <c r="B150" t="s">
        <v>1413</v>
      </c>
      <c r="C150" s="31"/>
      <c r="D150" s="27" t="s">
        <v>945</v>
      </c>
      <c r="E150" s="27" t="s">
        <v>51</v>
      </c>
      <c r="F150" s="27" t="s">
        <v>51</v>
      </c>
      <c r="G150" s="27" t="s">
        <v>1415</v>
      </c>
      <c r="H150" s="37"/>
      <c r="I150" s="37"/>
      <c r="J150" s="37"/>
      <c r="K150" s="37"/>
      <c r="L150" s="37"/>
      <c r="M150" s="37"/>
    </row>
    <row r="151" spans="1:13" x14ac:dyDescent="0.3">
      <c r="A151" t="s">
        <v>2422</v>
      </c>
      <c r="B151" t="s">
        <v>1413</v>
      </c>
      <c r="C151" s="31"/>
      <c r="D151" s="27" t="s">
        <v>947</v>
      </c>
      <c r="E151" s="27" t="s">
        <v>51</v>
      </c>
      <c r="F151" s="27" t="s">
        <v>51</v>
      </c>
      <c r="G151" s="27" t="s">
        <v>1416</v>
      </c>
      <c r="H151" s="37"/>
      <c r="I151" s="37"/>
      <c r="J151" s="37"/>
      <c r="K151" s="37"/>
      <c r="L151" s="37"/>
      <c r="M151" s="37"/>
    </row>
    <row r="152" spans="1:13" x14ac:dyDescent="0.3">
      <c r="A152" t="s">
        <v>2422</v>
      </c>
      <c r="B152" t="s">
        <v>1413</v>
      </c>
      <c r="C152" s="31"/>
      <c r="D152" s="27" t="s">
        <v>949</v>
      </c>
      <c r="E152" s="27" t="s">
        <v>51</v>
      </c>
      <c r="F152" s="27" t="s">
        <v>51</v>
      </c>
      <c r="G152" s="27" t="s">
        <v>1417</v>
      </c>
      <c r="H152" s="37"/>
      <c r="I152" s="37"/>
      <c r="J152" s="37"/>
      <c r="K152" s="37"/>
      <c r="L152" s="37"/>
      <c r="M152" s="37"/>
    </row>
    <row r="153" spans="1:13" x14ac:dyDescent="0.3">
      <c r="A153" t="s">
        <v>2422</v>
      </c>
      <c r="B153" t="s">
        <v>1413</v>
      </c>
      <c r="C153" s="31"/>
      <c r="D153" s="27" t="s">
        <v>951</v>
      </c>
      <c r="E153" s="27" t="s">
        <v>51</v>
      </c>
      <c r="F153" s="27" t="s">
        <v>51</v>
      </c>
      <c r="G153" s="27" t="s">
        <v>1418</v>
      </c>
      <c r="H153" s="37"/>
      <c r="I153" s="37"/>
      <c r="J153" s="37"/>
      <c r="K153" s="37"/>
      <c r="L153" s="37"/>
      <c r="M153" s="37"/>
    </row>
    <row r="154" spans="1:13" x14ac:dyDescent="0.3">
      <c r="A154" t="s">
        <v>2422</v>
      </c>
      <c r="B154" t="s">
        <v>1413</v>
      </c>
      <c r="C154" s="31"/>
      <c r="D154" s="27" t="s">
        <v>953</v>
      </c>
      <c r="E154" s="27" t="s">
        <v>51</v>
      </c>
      <c r="F154" s="27" t="s">
        <v>51</v>
      </c>
      <c r="G154" s="27" t="s">
        <v>1419</v>
      </c>
      <c r="H154" s="37"/>
      <c r="I154" s="37"/>
      <c r="J154" s="37"/>
      <c r="K154" s="37"/>
      <c r="L154" s="37"/>
      <c r="M154" s="37"/>
    </row>
    <row r="155" spans="1:13" x14ac:dyDescent="0.3">
      <c r="A155" t="s">
        <v>2422</v>
      </c>
      <c r="B155" t="s">
        <v>1413</v>
      </c>
      <c r="C155" s="31"/>
      <c r="D155" s="27" t="s">
        <v>955</v>
      </c>
      <c r="E155" s="27" t="s">
        <v>51</v>
      </c>
      <c r="F155" s="27" t="s">
        <v>51</v>
      </c>
      <c r="G155" s="27" t="s">
        <v>1420</v>
      </c>
      <c r="H155" s="37"/>
      <c r="I155" s="37"/>
      <c r="J155" s="37"/>
      <c r="K155" s="37"/>
      <c r="L155" s="37"/>
      <c r="M155" s="37"/>
    </row>
    <row r="156" spans="1:13" x14ac:dyDescent="0.3">
      <c r="A156" t="s">
        <v>2422</v>
      </c>
      <c r="B156" t="s">
        <v>1413</v>
      </c>
      <c r="C156" s="31"/>
      <c r="D156" s="27" t="s">
        <v>1528</v>
      </c>
      <c r="E156" s="27" t="s">
        <v>51</v>
      </c>
      <c r="F156" s="27" t="s">
        <v>51</v>
      </c>
      <c r="G156" s="27" t="s">
        <v>1530</v>
      </c>
      <c r="H156" s="37"/>
      <c r="I156" s="37"/>
      <c r="J156" s="37"/>
      <c r="K156" s="37"/>
      <c r="L156" s="37"/>
      <c r="M156" s="37"/>
    </row>
    <row r="157" spans="1:13" x14ac:dyDescent="0.3">
      <c r="A157" t="s">
        <v>2422</v>
      </c>
      <c r="B157" t="s">
        <v>1413</v>
      </c>
      <c r="C157" s="31"/>
      <c r="D157" s="27" t="s">
        <v>1523</v>
      </c>
      <c r="E157" s="27" t="s">
        <v>51</v>
      </c>
      <c r="F157" s="27" t="s">
        <v>51</v>
      </c>
      <c r="G157" s="27" t="s">
        <v>1531</v>
      </c>
      <c r="H157" s="37"/>
      <c r="I157" s="37"/>
      <c r="J157" s="37"/>
      <c r="K157" s="37"/>
      <c r="L157" s="37"/>
      <c r="M157" s="37"/>
    </row>
    <row r="158" spans="1:13" x14ac:dyDescent="0.3">
      <c r="A158" t="s">
        <v>2422</v>
      </c>
      <c r="B158" t="s">
        <v>1413</v>
      </c>
      <c r="C158" s="31"/>
      <c r="D158" s="27" t="s">
        <v>1524</v>
      </c>
      <c r="E158" s="27" t="s">
        <v>51</v>
      </c>
      <c r="F158" s="27" t="s">
        <v>51</v>
      </c>
      <c r="G158" s="27" t="s">
        <v>1532</v>
      </c>
      <c r="H158" s="37"/>
      <c r="I158" s="37"/>
      <c r="J158" s="37"/>
      <c r="K158" s="37"/>
      <c r="L158" s="37"/>
      <c r="M158" s="37"/>
    </row>
    <row r="159" spans="1:13" x14ac:dyDescent="0.3">
      <c r="A159" t="s">
        <v>2422</v>
      </c>
      <c r="B159" t="s">
        <v>1413</v>
      </c>
      <c r="C159" s="31"/>
      <c r="D159" s="27" t="s">
        <v>1554</v>
      </c>
      <c r="E159" s="27" t="s">
        <v>51</v>
      </c>
      <c r="F159" s="27" t="s">
        <v>51</v>
      </c>
      <c r="G159" s="27" t="s">
        <v>1555</v>
      </c>
      <c r="H159" s="37"/>
      <c r="I159" s="37"/>
      <c r="J159" s="37"/>
      <c r="K159" s="37"/>
      <c r="L159" s="37"/>
      <c r="M159" s="37"/>
    </row>
    <row r="160" spans="1:13" x14ac:dyDescent="0.3">
      <c r="A160" t="s">
        <v>2422</v>
      </c>
      <c r="B160" t="s">
        <v>1413</v>
      </c>
      <c r="C160" s="31"/>
      <c r="D160" s="27" t="s">
        <v>1556</v>
      </c>
      <c r="E160" s="27" t="s">
        <v>51</v>
      </c>
      <c r="F160" s="27" t="s">
        <v>51</v>
      </c>
      <c r="G160" s="27" t="s">
        <v>1557</v>
      </c>
      <c r="H160" s="37"/>
      <c r="I160" s="37"/>
      <c r="J160" s="37"/>
      <c r="K160" s="37"/>
      <c r="L160" s="37"/>
      <c r="M160" s="37"/>
    </row>
    <row r="161" spans="1:13" x14ac:dyDescent="0.3">
      <c r="A161" t="s">
        <v>2422</v>
      </c>
      <c r="B161" t="s">
        <v>1413</v>
      </c>
      <c r="C161" s="31"/>
      <c r="D161" s="27" t="s">
        <v>971</v>
      </c>
      <c r="E161" s="27" t="s">
        <v>51</v>
      </c>
      <c r="F161" s="27" t="s">
        <v>51</v>
      </c>
      <c r="G161" s="27" t="s">
        <v>1430</v>
      </c>
      <c r="H161" s="37"/>
      <c r="I161" s="37"/>
      <c r="J161" s="37"/>
      <c r="K161" s="37"/>
      <c r="L161" s="37"/>
      <c r="M161" s="37"/>
    </row>
    <row r="162" spans="1:13" x14ac:dyDescent="0.3">
      <c r="A162" t="s">
        <v>2422</v>
      </c>
      <c r="B162" t="s">
        <v>1413</v>
      </c>
      <c r="C162" s="31"/>
      <c r="D162" s="27" t="s">
        <v>1941</v>
      </c>
      <c r="E162" s="27" t="s">
        <v>51</v>
      </c>
      <c r="F162" s="27" t="s">
        <v>51</v>
      </c>
      <c r="G162" s="27" t="s">
        <v>1951</v>
      </c>
      <c r="H162" s="37"/>
      <c r="I162" s="37"/>
      <c r="J162" s="37"/>
      <c r="K162" s="37"/>
      <c r="L162" s="37"/>
      <c r="M162" s="37"/>
    </row>
    <row r="163" spans="1:13" x14ac:dyDescent="0.3">
      <c r="A163" t="s">
        <v>2422</v>
      </c>
      <c r="B163" t="s">
        <v>1413</v>
      </c>
      <c r="C163" s="31"/>
      <c r="D163" s="27" t="s">
        <v>975</v>
      </c>
      <c r="E163" s="27" t="s">
        <v>51</v>
      </c>
      <c r="F163" s="27" t="s">
        <v>51</v>
      </c>
      <c r="G163" s="27" t="s">
        <v>1432</v>
      </c>
      <c r="H163" s="37"/>
      <c r="I163" s="37"/>
      <c r="J163" s="37"/>
      <c r="K163" s="37"/>
      <c r="L163" s="37"/>
      <c r="M163" s="37"/>
    </row>
    <row r="164" spans="1:13" x14ac:dyDescent="0.3">
      <c r="A164" t="s">
        <v>2431</v>
      </c>
      <c r="B164" t="s">
        <v>1413</v>
      </c>
      <c r="C164" s="31"/>
      <c r="D164" s="27" t="s">
        <v>939</v>
      </c>
      <c r="E164" s="27" t="s">
        <v>51</v>
      </c>
      <c r="F164" s="27" t="s">
        <v>51</v>
      </c>
      <c r="G164" s="27" t="s">
        <v>1429</v>
      </c>
      <c r="H164" s="37"/>
      <c r="I164" s="37"/>
      <c r="J164" s="37"/>
      <c r="K164" s="37"/>
      <c r="L164" s="37"/>
      <c r="M164" s="37"/>
    </row>
    <row r="165" spans="1:13" x14ac:dyDescent="0.3">
      <c r="A165" t="s">
        <v>2431</v>
      </c>
      <c r="B165" t="s">
        <v>1413</v>
      </c>
      <c r="C165" s="31"/>
      <c r="D165" s="27" t="s">
        <v>935</v>
      </c>
      <c r="E165" s="27" t="s">
        <v>51</v>
      </c>
      <c r="F165" s="27" t="s">
        <v>51</v>
      </c>
      <c r="G165" s="27" t="s">
        <v>936</v>
      </c>
      <c r="H165" s="37"/>
      <c r="I165" s="37"/>
      <c r="J165" s="37"/>
      <c r="K165" s="37"/>
      <c r="L165" s="37"/>
      <c r="M165" s="37"/>
    </row>
    <row r="166" spans="1:13" x14ac:dyDescent="0.3">
      <c r="A166" t="s">
        <v>2431</v>
      </c>
      <c r="B166" t="s">
        <v>1413</v>
      </c>
      <c r="C166" s="31"/>
      <c r="D166" s="27" t="s">
        <v>957</v>
      </c>
      <c r="E166" s="27" t="s">
        <v>51</v>
      </c>
      <c r="F166" s="27" t="s">
        <v>51</v>
      </c>
      <c r="G166" s="27" t="s">
        <v>1421</v>
      </c>
      <c r="H166" s="37"/>
      <c r="I166" s="37"/>
      <c r="J166" s="37"/>
      <c r="K166" s="37"/>
      <c r="L166" s="37"/>
      <c r="M166" s="37"/>
    </row>
    <row r="167" spans="1:13" x14ac:dyDescent="0.3">
      <c r="A167" t="s">
        <v>2431</v>
      </c>
      <c r="B167" t="s">
        <v>1413</v>
      </c>
      <c r="C167" s="31"/>
      <c r="D167" s="27" t="s">
        <v>959</v>
      </c>
      <c r="E167" s="27" t="s">
        <v>51</v>
      </c>
      <c r="F167" s="27" t="s">
        <v>51</v>
      </c>
      <c r="G167" s="27" t="s">
        <v>1422</v>
      </c>
      <c r="H167" s="37"/>
      <c r="I167" s="37"/>
      <c r="J167" s="37"/>
      <c r="K167" s="37"/>
      <c r="L167" s="37"/>
      <c r="M167" s="37"/>
    </row>
    <row r="168" spans="1:13" x14ac:dyDescent="0.3">
      <c r="A168" t="s">
        <v>2431</v>
      </c>
      <c r="B168" t="s">
        <v>1413</v>
      </c>
      <c r="C168" s="31"/>
      <c r="D168" s="27" t="s">
        <v>961</v>
      </c>
      <c r="E168" s="27" t="s">
        <v>51</v>
      </c>
      <c r="F168" s="27" t="s">
        <v>51</v>
      </c>
      <c r="G168" s="27" t="s">
        <v>1423</v>
      </c>
      <c r="H168" s="37"/>
      <c r="I168" s="37"/>
      <c r="J168" s="37"/>
      <c r="K168" s="37"/>
      <c r="L168" s="37"/>
      <c r="M168" s="37"/>
    </row>
    <row r="169" spans="1:13" x14ac:dyDescent="0.3">
      <c r="A169" t="s">
        <v>2431</v>
      </c>
      <c r="B169" t="s">
        <v>1413</v>
      </c>
      <c r="C169" s="31"/>
      <c r="D169" s="27" t="s">
        <v>963</v>
      </c>
      <c r="E169" s="27" t="s">
        <v>51</v>
      </c>
      <c r="F169" s="27" t="s">
        <v>51</v>
      </c>
      <c r="G169" s="27" t="s">
        <v>1424</v>
      </c>
      <c r="H169" s="37"/>
      <c r="I169" s="37"/>
      <c r="J169" s="37"/>
      <c r="K169" s="37"/>
      <c r="L169" s="37"/>
      <c r="M169" s="37"/>
    </row>
    <row r="170" spans="1:13" x14ac:dyDescent="0.3">
      <c r="A170" t="s">
        <v>2431</v>
      </c>
      <c r="B170" t="s">
        <v>1413</v>
      </c>
      <c r="C170" s="31"/>
      <c r="D170" s="27" t="s">
        <v>965</v>
      </c>
      <c r="E170" s="27" t="s">
        <v>51</v>
      </c>
      <c r="F170" s="27" t="s">
        <v>51</v>
      </c>
      <c r="G170" s="27" t="s">
        <v>1425</v>
      </c>
      <c r="H170" s="37"/>
      <c r="I170" s="37"/>
      <c r="J170" s="37"/>
      <c r="K170" s="37"/>
      <c r="L170" s="37"/>
      <c r="M170" s="37"/>
    </row>
    <row r="171" spans="1:13" x14ac:dyDescent="0.3">
      <c r="A171" t="s">
        <v>2431</v>
      </c>
      <c r="B171" t="s">
        <v>1413</v>
      </c>
      <c r="C171" s="31"/>
      <c r="D171" s="27" t="s">
        <v>1525</v>
      </c>
      <c r="E171" s="27" t="s">
        <v>51</v>
      </c>
      <c r="F171" s="27" t="s">
        <v>51</v>
      </c>
      <c r="G171" s="27" t="s">
        <v>1533</v>
      </c>
      <c r="H171" s="37"/>
      <c r="I171" s="37"/>
      <c r="J171" s="37"/>
      <c r="K171" s="37"/>
      <c r="L171" s="37"/>
      <c r="M171" s="37"/>
    </row>
    <row r="172" spans="1:13" x14ac:dyDescent="0.3">
      <c r="A172" t="s">
        <v>2431</v>
      </c>
      <c r="B172" t="s">
        <v>1413</v>
      </c>
      <c r="C172" s="31"/>
      <c r="D172" s="27" t="s">
        <v>1526</v>
      </c>
      <c r="E172" s="27" t="s">
        <v>51</v>
      </c>
      <c r="F172" s="27" t="s">
        <v>51</v>
      </c>
      <c r="G172" s="27" t="s">
        <v>1534</v>
      </c>
      <c r="H172" s="37"/>
      <c r="I172" s="37"/>
      <c r="J172" s="37"/>
      <c r="K172" s="37"/>
      <c r="L172" s="37"/>
      <c r="M172" s="37"/>
    </row>
    <row r="173" spans="1:13" x14ac:dyDescent="0.3">
      <c r="A173" t="s">
        <v>2431</v>
      </c>
      <c r="B173" t="s">
        <v>1413</v>
      </c>
      <c r="C173" s="31"/>
      <c r="D173" s="27" t="s">
        <v>973</v>
      </c>
      <c r="E173" s="27" t="s">
        <v>51</v>
      </c>
      <c r="F173" s="27" t="s">
        <v>51</v>
      </c>
      <c r="G173" s="27" t="s">
        <v>1431</v>
      </c>
      <c r="H173" s="37"/>
      <c r="I173" s="37"/>
      <c r="J173" s="37"/>
      <c r="K173" s="37"/>
      <c r="L173" s="37"/>
      <c r="M173" s="37"/>
    </row>
    <row r="174" spans="1:13" x14ac:dyDescent="0.3">
      <c r="A174" t="s">
        <v>2431</v>
      </c>
      <c r="B174" t="s">
        <v>1413</v>
      </c>
      <c r="C174" s="31"/>
      <c r="D174" s="27" t="s">
        <v>1941</v>
      </c>
      <c r="E174" s="27" t="s">
        <v>51</v>
      </c>
      <c r="F174" s="27" t="s">
        <v>51</v>
      </c>
      <c r="G174" s="27" t="s">
        <v>1951</v>
      </c>
      <c r="H174" s="37"/>
      <c r="I174" s="37"/>
      <c r="J174" s="37"/>
      <c r="K174" s="37"/>
      <c r="L174" s="37"/>
      <c r="M174" s="37"/>
    </row>
    <row r="175" spans="1:13" x14ac:dyDescent="0.3">
      <c r="A175" t="s">
        <v>2431</v>
      </c>
      <c r="B175" t="s">
        <v>1413</v>
      </c>
      <c r="C175" s="31"/>
      <c r="D175" s="27" t="s">
        <v>975</v>
      </c>
      <c r="E175" s="27" t="s">
        <v>51</v>
      </c>
      <c r="F175" s="27" t="s">
        <v>51</v>
      </c>
      <c r="G175" s="27" t="s">
        <v>1432</v>
      </c>
      <c r="H175" s="37"/>
      <c r="I175" s="37"/>
      <c r="J175" s="37"/>
      <c r="K175" s="37"/>
      <c r="L175" s="37"/>
      <c r="M175" s="37"/>
    </row>
  </sheetData>
  <pageMargins left="0.7" right="0.7" top="0.75" bottom="0.75" header="0.3" footer="0.3"/>
  <pageSetup paperSize="9" orientation="portrait"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BC9C5-C6EC-45E3-97BE-7A834A00B3D5}">
  <sheetPr codeName="Sheet20">
    <tabColor theme="0" tint="-0.499984740745262"/>
  </sheetPr>
  <dimension ref="A1:T19"/>
  <sheetViews>
    <sheetView zoomScaleNormal="100" workbookViewId="0">
      <pane ySplit="1" topLeftCell="A2" activePane="bottomLeft" state="frozen"/>
      <selection pane="bottomLeft" activeCell="A2" sqref="A2:T19"/>
    </sheetView>
  </sheetViews>
  <sheetFormatPr defaultColWidth="9.33203125" defaultRowHeight="14.4" x14ac:dyDescent="0.3"/>
  <cols>
    <col min="1" max="1" width="15.5546875" style="20" bestFit="1" customWidth="1"/>
    <col min="2" max="2" width="21.88671875" style="20" bestFit="1" customWidth="1"/>
    <col min="3" max="3" width="53.109375" style="20" bestFit="1" customWidth="1"/>
    <col min="4" max="4" width="25.44140625" style="20" bestFit="1" customWidth="1"/>
    <col min="5" max="5" width="26.5546875" style="20" bestFit="1" customWidth="1"/>
    <col min="6" max="6" width="29.6640625" style="20" bestFit="1" customWidth="1"/>
    <col min="7" max="7" width="26.44140625" style="20" bestFit="1" customWidth="1"/>
    <col min="8" max="8" width="34.88671875" style="20" bestFit="1" customWidth="1"/>
    <col min="9" max="9" width="31.109375" style="20" bestFit="1" customWidth="1"/>
    <col min="10" max="10" width="26.44140625" style="20" bestFit="1" customWidth="1"/>
    <col min="11" max="11" width="22.109375" style="20" bestFit="1" customWidth="1"/>
    <col min="12" max="12" width="29" style="20" bestFit="1" customWidth="1"/>
    <col min="13" max="13" width="30.44140625" style="20" bestFit="1" customWidth="1"/>
    <col min="14" max="14" width="24.88671875" style="20" bestFit="1" customWidth="1"/>
    <col min="15" max="15" width="24.33203125" style="20" bestFit="1" customWidth="1"/>
    <col min="16" max="16" width="41" style="20" bestFit="1" customWidth="1"/>
    <col min="17" max="17" width="40.44140625" style="20" bestFit="1" customWidth="1"/>
    <col min="18" max="18" width="21" style="20" bestFit="1" customWidth="1"/>
    <col min="19" max="19" width="24.5546875" style="20" bestFit="1" customWidth="1"/>
    <col min="20" max="20" width="17.88671875" style="20" bestFit="1" customWidth="1"/>
    <col min="21" max="16384" width="9.33203125" style="20"/>
  </cols>
  <sheetData>
    <row r="1" spans="1:20" ht="23.4" x14ac:dyDescent="0.45">
      <c r="A1" s="189" t="s">
        <v>1919</v>
      </c>
      <c r="B1" s="189"/>
      <c r="C1" s="189"/>
      <c r="D1" s="189"/>
      <c r="E1" s="189"/>
      <c r="F1" s="189"/>
      <c r="G1" s="189"/>
      <c r="H1" s="189"/>
      <c r="I1" s="125"/>
      <c r="J1" s="125"/>
      <c r="K1" s="125"/>
      <c r="L1" s="125"/>
      <c r="M1" s="125"/>
      <c r="N1" s="125"/>
      <c r="O1" s="125"/>
      <c r="P1" s="125"/>
      <c r="Q1" s="125"/>
      <c r="R1" s="125"/>
      <c r="S1" s="125"/>
      <c r="T1" s="125"/>
    </row>
    <row r="2" spans="1:20" s="23" customFormat="1" x14ac:dyDescent="0.3">
      <c r="A2" s="23" t="s">
        <v>1331</v>
      </c>
      <c r="B2" s="23" t="s">
        <v>1333</v>
      </c>
      <c r="C2" s="23" t="s">
        <v>50</v>
      </c>
      <c r="D2" s="23" t="s">
        <v>1334</v>
      </c>
      <c r="E2" s="23" t="s">
        <v>1335</v>
      </c>
      <c r="F2" s="23" t="s">
        <v>1336</v>
      </c>
      <c r="G2" s="23" t="s">
        <v>1337</v>
      </c>
      <c r="H2" s="23" t="s">
        <v>1338</v>
      </c>
      <c r="I2" s="23" t="s">
        <v>1339</v>
      </c>
      <c r="J2" s="23" t="s">
        <v>1340</v>
      </c>
      <c r="K2" s="23" t="s">
        <v>1341</v>
      </c>
      <c r="L2" s="23" t="s">
        <v>1342</v>
      </c>
      <c r="M2" s="23" t="s">
        <v>1343</v>
      </c>
      <c r="N2" s="23" t="s">
        <v>1344</v>
      </c>
      <c r="O2" s="23" t="s">
        <v>1345</v>
      </c>
      <c r="P2" s="23" t="s">
        <v>1881</v>
      </c>
      <c r="Q2" s="23" t="s">
        <v>1882</v>
      </c>
      <c r="R2" s="23" t="s">
        <v>1346</v>
      </c>
      <c r="S2" s="23" t="s">
        <v>1347</v>
      </c>
      <c r="T2" s="23" t="s">
        <v>1348</v>
      </c>
    </row>
    <row r="3" spans="1:20" x14ac:dyDescent="0.3">
      <c r="B3" s="20" t="s">
        <v>1349</v>
      </c>
      <c r="C3" s="20" t="s">
        <v>1350</v>
      </c>
      <c r="E3" s="20">
        <v>0</v>
      </c>
      <c r="F3" s="20">
        <v>0</v>
      </c>
      <c r="G3" s="20">
        <v>0</v>
      </c>
      <c r="H3" s="20" t="s">
        <v>1013</v>
      </c>
      <c r="I3" s="20" t="s">
        <v>1012</v>
      </c>
      <c r="L3" s="20" t="s">
        <v>1021</v>
      </c>
      <c r="M3" s="20">
        <v>0</v>
      </c>
      <c r="N3" s="20" t="s">
        <v>1064</v>
      </c>
      <c r="O3" s="20" t="s">
        <v>986</v>
      </c>
      <c r="P3" s="20" t="s">
        <v>1873</v>
      </c>
      <c r="Q3" s="20" t="s">
        <v>1858</v>
      </c>
      <c r="R3" s="20" t="b">
        <v>1</v>
      </c>
      <c r="S3" s="20" t="b">
        <v>1</v>
      </c>
      <c r="T3" s="20">
        <v>1</v>
      </c>
    </row>
    <row r="4" spans="1:20" x14ac:dyDescent="0.3">
      <c r="B4" s="20" t="s">
        <v>1351</v>
      </c>
      <c r="C4" s="20" t="s">
        <v>1352</v>
      </c>
      <c r="E4" s="20">
        <v>0</v>
      </c>
      <c r="F4" s="20">
        <v>0</v>
      </c>
      <c r="G4" s="20">
        <v>0</v>
      </c>
      <c r="H4" s="20" t="s">
        <v>1013</v>
      </c>
      <c r="I4" s="20" t="s">
        <v>1012</v>
      </c>
      <c r="L4" s="20" t="s">
        <v>1021</v>
      </c>
      <c r="M4" s="20">
        <v>0</v>
      </c>
      <c r="N4" s="20" t="s">
        <v>1065</v>
      </c>
      <c r="O4" s="20" t="s">
        <v>987</v>
      </c>
      <c r="P4" s="20" t="s">
        <v>1872</v>
      </c>
      <c r="Q4" s="20" t="s">
        <v>1857</v>
      </c>
      <c r="R4" s="20" t="b">
        <v>0</v>
      </c>
      <c r="S4" s="20" t="b">
        <v>1</v>
      </c>
      <c r="T4" s="20">
        <v>1</v>
      </c>
    </row>
    <row r="5" spans="1:20" x14ac:dyDescent="0.3">
      <c r="B5" s="20" t="s">
        <v>1353</v>
      </c>
      <c r="C5" s="20" t="s">
        <v>1354</v>
      </c>
      <c r="E5" s="20">
        <v>0</v>
      </c>
      <c r="F5" s="20">
        <v>0</v>
      </c>
      <c r="G5" s="20">
        <v>0</v>
      </c>
      <c r="H5" s="20" t="s">
        <v>1013</v>
      </c>
      <c r="I5" s="20" t="s">
        <v>1012</v>
      </c>
      <c r="L5" s="20" t="s">
        <v>1021</v>
      </c>
      <c r="M5" s="20">
        <v>0</v>
      </c>
      <c r="N5" s="20" t="s">
        <v>1071</v>
      </c>
      <c r="O5" s="20" t="s">
        <v>993</v>
      </c>
      <c r="P5" s="20" t="s">
        <v>1878</v>
      </c>
      <c r="Q5" s="20" t="s">
        <v>1863</v>
      </c>
      <c r="R5" s="20" t="b">
        <v>1</v>
      </c>
      <c r="S5" s="20" t="b">
        <v>1</v>
      </c>
      <c r="T5" s="20">
        <v>1</v>
      </c>
    </row>
    <row r="6" spans="1:20" x14ac:dyDescent="0.3">
      <c r="B6" s="20" t="s">
        <v>1355</v>
      </c>
      <c r="C6" s="20" t="s">
        <v>1356</v>
      </c>
      <c r="E6" s="20">
        <v>0</v>
      </c>
      <c r="F6" s="20">
        <v>0</v>
      </c>
      <c r="G6" s="20">
        <v>0</v>
      </c>
      <c r="H6" s="20" t="s">
        <v>1013</v>
      </c>
      <c r="I6" s="20" t="s">
        <v>1012</v>
      </c>
      <c r="L6" s="20" t="s">
        <v>1021</v>
      </c>
      <c r="M6" s="20">
        <v>0</v>
      </c>
      <c r="N6" s="20" t="s">
        <v>1070</v>
      </c>
      <c r="O6" s="20" t="s">
        <v>992</v>
      </c>
      <c r="P6" s="20" t="s">
        <v>1877</v>
      </c>
      <c r="Q6" s="20" t="s">
        <v>1862</v>
      </c>
      <c r="R6" s="20" t="b">
        <v>0</v>
      </c>
      <c r="S6" s="20" t="b">
        <v>1</v>
      </c>
      <c r="T6" s="20">
        <v>1</v>
      </c>
    </row>
    <row r="7" spans="1:20" x14ac:dyDescent="0.3">
      <c r="B7" s="20" t="s">
        <v>1357</v>
      </c>
      <c r="C7" s="20" t="s">
        <v>1358</v>
      </c>
      <c r="E7" s="20">
        <v>0</v>
      </c>
      <c r="F7" s="20">
        <v>0</v>
      </c>
      <c r="G7" s="20">
        <v>0</v>
      </c>
      <c r="H7" s="20" t="s">
        <v>1013</v>
      </c>
      <c r="I7" s="20" t="s">
        <v>1012</v>
      </c>
      <c r="L7" s="20" t="s">
        <v>1021</v>
      </c>
      <c r="M7" s="20">
        <v>0</v>
      </c>
      <c r="N7" s="20" t="s">
        <v>1063</v>
      </c>
      <c r="O7" s="20" t="s">
        <v>985</v>
      </c>
      <c r="P7" s="20" t="s">
        <v>1871</v>
      </c>
      <c r="Q7" s="20" t="s">
        <v>1856</v>
      </c>
      <c r="R7" s="20" t="b">
        <v>0</v>
      </c>
      <c r="S7" s="20" t="b">
        <v>1</v>
      </c>
      <c r="T7" s="20">
        <v>1</v>
      </c>
    </row>
    <row r="8" spans="1:20" x14ac:dyDescent="0.3">
      <c r="B8" s="20" t="s">
        <v>1359</v>
      </c>
      <c r="C8" s="20" t="s">
        <v>1360</v>
      </c>
      <c r="E8" s="20">
        <v>0</v>
      </c>
      <c r="F8" s="20">
        <v>0</v>
      </c>
      <c r="G8" s="20">
        <v>0</v>
      </c>
      <c r="H8" s="20" t="s">
        <v>1013</v>
      </c>
      <c r="I8" s="20" t="s">
        <v>1012</v>
      </c>
      <c r="L8" s="20" t="s">
        <v>1021</v>
      </c>
      <c r="M8" s="20">
        <v>0</v>
      </c>
      <c r="N8" s="20" t="s">
        <v>1072</v>
      </c>
      <c r="O8" s="20" t="s">
        <v>994</v>
      </c>
      <c r="P8" s="20" t="s">
        <v>1880</v>
      </c>
      <c r="Q8" s="20" t="s">
        <v>1865</v>
      </c>
      <c r="R8" s="20" t="b">
        <v>0</v>
      </c>
      <c r="S8" s="20" t="b">
        <v>1</v>
      </c>
      <c r="T8" s="20">
        <v>1</v>
      </c>
    </row>
    <row r="9" spans="1:20" x14ac:dyDescent="0.3">
      <c r="B9" s="20" t="s">
        <v>1905</v>
      </c>
      <c r="C9" s="20" t="s">
        <v>1906</v>
      </c>
      <c r="E9" s="20">
        <v>0</v>
      </c>
      <c r="F9" s="20">
        <v>0</v>
      </c>
      <c r="G9" s="20">
        <v>0</v>
      </c>
      <c r="H9" s="20" t="s">
        <v>1013</v>
      </c>
      <c r="I9" s="20" t="s">
        <v>1012</v>
      </c>
      <c r="L9" s="20" t="s">
        <v>1021</v>
      </c>
      <c r="M9" s="20">
        <v>0</v>
      </c>
      <c r="N9" s="20" t="s">
        <v>1059</v>
      </c>
      <c r="O9" s="20" t="s">
        <v>981</v>
      </c>
      <c r="P9" s="20" t="s">
        <v>1870</v>
      </c>
      <c r="Q9" s="20" t="s">
        <v>1855</v>
      </c>
      <c r="R9" s="20" t="b">
        <v>0</v>
      </c>
      <c r="S9" s="20" t="b">
        <v>1</v>
      </c>
      <c r="T9" s="20">
        <v>1</v>
      </c>
    </row>
    <row r="10" spans="1:20" x14ac:dyDescent="0.3">
      <c r="B10" s="20" t="s">
        <v>1361</v>
      </c>
      <c r="C10" s="20" t="s">
        <v>1362</v>
      </c>
      <c r="E10" s="20">
        <v>0</v>
      </c>
      <c r="F10" s="20">
        <v>0</v>
      </c>
      <c r="G10" s="20">
        <v>0</v>
      </c>
      <c r="H10" s="20" t="s">
        <v>1013</v>
      </c>
      <c r="I10" s="20" t="s">
        <v>1012</v>
      </c>
      <c r="L10" s="20" t="s">
        <v>1021</v>
      </c>
      <c r="M10" s="20">
        <v>0</v>
      </c>
      <c r="N10" s="20" t="s">
        <v>1056</v>
      </c>
      <c r="O10" s="20" t="s">
        <v>977</v>
      </c>
      <c r="P10" s="20" t="s">
        <v>1866</v>
      </c>
      <c r="Q10" s="20" t="s">
        <v>1851</v>
      </c>
      <c r="R10" s="20" t="b">
        <v>0</v>
      </c>
      <c r="S10" s="20" t="b">
        <v>1</v>
      </c>
      <c r="T10" s="20">
        <v>1</v>
      </c>
    </row>
    <row r="11" spans="1:20" x14ac:dyDescent="0.3">
      <c r="B11" s="20" t="s">
        <v>1363</v>
      </c>
      <c r="C11" s="20" t="s">
        <v>1364</v>
      </c>
      <c r="E11" s="20">
        <v>0</v>
      </c>
      <c r="F11" s="20">
        <v>0</v>
      </c>
      <c r="G11" s="20">
        <v>0</v>
      </c>
      <c r="H11" s="20" t="s">
        <v>1013</v>
      </c>
      <c r="I11" s="20" t="s">
        <v>1012</v>
      </c>
      <c r="L11" s="20" t="s">
        <v>1021</v>
      </c>
      <c r="M11" s="20">
        <v>0</v>
      </c>
      <c r="N11" s="20" t="s">
        <v>1069</v>
      </c>
      <c r="O11" s="20" t="s">
        <v>991</v>
      </c>
      <c r="P11" s="20" t="s">
        <v>1876</v>
      </c>
      <c r="Q11" s="20" t="s">
        <v>1861</v>
      </c>
      <c r="R11" s="20" t="b">
        <v>0</v>
      </c>
      <c r="S11" s="20" t="b">
        <v>1</v>
      </c>
      <c r="T11" s="20">
        <v>1</v>
      </c>
    </row>
    <row r="12" spans="1:20" x14ac:dyDescent="0.3">
      <c r="B12" s="20" t="s">
        <v>1365</v>
      </c>
      <c r="C12" s="20" t="s">
        <v>1366</v>
      </c>
      <c r="E12" s="20">
        <v>0</v>
      </c>
      <c r="F12" s="20">
        <v>0</v>
      </c>
      <c r="G12" s="20">
        <v>0</v>
      </c>
      <c r="H12" s="20" t="s">
        <v>1013</v>
      </c>
      <c r="I12" s="20" t="s">
        <v>1012</v>
      </c>
      <c r="L12" s="20" t="s">
        <v>1021</v>
      </c>
      <c r="M12" s="20">
        <v>0</v>
      </c>
      <c r="N12" s="20" t="s">
        <v>1058</v>
      </c>
      <c r="O12" s="20" t="s">
        <v>980</v>
      </c>
      <c r="P12" s="20" t="s">
        <v>1869</v>
      </c>
      <c r="Q12" s="20" t="s">
        <v>1854</v>
      </c>
      <c r="R12" s="20" t="b">
        <v>0</v>
      </c>
      <c r="S12" s="20" t="b">
        <v>1</v>
      </c>
      <c r="T12" s="20">
        <v>1</v>
      </c>
    </row>
    <row r="13" spans="1:20" x14ac:dyDescent="0.3">
      <c r="B13" s="20" t="s">
        <v>1367</v>
      </c>
      <c r="C13" s="20" t="s">
        <v>1368</v>
      </c>
      <c r="E13" s="20">
        <v>0</v>
      </c>
      <c r="F13" s="20">
        <v>0</v>
      </c>
      <c r="G13" s="20">
        <v>0</v>
      </c>
      <c r="H13" s="20" t="s">
        <v>1013</v>
      </c>
      <c r="I13" s="20" t="s">
        <v>1012</v>
      </c>
      <c r="L13" s="20" t="s">
        <v>1021</v>
      </c>
      <c r="M13" s="20">
        <v>0</v>
      </c>
      <c r="N13" s="20" t="s">
        <v>1057</v>
      </c>
      <c r="O13" s="20" t="s">
        <v>979</v>
      </c>
      <c r="P13" s="20" t="s">
        <v>1868</v>
      </c>
      <c r="Q13" s="20" t="s">
        <v>1853</v>
      </c>
      <c r="R13" s="20" t="b">
        <v>0</v>
      </c>
      <c r="S13" s="20" t="b">
        <v>1</v>
      </c>
      <c r="T13" s="20">
        <v>1</v>
      </c>
    </row>
    <row r="14" spans="1:20" x14ac:dyDescent="0.3">
      <c r="B14" s="20" t="s">
        <v>1369</v>
      </c>
      <c r="C14" s="20" t="s">
        <v>1370</v>
      </c>
      <c r="E14" s="20">
        <v>0</v>
      </c>
      <c r="F14" s="20">
        <v>0</v>
      </c>
      <c r="G14" s="20">
        <v>0</v>
      </c>
      <c r="H14" s="20" t="s">
        <v>1013</v>
      </c>
      <c r="I14" s="20" t="s">
        <v>1012</v>
      </c>
      <c r="L14" s="20" t="s">
        <v>1021</v>
      </c>
      <c r="M14" s="20">
        <v>0</v>
      </c>
      <c r="N14" s="20" t="s">
        <v>1066</v>
      </c>
      <c r="O14" s="20" t="s">
        <v>988</v>
      </c>
      <c r="P14" s="20" t="s">
        <v>1875</v>
      </c>
      <c r="Q14" s="20" t="s">
        <v>1860</v>
      </c>
      <c r="R14" s="20" t="b">
        <v>0</v>
      </c>
      <c r="S14" s="20" t="b">
        <v>1</v>
      </c>
      <c r="T14" s="20">
        <v>1</v>
      </c>
    </row>
    <row r="15" spans="1:20" x14ac:dyDescent="0.3">
      <c r="B15" s="20" t="s">
        <v>1907</v>
      </c>
      <c r="C15" s="20" t="s">
        <v>1908</v>
      </c>
      <c r="E15" s="20">
        <v>0</v>
      </c>
      <c r="F15" s="20">
        <v>0</v>
      </c>
      <c r="G15" s="20">
        <v>0</v>
      </c>
      <c r="H15" s="20" t="s">
        <v>1013</v>
      </c>
      <c r="I15" s="20" t="s">
        <v>1012</v>
      </c>
      <c r="L15" s="20" t="s">
        <v>1021</v>
      </c>
      <c r="M15" s="20">
        <v>0</v>
      </c>
      <c r="N15" s="20" t="s">
        <v>1067</v>
      </c>
      <c r="O15" s="20" t="s">
        <v>989</v>
      </c>
      <c r="P15" s="20" t="s">
        <v>1894</v>
      </c>
      <c r="Q15" s="20" t="s">
        <v>1889</v>
      </c>
      <c r="R15" s="20" t="b">
        <v>0</v>
      </c>
      <c r="S15" s="20" t="b">
        <v>1</v>
      </c>
      <c r="T15" s="20">
        <v>1</v>
      </c>
    </row>
    <row r="16" spans="1:20" x14ac:dyDescent="0.3">
      <c r="B16" s="20" t="s">
        <v>1909</v>
      </c>
      <c r="C16" s="20" t="s">
        <v>1910</v>
      </c>
      <c r="E16" s="20">
        <v>0</v>
      </c>
      <c r="F16" s="20">
        <v>0</v>
      </c>
      <c r="G16" s="20">
        <v>0</v>
      </c>
      <c r="H16" s="20" t="s">
        <v>1013</v>
      </c>
      <c r="I16" s="20" t="s">
        <v>1012</v>
      </c>
      <c r="L16" s="20" t="s">
        <v>1021</v>
      </c>
      <c r="M16" s="20">
        <v>0</v>
      </c>
      <c r="N16" s="20" t="s">
        <v>1061</v>
      </c>
      <c r="O16" s="20" t="s">
        <v>983</v>
      </c>
      <c r="P16" s="20" t="s">
        <v>1892</v>
      </c>
      <c r="Q16" s="20" t="s">
        <v>1887</v>
      </c>
      <c r="R16" s="20" t="b">
        <v>0</v>
      </c>
      <c r="S16" s="20" t="b">
        <v>1</v>
      </c>
      <c r="T16" s="20">
        <v>1</v>
      </c>
    </row>
    <row r="17" spans="2:20" x14ac:dyDescent="0.3">
      <c r="B17" s="20" t="s">
        <v>1911</v>
      </c>
      <c r="C17" s="20" t="s">
        <v>1912</v>
      </c>
      <c r="E17" s="20">
        <v>0</v>
      </c>
      <c r="F17" s="20">
        <v>0</v>
      </c>
      <c r="G17" s="20">
        <v>0</v>
      </c>
      <c r="H17" s="20" t="s">
        <v>1013</v>
      </c>
      <c r="I17" s="20" t="s">
        <v>1012</v>
      </c>
      <c r="L17" s="20" t="s">
        <v>1021</v>
      </c>
      <c r="M17" s="20">
        <v>0</v>
      </c>
      <c r="N17" s="20" t="s">
        <v>1062</v>
      </c>
      <c r="O17" s="20" t="s">
        <v>984</v>
      </c>
      <c r="P17" s="20" t="s">
        <v>1893</v>
      </c>
      <c r="Q17" s="20" t="s">
        <v>1888</v>
      </c>
      <c r="R17" s="20" t="b">
        <v>0</v>
      </c>
      <c r="S17" s="20" t="b">
        <v>1</v>
      </c>
      <c r="T17" s="20">
        <v>1</v>
      </c>
    </row>
    <row r="18" spans="2:20" x14ac:dyDescent="0.3">
      <c r="B18" s="20" t="s">
        <v>1913</v>
      </c>
      <c r="C18" s="20" t="s">
        <v>1914</v>
      </c>
      <c r="E18" s="20">
        <v>0</v>
      </c>
      <c r="F18" s="20">
        <v>0</v>
      </c>
      <c r="G18" s="20">
        <v>0</v>
      </c>
      <c r="H18" s="20" t="s">
        <v>1013</v>
      </c>
      <c r="I18" s="20" t="s">
        <v>1012</v>
      </c>
      <c r="L18" s="20" t="s">
        <v>1021</v>
      </c>
      <c r="M18" s="20">
        <v>0</v>
      </c>
      <c r="N18" s="20" t="s">
        <v>1060</v>
      </c>
      <c r="O18" s="20" t="s">
        <v>982</v>
      </c>
      <c r="P18" s="20" t="s">
        <v>1891</v>
      </c>
      <c r="Q18" s="20" t="s">
        <v>1886</v>
      </c>
      <c r="R18" s="20" t="b">
        <v>0</v>
      </c>
      <c r="S18" s="20" t="b">
        <v>1</v>
      </c>
      <c r="T18" s="20">
        <v>1</v>
      </c>
    </row>
    <row r="19" spans="2:20" x14ac:dyDescent="0.3">
      <c r="B19" s="20" t="s">
        <v>1915</v>
      </c>
      <c r="C19" s="20" t="s">
        <v>1916</v>
      </c>
      <c r="E19" s="20">
        <v>0</v>
      </c>
      <c r="F19" s="20">
        <v>0</v>
      </c>
      <c r="G19" s="20">
        <v>0</v>
      </c>
      <c r="H19" s="20" t="s">
        <v>1013</v>
      </c>
      <c r="I19" s="20" t="s">
        <v>1012</v>
      </c>
      <c r="L19" s="20" t="s">
        <v>1021</v>
      </c>
      <c r="M19" s="20">
        <v>0</v>
      </c>
      <c r="N19" s="20" t="s">
        <v>1068</v>
      </c>
      <c r="O19" s="20" t="s">
        <v>990</v>
      </c>
      <c r="P19" s="20" t="s">
        <v>1895</v>
      </c>
      <c r="Q19" s="20" t="s">
        <v>1890</v>
      </c>
      <c r="R19" s="20" t="b">
        <v>0</v>
      </c>
      <c r="S19" s="20" t="b">
        <v>1</v>
      </c>
      <c r="T19" s="20">
        <v>1</v>
      </c>
    </row>
  </sheetData>
  <mergeCells count="1">
    <mergeCell ref="A1:H1"/>
  </mergeCells>
  <phoneticPr fontId="2" type="noConversion"/>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CCE9A-A245-4DB1-AEF0-FF5D449B7BEE}">
  <sheetPr codeName="Sheet21">
    <tabColor rgb="FFDCCEE4"/>
  </sheetPr>
  <dimension ref="A1:N30"/>
  <sheetViews>
    <sheetView workbookViewId="0">
      <selection activeCell="H24" sqref="H24"/>
    </sheetView>
  </sheetViews>
  <sheetFormatPr defaultRowHeight="14.4" x14ac:dyDescent="0.3"/>
  <cols>
    <col min="1" max="1" width="18.33203125" bestFit="1" customWidth="1"/>
    <col min="2" max="2" width="13.6640625" bestFit="1" customWidth="1"/>
    <col min="3" max="3" width="14.109375" bestFit="1" customWidth="1"/>
    <col min="5" max="5" width="18.44140625" bestFit="1" customWidth="1"/>
    <col min="6" max="6" width="13.33203125" bestFit="1" customWidth="1"/>
    <col min="7" max="7" width="8.44140625" bestFit="1" customWidth="1"/>
    <col min="8" max="8" width="38.6640625" bestFit="1" customWidth="1"/>
    <col min="9" max="13" width="10.109375" bestFit="1" customWidth="1"/>
    <col min="14" max="16" width="10.109375" customWidth="1"/>
  </cols>
  <sheetData>
    <row r="1" spans="1:14" x14ac:dyDescent="0.3">
      <c r="A1" t="s">
        <v>1606</v>
      </c>
      <c r="B1" t="s">
        <v>43</v>
      </c>
      <c r="C1" t="s">
        <v>1407</v>
      </c>
      <c r="D1" t="s">
        <v>1408</v>
      </c>
      <c r="E1" t="s">
        <v>41</v>
      </c>
      <c r="F1" t="s">
        <v>1409</v>
      </c>
      <c r="G1" t="s">
        <v>34</v>
      </c>
      <c r="H1" t="s">
        <v>1383</v>
      </c>
      <c r="I1" t="s">
        <v>1394</v>
      </c>
      <c r="J1" t="s">
        <v>1410</v>
      </c>
      <c r="K1" t="s">
        <v>1497</v>
      </c>
      <c r="L1" t="s">
        <v>1499</v>
      </c>
      <c r="M1" t="s">
        <v>1931</v>
      </c>
      <c r="N1" t="s">
        <v>2411</v>
      </c>
    </row>
    <row r="2" spans="1:14" hidden="1" x14ac:dyDescent="0.3">
      <c r="A2" t="e">
        <f>_xlfn.XLOOKUP(PROJ_PUPIL[[#This Row],[School]],SCHOOLS[SchoolCode],SCHOOLS[Title])</f>
        <v>#N/A</v>
      </c>
      <c r="B2" t="s">
        <v>2422</v>
      </c>
      <c r="C2" t="s">
        <v>1413</v>
      </c>
      <c r="D2" t="s">
        <v>2285</v>
      </c>
      <c r="E2" t="s">
        <v>939</v>
      </c>
      <c r="F2" t="s">
        <v>51</v>
      </c>
      <c r="G2" t="s">
        <v>51</v>
      </c>
      <c r="H2" t="s">
        <v>1429</v>
      </c>
    </row>
    <row r="3" spans="1:14" hidden="1" x14ac:dyDescent="0.3">
      <c r="A3" t="e">
        <f>_xlfn.XLOOKUP(PROJ_PUPIL[[#This Row],[School]],SCHOOLS[SchoolCode],SCHOOLS[Title])</f>
        <v>#N/A</v>
      </c>
      <c r="B3" t="s">
        <v>2422</v>
      </c>
      <c r="C3" t="s">
        <v>1413</v>
      </c>
      <c r="D3" t="s">
        <v>2285</v>
      </c>
      <c r="E3" t="s">
        <v>935</v>
      </c>
      <c r="F3" t="s">
        <v>51</v>
      </c>
      <c r="G3" t="s">
        <v>51</v>
      </c>
      <c r="H3" t="s">
        <v>936</v>
      </c>
    </row>
    <row r="4" spans="1:14" hidden="1" x14ac:dyDescent="0.3">
      <c r="A4" t="e">
        <f>_xlfn.XLOOKUP(PROJ_PUPIL[[#This Row],[School]],SCHOOLS[SchoolCode],SCHOOLS[Title])</f>
        <v>#N/A</v>
      </c>
      <c r="B4" t="s">
        <v>2422</v>
      </c>
      <c r="C4" t="s">
        <v>1413</v>
      </c>
      <c r="D4" t="s">
        <v>2285</v>
      </c>
      <c r="E4" t="s">
        <v>1941</v>
      </c>
      <c r="F4" t="s">
        <v>51</v>
      </c>
      <c r="G4" t="s">
        <v>51</v>
      </c>
      <c r="H4" t="s">
        <v>1951</v>
      </c>
    </row>
    <row r="5" spans="1:14" hidden="1" x14ac:dyDescent="0.3">
      <c r="A5" t="e">
        <f>_xlfn.XLOOKUP(PROJ_PUPIL[[#This Row],[School]],SCHOOLS[SchoolCode],SCHOOLS[Title])</f>
        <v>#N/A</v>
      </c>
      <c r="B5" t="s">
        <v>2422</v>
      </c>
      <c r="C5" t="s">
        <v>1413</v>
      </c>
      <c r="D5" t="s">
        <v>2285</v>
      </c>
      <c r="E5" t="s">
        <v>975</v>
      </c>
      <c r="F5" t="s">
        <v>51</v>
      </c>
      <c r="G5" t="s">
        <v>51</v>
      </c>
      <c r="H5" t="s">
        <v>1432</v>
      </c>
    </row>
    <row r="6" spans="1:14" hidden="1" x14ac:dyDescent="0.3">
      <c r="A6" t="e">
        <f>_xlfn.XLOOKUP(PROJ_PUPIL[[#This Row],[School]],SCHOOLS[SchoolCode],SCHOOLS[Title])</f>
        <v>#N/A</v>
      </c>
      <c r="B6" t="s">
        <v>2422</v>
      </c>
      <c r="C6" t="s">
        <v>1413</v>
      </c>
      <c r="D6" t="s">
        <v>2285</v>
      </c>
      <c r="E6" t="s">
        <v>971</v>
      </c>
      <c r="F6" t="s">
        <v>51</v>
      </c>
      <c r="G6" t="s">
        <v>51</v>
      </c>
      <c r="H6" t="s">
        <v>1430</v>
      </c>
    </row>
    <row r="7" spans="1:14" hidden="1" x14ac:dyDescent="0.3">
      <c r="A7" t="e">
        <f>_xlfn.XLOOKUP(PROJ_PUPIL[[#This Row],[School]],SCHOOLS[SchoolCode],SCHOOLS[Title])</f>
        <v>#N/A</v>
      </c>
      <c r="B7" t="s">
        <v>2422</v>
      </c>
      <c r="C7" t="s">
        <v>1413</v>
      </c>
      <c r="D7" t="s">
        <v>2285</v>
      </c>
      <c r="E7" t="s">
        <v>943</v>
      </c>
      <c r="F7" t="s">
        <v>51</v>
      </c>
      <c r="G7" t="s">
        <v>51</v>
      </c>
      <c r="H7" t="s">
        <v>1414</v>
      </c>
    </row>
    <row r="8" spans="1:14" hidden="1" x14ac:dyDescent="0.3">
      <c r="A8" t="e">
        <f>_xlfn.XLOOKUP(PROJ_PUPIL[[#This Row],[School]],SCHOOLS[SchoolCode],SCHOOLS[Title])</f>
        <v>#N/A</v>
      </c>
      <c r="B8" t="s">
        <v>2422</v>
      </c>
      <c r="C8" t="s">
        <v>1413</v>
      </c>
      <c r="D8" t="s">
        <v>2285</v>
      </c>
      <c r="E8" t="s">
        <v>945</v>
      </c>
      <c r="F8" t="s">
        <v>51</v>
      </c>
      <c r="G8" t="s">
        <v>51</v>
      </c>
      <c r="H8" t="s">
        <v>1415</v>
      </c>
    </row>
    <row r="9" spans="1:14" hidden="1" x14ac:dyDescent="0.3">
      <c r="A9" t="e">
        <f>_xlfn.XLOOKUP(PROJ_PUPIL[[#This Row],[School]],SCHOOLS[SchoolCode],SCHOOLS[Title])</f>
        <v>#N/A</v>
      </c>
      <c r="B9" t="s">
        <v>2422</v>
      </c>
      <c r="C9" t="s">
        <v>1413</v>
      </c>
      <c r="D9" t="s">
        <v>2285</v>
      </c>
      <c r="E9" t="s">
        <v>947</v>
      </c>
      <c r="F9" t="s">
        <v>51</v>
      </c>
      <c r="G9" t="s">
        <v>51</v>
      </c>
      <c r="H9" t="s">
        <v>1416</v>
      </c>
    </row>
    <row r="10" spans="1:14" hidden="1" x14ac:dyDescent="0.3">
      <c r="A10" t="e">
        <f>_xlfn.XLOOKUP(PROJ_PUPIL[[#This Row],[School]],SCHOOLS[SchoolCode],SCHOOLS[Title])</f>
        <v>#N/A</v>
      </c>
      <c r="B10" t="s">
        <v>2422</v>
      </c>
      <c r="C10" t="s">
        <v>1413</v>
      </c>
      <c r="D10" t="s">
        <v>2285</v>
      </c>
      <c r="E10" t="s">
        <v>949</v>
      </c>
      <c r="F10" t="s">
        <v>51</v>
      </c>
      <c r="G10" t="s">
        <v>51</v>
      </c>
      <c r="H10" t="s">
        <v>1417</v>
      </c>
    </row>
    <row r="11" spans="1:14" hidden="1" x14ac:dyDescent="0.3">
      <c r="A11" t="e">
        <f>_xlfn.XLOOKUP(PROJ_PUPIL[[#This Row],[School]],SCHOOLS[SchoolCode],SCHOOLS[Title])</f>
        <v>#N/A</v>
      </c>
      <c r="B11" t="s">
        <v>2422</v>
      </c>
      <c r="C11" t="s">
        <v>1413</v>
      </c>
      <c r="D11" t="s">
        <v>2285</v>
      </c>
      <c r="E11" t="s">
        <v>951</v>
      </c>
      <c r="F11" t="s">
        <v>51</v>
      </c>
      <c r="G11" t="s">
        <v>51</v>
      </c>
      <c r="H11" t="s">
        <v>1418</v>
      </c>
    </row>
    <row r="12" spans="1:14" hidden="1" x14ac:dyDescent="0.3">
      <c r="A12" t="e">
        <f>_xlfn.XLOOKUP(PROJ_PUPIL[[#This Row],[School]],SCHOOLS[SchoolCode],SCHOOLS[Title])</f>
        <v>#N/A</v>
      </c>
      <c r="B12" t="s">
        <v>2422</v>
      </c>
      <c r="C12" t="s">
        <v>1413</v>
      </c>
      <c r="D12" t="s">
        <v>2285</v>
      </c>
      <c r="E12" t="s">
        <v>953</v>
      </c>
      <c r="F12" t="s">
        <v>51</v>
      </c>
      <c r="G12" t="s">
        <v>51</v>
      </c>
      <c r="H12" t="s">
        <v>1419</v>
      </c>
    </row>
    <row r="13" spans="1:14" hidden="1" x14ac:dyDescent="0.3">
      <c r="A13" t="e">
        <f>_xlfn.XLOOKUP(PROJ_PUPIL[[#This Row],[School]],SCHOOLS[SchoolCode],SCHOOLS[Title])</f>
        <v>#N/A</v>
      </c>
      <c r="B13" t="s">
        <v>2422</v>
      </c>
      <c r="C13" t="s">
        <v>1413</v>
      </c>
      <c r="D13" t="s">
        <v>2285</v>
      </c>
      <c r="E13" t="s">
        <v>955</v>
      </c>
      <c r="F13" t="s">
        <v>51</v>
      </c>
      <c r="G13" t="s">
        <v>51</v>
      </c>
      <c r="H13" t="s">
        <v>1420</v>
      </c>
    </row>
    <row r="14" spans="1:14" hidden="1" x14ac:dyDescent="0.3">
      <c r="A14" t="e">
        <f>_xlfn.XLOOKUP(PROJ_PUPIL[[#This Row],[School]],SCHOOLS[SchoolCode],SCHOOLS[Title])</f>
        <v>#N/A</v>
      </c>
      <c r="B14" t="s">
        <v>2422</v>
      </c>
      <c r="C14" t="s">
        <v>1413</v>
      </c>
      <c r="D14" t="s">
        <v>2285</v>
      </c>
      <c r="E14" t="s">
        <v>1528</v>
      </c>
      <c r="F14" t="s">
        <v>51</v>
      </c>
      <c r="G14" t="s">
        <v>51</v>
      </c>
      <c r="H14" t="s">
        <v>1530</v>
      </c>
    </row>
    <row r="15" spans="1:14" hidden="1" x14ac:dyDescent="0.3">
      <c r="A15" t="e">
        <f>_xlfn.XLOOKUP(PROJ_PUPIL[[#This Row],[School]],SCHOOLS[SchoolCode],SCHOOLS[Title])</f>
        <v>#N/A</v>
      </c>
      <c r="B15" t="s">
        <v>2422</v>
      </c>
      <c r="C15" t="s">
        <v>1413</v>
      </c>
      <c r="D15" t="s">
        <v>2285</v>
      </c>
      <c r="E15" t="s">
        <v>1523</v>
      </c>
      <c r="F15" t="s">
        <v>51</v>
      </c>
      <c r="G15" t="s">
        <v>51</v>
      </c>
      <c r="H15" t="s">
        <v>1531</v>
      </c>
    </row>
    <row r="16" spans="1:14" hidden="1" x14ac:dyDescent="0.3">
      <c r="A16" t="e">
        <f>_xlfn.XLOOKUP(PROJ_PUPIL[[#This Row],[School]],SCHOOLS[SchoolCode],SCHOOLS[Title])</f>
        <v>#N/A</v>
      </c>
      <c r="B16" t="s">
        <v>2422</v>
      </c>
      <c r="C16" t="s">
        <v>1413</v>
      </c>
      <c r="D16" t="s">
        <v>2285</v>
      </c>
      <c r="E16" t="s">
        <v>1524</v>
      </c>
      <c r="F16" t="s">
        <v>51</v>
      </c>
      <c r="G16" t="s">
        <v>51</v>
      </c>
      <c r="H16" t="s">
        <v>1532</v>
      </c>
    </row>
    <row r="17" spans="1:8" hidden="1" x14ac:dyDescent="0.3">
      <c r="A17" t="e">
        <f>_xlfn.XLOOKUP(PROJ_PUPIL[[#This Row],[School]],SCHOOLS[SchoolCode],SCHOOLS[Title])</f>
        <v>#N/A</v>
      </c>
      <c r="B17" t="s">
        <v>2422</v>
      </c>
      <c r="C17" t="s">
        <v>1413</v>
      </c>
      <c r="D17" t="s">
        <v>2285</v>
      </c>
      <c r="E17" t="s">
        <v>1554</v>
      </c>
      <c r="F17" t="s">
        <v>51</v>
      </c>
      <c r="G17" t="s">
        <v>51</v>
      </c>
      <c r="H17" t="s">
        <v>1555</v>
      </c>
    </row>
    <row r="18" spans="1:8" hidden="1" x14ac:dyDescent="0.3">
      <c r="A18" t="e">
        <f>_xlfn.XLOOKUP(PROJ_PUPIL[[#This Row],[School]],SCHOOLS[SchoolCode],SCHOOLS[Title])</f>
        <v>#N/A</v>
      </c>
      <c r="B18" t="s">
        <v>2422</v>
      </c>
      <c r="C18" t="s">
        <v>1413</v>
      </c>
      <c r="D18" t="s">
        <v>2285</v>
      </c>
      <c r="E18" t="s">
        <v>1556</v>
      </c>
      <c r="F18" t="s">
        <v>51</v>
      </c>
      <c r="G18" t="s">
        <v>51</v>
      </c>
      <c r="H18" t="s">
        <v>1557</v>
      </c>
    </row>
    <row r="19" spans="1:8" x14ac:dyDescent="0.3">
      <c r="A19" t="e">
        <f>_xlfn.XLOOKUP(PROJ_PUPIL[[#This Row],[School]],SCHOOLS[SchoolCode],SCHOOLS[Title])</f>
        <v>#N/A</v>
      </c>
      <c r="B19" t="s">
        <v>2431</v>
      </c>
      <c r="C19" t="s">
        <v>1413</v>
      </c>
      <c r="D19" t="s">
        <v>2432</v>
      </c>
      <c r="E19" t="s">
        <v>939</v>
      </c>
      <c r="F19" t="s">
        <v>51</v>
      </c>
      <c r="G19" t="s">
        <v>51</v>
      </c>
      <c r="H19" t="s">
        <v>1429</v>
      </c>
    </row>
    <row r="20" spans="1:8" x14ac:dyDescent="0.3">
      <c r="A20" t="e">
        <f>_xlfn.XLOOKUP(PROJ_PUPIL[[#This Row],[School]],SCHOOLS[SchoolCode],SCHOOLS[Title])</f>
        <v>#N/A</v>
      </c>
      <c r="B20" t="s">
        <v>2431</v>
      </c>
      <c r="C20" t="s">
        <v>1413</v>
      </c>
      <c r="D20" t="s">
        <v>2432</v>
      </c>
      <c r="E20" t="s">
        <v>935</v>
      </c>
      <c r="F20" t="s">
        <v>51</v>
      </c>
      <c r="G20" t="s">
        <v>51</v>
      </c>
      <c r="H20" t="s">
        <v>936</v>
      </c>
    </row>
    <row r="21" spans="1:8" x14ac:dyDescent="0.3">
      <c r="A21" t="e">
        <f>_xlfn.XLOOKUP(PROJ_PUPIL[[#This Row],[School]],SCHOOLS[SchoolCode],SCHOOLS[Title])</f>
        <v>#N/A</v>
      </c>
      <c r="B21" t="s">
        <v>2431</v>
      </c>
      <c r="C21" t="s">
        <v>1413</v>
      </c>
      <c r="D21" t="s">
        <v>2432</v>
      </c>
      <c r="E21" t="s">
        <v>1941</v>
      </c>
      <c r="F21" t="s">
        <v>51</v>
      </c>
      <c r="G21" t="s">
        <v>51</v>
      </c>
      <c r="H21" t="s">
        <v>1951</v>
      </c>
    </row>
    <row r="22" spans="1:8" x14ac:dyDescent="0.3">
      <c r="A22" t="e">
        <f>_xlfn.XLOOKUP(PROJ_PUPIL[[#This Row],[School]],SCHOOLS[SchoolCode],SCHOOLS[Title])</f>
        <v>#N/A</v>
      </c>
      <c r="B22" t="s">
        <v>2431</v>
      </c>
      <c r="C22" t="s">
        <v>1413</v>
      </c>
      <c r="D22" t="s">
        <v>2432</v>
      </c>
      <c r="E22" t="s">
        <v>975</v>
      </c>
      <c r="F22" t="s">
        <v>51</v>
      </c>
      <c r="G22" t="s">
        <v>51</v>
      </c>
      <c r="H22" t="s">
        <v>1432</v>
      </c>
    </row>
    <row r="23" spans="1:8" x14ac:dyDescent="0.3">
      <c r="A23" t="e">
        <f>_xlfn.XLOOKUP(PROJ_PUPIL[[#This Row],[School]],SCHOOLS[SchoolCode],SCHOOLS[Title])</f>
        <v>#N/A</v>
      </c>
      <c r="B23" t="s">
        <v>2431</v>
      </c>
      <c r="C23" t="s">
        <v>1413</v>
      </c>
      <c r="D23" t="s">
        <v>2432</v>
      </c>
      <c r="E23" t="s">
        <v>973</v>
      </c>
      <c r="F23" t="s">
        <v>51</v>
      </c>
      <c r="G23" t="s">
        <v>51</v>
      </c>
      <c r="H23" t="s">
        <v>1431</v>
      </c>
    </row>
    <row r="24" spans="1:8" x14ac:dyDescent="0.3">
      <c r="A24" t="e">
        <f>_xlfn.XLOOKUP(PROJ_PUPIL[[#This Row],[School]],SCHOOLS[SchoolCode],SCHOOLS[Title])</f>
        <v>#N/A</v>
      </c>
      <c r="B24" t="s">
        <v>2431</v>
      </c>
      <c r="C24" t="s">
        <v>1413</v>
      </c>
      <c r="D24" t="s">
        <v>2432</v>
      </c>
      <c r="E24" t="s">
        <v>957</v>
      </c>
      <c r="F24" t="s">
        <v>51</v>
      </c>
      <c r="G24" t="s">
        <v>51</v>
      </c>
      <c r="H24" t="s">
        <v>1421</v>
      </c>
    </row>
    <row r="25" spans="1:8" x14ac:dyDescent="0.3">
      <c r="A25" t="e">
        <f>_xlfn.XLOOKUP(PROJ_PUPIL[[#This Row],[School]],SCHOOLS[SchoolCode],SCHOOLS[Title])</f>
        <v>#N/A</v>
      </c>
      <c r="B25" t="s">
        <v>2431</v>
      </c>
      <c r="C25" t="s">
        <v>1413</v>
      </c>
      <c r="D25" t="s">
        <v>2432</v>
      </c>
      <c r="E25" t="s">
        <v>959</v>
      </c>
      <c r="F25" t="s">
        <v>51</v>
      </c>
      <c r="G25" t="s">
        <v>51</v>
      </c>
      <c r="H25" t="s">
        <v>1422</v>
      </c>
    </row>
    <row r="26" spans="1:8" x14ac:dyDescent="0.3">
      <c r="A26" t="e">
        <f>_xlfn.XLOOKUP(PROJ_PUPIL[[#This Row],[School]],SCHOOLS[SchoolCode],SCHOOLS[Title])</f>
        <v>#N/A</v>
      </c>
      <c r="B26" t="s">
        <v>2431</v>
      </c>
      <c r="C26" t="s">
        <v>1413</v>
      </c>
      <c r="D26" t="s">
        <v>2432</v>
      </c>
      <c r="E26" t="s">
        <v>961</v>
      </c>
      <c r="F26" t="s">
        <v>51</v>
      </c>
      <c r="G26" t="s">
        <v>51</v>
      </c>
      <c r="H26" t="s">
        <v>1423</v>
      </c>
    </row>
    <row r="27" spans="1:8" x14ac:dyDescent="0.3">
      <c r="A27" t="e">
        <f>_xlfn.XLOOKUP(PROJ_PUPIL[[#This Row],[School]],SCHOOLS[SchoolCode],SCHOOLS[Title])</f>
        <v>#N/A</v>
      </c>
      <c r="B27" t="s">
        <v>2431</v>
      </c>
      <c r="C27" t="s">
        <v>1413</v>
      </c>
      <c r="D27" t="s">
        <v>2432</v>
      </c>
      <c r="E27" t="s">
        <v>963</v>
      </c>
      <c r="F27" t="s">
        <v>51</v>
      </c>
      <c r="G27" t="s">
        <v>51</v>
      </c>
      <c r="H27" t="s">
        <v>1424</v>
      </c>
    </row>
    <row r="28" spans="1:8" x14ac:dyDescent="0.3">
      <c r="A28" t="e">
        <f>_xlfn.XLOOKUP(PROJ_PUPIL[[#This Row],[School]],SCHOOLS[SchoolCode],SCHOOLS[Title])</f>
        <v>#N/A</v>
      </c>
      <c r="B28" t="s">
        <v>2431</v>
      </c>
      <c r="C28" t="s">
        <v>1413</v>
      </c>
      <c r="D28" t="s">
        <v>2432</v>
      </c>
      <c r="E28" t="s">
        <v>965</v>
      </c>
      <c r="F28" t="s">
        <v>51</v>
      </c>
      <c r="G28" t="s">
        <v>51</v>
      </c>
      <c r="H28" t="s">
        <v>1425</v>
      </c>
    </row>
    <row r="29" spans="1:8" x14ac:dyDescent="0.3">
      <c r="A29" t="e">
        <f>_xlfn.XLOOKUP(PROJ_PUPIL[[#This Row],[School]],SCHOOLS[SchoolCode],SCHOOLS[Title])</f>
        <v>#N/A</v>
      </c>
      <c r="B29" t="s">
        <v>2431</v>
      </c>
      <c r="C29" t="s">
        <v>1413</v>
      </c>
      <c r="D29" t="s">
        <v>2432</v>
      </c>
      <c r="E29" t="s">
        <v>1525</v>
      </c>
      <c r="F29" t="s">
        <v>51</v>
      </c>
      <c r="G29" t="s">
        <v>51</v>
      </c>
      <c r="H29" t="s">
        <v>1533</v>
      </c>
    </row>
    <row r="30" spans="1:8" x14ac:dyDescent="0.3">
      <c r="A30" t="e">
        <f>_xlfn.XLOOKUP(PROJ_PUPIL[[#This Row],[School]],SCHOOLS[SchoolCode],SCHOOLS[Title])</f>
        <v>#N/A</v>
      </c>
      <c r="B30" t="s">
        <v>2431</v>
      </c>
      <c r="C30" t="s">
        <v>1413</v>
      </c>
      <c r="D30" t="s">
        <v>2432</v>
      </c>
      <c r="E30" t="s">
        <v>1526</v>
      </c>
      <c r="F30" t="s">
        <v>51</v>
      </c>
      <c r="G30" t="s">
        <v>51</v>
      </c>
      <c r="H30" t="s">
        <v>1534</v>
      </c>
    </row>
  </sheetData>
  <phoneticPr fontId="2" type="noConversion"/>
  <pageMargins left="0.7" right="0.7" top="0.75" bottom="0.75" header="0.3" footer="0.3"/>
  <pageSetup paperSize="9" orientation="portrait"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81B00-EB6F-4C08-9170-5C939333E3F1}">
  <sheetPr codeName="Sheet22">
    <tabColor rgb="FFDCCEE4"/>
  </sheetPr>
  <dimension ref="A1:AV12"/>
  <sheetViews>
    <sheetView workbookViewId="0">
      <selection activeCell="C2" sqref="C2:F2"/>
    </sheetView>
  </sheetViews>
  <sheetFormatPr defaultRowHeight="14.4" outlineLevelCol="1" x14ac:dyDescent="0.3"/>
  <cols>
    <col min="1" max="1" width="17.88671875" bestFit="1" customWidth="1"/>
    <col min="2" max="2" width="9.109375" bestFit="1" customWidth="1"/>
    <col min="3" max="3" width="10.109375" bestFit="1" customWidth="1"/>
    <col min="4" max="6" width="6.44140625" bestFit="1" customWidth="1"/>
    <col min="7" max="7" width="14" bestFit="1" customWidth="1"/>
    <col min="8" max="10" width="8.88671875" bestFit="1" customWidth="1"/>
    <col min="11" max="11" width="15.88671875" bestFit="1" customWidth="1"/>
    <col min="12" max="14" width="10.5546875" bestFit="1" customWidth="1"/>
    <col min="15" max="26" width="9.109375" hidden="1" customWidth="1" outlineLevel="1"/>
    <col min="27" max="27" width="9.109375" collapsed="1"/>
    <col min="28" max="28" width="9.109375" bestFit="1" customWidth="1"/>
    <col min="29" max="29" width="17.88671875" bestFit="1" customWidth="1"/>
    <col min="30" max="30" width="27.5546875" bestFit="1" customWidth="1"/>
    <col min="31" max="33" width="10.109375" bestFit="1" customWidth="1"/>
    <col min="34" max="39" width="8.6640625" bestFit="1" customWidth="1"/>
    <col min="40" max="48" width="14.33203125" bestFit="1" customWidth="1"/>
  </cols>
  <sheetData>
    <row r="1" spans="1:48" ht="23.4" x14ac:dyDescent="0.45">
      <c r="A1" s="181" t="s">
        <v>1497</v>
      </c>
      <c r="B1" s="181"/>
      <c r="C1" s="181"/>
      <c r="D1" s="181"/>
      <c r="E1" s="181"/>
      <c r="F1" s="181"/>
      <c r="G1" s="181"/>
      <c r="H1" s="181"/>
      <c r="I1" s="181"/>
      <c r="J1" s="181"/>
      <c r="K1" s="181"/>
      <c r="L1" s="181"/>
      <c r="M1" s="181"/>
      <c r="N1" s="181"/>
      <c r="AB1" s="181" t="s">
        <v>2328</v>
      </c>
      <c r="AC1" s="181"/>
      <c r="AD1" s="181"/>
      <c r="AE1" s="181"/>
      <c r="AF1" s="181"/>
      <c r="AG1" s="181"/>
      <c r="AH1" s="181"/>
      <c r="AI1" s="181"/>
      <c r="AJ1" s="181"/>
      <c r="AK1" s="181"/>
      <c r="AL1" s="181"/>
      <c r="AM1" s="181"/>
      <c r="AN1" s="181"/>
      <c r="AO1" s="181"/>
      <c r="AP1" s="181"/>
      <c r="AQ1" s="181"/>
      <c r="AR1" s="181"/>
      <c r="AS1" s="181"/>
      <c r="AT1" s="181"/>
      <c r="AU1" s="181"/>
      <c r="AV1" s="181"/>
    </row>
    <row r="2" spans="1:48" ht="24" thickBot="1" x14ac:dyDescent="0.5">
      <c r="A2" s="181"/>
      <c r="B2" s="181"/>
      <c r="C2" s="181" t="s">
        <v>1591</v>
      </c>
      <c r="D2" s="181"/>
      <c r="E2" s="181"/>
      <c r="F2" s="181"/>
      <c r="G2" s="190" t="s">
        <v>1592</v>
      </c>
      <c r="H2" s="190"/>
      <c r="I2" s="190"/>
      <c r="J2" s="190"/>
      <c r="K2" s="190" t="s">
        <v>1593</v>
      </c>
      <c r="L2" s="190"/>
      <c r="M2" s="190"/>
      <c r="N2" s="190"/>
      <c r="AB2" s="181"/>
      <c r="AC2" s="181"/>
      <c r="AD2" s="181"/>
      <c r="AE2" s="181" t="s">
        <v>2329</v>
      </c>
      <c r="AF2" s="181"/>
      <c r="AG2" s="181"/>
      <c r="AH2" s="181"/>
      <c r="AI2" s="181"/>
      <c r="AJ2" s="181"/>
      <c r="AK2" s="181" t="s">
        <v>2322</v>
      </c>
      <c r="AL2" s="181"/>
      <c r="AM2" s="181"/>
      <c r="AN2" s="181"/>
      <c r="AO2" s="181"/>
      <c r="AP2" s="181"/>
      <c r="AQ2" s="181" t="s">
        <v>1593</v>
      </c>
      <c r="AR2" s="181"/>
      <c r="AS2" s="181"/>
      <c r="AT2" s="181"/>
      <c r="AU2" s="181"/>
      <c r="AV2" s="181"/>
    </row>
    <row r="3" spans="1:48" ht="15" thickBot="1" x14ac:dyDescent="0.35">
      <c r="A3" t="s">
        <v>1606</v>
      </c>
      <c r="B3" t="s">
        <v>1408</v>
      </c>
      <c r="C3" t="s">
        <v>858</v>
      </c>
      <c r="D3" t="s">
        <v>1481</v>
      </c>
      <c r="E3" t="s">
        <v>1594</v>
      </c>
      <c r="F3" t="s">
        <v>1595</v>
      </c>
      <c r="G3" s="49" t="s">
        <v>1596</v>
      </c>
      <c r="H3" s="50" t="s">
        <v>1597</v>
      </c>
      <c r="I3" s="50" t="s">
        <v>1598</v>
      </c>
      <c r="J3" s="51" t="s">
        <v>1599</v>
      </c>
      <c r="K3" s="49" t="s">
        <v>1600</v>
      </c>
      <c r="L3" s="50" t="s">
        <v>1601</v>
      </c>
      <c r="M3" s="50" t="s">
        <v>1602</v>
      </c>
      <c r="N3" s="51" t="s">
        <v>1603</v>
      </c>
      <c r="AB3" t="s">
        <v>1408</v>
      </c>
      <c r="AC3" t="s">
        <v>1606</v>
      </c>
      <c r="AD3" t="s">
        <v>42</v>
      </c>
      <c r="AE3" t="s">
        <v>1394</v>
      </c>
      <c r="AF3" t="s">
        <v>1410</v>
      </c>
      <c r="AG3" t="s">
        <v>1497</v>
      </c>
      <c r="AH3" s="80" t="s">
        <v>2317</v>
      </c>
      <c r="AI3" s="80" t="s">
        <v>2318</v>
      </c>
      <c r="AJ3" s="80" t="s">
        <v>2319</v>
      </c>
      <c r="AK3" s="80" t="s">
        <v>2320</v>
      </c>
      <c r="AL3" s="80" t="s">
        <v>2321</v>
      </c>
      <c r="AM3" s="80" t="s">
        <v>2412</v>
      </c>
      <c r="AN3" t="s">
        <v>2323</v>
      </c>
      <c r="AO3" t="s">
        <v>2324</v>
      </c>
      <c r="AP3" t="s">
        <v>2325</v>
      </c>
      <c r="AQ3" t="s">
        <v>2326</v>
      </c>
      <c r="AR3" t="s">
        <v>2327</v>
      </c>
      <c r="AS3" t="s">
        <v>2413</v>
      </c>
    </row>
    <row r="4" spans="1:48" x14ac:dyDescent="0.3">
      <c r="A4" t="e">
        <f>_xlfn.XLOOKUP(Funding_Statement_Check_25_26[[#This Row],[School]],SCHOOLS[SchoolCode],SCHOOLS[Title])</f>
        <v>#N/A</v>
      </c>
      <c r="B4" t="s">
        <v>2285</v>
      </c>
      <c r="K4">
        <f>Funding_Statement_Check_25_26[[#This Row],[Primary]]-Funding_Statement_Check_25_26[[#This Row],[PRIMARY FS]]</f>
        <v>0</v>
      </c>
      <c r="L4">
        <f>Funding_Statement_Check_25_26[[#This Row],[KS3]]-Funding_Statement_Check_25_26[[#This Row],[KS3 FS]]</f>
        <v>0</v>
      </c>
      <c r="M4">
        <f>Funding_Statement_Check_25_26[[#This Row],[KS4]]-Funding_Statement_Check_25_26[[#This Row],[KS4 FS]]</f>
        <v>0</v>
      </c>
      <c r="N4">
        <f>Funding_Statement_Check_25_26[[#This Row],[KS5]]-Funding_Statement_Check_25_26[[#This Row],[KS5 FS]]</f>
        <v>0</v>
      </c>
      <c r="AB4" t="s">
        <v>2285</v>
      </c>
      <c r="AC4" t="s">
        <v>2286</v>
      </c>
      <c r="AD4" t="s">
        <v>2423</v>
      </c>
      <c r="AH4" s="80"/>
      <c r="AI4" s="80"/>
      <c r="AJ4" s="80"/>
      <c r="AK4" s="80"/>
      <c r="AL4" s="80"/>
      <c r="AM4" s="80"/>
      <c r="AN4">
        <f>Pupil_Number_Check[[#This Row],[2023/24]]-Pupil_Number_Check[[#This Row],[Year 1]]</f>
        <v>0</v>
      </c>
      <c r="AO4">
        <f>Pupil_Number_Check[[#This Row],[2024/25]]-Pupil_Number_Check[[#This Row],[Year 2]]</f>
        <v>0</v>
      </c>
      <c r="AP4">
        <f>Pupil_Number_Check[[#This Row],[2025/26]]-Pupil_Number_Check[[#This Row],[Year 3]]</f>
        <v>0</v>
      </c>
      <c r="AQ4" t="e">
        <f>#REF!-Pupil_Number_Check[[#This Row],[Year 4]]</f>
        <v>#REF!</v>
      </c>
      <c r="AR4" t="e">
        <f>#REF!-Pupil_Number_Check[[#This Row],[Year 5]]</f>
        <v>#REF!</v>
      </c>
      <c r="AS4" t="e">
        <f>#REF!-Pupil_Number_Check[[#This Row],[Year 6]]</f>
        <v>#REF!</v>
      </c>
    </row>
    <row r="5" spans="1:48" x14ac:dyDescent="0.3">
      <c r="AB5" t="s">
        <v>2285</v>
      </c>
      <c r="AC5" t="s">
        <v>2286</v>
      </c>
      <c r="AD5" t="s">
        <v>2424</v>
      </c>
      <c r="AH5" s="80"/>
      <c r="AI5" s="80"/>
      <c r="AJ5" s="80"/>
      <c r="AK5" s="80"/>
      <c r="AL5" s="80"/>
      <c r="AM5" s="80"/>
      <c r="AN5">
        <f>Pupil_Number_Check[[#This Row],[2023/24]]-Pupil_Number_Check[[#This Row],[Year 1]]</f>
        <v>0</v>
      </c>
      <c r="AO5">
        <f>Pupil_Number_Check[[#This Row],[2024/25]]-Pupil_Number_Check[[#This Row],[Year 2]]</f>
        <v>0</v>
      </c>
      <c r="AP5">
        <f>Pupil_Number_Check[[#This Row],[2025/26]]-Pupil_Number_Check[[#This Row],[Year 3]]</f>
        <v>0</v>
      </c>
      <c r="AQ5" t="e">
        <f>#REF!-Pupil_Number_Check[[#This Row],[Year 4]]</f>
        <v>#REF!</v>
      </c>
      <c r="AR5" t="e">
        <f>#REF!-Pupil_Number_Check[[#This Row],[Year 5]]</f>
        <v>#REF!</v>
      </c>
      <c r="AS5" t="e">
        <f>#REF!-Pupil_Number_Check[[#This Row],[Year 6]]</f>
        <v>#REF!</v>
      </c>
    </row>
    <row r="6" spans="1:48" x14ac:dyDescent="0.3">
      <c r="AB6" t="s">
        <v>2285</v>
      </c>
      <c r="AC6" t="s">
        <v>2286</v>
      </c>
      <c r="AD6" t="s">
        <v>2425</v>
      </c>
      <c r="AH6" s="80"/>
      <c r="AI6" s="80"/>
      <c r="AJ6" s="80"/>
      <c r="AK6" s="80"/>
      <c r="AL6" s="80"/>
      <c r="AM6" s="80"/>
      <c r="AN6">
        <f>Pupil_Number_Check[[#This Row],[2023/24]]-Pupil_Number_Check[[#This Row],[Year 1]]</f>
        <v>0</v>
      </c>
      <c r="AO6">
        <f>Pupil_Number_Check[[#This Row],[2024/25]]-Pupil_Number_Check[[#This Row],[Year 2]]</f>
        <v>0</v>
      </c>
      <c r="AP6">
        <f>Pupil_Number_Check[[#This Row],[2025/26]]-Pupil_Number_Check[[#This Row],[Year 3]]</f>
        <v>0</v>
      </c>
      <c r="AQ6" t="e">
        <f>#REF!-Pupil_Number_Check[[#This Row],[Year 4]]</f>
        <v>#REF!</v>
      </c>
      <c r="AR6" t="e">
        <f>#REF!-Pupil_Number_Check[[#This Row],[Year 5]]</f>
        <v>#REF!</v>
      </c>
      <c r="AS6" t="e">
        <f>#REF!-Pupil_Number_Check[[#This Row],[Year 6]]</f>
        <v>#REF!</v>
      </c>
    </row>
    <row r="7" spans="1:48" x14ac:dyDescent="0.3">
      <c r="AB7" t="s">
        <v>2285</v>
      </c>
      <c r="AC7" t="s">
        <v>2286</v>
      </c>
      <c r="AD7" t="s">
        <v>2410</v>
      </c>
      <c r="AH7" s="80"/>
      <c r="AI7" s="80"/>
      <c r="AJ7" s="80"/>
      <c r="AK7" s="80"/>
      <c r="AL7" s="80"/>
      <c r="AM7" s="80"/>
      <c r="AN7">
        <f>Pupil_Number_Check[[#This Row],[2023/24]]-Pupil_Number_Check[[#This Row],[Year 1]]</f>
        <v>0</v>
      </c>
      <c r="AO7">
        <f>Pupil_Number_Check[[#This Row],[2024/25]]-Pupil_Number_Check[[#This Row],[Year 2]]</f>
        <v>0</v>
      </c>
      <c r="AP7">
        <f>Pupil_Number_Check[[#This Row],[2025/26]]-Pupil_Number_Check[[#This Row],[Year 3]]</f>
        <v>0</v>
      </c>
      <c r="AQ7" t="e">
        <f>#REF!-Pupil_Number_Check[[#This Row],[Year 4]]</f>
        <v>#REF!</v>
      </c>
      <c r="AR7" t="e">
        <f>#REF!-Pupil_Number_Check[[#This Row],[Year 5]]</f>
        <v>#REF!</v>
      </c>
      <c r="AS7" t="e">
        <f>#REF!-Pupil_Number_Check[[#This Row],[Year 6]]</f>
        <v>#REF!</v>
      </c>
    </row>
    <row r="8" spans="1:48" x14ac:dyDescent="0.3">
      <c r="AB8" t="s">
        <v>2285</v>
      </c>
      <c r="AC8" t="s">
        <v>2286</v>
      </c>
      <c r="AD8" t="s">
        <v>2426</v>
      </c>
      <c r="AH8" s="80"/>
      <c r="AI8" s="80"/>
      <c r="AJ8" s="80"/>
      <c r="AK8" s="80"/>
      <c r="AL8" s="80"/>
      <c r="AM8" s="80"/>
      <c r="AN8">
        <f>Pupil_Number_Check[[#This Row],[2023/24]]-Pupil_Number_Check[[#This Row],[Year 1]]</f>
        <v>0</v>
      </c>
      <c r="AO8">
        <f>Pupil_Number_Check[[#This Row],[2024/25]]-Pupil_Number_Check[[#This Row],[Year 2]]</f>
        <v>0</v>
      </c>
      <c r="AP8">
        <f>Pupil_Number_Check[[#This Row],[2025/26]]-Pupil_Number_Check[[#This Row],[Year 3]]</f>
        <v>0</v>
      </c>
      <c r="AQ8" t="e">
        <f>#REF!-Pupil_Number_Check[[#This Row],[Year 4]]</f>
        <v>#REF!</v>
      </c>
      <c r="AR8" t="e">
        <f>#REF!-Pupil_Number_Check[[#This Row],[Year 5]]</f>
        <v>#REF!</v>
      </c>
      <c r="AS8" t="e">
        <f>#REF!-Pupil_Number_Check[[#This Row],[Year 6]]</f>
        <v>#REF!</v>
      </c>
    </row>
    <row r="9" spans="1:48" x14ac:dyDescent="0.3">
      <c r="AB9" t="s">
        <v>2285</v>
      </c>
      <c r="AC9" t="s">
        <v>2286</v>
      </c>
      <c r="AD9" t="s">
        <v>2427</v>
      </c>
      <c r="AH9" s="80"/>
      <c r="AI9" s="80"/>
      <c r="AJ9" s="80"/>
      <c r="AK9" s="80"/>
      <c r="AL9" s="80"/>
      <c r="AM9" s="80"/>
      <c r="AN9">
        <f>Pupil_Number_Check[[#This Row],[2023/24]]-Pupil_Number_Check[[#This Row],[Year 1]]</f>
        <v>0</v>
      </c>
      <c r="AO9">
        <f>Pupil_Number_Check[[#This Row],[2024/25]]-Pupil_Number_Check[[#This Row],[Year 2]]</f>
        <v>0</v>
      </c>
      <c r="AP9">
        <f>Pupil_Number_Check[[#This Row],[2025/26]]-Pupil_Number_Check[[#This Row],[Year 3]]</f>
        <v>0</v>
      </c>
      <c r="AQ9" t="e">
        <f>#REF!-Pupil_Number_Check[[#This Row],[Year 4]]</f>
        <v>#REF!</v>
      </c>
      <c r="AR9" t="e">
        <f>#REF!-Pupil_Number_Check[[#This Row],[Year 5]]</f>
        <v>#REF!</v>
      </c>
      <c r="AS9" t="e">
        <f>#REF!-Pupil_Number_Check[[#This Row],[Year 6]]</f>
        <v>#REF!</v>
      </c>
    </row>
    <row r="10" spans="1:48" x14ac:dyDescent="0.3">
      <c r="AB10" t="s">
        <v>2285</v>
      </c>
      <c r="AC10" t="s">
        <v>2286</v>
      </c>
      <c r="AD10" t="s">
        <v>2428</v>
      </c>
      <c r="AH10" s="80"/>
      <c r="AI10" s="80"/>
      <c r="AJ10" s="80"/>
      <c r="AK10" s="80"/>
      <c r="AL10" s="80"/>
      <c r="AM10" s="80"/>
      <c r="AN10">
        <f>Pupil_Number_Check[[#This Row],[2023/24]]-Pupil_Number_Check[[#This Row],[Year 1]]</f>
        <v>0</v>
      </c>
      <c r="AO10">
        <f>Pupil_Number_Check[[#This Row],[2024/25]]-Pupil_Number_Check[[#This Row],[Year 2]]</f>
        <v>0</v>
      </c>
      <c r="AP10">
        <f>Pupil_Number_Check[[#This Row],[2025/26]]-Pupil_Number_Check[[#This Row],[Year 3]]</f>
        <v>0</v>
      </c>
      <c r="AQ10" t="e">
        <f>#REF!-Pupil_Number_Check[[#This Row],[Year 4]]</f>
        <v>#REF!</v>
      </c>
      <c r="AR10" t="e">
        <f>#REF!-Pupil_Number_Check[[#This Row],[Year 5]]</f>
        <v>#REF!</v>
      </c>
      <c r="AS10" t="e">
        <f>#REF!-Pupil_Number_Check[[#This Row],[Year 6]]</f>
        <v>#REF!</v>
      </c>
    </row>
    <row r="11" spans="1:48" x14ac:dyDescent="0.3">
      <c r="AB11" t="s">
        <v>2285</v>
      </c>
      <c r="AC11" t="s">
        <v>2286</v>
      </c>
      <c r="AD11" t="s">
        <v>2429</v>
      </c>
      <c r="AH11" s="80"/>
      <c r="AI11" s="80"/>
      <c r="AJ11" s="80"/>
      <c r="AK11" s="80"/>
      <c r="AL11" s="80"/>
      <c r="AM11" s="80"/>
      <c r="AN11">
        <f>Pupil_Number_Check[[#This Row],[2023/24]]-Pupil_Number_Check[[#This Row],[Year 1]]</f>
        <v>0</v>
      </c>
      <c r="AO11">
        <f>Pupil_Number_Check[[#This Row],[2024/25]]-Pupil_Number_Check[[#This Row],[Year 2]]</f>
        <v>0</v>
      </c>
      <c r="AP11">
        <f>Pupil_Number_Check[[#This Row],[2025/26]]-Pupil_Number_Check[[#This Row],[Year 3]]</f>
        <v>0</v>
      </c>
      <c r="AQ11" t="e">
        <f>#REF!-Pupil_Number_Check[[#This Row],[Year 4]]</f>
        <v>#REF!</v>
      </c>
      <c r="AR11" t="e">
        <f>#REF!-Pupil_Number_Check[[#This Row],[Year 5]]</f>
        <v>#REF!</v>
      </c>
      <c r="AS11" t="e">
        <f>#REF!-Pupil_Number_Check[[#This Row],[Year 6]]</f>
        <v>#REF!</v>
      </c>
    </row>
    <row r="12" spans="1:48" x14ac:dyDescent="0.3">
      <c r="AB12" t="s">
        <v>2285</v>
      </c>
      <c r="AC12" t="s">
        <v>2286</v>
      </c>
      <c r="AD12" t="s">
        <v>2430</v>
      </c>
      <c r="AH12" s="80"/>
      <c r="AI12" s="80"/>
      <c r="AJ12" s="80"/>
      <c r="AK12" s="80"/>
      <c r="AL12" s="80"/>
      <c r="AM12" s="80"/>
      <c r="AN12">
        <f>Pupil_Number_Check[[#This Row],[2023/24]]-Pupil_Number_Check[[#This Row],[Year 1]]</f>
        <v>0</v>
      </c>
      <c r="AO12">
        <f>Pupil_Number_Check[[#This Row],[2024/25]]-Pupil_Number_Check[[#This Row],[Year 2]]</f>
        <v>0</v>
      </c>
      <c r="AP12">
        <f>Pupil_Number_Check[[#This Row],[2025/26]]-Pupil_Number_Check[[#This Row],[Year 3]]</f>
        <v>0</v>
      </c>
      <c r="AQ12" t="e">
        <f>#REF!-Pupil_Number_Check[[#This Row],[Year 4]]</f>
        <v>#REF!</v>
      </c>
      <c r="AR12" t="e">
        <f>#REF!-Pupil_Number_Check[[#This Row],[Year 5]]</f>
        <v>#REF!</v>
      </c>
      <c r="AS12" t="e">
        <f>#REF!-Pupil_Number_Check[[#This Row],[Year 6]]</f>
        <v>#REF!</v>
      </c>
    </row>
  </sheetData>
  <mergeCells count="10">
    <mergeCell ref="AB2:AD2"/>
    <mergeCell ref="AB1:AV1"/>
    <mergeCell ref="AE2:AJ2"/>
    <mergeCell ref="AK2:AP2"/>
    <mergeCell ref="AQ2:AV2"/>
    <mergeCell ref="C2:F2"/>
    <mergeCell ref="G2:J2"/>
    <mergeCell ref="K2:N2"/>
    <mergeCell ref="A2:B2"/>
    <mergeCell ref="A1:N1"/>
  </mergeCells>
  <phoneticPr fontId="2" type="noConversion"/>
  <pageMargins left="0.7" right="0.7" top="0.75" bottom="0.75" header="0.3" footer="0.3"/>
  <pageSetup paperSize="9" orientation="portrait" r:id="rId1"/>
  <tableParts count="2">
    <tablePart r:id="rId2"/>
    <tablePart r:id="rId3"/>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0E027-274B-41C2-9622-A9F66FC09043}">
  <sheetPr codeName="Sheet29">
    <tabColor theme="0" tint="-0.14999847407452621"/>
  </sheetPr>
  <dimension ref="A1:O657"/>
  <sheetViews>
    <sheetView topLeftCell="K1" zoomScale="80" zoomScaleNormal="80" workbookViewId="0">
      <pane ySplit="1" topLeftCell="A25" activePane="bottomLeft" state="frozen"/>
      <selection pane="bottomLeft" activeCell="C25" sqref="C25:N26"/>
    </sheetView>
  </sheetViews>
  <sheetFormatPr defaultColWidth="9.33203125" defaultRowHeight="14.4" x14ac:dyDescent="0.3"/>
  <cols>
    <col min="1" max="1" width="18.5546875" bestFit="1" customWidth="1"/>
    <col min="2" max="2" width="15.33203125" bestFit="1" customWidth="1"/>
    <col min="3" max="3" width="28.109375" customWidth="1"/>
    <col min="4" max="5" width="13.5546875" bestFit="1" customWidth="1"/>
    <col min="6" max="6" width="18.33203125" bestFit="1" customWidth="1"/>
    <col min="7" max="7" width="12.33203125" bestFit="1" customWidth="1"/>
    <col min="8" max="8" width="22.33203125" bestFit="1" customWidth="1"/>
    <col min="9" max="9" width="17.5546875" customWidth="1"/>
    <col min="10" max="10" width="48.33203125" bestFit="1" customWidth="1"/>
    <col min="11" max="11" width="200" bestFit="1" customWidth="1"/>
    <col min="13" max="13" width="14.33203125" bestFit="1" customWidth="1"/>
    <col min="14" max="14" width="12.33203125" bestFit="1" customWidth="1"/>
    <col min="15" max="15" width="12.109375" style="36" bestFit="1" customWidth="1"/>
  </cols>
  <sheetData>
    <row r="1" spans="1:15" x14ac:dyDescent="0.3">
      <c r="A1" s="33" t="s">
        <v>869</v>
      </c>
      <c r="B1" s="13" t="s">
        <v>1331</v>
      </c>
      <c r="C1" s="13" t="s">
        <v>893</v>
      </c>
      <c r="D1" s="13" t="s">
        <v>871</v>
      </c>
      <c r="E1" s="13" t="s">
        <v>857</v>
      </c>
      <c r="F1" s="13" t="s">
        <v>884</v>
      </c>
      <c r="G1" s="13" t="s">
        <v>49</v>
      </c>
      <c r="H1" s="13" t="s">
        <v>1136</v>
      </c>
      <c r="I1" s="13" t="s">
        <v>1382</v>
      </c>
      <c r="J1" s="13" t="s">
        <v>1383</v>
      </c>
      <c r="K1" s="15" t="s">
        <v>44</v>
      </c>
      <c r="L1" s="15" t="s">
        <v>1384</v>
      </c>
      <c r="M1" s="14" t="s">
        <v>1374</v>
      </c>
      <c r="N1" s="14" t="s">
        <v>1386</v>
      </c>
      <c r="O1" s="34" t="s">
        <v>1387</v>
      </c>
    </row>
    <row r="2" spans="1:15" hidden="1" x14ac:dyDescent="0.3">
      <c r="A2" s="27" t="s">
        <v>1548</v>
      </c>
      <c r="B2" s="3"/>
      <c r="C2" s="1" t="s">
        <v>941</v>
      </c>
      <c r="D2" s="3"/>
      <c r="E2" s="3" t="str" cm="1">
        <f t="array" ref="E2">IF(_xlfn.XLOOKUP(PUPILS[[#This Row],[FinanceCode]],FC[FinanceCode],FC[AvailableToAllSchools])=TRUE,(_xlfn.XLOOKUP(PUPILS[[#This Row],[FinanceCode]],FC[FinanceCode],FC[LedgerCode])),_xlfn.XLOOKUP(1,(FC[FinanceCode]=PUPILS[[#This Row],[FinanceCode]])*(IF(FIND(PUPILS[[#This Row],[SchoolCode]],FC[SchoolCodes])&gt;=1,1,0)),FC[LedgerCode]))</f>
        <v>DEFAULT</v>
      </c>
      <c r="F2" s="3" t="s">
        <v>51</v>
      </c>
      <c r="G2" s="27"/>
      <c r="H2" s="16" t="s">
        <v>1172</v>
      </c>
      <c r="I2" s="3" t="s">
        <v>1124</v>
      </c>
      <c r="J2" s="3" t="s">
        <v>2067</v>
      </c>
      <c r="K2" s="3" t="s">
        <v>1645</v>
      </c>
      <c r="L2" s="3"/>
      <c r="M2" s="3" t="b">
        <v>0</v>
      </c>
      <c r="N2" s="3" t="b">
        <v>0</v>
      </c>
      <c r="O2" s="35"/>
    </row>
    <row r="3" spans="1:15" hidden="1" x14ac:dyDescent="0.3">
      <c r="A3" s="27" t="s">
        <v>1548</v>
      </c>
      <c r="B3" s="3"/>
      <c r="C3" s="1" t="s">
        <v>943</v>
      </c>
      <c r="D3" s="3"/>
      <c r="E3" s="3" t="str" cm="1">
        <f t="array" ref="E3">IF(_xlfn.XLOOKUP(PUPILS[[#This Row],[FinanceCode]],FC[FinanceCode],FC[AvailableToAllSchools])=TRUE,(_xlfn.XLOOKUP(PUPILS[[#This Row],[FinanceCode]],FC[FinanceCode],FC[LedgerCode])),_xlfn.XLOOKUP(1,(FC[FinanceCode]=PUPILS[[#This Row],[FinanceCode]])*(IF(FIND(PUPILS[[#This Row],[SchoolCode]],FC[SchoolCodes])&gt;=1,1,0)),FC[LedgerCode]))</f>
        <v>DEFAULT</v>
      </c>
      <c r="F3" s="3" t="s">
        <v>51</v>
      </c>
      <c r="G3" s="27"/>
      <c r="H3" s="16" t="s">
        <v>1172</v>
      </c>
      <c r="I3" s="3" t="s">
        <v>1124</v>
      </c>
      <c r="J3" s="3" t="s">
        <v>2068</v>
      </c>
      <c r="K3" s="3" t="s">
        <v>1646</v>
      </c>
      <c r="L3" s="3"/>
      <c r="M3" s="3" t="b">
        <v>0</v>
      </c>
      <c r="N3" s="3" t="b">
        <v>0</v>
      </c>
      <c r="O3" s="35"/>
    </row>
    <row r="4" spans="1:15" hidden="1" x14ac:dyDescent="0.3">
      <c r="A4" s="27" t="s">
        <v>1548</v>
      </c>
      <c r="B4" s="3"/>
      <c r="C4" s="1" t="s">
        <v>945</v>
      </c>
      <c r="D4" s="3"/>
      <c r="E4" s="3" t="str" cm="1">
        <f t="array" ref="E4">IF(_xlfn.XLOOKUP(PUPILS[[#This Row],[FinanceCode]],FC[FinanceCode],FC[AvailableToAllSchools])=TRUE,(_xlfn.XLOOKUP(PUPILS[[#This Row],[FinanceCode]],FC[FinanceCode],FC[LedgerCode])),_xlfn.XLOOKUP(1,(FC[FinanceCode]=PUPILS[[#This Row],[FinanceCode]])*(IF(FIND(PUPILS[[#This Row],[SchoolCode]],FC[SchoolCodes])&gt;=1,1,0)),FC[LedgerCode]))</f>
        <v>DEFAULT</v>
      </c>
      <c r="F4" s="3" t="s">
        <v>51</v>
      </c>
      <c r="G4" s="27"/>
      <c r="H4" s="11" t="s">
        <v>1254</v>
      </c>
      <c r="I4" s="3" t="s">
        <v>1124</v>
      </c>
      <c r="J4" s="3" t="s">
        <v>2069</v>
      </c>
      <c r="K4" s="3" t="s">
        <v>1646</v>
      </c>
      <c r="L4" s="3"/>
      <c r="M4" s="3" t="b">
        <v>0</v>
      </c>
      <c r="N4" s="3" t="b">
        <v>0</v>
      </c>
      <c r="O4" s="35"/>
    </row>
    <row r="5" spans="1:15" hidden="1" x14ac:dyDescent="0.3">
      <c r="A5" s="27" t="s">
        <v>1548</v>
      </c>
      <c r="B5" s="3"/>
      <c r="C5" s="1" t="s">
        <v>947</v>
      </c>
      <c r="D5" s="3"/>
      <c r="E5" s="3" t="str" cm="1">
        <f t="array" ref="E5">IF(_xlfn.XLOOKUP(PUPILS[[#This Row],[FinanceCode]],FC[FinanceCode],FC[AvailableToAllSchools])=TRUE,(_xlfn.XLOOKUP(PUPILS[[#This Row],[FinanceCode]],FC[FinanceCode],FC[LedgerCode])),_xlfn.XLOOKUP(1,(FC[FinanceCode]=PUPILS[[#This Row],[FinanceCode]])*(IF(FIND(PUPILS[[#This Row],[SchoolCode]],FC[SchoolCodes])&gt;=1,1,0)),FC[LedgerCode]))</f>
        <v>DEFAULT</v>
      </c>
      <c r="F5" s="3" t="s">
        <v>51</v>
      </c>
      <c r="G5" s="27"/>
      <c r="H5" s="11" t="s">
        <v>1256</v>
      </c>
      <c r="I5" s="3" t="s">
        <v>1124</v>
      </c>
      <c r="J5" s="3" t="s">
        <v>2075</v>
      </c>
      <c r="K5" s="3" t="s">
        <v>1646</v>
      </c>
      <c r="L5" s="3"/>
      <c r="M5" s="3" t="b">
        <v>0</v>
      </c>
      <c r="N5" s="3" t="b">
        <v>0</v>
      </c>
      <c r="O5" s="35"/>
    </row>
    <row r="6" spans="1:15" hidden="1" x14ac:dyDescent="0.3">
      <c r="A6" s="27" t="s">
        <v>1548</v>
      </c>
      <c r="B6" s="3"/>
      <c r="C6" s="1" t="s">
        <v>949</v>
      </c>
      <c r="D6" s="3"/>
      <c r="E6" s="3" t="str" cm="1">
        <f t="array" ref="E6">IF(_xlfn.XLOOKUP(PUPILS[[#This Row],[FinanceCode]],FC[FinanceCode],FC[AvailableToAllSchools])=TRUE,(_xlfn.XLOOKUP(PUPILS[[#This Row],[FinanceCode]],FC[FinanceCode],FC[LedgerCode])),_xlfn.XLOOKUP(1,(FC[FinanceCode]=PUPILS[[#This Row],[FinanceCode]])*(IF(FIND(PUPILS[[#This Row],[SchoolCode]],FC[SchoolCodes])&gt;=1,1,0)),FC[LedgerCode]))</f>
        <v>DEFAULT</v>
      </c>
      <c r="F6" s="3" t="s">
        <v>51</v>
      </c>
      <c r="G6" s="27"/>
      <c r="H6" s="11" t="s">
        <v>1258</v>
      </c>
      <c r="I6" s="3" t="s">
        <v>1124</v>
      </c>
      <c r="J6" s="3" t="s">
        <v>2076</v>
      </c>
      <c r="K6" s="3" t="s">
        <v>1646</v>
      </c>
      <c r="L6" s="3"/>
      <c r="M6" s="3" t="b">
        <v>0</v>
      </c>
      <c r="N6" s="3" t="b">
        <v>0</v>
      </c>
      <c r="O6" s="35"/>
    </row>
    <row r="7" spans="1:15" hidden="1" x14ac:dyDescent="0.3">
      <c r="A7" s="27" t="s">
        <v>1548</v>
      </c>
      <c r="B7" s="3"/>
      <c r="C7" s="1" t="s">
        <v>951</v>
      </c>
      <c r="D7" s="3"/>
      <c r="E7" s="3" t="str" cm="1">
        <f t="array" ref="E7">IF(_xlfn.XLOOKUP(PUPILS[[#This Row],[FinanceCode]],FC[FinanceCode],FC[AvailableToAllSchools])=TRUE,(_xlfn.XLOOKUP(PUPILS[[#This Row],[FinanceCode]],FC[FinanceCode],FC[LedgerCode])),_xlfn.XLOOKUP(1,(FC[FinanceCode]=PUPILS[[#This Row],[FinanceCode]])*(IF(FIND(PUPILS[[#This Row],[SchoolCode]],FC[SchoolCodes])&gt;=1,1,0)),FC[LedgerCode]))</f>
        <v>DEFAULT</v>
      </c>
      <c r="F7" s="3" t="s">
        <v>51</v>
      </c>
      <c r="G7" s="27"/>
      <c r="H7" s="11" t="s">
        <v>1260</v>
      </c>
      <c r="I7" s="3" t="s">
        <v>1124</v>
      </c>
      <c r="J7" s="3" t="s">
        <v>2077</v>
      </c>
      <c r="K7" s="3" t="s">
        <v>1646</v>
      </c>
      <c r="L7" s="3"/>
      <c r="M7" s="3" t="b">
        <v>0</v>
      </c>
      <c r="N7" s="3" t="b">
        <v>0</v>
      </c>
      <c r="O7" s="35"/>
    </row>
    <row r="8" spans="1:15" hidden="1" x14ac:dyDescent="0.3">
      <c r="A8" s="27" t="s">
        <v>1548</v>
      </c>
      <c r="B8" s="3"/>
      <c r="C8" s="1" t="s">
        <v>953</v>
      </c>
      <c r="D8" s="3"/>
      <c r="E8" s="3" t="str" cm="1">
        <f t="array" ref="E8">IF(_xlfn.XLOOKUP(PUPILS[[#This Row],[FinanceCode]],FC[FinanceCode],FC[AvailableToAllSchools])=TRUE,(_xlfn.XLOOKUP(PUPILS[[#This Row],[FinanceCode]],FC[FinanceCode],FC[LedgerCode])),_xlfn.XLOOKUP(1,(FC[FinanceCode]=PUPILS[[#This Row],[FinanceCode]])*(IF(FIND(PUPILS[[#This Row],[SchoolCode]],FC[SchoolCodes])&gt;=1,1,0)),FC[LedgerCode]))</f>
        <v>DEFAULT</v>
      </c>
      <c r="F8" s="3" t="s">
        <v>51</v>
      </c>
      <c r="G8" s="27"/>
      <c r="H8" s="11" t="s">
        <v>1262</v>
      </c>
      <c r="I8" s="3" t="s">
        <v>1124</v>
      </c>
      <c r="J8" s="3" t="s">
        <v>2078</v>
      </c>
      <c r="K8" s="3" t="s">
        <v>1646</v>
      </c>
      <c r="L8" s="3"/>
      <c r="M8" s="3" t="b">
        <v>0</v>
      </c>
      <c r="N8" s="3" t="b">
        <v>0</v>
      </c>
      <c r="O8" s="35"/>
    </row>
    <row r="9" spans="1:15" hidden="1" x14ac:dyDescent="0.3">
      <c r="A9" s="27" t="s">
        <v>1548</v>
      </c>
      <c r="B9" s="3"/>
      <c r="C9" s="1" t="s">
        <v>955</v>
      </c>
      <c r="D9" s="3"/>
      <c r="E9" s="3" t="str" cm="1">
        <f t="array" ref="E9">IF(_xlfn.XLOOKUP(PUPILS[[#This Row],[FinanceCode]],FC[FinanceCode],FC[AvailableToAllSchools])=TRUE,(_xlfn.XLOOKUP(PUPILS[[#This Row],[FinanceCode]],FC[FinanceCode],FC[LedgerCode])),_xlfn.XLOOKUP(1,(FC[FinanceCode]=PUPILS[[#This Row],[FinanceCode]])*(IF(FIND(PUPILS[[#This Row],[SchoolCode]],FC[SchoolCodes])&gt;=1,1,0)),FC[LedgerCode]))</f>
        <v>DEFAULT</v>
      </c>
      <c r="F9" s="3" t="s">
        <v>51</v>
      </c>
      <c r="G9" s="27"/>
      <c r="H9" s="11" t="s">
        <v>1264</v>
      </c>
      <c r="I9" s="3" t="s">
        <v>1124</v>
      </c>
      <c r="J9" s="3" t="s">
        <v>2079</v>
      </c>
      <c r="K9" s="3" t="s">
        <v>1646</v>
      </c>
      <c r="L9" s="3"/>
      <c r="M9" s="3" t="b">
        <v>0</v>
      </c>
      <c r="N9" s="3" t="b">
        <v>0</v>
      </c>
      <c r="O9" s="35"/>
    </row>
    <row r="10" spans="1:15" hidden="1" x14ac:dyDescent="0.3">
      <c r="A10" s="27" t="s">
        <v>1548</v>
      </c>
      <c r="B10" s="3"/>
      <c r="C10" s="1" t="s">
        <v>957</v>
      </c>
      <c r="D10" s="3"/>
      <c r="E10" s="3" t="str" cm="1">
        <f t="array" ref="E10">IF(_xlfn.XLOOKUP(PUPILS[[#This Row],[FinanceCode]],FC[FinanceCode],FC[AvailableToAllSchools])=TRUE,(_xlfn.XLOOKUP(PUPILS[[#This Row],[FinanceCode]],FC[FinanceCode],FC[LedgerCode])),_xlfn.XLOOKUP(1,(FC[FinanceCode]=PUPILS[[#This Row],[FinanceCode]])*(IF(FIND(PUPILS[[#This Row],[SchoolCode]],FC[SchoolCodes])&gt;=1,1,0)),FC[LedgerCode]))</f>
        <v>DEFAULT</v>
      </c>
      <c r="F10" s="3" t="s">
        <v>51</v>
      </c>
      <c r="G10" s="27"/>
      <c r="H10" s="16" t="s">
        <v>1172</v>
      </c>
      <c r="I10" s="3" t="s">
        <v>1124</v>
      </c>
      <c r="J10" s="3" t="s">
        <v>2080</v>
      </c>
      <c r="K10" s="3" t="s">
        <v>1646</v>
      </c>
      <c r="L10" s="3"/>
      <c r="M10" s="3" t="b">
        <v>0</v>
      </c>
      <c r="N10" s="3" t="b">
        <v>0</v>
      </c>
      <c r="O10" s="35"/>
    </row>
    <row r="11" spans="1:15" hidden="1" x14ac:dyDescent="0.3">
      <c r="A11" s="27" t="s">
        <v>1548</v>
      </c>
      <c r="B11" s="3"/>
      <c r="C11" s="1" t="s">
        <v>959</v>
      </c>
      <c r="D11" s="3"/>
      <c r="E11" s="3" t="str" cm="1">
        <f t="array" ref="E11">IF(_xlfn.XLOOKUP(PUPILS[[#This Row],[FinanceCode]],FC[FinanceCode],FC[AvailableToAllSchools])=TRUE,(_xlfn.XLOOKUP(PUPILS[[#This Row],[FinanceCode]],FC[FinanceCode],FC[LedgerCode])),_xlfn.XLOOKUP(1,(FC[FinanceCode]=PUPILS[[#This Row],[FinanceCode]])*(IF(FIND(PUPILS[[#This Row],[SchoolCode]],FC[SchoolCodes])&gt;=1,1,0)),FC[LedgerCode]))</f>
        <v>DEFAULT</v>
      </c>
      <c r="F11" s="3" t="s">
        <v>51</v>
      </c>
      <c r="G11" s="27"/>
      <c r="H11" s="11" t="s">
        <v>1268</v>
      </c>
      <c r="I11" s="3" t="s">
        <v>1124</v>
      </c>
      <c r="J11" s="3" t="s">
        <v>2081</v>
      </c>
      <c r="K11" s="3" t="s">
        <v>1646</v>
      </c>
      <c r="L11" s="3"/>
      <c r="M11" s="3" t="b">
        <v>0</v>
      </c>
      <c r="N11" s="3" t="b">
        <v>0</v>
      </c>
      <c r="O11" s="35"/>
    </row>
    <row r="12" spans="1:15" hidden="1" x14ac:dyDescent="0.3">
      <c r="A12" s="27" t="s">
        <v>1548</v>
      </c>
      <c r="B12" s="3"/>
      <c r="C12" s="1" t="s">
        <v>961</v>
      </c>
      <c r="D12" s="3"/>
      <c r="E12" s="3" t="str" cm="1">
        <f t="array" ref="E12">IF(_xlfn.XLOOKUP(PUPILS[[#This Row],[FinanceCode]],FC[FinanceCode],FC[AvailableToAllSchools])=TRUE,(_xlfn.XLOOKUP(PUPILS[[#This Row],[FinanceCode]],FC[FinanceCode],FC[LedgerCode])),_xlfn.XLOOKUP(1,(FC[FinanceCode]=PUPILS[[#This Row],[FinanceCode]])*(IF(FIND(PUPILS[[#This Row],[SchoolCode]],FC[SchoolCodes])&gt;=1,1,0)),FC[LedgerCode]))</f>
        <v>DEFAULT</v>
      </c>
      <c r="F12" s="3" t="s">
        <v>51</v>
      </c>
      <c r="G12" s="27"/>
      <c r="H12" s="11" t="s">
        <v>1270</v>
      </c>
      <c r="I12" s="3" t="s">
        <v>1124</v>
      </c>
      <c r="J12" s="3" t="s">
        <v>2082</v>
      </c>
      <c r="K12" s="3" t="s">
        <v>1646</v>
      </c>
      <c r="L12" s="3"/>
      <c r="M12" s="3" t="b">
        <v>0</v>
      </c>
      <c r="N12" s="3" t="b">
        <v>0</v>
      </c>
      <c r="O12" s="35"/>
    </row>
    <row r="13" spans="1:15" hidden="1" x14ac:dyDescent="0.3">
      <c r="A13" s="27" t="s">
        <v>1548</v>
      </c>
      <c r="B13" s="3"/>
      <c r="C13" s="1" t="s">
        <v>963</v>
      </c>
      <c r="D13" s="3"/>
      <c r="E13" s="3" t="str" cm="1">
        <f t="array" ref="E13">IF(_xlfn.XLOOKUP(PUPILS[[#This Row],[FinanceCode]],FC[FinanceCode],FC[AvailableToAllSchools])=TRUE,(_xlfn.XLOOKUP(PUPILS[[#This Row],[FinanceCode]],FC[FinanceCode],FC[LedgerCode])),_xlfn.XLOOKUP(1,(FC[FinanceCode]=PUPILS[[#This Row],[FinanceCode]])*(IF(FIND(PUPILS[[#This Row],[SchoolCode]],FC[SchoolCodes])&gt;=1,1,0)),FC[LedgerCode]))</f>
        <v>DEFAULT</v>
      </c>
      <c r="F13" s="3" t="s">
        <v>51</v>
      </c>
      <c r="G13" s="27"/>
      <c r="H13" s="11" t="s">
        <v>1272</v>
      </c>
      <c r="I13" s="3" t="s">
        <v>1124</v>
      </c>
      <c r="J13" s="3" t="s">
        <v>2070</v>
      </c>
      <c r="K13" s="3" t="s">
        <v>1646</v>
      </c>
      <c r="L13" s="3"/>
      <c r="M13" s="3" t="b">
        <v>0</v>
      </c>
      <c r="N13" s="3" t="b">
        <v>0</v>
      </c>
      <c r="O13" s="35"/>
    </row>
    <row r="14" spans="1:15" hidden="1" x14ac:dyDescent="0.3">
      <c r="A14" s="27" t="s">
        <v>1548</v>
      </c>
      <c r="B14" s="3"/>
      <c r="C14" s="1" t="s">
        <v>965</v>
      </c>
      <c r="D14" s="3"/>
      <c r="E14" s="3" t="str" cm="1">
        <f t="array" ref="E14">IF(_xlfn.XLOOKUP(PUPILS[[#This Row],[FinanceCode]],FC[FinanceCode],FC[AvailableToAllSchools])=TRUE,(_xlfn.XLOOKUP(PUPILS[[#This Row],[FinanceCode]],FC[FinanceCode],FC[LedgerCode])),_xlfn.XLOOKUP(1,(FC[FinanceCode]=PUPILS[[#This Row],[FinanceCode]])*(IF(FIND(PUPILS[[#This Row],[SchoolCode]],FC[SchoolCodes])&gt;=1,1,0)),FC[LedgerCode]))</f>
        <v>DEFAULT</v>
      </c>
      <c r="F14" s="3" t="s">
        <v>51</v>
      </c>
      <c r="G14" s="27"/>
      <c r="H14" s="11" t="s">
        <v>1274</v>
      </c>
      <c r="I14" s="3" t="s">
        <v>1124</v>
      </c>
      <c r="J14" s="3" t="s">
        <v>2071</v>
      </c>
      <c r="K14" s="3" t="s">
        <v>1646</v>
      </c>
      <c r="L14" s="3"/>
      <c r="M14" s="3" t="b">
        <v>0</v>
      </c>
      <c r="N14" s="3" t="b">
        <v>0</v>
      </c>
      <c r="O14" s="35"/>
    </row>
    <row r="15" spans="1:15" hidden="1" x14ac:dyDescent="0.3">
      <c r="A15" s="27" t="s">
        <v>1548</v>
      </c>
      <c r="B15" s="3"/>
      <c r="C15" s="1" t="s">
        <v>967</v>
      </c>
      <c r="D15" s="3"/>
      <c r="E15" s="3" t="str" cm="1">
        <f t="array" ref="E15">IF(_xlfn.XLOOKUP(PUPILS[[#This Row],[FinanceCode]],FC[FinanceCode],FC[AvailableToAllSchools])=TRUE,(_xlfn.XLOOKUP(PUPILS[[#This Row],[FinanceCode]],FC[FinanceCode],FC[LedgerCode])),_xlfn.XLOOKUP(1,(FC[FinanceCode]=PUPILS[[#This Row],[FinanceCode]])*(IF(FIND(PUPILS[[#This Row],[SchoolCode]],FC[SchoolCodes])&gt;=1,1,0)),FC[LedgerCode]))</f>
        <v>DEFAULT</v>
      </c>
      <c r="F15" s="3" t="s">
        <v>51</v>
      </c>
      <c r="G15" s="27"/>
      <c r="H15" s="16" t="s">
        <v>1172</v>
      </c>
      <c r="I15" s="3" t="s">
        <v>1124</v>
      </c>
      <c r="J15" s="3" t="s">
        <v>2072</v>
      </c>
      <c r="K15" s="3" t="s">
        <v>1646</v>
      </c>
      <c r="L15" s="3"/>
      <c r="M15" s="3" t="b">
        <v>0</v>
      </c>
      <c r="N15" s="3" t="b">
        <v>0</v>
      </c>
      <c r="O15" s="35"/>
    </row>
    <row r="16" spans="1:15" hidden="1" x14ac:dyDescent="0.3">
      <c r="A16" s="27" t="s">
        <v>1548</v>
      </c>
      <c r="B16" s="3"/>
      <c r="C16" s="1" t="s">
        <v>969</v>
      </c>
      <c r="D16" s="3"/>
      <c r="E16" s="3" t="str" cm="1">
        <f t="array" ref="E16">IF(_xlfn.XLOOKUP(PUPILS[[#This Row],[FinanceCode]],FC[FinanceCode],FC[AvailableToAllSchools])=TRUE,(_xlfn.XLOOKUP(PUPILS[[#This Row],[FinanceCode]],FC[FinanceCode],FC[LedgerCode])),_xlfn.XLOOKUP(1,(FC[FinanceCode]=PUPILS[[#This Row],[FinanceCode]])*(IF(FIND(PUPILS[[#This Row],[SchoolCode]],FC[SchoolCodes])&gt;=1,1,0)),FC[LedgerCode]))</f>
        <v>DEFAULT</v>
      </c>
      <c r="F16" s="3" t="s">
        <v>51</v>
      </c>
      <c r="G16" s="27"/>
      <c r="H16" s="11" t="s">
        <v>1278</v>
      </c>
      <c r="I16" s="3" t="s">
        <v>1124</v>
      </c>
      <c r="J16" s="3" t="s">
        <v>2073</v>
      </c>
      <c r="K16" s="3" t="s">
        <v>1646</v>
      </c>
      <c r="L16" s="3"/>
      <c r="M16" s="3" t="b">
        <v>0</v>
      </c>
      <c r="N16" s="3" t="b">
        <v>0</v>
      </c>
      <c r="O16" s="35"/>
    </row>
    <row r="17" spans="1:15" hidden="1" x14ac:dyDescent="0.3">
      <c r="A17" s="27" t="s">
        <v>1548</v>
      </c>
      <c r="B17" s="3"/>
      <c r="C17" s="1" t="s">
        <v>1501</v>
      </c>
      <c r="D17" s="3"/>
      <c r="E17" s="3" t="str" cm="1">
        <f t="array" ref="E17">IF(_xlfn.XLOOKUP(PUPILS[[#This Row],[FinanceCode]],FC[FinanceCode],FC[AvailableToAllSchools])=TRUE,(_xlfn.XLOOKUP(PUPILS[[#This Row],[FinanceCode]],FC[FinanceCode],FC[LedgerCode])),_xlfn.XLOOKUP(1,(FC[FinanceCode]=PUPILS[[#This Row],[FinanceCode]])*(IF(FIND(PUPILS[[#This Row],[SchoolCode]],FC[SchoolCodes])&gt;=1,1,0)),FC[LedgerCode]))</f>
        <v>DEFAULT</v>
      </c>
      <c r="F17" s="3" t="s">
        <v>51</v>
      </c>
      <c r="G17" s="27"/>
      <c r="H17" s="11" t="s">
        <v>1280</v>
      </c>
      <c r="I17" s="3" t="s">
        <v>1124</v>
      </c>
      <c r="J17" s="3" t="s">
        <v>2074</v>
      </c>
      <c r="K17" s="3" t="s">
        <v>1646</v>
      </c>
      <c r="L17" s="3"/>
      <c r="M17" s="3" t="b">
        <v>0</v>
      </c>
      <c r="N17" s="3" t="b">
        <v>0</v>
      </c>
      <c r="O17" s="35"/>
    </row>
    <row r="18" spans="1:15" hidden="1" x14ac:dyDescent="0.3">
      <c r="A18" s="27" t="s">
        <v>1548</v>
      </c>
      <c r="B18" s="3"/>
      <c r="C18" s="1" t="s">
        <v>1528</v>
      </c>
      <c r="D18" s="3"/>
      <c r="E18" s="3" t="str" cm="1">
        <f t="array" ref="E18">IF(_xlfn.XLOOKUP(PUPILS[[#This Row],[FinanceCode]],FC[FinanceCode],FC[AvailableToAllSchools])=TRUE,(_xlfn.XLOOKUP(PUPILS[[#This Row],[FinanceCode]],FC[FinanceCode],FC[LedgerCode])),_xlfn.XLOOKUP(1,(FC[FinanceCode]=PUPILS[[#This Row],[FinanceCode]])*(IF(FIND(PUPILS[[#This Row],[SchoolCode]],FC[SchoolCodes])&gt;=1,1,0)),FC[LedgerCode]))</f>
        <v>DEFAULT</v>
      </c>
      <c r="F18" s="3" t="s">
        <v>51</v>
      </c>
      <c r="G18" s="27"/>
      <c r="H18" s="1" t="s">
        <v>1528</v>
      </c>
      <c r="I18" s="3" t="s">
        <v>1124</v>
      </c>
      <c r="J18" s="3" t="s">
        <v>1530</v>
      </c>
      <c r="K18" s="3" t="s">
        <v>1647</v>
      </c>
      <c r="L18" s="3"/>
      <c r="M18" s="3" t="b">
        <v>0</v>
      </c>
      <c r="N18" s="3" t="b">
        <v>0</v>
      </c>
      <c r="O18" s="35"/>
    </row>
    <row r="19" spans="1:15" hidden="1" x14ac:dyDescent="0.3">
      <c r="A19" s="27" t="s">
        <v>1548</v>
      </c>
      <c r="B19" s="3"/>
      <c r="C19" s="1" t="s">
        <v>1523</v>
      </c>
      <c r="D19" s="3"/>
      <c r="E19" s="3" t="str" cm="1">
        <f t="array" ref="E19">IF(_xlfn.XLOOKUP(PUPILS[[#This Row],[FinanceCode]],FC[FinanceCode],FC[AvailableToAllSchools])=TRUE,(_xlfn.XLOOKUP(PUPILS[[#This Row],[FinanceCode]],FC[FinanceCode],FC[LedgerCode])),_xlfn.XLOOKUP(1,(FC[FinanceCode]=PUPILS[[#This Row],[FinanceCode]])*(IF(FIND(PUPILS[[#This Row],[SchoolCode]],FC[SchoolCodes])&gt;=1,1,0)),FC[LedgerCode]))</f>
        <v>DEFAULT</v>
      </c>
      <c r="F19" s="3" t="s">
        <v>51</v>
      </c>
      <c r="G19" s="27"/>
      <c r="H19" s="1" t="s">
        <v>1523</v>
      </c>
      <c r="I19" s="3" t="s">
        <v>1124</v>
      </c>
      <c r="J19" s="3" t="s">
        <v>1531</v>
      </c>
      <c r="K19" s="3" t="s">
        <v>1648</v>
      </c>
      <c r="L19" s="3"/>
      <c r="M19" s="3" t="b">
        <v>0</v>
      </c>
      <c r="N19" s="3" t="b">
        <v>0</v>
      </c>
      <c r="O19" s="35"/>
    </row>
    <row r="20" spans="1:15" hidden="1" x14ac:dyDescent="0.3">
      <c r="A20" s="27" t="s">
        <v>1548</v>
      </c>
      <c r="B20" s="3"/>
      <c r="C20" s="1" t="s">
        <v>1524</v>
      </c>
      <c r="D20" s="3"/>
      <c r="E20" s="3" t="str" cm="1">
        <f t="array" ref="E20">IF(_xlfn.XLOOKUP(PUPILS[[#This Row],[FinanceCode]],FC[FinanceCode],FC[AvailableToAllSchools])=TRUE,(_xlfn.XLOOKUP(PUPILS[[#This Row],[FinanceCode]],FC[FinanceCode],FC[LedgerCode])),_xlfn.XLOOKUP(1,(FC[FinanceCode]=PUPILS[[#This Row],[FinanceCode]])*(IF(FIND(PUPILS[[#This Row],[SchoolCode]],FC[SchoolCodes])&gt;=1,1,0)),FC[LedgerCode]))</f>
        <v>DEFAULT</v>
      </c>
      <c r="F20" s="3" t="s">
        <v>51</v>
      </c>
      <c r="G20" s="27"/>
      <c r="H20" s="1" t="s">
        <v>1524</v>
      </c>
      <c r="I20" s="3" t="s">
        <v>1124</v>
      </c>
      <c r="J20" s="3" t="s">
        <v>1532</v>
      </c>
      <c r="K20" s="3" t="s">
        <v>1649</v>
      </c>
      <c r="L20" s="3"/>
      <c r="M20" s="3" t="b">
        <v>0</v>
      </c>
      <c r="N20" s="3" t="b">
        <v>0</v>
      </c>
      <c r="O20" s="35"/>
    </row>
    <row r="21" spans="1:15" hidden="1" x14ac:dyDescent="0.3">
      <c r="A21" s="27" t="s">
        <v>1548</v>
      </c>
      <c r="B21" s="3"/>
      <c r="C21" s="1" t="s">
        <v>1525</v>
      </c>
      <c r="D21" s="3"/>
      <c r="E21" s="3" t="str" cm="1">
        <f t="array" ref="E21">IF(_xlfn.XLOOKUP(PUPILS[[#This Row],[FinanceCode]],FC[FinanceCode],FC[AvailableToAllSchools])=TRUE,(_xlfn.XLOOKUP(PUPILS[[#This Row],[FinanceCode]],FC[FinanceCode],FC[LedgerCode])),_xlfn.XLOOKUP(1,(FC[FinanceCode]=PUPILS[[#This Row],[FinanceCode]])*(IF(FIND(PUPILS[[#This Row],[SchoolCode]],FC[SchoolCodes])&gt;=1,1,0)),FC[LedgerCode]))</f>
        <v>DEFAULT</v>
      </c>
      <c r="F21" s="3" t="s">
        <v>51</v>
      </c>
      <c r="G21" s="27"/>
      <c r="H21" s="1" t="s">
        <v>1525</v>
      </c>
      <c r="I21" s="3" t="s">
        <v>1124</v>
      </c>
      <c r="J21" s="3" t="s">
        <v>1533</v>
      </c>
      <c r="K21" s="3" t="s">
        <v>1650</v>
      </c>
      <c r="L21" s="3"/>
      <c r="M21" s="3" t="b">
        <v>0</v>
      </c>
      <c r="N21" s="3" t="b">
        <v>0</v>
      </c>
      <c r="O21" s="35"/>
    </row>
    <row r="22" spans="1:15" hidden="1" x14ac:dyDescent="0.3">
      <c r="A22" s="27" t="s">
        <v>1548</v>
      </c>
      <c r="B22" s="3"/>
      <c r="C22" s="1" t="s">
        <v>1526</v>
      </c>
      <c r="D22" s="3"/>
      <c r="E22" s="3" t="str" cm="1">
        <f t="array" ref="E22">IF(_xlfn.XLOOKUP(PUPILS[[#This Row],[FinanceCode]],FC[FinanceCode],FC[AvailableToAllSchools])=TRUE,(_xlfn.XLOOKUP(PUPILS[[#This Row],[FinanceCode]],FC[FinanceCode],FC[LedgerCode])),_xlfn.XLOOKUP(1,(FC[FinanceCode]=PUPILS[[#This Row],[FinanceCode]])*(IF(FIND(PUPILS[[#This Row],[SchoolCode]],FC[SchoolCodes])&gt;=1,1,0)),FC[LedgerCode]))</f>
        <v>DEFAULT</v>
      </c>
      <c r="F22" s="3" t="s">
        <v>51</v>
      </c>
      <c r="G22" s="27"/>
      <c r="H22" s="1" t="s">
        <v>1526</v>
      </c>
      <c r="I22" s="3" t="s">
        <v>1124</v>
      </c>
      <c r="J22" s="3" t="s">
        <v>1534</v>
      </c>
      <c r="K22" s="3" t="s">
        <v>1651</v>
      </c>
      <c r="L22" s="3"/>
      <c r="M22" s="3" t="b">
        <v>0</v>
      </c>
      <c r="N22" s="3" t="b">
        <v>0</v>
      </c>
      <c r="O22" s="35"/>
    </row>
    <row r="23" spans="1:15" hidden="1" x14ac:dyDescent="0.3">
      <c r="A23" s="27" t="s">
        <v>1548</v>
      </c>
      <c r="B23" s="3"/>
      <c r="C23" s="1" t="s">
        <v>1527</v>
      </c>
      <c r="D23" s="3"/>
      <c r="E23" s="3" t="str" cm="1">
        <f t="array" ref="E23">IF(_xlfn.XLOOKUP(PUPILS[[#This Row],[FinanceCode]],FC[FinanceCode],FC[AvailableToAllSchools])=TRUE,(_xlfn.XLOOKUP(PUPILS[[#This Row],[FinanceCode]],FC[FinanceCode],FC[LedgerCode])),_xlfn.XLOOKUP(1,(FC[FinanceCode]=PUPILS[[#This Row],[FinanceCode]])*(IF(FIND(PUPILS[[#This Row],[SchoolCode]],FC[SchoolCodes])&gt;=1,1,0)),FC[LedgerCode]))</f>
        <v>DEFAULT</v>
      </c>
      <c r="F23" s="3" t="s">
        <v>51</v>
      </c>
      <c r="G23" s="27"/>
      <c r="H23" s="1" t="s">
        <v>1527</v>
      </c>
      <c r="I23" s="3" t="s">
        <v>1124</v>
      </c>
      <c r="J23" s="3" t="s">
        <v>1535</v>
      </c>
      <c r="K23" s="3" t="s">
        <v>1652</v>
      </c>
      <c r="L23" s="3"/>
      <c r="M23" s="3" t="b">
        <v>0</v>
      </c>
      <c r="N23" s="3" t="b">
        <v>0</v>
      </c>
      <c r="O23" s="35"/>
    </row>
    <row r="24" spans="1:15" hidden="1" x14ac:dyDescent="0.3">
      <c r="A24" s="27" t="s">
        <v>1548</v>
      </c>
      <c r="B24" s="3"/>
      <c r="C24" s="1" t="s">
        <v>1522</v>
      </c>
      <c r="D24" s="3"/>
      <c r="E24" s="3" t="str" cm="1">
        <f t="array" ref="E24">IF(_xlfn.XLOOKUP(PUPILS[[#This Row],[FinanceCode]],FC[FinanceCode],FC[AvailableToAllSchools])=TRUE,(_xlfn.XLOOKUP(PUPILS[[#This Row],[FinanceCode]],FC[FinanceCode],FC[LedgerCode])),_xlfn.XLOOKUP(1,(FC[FinanceCode]=PUPILS[[#This Row],[FinanceCode]])*(IF(FIND(PUPILS[[#This Row],[SchoolCode]],FC[SchoolCodes])&gt;=1,1,0)),FC[LedgerCode]))</f>
        <v>DEFAULT</v>
      </c>
      <c r="F24" s="3" t="s">
        <v>51</v>
      </c>
      <c r="G24" s="27"/>
      <c r="H24" s="1" t="s">
        <v>1522</v>
      </c>
      <c r="I24" s="3" t="s">
        <v>1124</v>
      </c>
      <c r="J24" s="3" t="s">
        <v>1529</v>
      </c>
      <c r="K24" s="3" t="s">
        <v>1653</v>
      </c>
      <c r="L24" s="3"/>
      <c r="M24" s="3" t="b">
        <v>0</v>
      </c>
      <c r="N24" s="3" t="b">
        <v>0</v>
      </c>
      <c r="O24" s="35"/>
    </row>
    <row r="25" spans="1:15" x14ac:dyDescent="0.3">
      <c r="A25" s="27" t="s">
        <v>1548</v>
      </c>
      <c r="B25" s="3"/>
      <c r="C25" s="3" t="s">
        <v>1554</v>
      </c>
      <c r="D25" s="3"/>
      <c r="E25" s="3" t="str" cm="1">
        <f t="array" ref="E25">IF(_xlfn.XLOOKUP(PUPILS[[#This Row],[FinanceCode]],FC[FinanceCode],FC[AvailableToAllSchools])=TRUE,(_xlfn.XLOOKUP(PUPILS[[#This Row],[FinanceCode]],FC[FinanceCode],FC[LedgerCode])),_xlfn.XLOOKUP(1,(FC[FinanceCode]=PUPILS[[#This Row],[FinanceCode]])*(IF(FIND(PUPILS[[#This Row],[SchoolCode]],FC[SchoolCodes])&gt;=1,1,0)),FC[LedgerCode]))</f>
        <v>DEFAULT</v>
      </c>
      <c r="F25" s="3" t="s">
        <v>51</v>
      </c>
      <c r="G25" s="27"/>
      <c r="H25" s="11" t="s">
        <v>1309</v>
      </c>
      <c r="I25" s="16" t="s">
        <v>1124</v>
      </c>
      <c r="J25" s="3" t="s">
        <v>1555</v>
      </c>
      <c r="K25" s="3" t="s">
        <v>2092</v>
      </c>
      <c r="L25" s="3"/>
      <c r="M25" s="3" t="b">
        <v>0</v>
      </c>
      <c r="N25" s="3" t="b">
        <v>0</v>
      </c>
      <c r="O25" s="35"/>
    </row>
    <row r="26" spans="1:15" x14ac:dyDescent="0.3">
      <c r="A26" s="27" t="s">
        <v>1548</v>
      </c>
      <c r="B26" s="3"/>
      <c r="C26" s="3" t="s">
        <v>1556</v>
      </c>
      <c r="D26" s="3"/>
      <c r="E26" s="3" t="str" cm="1">
        <f t="array" ref="E26">IF(_xlfn.XLOOKUP(PUPILS[[#This Row],[FinanceCode]],FC[FinanceCode],FC[AvailableToAllSchools])=TRUE,(_xlfn.XLOOKUP(PUPILS[[#This Row],[FinanceCode]],FC[FinanceCode],FC[LedgerCode])),_xlfn.XLOOKUP(1,(FC[FinanceCode]=PUPILS[[#This Row],[FinanceCode]])*(IF(FIND(PUPILS[[#This Row],[SchoolCode]],FC[SchoolCodes])&gt;=1,1,0)),FC[LedgerCode]))</f>
        <v>DEFAULT</v>
      </c>
      <c r="F26" s="3" t="s">
        <v>51</v>
      </c>
      <c r="G26" s="27"/>
      <c r="H26" s="11" t="s">
        <v>1309</v>
      </c>
      <c r="I26" s="16" t="s">
        <v>1124</v>
      </c>
      <c r="J26" s="3" t="s">
        <v>1557</v>
      </c>
      <c r="K26" s="3" t="s">
        <v>2092</v>
      </c>
      <c r="L26" s="3"/>
      <c r="M26" s="3" t="b">
        <v>0</v>
      </c>
      <c r="N26" s="3" t="b">
        <v>0</v>
      </c>
      <c r="O26" s="35"/>
    </row>
    <row r="27" spans="1:15" hidden="1" x14ac:dyDescent="0.3">
      <c r="A27" s="27" t="s">
        <v>1548</v>
      </c>
      <c r="B27" s="3"/>
      <c r="C27" s="3" t="s">
        <v>920</v>
      </c>
      <c r="D27" s="3"/>
      <c r="E27" s="3" t="str" cm="1">
        <f t="array" ref="E27">IF(_xlfn.XLOOKUP(PUPILS[[#This Row],[FinanceCode]],FC[FinanceCode],FC[AvailableToAllSchools])=TRUE,(_xlfn.XLOOKUP(PUPILS[[#This Row],[FinanceCode]],FC[FinanceCode],FC[LedgerCode])),_xlfn.XLOOKUP(1,(FC[FinanceCode]=PUPILS[[#This Row],[FinanceCode]])*(IF(FIND(PUPILS[[#This Row],[SchoolCode]],FC[SchoolCodes])&gt;=1,1,0)),FC[LedgerCode]))</f>
        <v>DEFAULT</v>
      </c>
      <c r="F27" s="3" t="s">
        <v>51</v>
      </c>
      <c r="G27" s="27"/>
      <c r="H27" s="11" t="s">
        <v>920</v>
      </c>
      <c r="I27" s="16" t="s">
        <v>1124</v>
      </c>
      <c r="J27" s="3" t="s">
        <v>921</v>
      </c>
      <c r="K27" s="3" t="s">
        <v>1633</v>
      </c>
      <c r="L27" s="3"/>
      <c r="M27" s="3" t="b">
        <v>1</v>
      </c>
      <c r="N27" s="3" t="b">
        <v>1</v>
      </c>
      <c r="O27" s="35"/>
    </row>
    <row r="28" spans="1:15" hidden="1" x14ac:dyDescent="0.3">
      <c r="A28" s="27" t="s">
        <v>1548</v>
      </c>
      <c r="B28" s="3"/>
      <c r="C28" s="1" t="s">
        <v>923</v>
      </c>
      <c r="D28" s="3"/>
      <c r="E28" s="3" t="str" cm="1">
        <f t="array" ref="E28">IF(_xlfn.XLOOKUP(PUPILS[[#This Row],[FinanceCode]],FC[FinanceCode],FC[AvailableToAllSchools])=TRUE,(_xlfn.XLOOKUP(PUPILS[[#This Row],[FinanceCode]],FC[FinanceCode],FC[LedgerCode])),_xlfn.XLOOKUP(1,(FC[FinanceCode]=PUPILS[[#This Row],[FinanceCode]])*(IF(FIND(PUPILS[[#This Row],[SchoolCode]],FC[SchoolCodes])&gt;=1,1,0)),FC[LedgerCode]))</f>
        <v>DEFAULT</v>
      </c>
      <c r="F28" s="3" t="s">
        <v>51</v>
      </c>
      <c r="G28" s="27"/>
      <c r="H28" s="46" t="s">
        <v>923</v>
      </c>
      <c r="I28" s="16" t="s">
        <v>1124</v>
      </c>
      <c r="J28" s="3" t="s">
        <v>924</v>
      </c>
      <c r="K28" s="3" t="s">
        <v>1634</v>
      </c>
      <c r="L28" s="3"/>
      <c r="M28" s="3" t="b">
        <v>1</v>
      </c>
      <c r="N28" s="3" t="b">
        <v>1</v>
      </c>
      <c r="O28" s="35"/>
    </row>
    <row r="29" spans="1:15" hidden="1" x14ac:dyDescent="0.3">
      <c r="A29" s="27" t="s">
        <v>1548</v>
      </c>
      <c r="B29" s="3"/>
      <c r="C29" s="1" t="s">
        <v>925</v>
      </c>
      <c r="D29" s="3"/>
      <c r="E29" s="3" t="str" cm="1">
        <f t="array" ref="E29">IF(_xlfn.XLOOKUP(PUPILS[[#This Row],[FinanceCode]],FC[FinanceCode],FC[AvailableToAllSchools])=TRUE,(_xlfn.XLOOKUP(PUPILS[[#This Row],[FinanceCode]],FC[FinanceCode],FC[LedgerCode])),_xlfn.XLOOKUP(1,(FC[FinanceCode]=PUPILS[[#This Row],[FinanceCode]])*(IF(FIND(PUPILS[[#This Row],[SchoolCode]],FC[SchoolCodes])&gt;=1,1,0)),FC[LedgerCode]))</f>
        <v>DEFAULT</v>
      </c>
      <c r="F29" s="3" t="s">
        <v>51</v>
      </c>
      <c r="G29" s="27"/>
      <c r="H29" s="46" t="s">
        <v>925</v>
      </c>
      <c r="I29" s="16" t="s">
        <v>1124</v>
      </c>
      <c r="J29" s="3" t="s">
        <v>926</v>
      </c>
      <c r="K29" s="3" t="s">
        <v>1635</v>
      </c>
      <c r="L29" s="3"/>
      <c r="M29" s="3" t="b">
        <v>1</v>
      </c>
      <c r="N29" s="3" t="b">
        <v>1</v>
      </c>
      <c r="O29" s="35"/>
    </row>
    <row r="30" spans="1:15" hidden="1" x14ac:dyDescent="0.3">
      <c r="A30" s="27" t="s">
        <v>1548</v>
      </c>
      <c r="B30" s="3"/>
      <c r="C30" s="1" t="s">
        <v>927</v>
      </c>
      <c r="D30" s="3"/>
      <c r="E30" s="3" t="str" cm="1">
        <f t="array" ref="E30">IF(_xlfn.XLOOKUP(PUPILS[[#This Row],[FinanceCode]],FC[FinanceCode],FC[AvailableToAllSchools])=TRUE,(_xlfn.XLOOKUP(PUPILS[[#This Row],[FinanceCode]],FC[FinanceCode],FC[LedgerCode])),_xlfn.XLOOKUP(1,(FC[FinanceCode]=PUPILS[[#This Row],[FinanceCode]])*(IF(FIND(PUPILS[[#This Row],[SchoolCode]],FC[SchoolCodes])&gt;=1,1,0)),FC[LedgerCode]))</f>
        <v>DEFAULT</v>
      </c>
      <c r="F30" s="3" t="s">
        <v>51</v>
      </c>
      <c r="G30" s="27"/>
      <c r="H30" s="46" t="s">
        <v>927</v>
      </c>
      <c r="I30" s="16" t="s">
        <v>1124</v>
      </c>
      <c r="J30" s="3" t="s">
        <v>928</v>
      </c>
      <c r="K30" s="3" t="s">
        <v>1636</v>
      </c>
      <c r="L30" s="3"/>
      <c r="M30" s="3" t="b">
        <v>1</v>
      </c>
      <c r="N30" s="3" t="b">
        <v>1</v>
      </c>
      <c r="O30" s="35"/>
    </row>
    <row r="31" spans="1:15" hidden="1" x14ac:dyDescent="0.3">
      <c r="A31" s="27" t="s">
        <v>1548</v>
      </c>
      <c r="B31" s="3"/>
      <c r="C31" s="1" t="s">
        <v>1504</v>
      </c>
      <c r="D31" s="3"/>
      <c r="E31" s="3" t="str" cm="1">
        <f t="array" ref="E31">IF(_xlfn.XLOOKUP(PUPILS[[#This Row],[FinanceCode]],FC[FinanceCode],FC[AvailableToAllSchools])=TRUE,(_xlfn.XLOOKUP(PUPILS[[#This Row],[FinanceCode]],FC[FinanceCode],FC[LedgerCode])),_xlfn.XLOOKUP(1,(FC[FinanceCode]=PUPILS[[#This Row],[FinanceCode]])*(IF(FIND(PUPILS[[#This Row],[SchoolCode]],FC[SchoolCodes])&gt;=1,1,0)),FC[LedgerCode]))</f>
        <v>DEFAULT</v>
      </c>
      <c r="F31" s="3" t="s">
        <v>51</v>
      </c>
      <c r="G31" s="27"/>
      <c r="H31" s="46"/>
      <c r="I31" s="16" t="s">
        <v>1124</v>
      </c>
      <c r="J31" s="3" t="s">
        <v>1508</v>
      </c>
      <c r="K31" s="3" t="s">
        <v>1637</v>
      </c>
      <c r="L31" s="3"/>
      <c r="M31" s="3" t="b">
        <v>0</v>
      </c>
      <c r="N31" s="3" t="b">
        <v>1</v>
      </c>
      <c r="O31" s="35"/>
    </row>
    <row r="32" spans="1:15" hidden="1" x14ac:dyDescent="0.3">
      <c r="A32" s="27" t="s">
        <v>1548</v>
      </c>
      <c r="B32" s="3"/>
      <c r="C32" s="1" t="s">
        <v>929</v>
      </c>
      <c r="D32" s="3"/>
      <c r="E32" s="3" t="str" cm="1">
        <f t="array" ref="E32">IF(_xlfn.XLOOKUP(PUPILS[[#This Row],[FinanceCode]],FC[FinanceCode],FC[AvailableToAllSchools])=TRUE,(_xlfn.XLOOKUP(PUPILS[[#This Row],[FinanceCode]],FC[FinanceCode],FC[LedgerCode])),_xlfn.XLOOKUP(1,(FC[FinanceCode]=PUPILS[[#This Row],[FinanceCode]])*(IF(FIND(PUPILS[[#This Row],[SchoolCode]],FC[SchoolCodes])&gt;=1,1,0)),FC[LedgerCode]))</f>
        <v>DEFAULT</v>
      </c>
      <c r="F32" s="3" t="s">
        <v>51</v>
      </c>
      <c r="G32" s="27"/>
      <c r="H32" s="46" t="s">
        <v>929</v>
      </c>
      <c r="I32" s="16" t="s">
        <v>1124</v>
      </c>
      <c r="J32" s="3" t="s">
        <v>930</v>
      </c>
      <c r="K32" s="3" t="s">
        <v>1638</v>
      </c>
      <c r="L32" s="3"/>
      <c r="M32" s="3" t="b">
        <v>1</v>
      </c>
      <c r="N32" s="3" t="b">
        <v>1</v>
      </c>
      <c r="O32" s="35"/>
    </row>
    <row r="33" spans="1:15" hidden="1" x14ac:dyDescent="0.3">
      <c r="A33" s="27" t="s">
        <v>1548</v>
      </c>
      <c r="B33" s="3"/>
      <c r="C33" s="1" t="s">
        <v>1505</v>
      </c>
      <c r="D33" s="3"/>
      <c r="E33" s="3" t="str" cm="1">
        <f t="array" ref="E33">IF(_xlfn.XLOOKUP(PUPILS[[#This Row],[FinanceCode]],FC[FinanceCode],FC[AvailableToAllSchools])=TRUE,(_xlfn.XLOOKUP(PUPILS[[#This Row],[FinanceCode]],FC[FinanceCode],FC[LedgerCode])),_xlfn.XLOOKUP(1,(FC[FinanceCode]=PUPILS[[#This Row],[FinanceCode]])*(IF(FIND(PUPILS[[#This Row],[SchoolCode]],FC[SchoolCodes])&gt;=1,1,0)),FC[LedgerCode]))</f>
        <v>DEFAULT</v>
      </c>
      <c r="F33" s="3" t="s">
        <v>51</v>
      </c>
      <c r="G33" s="27"/>
      <c r="H33" s="46"/>
      <c r="I33" s="16" t="s">
        <v>1124</v>
      </c>
      <c r="J33" s="3" t="s">
        <v>1510</v>
      </c>
      <c r="K33" s="3" t="s">
        <v>1639</v>
      </c>
      <c r="L33" s="3"/>
      <c r="M33" s="3" t="b">
        <v>0</v>
      </c>
      <c r="N33" s="3" t="b">
        <v>1</v>
      </c>
      <c r="O33" s="35"/>
    </row>
    <row r="34" spans="1:15" hidden="1" x14ac:dyDescent="0.3">
      <c r="A34" s="27" t="s">
        <v>1548</v>
      </c>
      <c r="B34" s="3"/>
      <c r="C34" s="1" t="s">
        <v>931</v>
      </c>
      <c r="D34" s="3"/>
      <c r="E34" s="3" t="str" cm="1">
        <f t="array" ref="E34">IF(_xlfn.XLOOKUP(PUPILS[[#This Row],[FinanceCode]],FC[FinanceCode],FC[AvailableToAllSchools])=TRUE,(_xlfn.XLOOKUP(PUPILS[[#This Row],[FinanceCode]],FC[FinanceCode],FC[LedgerCode])),_xlfn.XLOOKUP(1,(FC[FinanceCode]=PUPILS[[#This Row],[FinanceCode]])*(IF(FIND(PUPILS[[#This Row],[SchoolCode]],FC[SchoolCodes])&gt;=1,1,0)),FC[LedgerCode]))</f>
        <v>DEFAULT</v>
      </c>
      <c r="F34" s="3" t="s">
        <v>51</v>
      </c>
      <c r="G34" s="27"/>
      <c r="H34" s="46" t="s">
        <v>931</v>
      </c>
      <c r="I34" s="16" t="s">
        <v>1124</v>
      </c>
      <c r="J34" s="3" t="s">
        <v>932</v>
      </c>
      <c r="K34" s="3" t="s">
        <v>1640</v>
      </c>
      <c r="L34" s="3"/>
      <c r="M34" s="3" t="b">
        <v>1</v>
      </c>
      <c r="N34" s="3" t="b">
        <v>1</v>
      </c>
      <c r="O34" s="35"/>
    </row>
    <row r="35" spans="1:15" hidden="1" x14ac:dyDescent="0.3">
      <c r="A35" s="27" t="s">
        <v>1548</v>
      </c>
      <c r="B35" s="3"/>
      <c r="C35" s="1" t="s">
        <v>1506</v>
      </c>
      <c r="D35" s="3"/>
      <c r="E35" s="3" t="str" cm="1">
        <f t="array" ref="E35">IF(_xlfn.XLOOKUP(PUPILS[[#This Row],[FinanceCode]],FC[FinanceCode],FC[AvailableToAllSchools])=TRUE,(_xlfn.XLOOKUP(PUPILS[[#This Row],[FinanceCode]],FC[FinanceCode],FC[LedgerCode])),_xlfn.XLOOKUP(1,(FC[FinanceCode]=PUPILS[[#This Row],[FinanceCode]])*(IF(FIND(PUPILS[[#This Row],[SchoolCode]],FC[SchoolCodes])&gt;=1,1,0)),FC[LedgerCode]))</f>
        <v>DEFAULT</v>
      </c>
      <c r="F35" s="3" t="s">
        <v>51</v>
      </c>
      <c r="G35" s="27"/>
      <c r="H35" s="46"/>
      <c r="I35" s="16" t="s">
        <v>1124</v>
      </c>
      <c r="J35" s="3" t="s">
        <v>1509</v>
      </c>
      <c r="K35" s="3" t="s">
        <v>1641</v>
      </c>
      <c r="L35" s="3"/>
      <c r="M35" s="3" t="b">
        <v>0</v>
      </c>
      <c r="N35" s="3" t="b">
        <v>1</v>
      </c>
      <c r="O35" s="35"/>
    </row>
    <row r="36" spans="1:15" hidden="1" x14ac:dyDescent="0.3">
      <c r="A36" s="27" t="s">
        <v>1548</v>
      </c>
      <c r="B36" s="3"/>
      <c r="C36" s="1" t="s">
        <v>937</v>
      </c>
      <c r="D36" s="3"/>
      <c r="E36" s="3" t="str" cm="1">
        <f t="array" ref="E36">IF(_xlfn.XLOOKUP(PUPILS[[#This Row],[FinanceCode]],FC[FinanceCode],FC[AvailableToAllSchools])=TRUE,(_xlfn.XLOOKUP(PUPILS[[#This Row],[FinanceCode]],FC[FinanceCode],FC[LedgerCode])),_xlfn.XLOOKUP(1,(FC[FinanceCode]=PUPILS[[#This Row],[FinanceCode]])*(IF(FIND(PUPILS[[#This Row],[SchoolCode]],FC[SchoolCodes])&gt;=1,1,0)),FC[LedgerCode]))</f>
        <v>DEFAULT</v>
      </c>
      <c r="F36" s="3" t="s">
        <v>51</v>
      </c>
      <c r="G36" s="27"/>
      <c r="H36" s="11" t="s">
        <v>1172</v>
      </c>
      <c r="I36" s="16" t="s">
        <v>1124</v>
      </c>
      <c r="J36" s="3" t="s">
        <v>1428</v>
      </c>
      <c r="K36" s="3" t="s">
        <v>1642</v>
      </c>
      <c r="L36" s="3"/>
      <c r="M36" s="3" t="b">
        <v>0</v>
      </c>
      <c r="N36" s="3" t="b">
        <v>0</v>
      </c>
      <c r="O36" s="35"/>
    </row>
    <row r="37" spans="1:15" hidden="1" x14ac:dyDescent="0.3">
      <c r="A37" s="27" t="s">
        <v>1548</v>
      </c>
      <c r="B37" s="3"/>
      <c r="C37" s="1" t="s">
        <v>933</v>
      </c>
      <c r="D37" s="3"/>
      <c r="E37" s="3" t="str" cm="1">
        <f t="array" ref="E37">IF(_xlfn.XLOOKUP(PUPILS[[#This Row],[FinanceCode]],FC[FinanceCode],FC[AvailableToAllSchools])=TRUE,(_xlfn.XLOOKUP(PUPILS[[#This Row],[FinanceCode]],FC[FinanceCode],FC[LedgerCode])),_xlfn.XLOOKUP(1,(FC[FinanceCode]=PUPILS[[#This Row],[FinanceCode]])*(IF(FIND(PUPILS[[#This Row],[SchoolCode]],FC[SchoolCodes])&gt;=1,1,0)),FC[LedgerCode]))</f>
        <v>DEFAULT</v>
      </c>
      <c r="F37" s="3" t="s">
        <v>51</v>
      </c>
      <c r="G37" s="27"/>
      <c r="H37" s="11" t="s">
        <v>1172</v>
      </c>
      <c r="I37" s="16" t="s">
        <v>1124</v>
      </c>
      <c r="J37" s="3" t="s">
        <v>1607</v>
      </c>
      <c r="K37" s="3" t="s">
        <v>1642</v>
      </c>
      <c r="L37" s="3"/>
      <c r="M37" s="3" t="b">
        <v>0</v>
      </c>
      <c r="N37" s="3" t="b">
        <v>0</v>
      </c>
      <c r="O37" s="35"/>
    </row>
    <row r="38" spans="1:15" hidden="1" x14ac:dyDescent="0.3">
      <c r="A38" s="27" t="s">
        <v>1548</v>
      </c>
      <c r="B38" s="3"/>
      <c r="C38" s="1" t="s">
        <v>939</v>
      </c>
      <c r="D38" s="3"/>
      <c r="E38" s="3" t="str" cm="1">
        <f t="array" ref="E38">IF(_xlfn.XLOOKUP(PUPILS[[#This Row],[FinanceCode]],FC[FinanceCode],FC[AvailableToAllSchools])=TRUE,(_xlfn.XLOOKUP(PUPILS[[#This Row],[FinanceCode]],FC[FinanceCode],FC[LedgerCode])),_xlfn.XLOOKUP(1,(FC[FinanceCode]=PUPILS[[#This Row],[FinanceCode]])*(IF(FIND(PUPILS[[#This Row],[SchoolCode]],FC[SchoolCodes])&gt;=1,1,0)),FC[LedgerCode]))</f>
        <v>DEFAULT</v>
      </c>
      <c r="F38" s="3" t="s">
        <v>51</v>
      </c>
      <c r="G38" s="27"/>
      <c r="H38" s="16" t="s">
        <v>1172</v>
      </c>
      <c r="I38" s="3" t="s">
        <v>1124</v>
      </c>
      <c r="J38" s="3" t="s">
        <v>1429</v>
      </c>
      <c r="K38" s="3" t="s">
        <v>1632</v>
      </c>
      <c r="L38" s="3"/>
      <c r="M38" s="3" t="b">
        <v>0</v>
      </c>
      <c r="N38" s="3" t="b">
        <v>0</v>
      </c>
      <c r="O38" s="35"/>
    </row>
    <row r="39" spans="1:15" hidden="1" x14ac:dyDescent="0.3">
      <c r="A39" s="27" t="s">
        <v>1548</v>
      </c>
      <c r="B39" s="3"/>
      <c r="C39" s="1" t="s">
        <v>935</v>
      </c>
      <c r="D39" s="3"/>
      <c r="E39" s="3" t="str" cm="1">
        <f t="array" ref="E39">IF(_xlfn.XLOOKUP(PUPILS[[#This Row],[FinanceCode]],FC[FinanceCode],FC[AvailableToAllSchools])=TRUE,(_xlfn.XLOOKUP(PUPILS[[#This Row],[FinanceCode]],FC[FinanceCode],FC[LedgerCode])),_xlfn.XLOOKUP(1,(FC[FinanceCode]=PUPILS[[#This Row],[FinanceCode]])*(IF(FIND(PUPILS[[#This Row],[SchoolCode]],FC[SchoolCodes])&gt;=1,1,0)),FC[LedgerCode]))</f>
        <v>DEFAULT</v>
      </c>
      <c r="F39" s="3" t="s">
        <v>51</v>
      </c>
      <c r="G39" s="27"/>
      <c r="H39" s="11" t="s">
        <v>1172</v>
      </c>
      <c r="I39" s="16" t="s">
        <v>1124</v>
      </c>
      <c r="J39" s="3" t="s">
        <v>936</v>
      </c>
      <c r="K39" s="3" t="s">
        <v>1632</v>
      </c>
      <c r="L39" s="3"/>
      <c r="M39" s="3" t="b">
        <v>0</v>
      </c>
      <c r="N39" s="3" t="b">
        <v>0</v>
      </c>
      <c r="O39" s="35"/>
    </row>
    <row r="40" spans="1:15" hidden="1" x14ac:dyDescent="0.3">
      <c r="A40" s="27" t="s">
        <v>1548</v>
      </c>
      <c r="B40" s="3"/>
      <c r="C40" s="1" t="s">
        <v>1563</v>
      </c>
      <c r="D40" s="3"/>
      <c r="E40" s="3" t="str" cm="1">
        <f t="array" ref="E40">IF(_xlfn.XLOOKUP(PUPILS[[#This Row],[FinanceCode]],FC[FinanceCode],FC[AvailableToAllSchools])=TRUE,(_xlfn.XLOOKUP(PUPILS[[#This Row],[FinanceCode]],FC[FinanceCode],FC[LedgerCode])),_xlfn.XLOOKUP(1,(FC[FinanceCode]=PUPILS[[#This Row],[FinanceCode]])*(IF(FIND(PUPILS[[#This Row],[SchoolCode]],FC[SchoolCodes])&gt;=1,1,0)),FC[LedgerCode]))</f>
        <v>DEFAULT</v>
      </c>
      <c r="F40" s="3" t="s">
        <v>51</v>
      </c>
      <c r="G40" s="27"/>
      <c r="H40" s="1" t="s">
        <v>1563</v>
      </c>
      <c r="I40" s="16" t="s">
        <v>1124</v>
      </c>
      <c r="J40" s="3" t="s">
        <v>1564</v>
      </c>
      <c r="K40" s="3" t="s">
        <v>1643</v>
      </c>
      <c r="L40" s="3"/>
      <c r="M40" s="3" t="b">
        <v>1</v>
      </c>
      <c r="N40" s="3" t="b">
        <v>1</v>
      </c>
      <c r="O40" s="35"/>
    </row>
    <row r="41" spans="1:15" hidden="1" x14ac:dyDescent="0.3">
      <c r="A41" s="27" t="s">
        <v>1548</v>
      </c>
      <c r="B41" s="3"/>
      <c r="C41" s="1" t="s">
        <v>1503</v>
      </c>
      <c r="D41" s="3"/>
      <c r="E41" s="3" t="str" cm="1">
        <f t="array" ref="E41">IF(_xlfn.XLOOKUP(PUPILS[[#This Row],[FinanceCode]],FC[FinanceCode],FC[AvailableToAllSchools])=TRUE,(_xlfn.XLOOKUP(PUPILS[[#This Row],[FinanceCode]],FC[FinanceCode],FC[LedgerCode])),_xlfn.XLOOKUP(1,(FC[FinanceCode]=PUPILS[[#This Row],[FinanceCode]])*(IF(FIND(PUPILS[[#This Row],[SchoolCode]],FC[SchoolCodes])&gt;=1,1,0)),FC[LedgerCode]))</f>
        <v>DEFAULT</v>
      </c>
      <c r="F41" s="3" t="s">
        <v>51</v>
      </c>
      <c r="G41" s="27"/>
      <c r="H41" s="46"/>
      <c r="I41" s="3" t="s">
        <v>1124</v>
      </c>
      <c r="J41" s="3" t="s">
        <v>1507</v>
      </c>
      <c r="K41" s="3" t="s">
        <v>1644</v>
      </c>
      <c r="L41" s="3"/>
      <c r="M41" s="3" t="b">
        <v>0</v>
      </c>
      <c r="N41" s="3" t="b">
        <v>1</v>
      </c>
      <c r="O41" s="35"/>
    </row>
    <row r="42" spans="1:15" hidden="1" x14ac:dyDescent="0.3">
      <c r="A42" s="27" t="s">
        <v>1548</v>
      </c>
      <c r="B42" s="3"/>
      <c r="C42" s="1" t="s">
        <v>971</v>
      </c>
      <c r="D42" s="3"/>
      <c r="E42" s="3" t="s">
        <v>51</v>
      </c>
      <c r="F42" s="3" t="s">
        <v>51</v>
      </c>
      <c r="G42" s="27"/>
      <c r="H42" s="113" t="s">
        <v>1236</v>
      </c>
      <c r="I42" s="16" t="s">
        <v>1124</v>
      </c>
      <c r="J42" s="3" t="s">
        <v>972</v>
      </c>
      <c r="K42" s="3" t="s">
        <v>2099</v>
      </c>
      <c r="L42" s="3"/>
      <c r="M42" s="3" t="b">
        <v>0</v>
      </c>
      <c r="N42" s="3" t="b">
        <v>0</v>
      </c>
      <c r="O42" s="35"/>
    </row>
    <row r="43" spans="1:15" hidden="1" x14ac:dyDescent="0.3">
      <c r="A43" s="27" t="s">
        <v>1548</v>
      </c>
      <c r="B43" s="3"/>
      <c r="C43" s="3" t="s">
        <v>973</v>
      </c>
      <c r="D43" s="3"/>
      <c r="E43" s="3" t="s">
        <v>51</v>
      </c>
      <c r="F43" s="3" t="s">
        <v>51</v>
      </c>
      <c r="G43" s="27"/>
      <c r="H43" s="113" t="s">
        <v>1236</v>
      </c>
      <c r="I43" s="16" t="s">
        <v>1124</v>
      </c>
      <c r="J43" s="3" t="s">
        <v>974</v>
      </c>
      <c r="K43" s="3" t="s">
        <v>2100</v>
      </c>
      <c r="L43" s="3"/>
      <c r="M43" s="3" t="b">
        <v>0</v>
      </c>
      <c r="N43" s="3" t="b">
        <v>0</v>
      </c>
      <c r="O43" s="35"/>
    </row>
    <row r="44" spans="1:15" hidden="1" x14ac:dyDescent="0.3">
      <c r="A44" s="27" t="s">
        <v>1548</v>
      </c>
      <c r="B44" s="3"/>
      <c r="C44" s="3" t="s">
        <v>1941</v>
      </c>
      <c r="D44" s="3"/>
      <c r="E44" s="3" t="s">
        <v>51</v>
      </c>
      <c r="F44" s="3" t="s">
        <v>51</v>
      </c>
      <c r="G44" s="27"/>
      <c r="H44" s="113" t="s">
        <v>1236</v>
      </c>
      <c r="I44" s="16" t="s">
        <v>1124</v>
      </c>
      <c r="J44" s="3" t="s">
        <v>1952</v>
      </c>
      <c r="K44" s="3" t="s">
        <v>1654</v>
      </c>
      <c r="L44" s="3"/>
      <c r="M44" s="3" t="b">
        <v>0</v>
      </c>
      <c r="N44" s="3" t="b">
        <v>0</v>
      </c>
      <c r="O44" s="35"/>
    </row>
    <row r="45" spans="1:15" hidden="1" x14ac:dyDescent="0.3">
      <c r="A45" s="27" t="s">
        <v>1548</v>
      </c>
      <c r="B45" s="3"/>
      <c r="C45" s="3" t="s">
        <v>975</v>
      </c>
      <c r="D45" s="3"/>
      <c r="E45" s="3" t="s">
        <v>51</v>
      </c>
      <c r="F45" s="3" t="s">
        <v>51</v>
      </c>
      <c r="G45" s="27"/>
      <c r="H45" s="113" t="s">
        <v>1236</v>
      </c>
      <c r="I45" s="16" t="s">
        <v>1124</v>
      </c>
      <c r="J45" s="3" t="s">
        <v>1753</v>
      </c>
      <c r="K45" s="3" t="s">
        <v>1655</v>
      </c>
      <c r="L45" s="3"/>
      <c r="M45" s="3" t="b">
        <v>0</v>
      </c>
      <c r="N45" s="3" t="b">
        <v>0</v>
      </c>
      <c r="O45" s="35"/>
    </row>
    <row r="46" spans="1:15" hidden="1" x14ac:dyDescent="0.3">
      <c r="A46" s="27" t="s">
        <v>1548</v>
      </c>
      <c r="B46" s="3"/>
      <c r="C46" s="3" t="s">
        <v>2001</v>
      </c>
      <c r="D46" s="3"/>
      <c r="E46" s="3" t="s">
        <v>51</v>
      </c>
      <c r="F46" s="3" t="s">
        <v>51</v>
      </c>
      <c r="G46" s="27"/>
      <c r="H46" s="11" t="s">
        <v>2001</v>
      </c>
      <c r="I46" s="16" t="s">
        <v>1124</v>
      </c>
      <c r="J46" s="3" t="s">
        <v>2002</v>
      </c>
      <c r="K46" s="3" t="s">
        <v>2035</v>
      </c>
      <c r="L46" s="3"/>
      <c r="M46" s="3" t="b">
        <v>0</v>
      </c>
      <c r="N46" s="3" t="b">
        <v>1</v>
      </c>
      <c r="O46" s="35"/>
    </row>
    <row r="47" spans="1:15" hidden="1" x14ac:dyDescent="0.3">
      <c r="A47" s="27" t="s">
        <v>1548</v>
      </c>
      <c r="B47" s="3"/>
      <c r="C47" s="3" t="s">
        <v>2084</v>
      </c>
      <c r="D47" s="3"/>
      <c r="E47" s="3" t="s">
        <v>51</v>
      </c>
      <c r="F47" s="3" t="s">
        <v>51</v>
      </c>
      <c r="G47" s="27"/>
      <c r="H47" s="11" t="s">
        <v>2084</v>
      </c>
      <c r="I47" s="16" t="s">
        <v>1124</v>
      </c>
      <c r="J47" s="3" t="s">
        <v>2085</v>
      </c>
      <c r="K47" s="3" t="s">
        <v>2088</v>
      </c>
      <c r="L47" s="3"/>
      <c r="M47" s="3" t="b">
        <v>0</v>
      </c>
      <c r="N47" s="3" t="b">
        <v>1</v>
      </c>
      <c r="O47" s="35"/>
    </row>
    <row r="48" spans="1:15" hidden="1" x14ac:dyDescent="0.3">
      <c r="A48" s="27" t="s">
        <v>2179</v>
      </c>
      <c r="B48" s="3"/>
      <c r="C48" s="3" t="s">
        <v>967</v>
      </c>
      <c r="D48" s="3"/>
      <c r="E48" s="3" t="s">
        <v>51</v>
      </c>
      <c r="F48" s="3" t="s">
        <v>51</v>
      </c>
      <c r="G48" s="27"/>
      <c r="H48" s="11" t="s">
        <v>1172</v>
      </c>
      <c r="I48" s="16" t="s">
        <v>1124</v>
      </c>
      <c r="J48" s="3" t="s">
        <v>2072</v>
      </c>
      <c r="K48" s="3" t="s">
        <v>1646</v>
      </c>
      <c r="L48" s="3"/>
      <c r="M48" s="3" t="b">
        <v>0</v>
      </c>
      <c r="N48" s="3" t="b">
        <v>0</v>
      </c>
      <c r="O48" s="35"/>
    </row>
    <row r="49" spans="1:15" hidden="1" x14ac:dyDescent="0.3">
      <c r="A49" s="27" t="s">
        <v>2179</v>
      </c>
      <c r="B49" s="3"/>
      <c r="C49" s="3" t="s">
        <v>969</v>
      </c>
      <c r="D49" s="3"/>
      <c r="E49" s="3" t="s">
        <v>51</v>
      </c>
      <c r="F49" s="3" t="s">
        <v>51</v>
      </c>
      <c r="G49" s="27"/>
      <c r="H49" s="11" t="s">
        <v>1278</v>
      </c>
      <c r="I49" s="16" t="s">
        <v>1124</v>
      </c>
      <c r="J49" s="3" t="s">
        <v>2073</v>
      </c>
      <c r="K49" s="3" t="s">
        <v>1646</v>
      </c>
      <c r="L49" s="3"/>
      <c r="M49" s="3" t="b">
        <v>0</v>
      </c>
      <c r="N49" s="3" t="b">
        <v>0</v>
      </c>
      <c r="O49" s="35"/>
    </row>
    <row r="50" spans="1:15" hidden="1" x14ac:dyDescent="0.3">
      <c r="A50" s="27" t="s">
        <v>2179</v>
      </c>
      <c r="B50" s="3"/>
      <c r="C50" s="3" t="s">
        <v>1501</v>
      </c>
      <c r="D50" s="3"/>
      <c r="E50" s="3" t="s">
        <v>51</v>
      </c>
      <c r="F50" s="3" t="s">
        <v>51</v>
      </c>
      <c r="G50" s="27"/>
      <c r="H50" s="11" t="s">
        <v>1280</v>
      </c>
      <c r="I50" s="16" t="s">
        <v>1124</v>
      </c>
      <c r="J50" s="3" t="s">
        <v>2074</v>
      </c>
      <c r="K50" s="3" t="s">
        <v>1646</v>
      </c>
      <c r="L50" s="3"/>
      <c r="M50" s="3" t="b">
        <v>0</v>
      </c>
      <c r="N50" s="3" t="b">
        <v>0</v>
      </c>
      <c r="O50" s="35"/>
    </row>
    <row r="51" spans="1:15" hidden="1" x14ac:dyDescent="0.3">
      <c r="A51" s="27" t="s">
        <v>2179</v>
      </c>
      <c r="B51" s="3"/>
      <c r="C51" s="3" t="s">
        <v>1527</v>
      </c>
      <c r="D51" s="3"/>
      <c r="E51" s="3" t="s">
        <v>51</v>
      </c>
      <c r="F51" s="3" t="s">
        <v>51</v>
      </c>
      <c r="G51" s="27"/>
      <c r="H51" s="11" t="s">
        <v>1527</v>
      </c>
      <c r="I51" s="16" t="s">
        <v>1124</v>
      </c>
      <c r="J51" s="3" t="s">
        <v>1535</v>
      </c>
      <c r="K51" s="3" t="s">
        <v>1652</v>
      </c>
      <c r="L51" s="3"/>
      <c r="M51" s="3" t="b">
        <v>0</v>
      </c>
      <c r="N51" s="3" t="b">
        <v>0</v>
      </c>
      <c r="O51" s="35"/>
    </row>
    <row r="52" spans="1:15" hidden="1" x14ac:dyDescent="0.3">
      <c r="A52" s="27" t="s">
        <v>2179</v>
      </c>
      <c r="B52" s="3"/>
      <c r="C52" s="3" t="s">
        <v>931</v>
      </c>
      <c r="D52" s="3"/>
      <c r="E52" s="3" t="s">
        <v>51</v>
      </c>
      <c r="F52" s="3" t="s">
        <v>51</v>
      </c>
      <c r="G52" s="27"/>
      <c r="H52" s="11" t="s">
        <v>931</v>
      </c>
      <c r="I52" s="16" t="s">
        <v>1124</v>
      </c>
      <c r="J52" s="3" t="s">
        <v>932</v>
      </c>
      <c r="K52" s="3" t="s">
        <v>1640</v>
      </c>
      <c r="L52" s="3"/>
      <c r="M52" s="3" t="b">
        <v>1</v>
      </c>
      <c r="N52" s="3" t="b">
        <v>1</v>
      </c>
      <c r="O52" s="35"/>
    </row>
    <row r="53" spans="1:15" hidden="1" x14ac:dyDescent="0.3">
      <c r="A53" s="27" t="s">
        <v>2179</v>
      </c>
      <c r="B53" s="3"/>
      <c r="C53" s="3" t="s">
        <v>1506</v>
      </c>
      <c r="D53" s="3"/>
      <c r="E53" s="3" t="s">
        <v>51</v>
      </c>
      <c r="F53" s="3" t="s">
        <v>51</v>
      </c>
      <c r="G53" s="27"/>
      <c r="H53" s="11"/>
      <c r="I53" s="16" t="s">
        <v>1124</v>
      </c>
      <c r="J53" s="3" t="s">
        <v>1509</v>
      </c>
      <c r="K53" s="3" t="s">
        <v>1641</v>
      </c>
      <c r="L53" s="3"/>
      <c r="M53" s="3" t="b">
        <v>0</v>
      </c>
      <c r="N53" s="3" t="b">
        <v>1</v>
      </c>
      <c r="O53" s="35"/>
    </row>
    <row r="54" spans="1:15" hidden="1" x14ac:dyDescent="0.3">
      <c r="A54" s="27" t="s">
        <v>2179</v>
      </c>
      <c r="B54" s="3"/>
      <c r="C54" s="3" t="s">
        <v>937</v>
      </c>
      <c r="D54" s="3"/>
      <c r="E54" s="3" t="s">
        <v>51</v>
      </c>
      <c r="F54" s="3" t="s">
        <v>51</v>
      </c>
      <c r="G54" s="27"/>
      <c r="H54" s="11" t="s">
        <v>1172</v>
      </c>
      <c r="I54" s="16" t="s">
        <v>1124</v>
      </c>
      <c r="J54" s="3" t="s">
        <v>1428</v>
      </c>
      <c r="K54" s="3" t="s">
        <v>1642</v>
      </c>
      <c r="L54" s="3"/>
      <c r="M54" s="3" t="b">
        <v>0</v>
      </c>
      <c r="N54" s="3" t="b">
        <v>0</v>
      </c>
      <c r="O54" s="35"/>
    </row>
    <row r="55" spans="1:15" hidden="1" x14ac:dyDescent="0.3">
      <c r="A55" s="27" t="s">
        <v>2179</v>
      </c>
      <c r="B55" s="3"/>
      <c r="C55" s="3" t="s">
        <v>933</v>
      </c>
      <c r="D55" s="3"/>
      <c r="E55" s="3" t="s">
        <v>51</v>
      </c>
      <c r="F55" s="3" t="s">
        <v>51</v>
      </c>
      <c r="G55" s="27"/>
      <c r="H55" s="11" t="s">
        <v>1172</v>
      </c>
      <c r="I55" s="16" t="s">
        <v>1124</v>
      </c>
      <c r="J55" s="3" t="s">
        <v>1607</v>
      </c>
      <c r="K55" s="3" t="s">
        <v>1642</v>
      </c>
      <c r="L55" s="3"/>
      <c r="M55" s="3" t="b">
        <v>0</v>
      </c>
      <c r="N55" s="3" t="b">
        <v>0</v>
      </c>
      <c r="O55" s="35"/>
    </row>
    <row r="56" spans="1:15" hidden="1" x14ac:dyDescent="0.3">
      <c r="A56" s="27" t="s">
        <v>2179</v>
      </c>
      <c r="B56" s="3"/>
      <c r="C56" s="3" t="s">
        <v>2001</v>
      </c>
      <c r="D56" s="3"/>
      <c r="E56" s="3" t="s">
        <v>51</v>
      </c>
      <c r="F56" s="3" t="s">
        <v>51</v>
      </c>
      <c r="G56" s="27"/>
      <c r="H56" s="11" t="s">
        <v>2001</v>
      </c>
      <c r="I56" s="16" t="s">
        <v>1124</v>
      </c>
      <c r="J56" s="3" t="s">
        <v>2002</v>
      </c>
      <c r="K56" s="3" t="s">
        <v>2035</v>
      </c>
      <c r="L56" s="3"/>
      <c r="M56" s="3" t="b">
        <v>0</v>
      </c>
      <c r="N56" s="3" t="b">
        <v>1</v>
      </c>
      <c r="O56" s="35"/>
    </row>
    <row r="57" spans="1:15" hidden="1" x14ac:dyDescent="0.3">
      <c r="A57" s="27" t="s">
        <v>2178</v>
      </c>
      <c r="B57" s="3"/>
      <c r="C57" s="3" t="s">
        <v>941</v>
      </c>
      <c r="D57" s="3"/>
      <c r="E57" s="3" t="s">
        <v>51</v>
      </c>
      <c r="F57" s="3" t="s">
        <v>51</v>
      </c>
      <c r="G57" s="27"/>
      <c r="H57" s="11" t="s">
        <v>1172</v>
      </c>
      <c r="I57" s="16" t="s">
        <v>1124</v>
      </c>
      <c r="J57" s="3" t="s">
        <v>2067</v>
      </c>
      <c r="K57" s="3" t="s">
        <v>1645</v>
      </c>
      <c r="L57" s="3"/>
      <c r="M57" s="3" t="b">
        <v>0</v>
      </c>
      <c r="N57" s="3" t="b">
        <v>0</v>
      </c>
      <c r="O57" s="35"/>
    </row>
    <row r="58" spans="1:15" hidden="1" x14ac:dyDescent="0.3">
      <c r="A58" s="27" t="s">
        <v>2178</v>
      </c>
      <c r="B58" s="3"/>
      <c r="C58" s="3" t="s">
        <v>943</v>
      </c>
      <c r="D58" s="3"/>
      <c r="E58" s="3" t="s">
        <v>51</v>
      </c>
      <c r="F58" s="3" t="s">
        <v>51</v>
      </c>
      <c r="G58" s="27"/>
      <c r="H58" s="11" t="s">
        <v>1172</v>
      </c>
      <c r="I58" s="16" t="s">
        <v>1124</v>
      </c>
      <c r="J58" s="3" t="s">
        <v>2068</v>
      </c>
      <c r="K58" s="3" t="s">
        <v>1646</v>
      </c>
      <c r="L58" s="3"/>
      <c r="M58" s="3" t="b">
        <v>0</v>
      </c>
      <c r="N58" s="3" t="b">
        <v>0</v>
      </c>
      <c r="O58" s="35"/>
    </row>
    <row r="59" spans="1:15" hidden="1" x14ac:dyDescent="0.3">
      <c r="A59" s="27" t="s">
        <v>2178</v>
      </c>
      <c r="B59" s="3"/>
      <c r="C59" s="3" t="s">
        <v>945</v>
      </c>
      <c r="D59" s="3"/>
      <c r="E59" s="3" t="s">
        <v>51</v>
      </c>
      <c r="F59" s="3" t="s">
        <v>51</v>
      </c>
      <c r="G59" s="27"/>
      <c r="H59" s="11" t="s">
        <v>1254</v>
      </c>
      <c r="I59" s="16" t="s">
        <v>1124</v>
      </c>
      <c r="J59" s="3" t="s">
        <v>2069</v>
      </c>
      <c r="K59" s="3" t="s">
        <v>1646</v>
      </c>
      <c r="L59" s="3"/>
      <c r="M59" s="3" t="b">
        <v>0</v>
      </c>
      <c r="N59" s="3" t="b">
        <v>0</v>
      </c>
      <c r="O59" s="35"/>
    </row>
    <row r="60" spans="1:15" hidden="1" x14ac:dyDescent="0.3">
      <c r="A60" s="27" t="s">
        <v>2178</v>
      </c>
      <c r="B60" s="3"/>
      <c r="C60" s="3" t="s">
        <v>947</v>
      </c>
      <c r="D60" s="3"/>
      <c r="E60" s="3" t="s">
        <v>51</v>
      </c>
      <c r="F60" s="3" t="s">
        <v>51</v>
      </c>
      <c r="G60" s="27"/>
      <c r="H60" s="11" t="s">
        <v>1256</v>
      </c>
      <c r="I60" s="16" t="s">
        <v>1124</v>
      </c>
      <c r="J60" s="3" t="s">
        <v>2075</v>
      </c>
      <c r="K60" s="3" t="s">
        <v>1646</v>
      </c>
      <c r="L60" s="3"/>
      <c r="M60" s="3" t="b">
        <v>0</v>
      </c>
      <c r="N60" s="3" t="b">
        <v>0</v>
      </c>
      <c r="O60" s="35"/>
    </row>
    <row r="61" spans="1:15" hidden="1" x14ac:dyDescent="0.3">
      <c r="A61" s="27" t="s">
        <v>2178</v>
      </c>
      <c r="B61" s="3"/>
      <c r="C61" s="3" t="s">
        <v>1528</v>
      </c>
      <c r="D61" s="3"/>
      <c r="E61" s="3" t="s">
        <v>51</v>
      </c>
      <c r="F61" s="3" t="s">
        <v>51</v>
      </c>
      <c r="G61" s="27"/>
      <c r="H61" s="11" t="s">
        <v>1528</v>
      </c>
      <c r="I61" s="16" t="s">
        <v>1124</v>
      </c>
      <c r="J61" s="3" t="s">
        <v>1530</v>
      </c>
      <c r="K61" s="3" t="s">
        <v>1647</v>
      </c>
      <c r="L61" s="3"/>
      <c r="M61" s="3" t="b">
        <v>0</v>
      </c>
      <c r="N61" s="3" t="b">
        <v>0</v>
      </c>
      <c r="O61" s="35"/>
    </row>
    <row r="62" spans="1:15" hidden="1" x14ac:dyDescent="0.3">
      <c r="A62" s="27" t="s">
        <v>2178</v>
      </c>
      <c r="B62" s="3"/>
      <c r="C62" s="3" t="s">
        <v>1523</v>
      </c>
      <c r="D62" s="3"/>
      <c r="E62" s="3" t="s">
        <v>51</v>
      </c>
      <c r="F62" s="3" t="s">
        <v>51</v>
      </c>
      <c r="G62" s="27"/>
      <c r="H62" s="11" t="s">
        <v>1523</v>
      </c>
      <c r="I62" s="16" t="s">
        <v>1124</v>
      </c>
      <c r="J62" s="3" t="s">
        <v>1531</v>
      </c>
      <c r="K62" s="3" t="s">
        <v>1648</v>
      </c>
      <c r="L62" s="3"/>
      <c r="M62" s="3" t="b">
        <v>0</v>
      </c>
      <c r="N62" s="3" t="b">
        <v>0</v>
      </c>
      <c r="O62" s="35"/>
    </row>
    <row r="63" spans="1:15" hidden="1" x14ac:dyDescent="0.3">
      <c r="A63" s="27" t="s">
        <v>2178</v>
      </c>
      <c r="B63" s="3"/>
      <c r="C63" s="3" t="s">
        <v>1522</v>
      </c>
      <c r="D63" s="3"/>
      <c r="E63" s="3" t="s">
        <v>51</v>
      </c>
      <c r="F63" s="3" t="s">
        <v>51</v>
      </c>
      <c r="G63" s="27"/>
      <c r="H63" s="11" t="s">
        <v>1522</v>
      </c>
      <c r="I63" s="16" t="s">
        <v>1124</v>
      </c>
      <c r="J63" s="3" t="s">
        <v>1529</v>
      </c>
      <c r="K63" s="3" t="s">
        <v>1653</v>
      </c>
      <c r="L63" s="3"/>
      <c r="M63" s="3" t="b">
        <v>0</v>
      </c>
      <c r="N63" s="3" t="b">
        <v>0</v>
      </c>
      <c r="O63" s="35"/>
    </row>
    <row r="64" spans="1:15" x14ac:dyDescent="0.3">
      <c r="A64" s="27" t="s">
        <v>2178</v>
      </c>
      <c r="B64" s="3"/>
      <c r="C64" s="3" t="s">
        <v>1554</v>
      </c>
      <c r="D64" s="3"/>
      <c r="E64" s="3" t="s">
        <v>51</v>
      </c>
      <c r="F64" s="3" t="s">
        <v>51</v>
      </c>
      <c r="G64" s="27"/>
      <c r="H64" s="11" t="s">
        <v>1309</v>
      </c>
      <c r="I64" s="16" t="s">
        <v>1124</v>
      </c>
      <c r="J64" s="3" t="s">
        <v>1555</v>
      </c>
      <c r="K64" s="3" t="s">
        <v>2092</v>
      </c>
      <c r="L64" s="3"/>
      <c r="M64" s="3" t="b">
        <v>0</v>
      </c>
      <c r="N64" s="3" t="b">
        <v>0</v>
      </c>
      <c r="O64" s="35"/>
    </row>
    <row r="65" spans="1:15" x14ac:dyDescent="0.3">
      <c r="A65" s="27" t="s">
        <v>2178</v>
      </c>
      <c r="B65" s="3"/>
      <c r="C65" s="3" t="s">
        <v>1556</v>
      </c>
      <c r="D65" s="3"/>
      <c r="E65" s="3" t="s">
        <v>51</v>
      </c>
      <c r="F65" s="3" t="s">
        <v>51</v>
      </c>
      <c r="G65" s="27"/>
      <c r="H65" s="11" t="s">
        <v>1309</v>
      </c>
      <c r="I65" s="16" t="s">
        <v>1124</v>
      </c>
      <c r="J65" s="3" t="s">
        <v>1557</v>
      </c>
      <c r="K65" s="3" t="s">
        <v>2092</v>
      </c>
      <c r="L65" s="3"/>
      <c r="M65" s="3" t="b">
        <v>0</v>
      </c>
      <c r="N65" s="3" t="b">
        <v>0</v>
      </c>
      <c r="O65" s="35"/>
    </row>
    <row r="66" spans="1:15" hidden="1" x14ac:dyDescent="0.3">
      <c r="A66" s="27" t="s">
        <v>2178</v>
      </c>
      <c r="B66" s="3"/>
      <c r="C66" s="3" t="s">
        <v>920</v>
      </c>
      <c r="D66" s="3"/>
      <c r="E66" s="3" t="s">
        <v>51</v>
      </c>
      <c r="F66" s="3" t="s">
        <v>51</v>
      </c>
      <c r="G66" s="27"/>
      <c r="H66" s="11" t="s">
        <v>920</v>
      </c>
      <c r="I66" s="16" t="s">
        <v>1124</v>
      </c>
      <c r="J66" s="3" t="s">
        <v>921</v>
      </c>
      <c r="K66" s="3" t="s">
        <v>1633</v>
      </c>
      <c r="L66" s="3"/>
      <c r="M66" s="3" t="b">
        <v>1</v>
      </c>
      <c r="N66" s="3" t="b">
        <v>1</v>
      </c>
      <c r="O66" s="35"/>
    </row>
    <row r="67" spans="1:15" hidden="1" x14ac:dyDescent="0.3">
      <c r="A67" s="27" t="s">
        <v>2178</v>
      </c>
      <c r="B67" s="3"/>
      <c r="C67" s="3" t="s">
        <v>923</v>
      </c>
      <c r="D67" s="3"/>
      <c r="E67" s="3" t="s">
        <v>51</v>
      </c>
      <c r="F67" s="3" t="s">
        <v>51</v>
      </c>
      <c r="G67" s="27"/>
      <c r="H67" s="11" t="s">
        <v>923</v>
      </c>
      <c r="I67" s="16" t="s">
        <v>1124</v>
      </c>
      <c r="J67" s="3" t="s">
        <v>924</v>
      </c>
      <c r="K67" s="3" t="s">
        <v>1634</v>
      </c>
      <c r="L67" s="3"/>
      <c r="M67" s="3" t="b">
        <v>1</v>
      </c>
      <c r="N67" s="3" t="b">
        <v>1</v>
      </c>
      <c r="O67" s="35"/>
    </row>
    <row r="68" spans="1:15" hidden="1" x14ac:dyDescent="0.3">
      <c r="A68" s="27" t="s">
        <v>2178</v>
      </c>
      <c r="B68" s="3"/>
      <c r="C68" s="3" t="s">
        <v>939</v>
      </c>
      <c r="D68" s="3"/>
      <c r="E68" s="3" t="s">
        <v>51</v>
      </c>
      <c r="F68" s="3" t="s">
        <v>51</v>
      </c>
      <c r="G68" s="27"/>
      <c r="H68" s="11" t="s">
        <v>1172</v>
      </c>
      <c r="I68" s="16" t="s">
        <v>1124</v>
      </c>
      <c r="J68" s="3" t="s">
        <v>1429</v>
      </c>
      <c r="K68" s="3" t="s">
        <v>1632</v>
      </c>
      <c r="L68" s="3"/>
      <c r="M68" s="3" t="b">
        <v>0</v>
      </c>
      <c r="N68" s="3" t="b">
        <v>0</v>
      </c>
      <c r="O68" s="35"/>
    </row>
    <row r="69" spans="1:15" hidden="1" x14ac:dyDescent="0.3">
      <c r="A69" s="27" t="s">
        <v>2178</v>
      </c>
      <c r="B69" s="3"/>
      <c r="C69" s="3" t="s">
        <v>935</v>
      </c>
      <c r="D69" s="3"/>
      <c r="E69" s="3" t="s">
        <v>51</v>
      </c>
      <c r="F69" s="3" t="s">
        <v>51</v>
      </c>
      <c r="G69" s="27"/>
      <c r="H69" s="11" t="s">
        <v>1172</v>
      </c>
      <c r="I69" s="16" t="s">
        <v>1124</v>
      </c>
      <c r="J69" s="3" t="s">
        <v>936</v>
      </c>
      <c r="K69" s="3" t="s">
        <v>1632</v>
      </c>
      <c r="L69" s="3"/>
      <c r="M69" s="3" t="b">
        <v>0</v>
      </c>
      <c r="N69" s="3" t="b">
        <v>0</v>
      </c>
      <c r="O69" s="35"/>
    </row>
    <row r="70" spans="1:15" hidden="1" x14ac:dyDescent="0.3">
      <c r="A70" s="27" t="s">
        <v>2178</v>
      </c>
      <c r="B70" s="3"/>
      <c r="C70" s="3" t="s">
        <v>1563</v>
      </c>
      <c r="D70" s="3"/>
      <c r="E70" s="3" t="s">
        <v>51</v>
      </c>
      <c r="F70" s="3" t="s">
        <v>51</v>
      </c>
      <c r="G70" s="27"/>
      <c r="H70" s="11" t="s">
        <v>1563</v>
      </c>
      <c r="I70" s="16" t="s">
        <v>1124</v>
      </c>
      <c r="J70" s="3" t="s">
        <v>1564</v>
      </c>
      <c r="K70" s="3" t="s">
        <v>1643</v>
      </c>
      <c r="L70" s="3"/>
      <c r="M70" s="3" t="b">
        <v>1</v>
      </c>
      <c r="N70" s="3" t="b">
        <v>1</v>
      </c>
      <c r="O70" s="35"/>
    </row>
    <row r="71" spans="1:15" hidden="1" x14ac:dyDescent="0.3">
      <c r="A71" s="27" t="s">
        <v>2178</v>
      </c>
      <c r="B71" s="3"/>
      <c r="C71" s="3" t="s">
        <v>1503</v>
      </c>
      <c r="D71" s="3"/>
      <c r="E71" s="3" t="s">
        <v>51</v>
      </c>
      <c r="F71" s="3" t="s">
        <v>51</v>
      </c>
      <c r="G71" s="27"/>
      <c r="H71" s="11"/>
      <c r="I71" s="16" t="s">
        <v>1124</v>
      </c>
      <c r="J71" s="3" t="s">
        <v>1507</v>
      </c>
      <c r="K71" s="3" t="s">
        <v>1644</v>
      </c>
      <c r="L71" s="3"/>
      <c r="M71" s="3" t="b">
        <v>0</v>
      </c>
      <c r="N71" s="3" t="b">
        <v>1</v>
      </c>
      <c r="O71" s="35"/>
    </row>
    <row r="72" spans="1:15" hidden="1" x14ac:dyDescent="0.3">
      <c r="A72" s="27" t="s">
        <v>2178</v>
      </c>
      <c r="B72" s="3"/>
      <c r="C72" s="3" t="s">
        <v>971</v>
      </c>
      <c r="D72" s="3"/>
      <c r="E72" s="3" t="s">
        <v>51</v>
      </c>
      <c r="F72" s="3" t="s">
        <v>51</v>
      </c>
      <c r="G72" s="27"/>
      <c r="H72" s="11" t="s">
        <v>1236</v>
      </c>
      <c r="I72" s="16" t="s">
        <v>1124</v>
      </c>
      <c r="J72" s="3" t="s">
        <v>972</v>
      </c>
      <c r="K72" s="3" t="s">
        <v>2099</v>
      </c>
      <c r="L72" s="3"/>
      <c r="M72" s="3" t="b">
        <v>0</v>
      </c>
      <c r="N72" s="3" t="b">
        <v>0</v>
      </c>
      <c r="O72" s="35"/>
    </row>
    <row r="73" spans="1:15" hidden="1" x14ac:dyDescent="0.3">
      <c r="A73" s="27" t="s">
        <v>2178</v>
      </c>
      <c r="B73" s="3"/>
      <c r="C73" s="3" t="s">
        <v>1941</v>
      </c>
      <c r="D73" s="3"/>
      <c r="E73" s="3" t="s">
        <v>51</v>
      </c>
      <c r="F73" s="3" t="s">
        <v>51</v>
      </c>
      <c r="G73" s="27"/>
      <c r="H73" s="11" t="s">
        <v>1236</v>
      </c>
      <c r="I73" s="16" t="s">
        <v>1124</v>
      </c>
      <c r="J73" s="3" t="s">
        <v>1952</v>
      </c>
      <c r="K73" s="3" t="s">
        <v>1654</v>
      </c>
      <c r="L73" s="3"/>
      <c r="M73" s="3" t="b">
        <v>0</v>
      </c>
      <c r="N73" s="3" t="b">
        <v>0</v>
      </c>
      <c r="O73" s="35"/>
    </row>
    <row r="74" spans="1:15" hidden="1" x14ac:dyDescent="0.3">
      <c r="A74" s="27" t="s">
        <v>2178</v>
      </c>
      <c r="B74" s="3"/>
      <c r="C74" s="3" t="s">
        <v>975</v>
      </c>
      <c r="D74" s="3"/>
      <c r="E74" s="3" t="s">
        <v>51</v>
      </c>
      <c r="F74" s="3" t="s">
        <v>51</v>
      </c>
      <c r="G74" s="27"/>
      <c r="H74" s="11" t="s">
        <v>1236</v>
      </c>
      <c r="I74" s="16" t="s">
        <v>1124</v>
      </c>
      <c r="J74" s="3" t="s">
        <v>1753</v>
      </c>
      <c r="K74" s="3" t="s">
        <v>1655</v>
      </c>
      <c r="L74" s="3"/>
      <c r="M74" s="3" t="b">
        <v>0</v>
      </c>
      <c r="N74" s="3" t="b">
        <v>0</v>
      </c>
      <c r="O74" s="35"/>
    </row>
    <row r="75" spans="1:15" hidden="1" x14ac:dyDescent="0.3">
      <c r="A75" s="27" t="s">
        <v>2178</v>
      </c>
      <c r="B75" s="3"/>
      <c r="C75" s="3" t="s">
        <v>2084</v>
      </c>
      <c r="D75" s="3"/>
      <c r="E75" s="3" t="s">
        <v>51</v>
      </c>
      <c r="F75" s="3" t="s">
        <v>51</v>
      </c>
      <c r="G75" s="27"/>
      <c r="H75" s="11" t="s">
        <v>2084</v>
      </c>
      <c r="I75" s="16" t="s">
        <v>1124</v>
      </c>
      <c r="J75" s="3" t="s">
        <v>2085</v>
      </c>
      <c r="K75" s="3" t="s">
        <v>2088</v>
      </c>
      <c r="L75" s="3"/>
      <c r="M75" s="3" t="b">
        <v>0</v>
      </c>
      <c r="N75" s="3" t="b">
        <v>1</v>
      </c>
      <c r="O75" s="35"/>
    </row>
    <row r="76" spans="1:15" hidden="1" x14ac:dyDescent="0.3">
      <c r="A76" s="27" t="s">
        <v>2177</v>
      </c>
      <c r="B76" s="3"/>
      <c r="C76" s="3" t="s">
        <v>949</v>
      </c>
      <c r="D76" s="3"/>
      <c r="E76" s="3" t="s">
        <v>51</v>
      </c>
      <c r="F76" s="3" t="s">
        <v>51</v>
      </c>
      <c r="G76" s="27"/>
      <c r="H76" s="11" t="s">
        <v>1172</v>
      </c>
      <c r="I76" s="16" t="s">
        <v>1124</v>
      </c>
      <c r="J76" s="3" t="s">
        <v>2076</v>
      </c>
      <c r="K76" s="3" t="s">
        <v>1646</v>
      </c>
      <c r="L76" s="3"/>
      <c r="M76" s="3" t="b">
        <v>0</v>
      </c>
      <c r="N76" s="3" t="b">
        <v>0</v>
      </c>
      <c r="O76" s="35"/>
    </row>
    <row r="77" spans="1:15" hidden="1" x14ac:dyDescent="0.3">
      <c r="A77" s="27" t="s">
        <v>2177</v>
      </c>
      <c r="B77" s="3"/>
      <c r="C77" s="3" t="s">
        <v>951</v>
      </c>
      <c r="D77" s="3"/>
      <c r="E77" s="3" t="s">
        <v>51</v>
      </c>
      <c r="F77" s="3" t="s">
        <v>51</v>
      </c>
      <c r="G77" s="27"/>
      <c r="H77" s="11" t="s">
        <v>1260</v>
      </c>
      <c r="I77" s="16" t="s">
        <v>1124</v>
      </c>
      <c r="J77" s="3" t="s">
        <v>2077</v>
      </c>
      <c r="K77" s="3" t="s">
        <v>1646</v>
      </c>
      <c r="L77" s="3"/>
      <c r="M77" s="3" t="b">
        <v>0</v>
      </c>
      <c r="N77" s="3" t="b">
        <v>0</v>
      </c>
      <c r="O77" s="35"/>
    </row>
    <row r="78" spans="1:15" hidden="1" x14ac:dyDescent="0.3">
      <c r="A78" s="27" t="s">
        <v>2177</v>
      </c>
      <c r="B78" s="3"/>
      <c r="C78" s="3" t="s">
        <v>953</v>
      </c>
      <c r="D78" s="3"/>
      <c r="E78" s="3" t="s">
        <v>51</v>
      </c>
      <c r="F78" s="3" t="s">
        <v>51</v>
      </c>
      <c r="G78" s="27"/>
      <c r="H78" s="11" t="s">
        <v>1262</v>
      </c>
      <c r="I78" s="16" t="s">
        <v>1124</v>
      </c>
      <c r="J78" s="3" t="s">
        <v>2078</v>
      </c>
      <c r="K78" s="3" t="s">
        <v>1646</v>
      </c>
      <c r="L78" s="3"/>
      <c r="M78" s="3" t="b">
        <v>0</v>
      </c>
      <c r="N78" s="3" t="b">
        <v>0</v>
      </c>
      <c r="O78" s="35"/>
    </row>
    <row r="79" spans="1:15" hidden="1" x14ac:dyDescent="0.3">
      <c r="A79" s="27" t="s">
        <v>2177</v>
      </c>
      <c r="B79" s="3"/>
      <c r="C79" s="3" t="s">
        <v>955</v>
      </c>
      <c r="D79" s="3"/>
      <c r="E79" s="3" t="s">
        <v>51</v>
      </c>
      <c r="F79" s="3" t="s">
        <v>51</v>
      </c>
      <c r="G79" s="27"/>
      <c r="H79" s="11" t="s">
        <v>1264</v>
      </c>
      <c r="I79" s="16" t="s">
        <v>1124</v>
      </c>
      <c r="J79" s="3" t="s">
        <v>2079</v>
      </c>
      <c r="K79" s="3" t="s">
        <v>1646</v>
      </c>
      <c r="L79" s="3"/>
      <c r="M79" s="3" t="b">
        <v>0</v>
      </c>
      <c r="N79" s="3" t="b">
        <v>0</v>
      </c>
      <c r="O79" s="35"/>
    </row>
    <row r="80" spans="1:15" hidden="1" x14ac:dyDescent="0.3">
      <c r="A80" s="27" t="s">
        <v>2177</v>
      </c>
      <c r="B80" s="3"/>
      <c r="C80" s="3" t="s">
        <v>1524</v>
      </c>
      <c r="D80" s="3"/>
      <c r="E80" s="3" t="s">
        <v>51</v>
      </c>
      <c r="F80" s="3" t="s">
        <v>51</v>
      </c>
      <c r="G80" s="27"/>
      <c r="H80" s="11" t="s">
        <v>1524</v>
      </c>
      <c r="I80" s="16" t="s">
        <v>1124</v>
      </c>
      <c r="J80" s="3" t="s">
        <v>1532</v>
      </c>
      <c r="K80" s="3" t="s">
        <v>1649</v>
      </c>
      <c r="L80" s="3"/>
      <c r="M80" s="3" t="b">
        <v>0</v>
      </c>
      <c r="N80" s="3" t="b">
        <v>0</v>
      </c>
      <c r="O80" s="35"/>
    </row>
    <row r="81" spans="1:15" hidden="1" x14ac:dyDescent="0.3">
      <c r="A81" s="27" t="s">
        <v>2177</v>
      </c>
      <c r="B81" s="3"/>
      <c r="C81" s="3" t="s">
        <v>925</v>
      </c>
      <c r="D81" s="3"/>
      <c r="E81" s="3" t="s">
        <v>51</v>
      </c>
      <c r="F81" s="3" t="s">
        <v>51</v>
      </c>
      <c r="G81" s="27"/>
      <c r="H81" s="11" t="s">
        <v>925</v>
      </c>
      <c r="I81" s="16" t="s">
        <v>1124</v>
      </c>
      <c r="J81" s="3" t="s">
        <v>926</v>
      </c>
      <c r="K81" s="3" t="s">
        <v>1635</v>
      </c>
      <c r="L81" s="3"/>
      <c r="M81" s="3" t="b">
        <v>1</v>
      </c>
      <c r="N81" s="3" t="b">
        <v>1</v>
      </c>
      <c r="O81" s="35"/>
    </row>
    <row r="82" spans="1:15" hidden="1" x14ac:dyDescent="0.3">
      <c r="A82" s="27" t="s">
        <v>2177</v>
      </c>
      <c r="B82" s="3"/>
      <c r="C82" s="3" t="s">
        <v>939</v>
      </c>
      <c r="D82" s="3"/>
      <c r="E82" s="3" t="s">
        <v>51</v>
      </c>
      <c r="F82" s="3" t="s">
        <v>51</v>
      </c>
      <c r="G82" s="27"/>
      <c r="H82" s="11" t="s">
        <v>1172</v>
      </c>
      <c r="I82" s="16" t="s">
        <v>1124</v>
      </c>
      <c r="J82" s="3" t="s">
        <v>1429</v>
      </c>
      <c r="K82" s="3" t="s">
        <v>1632</v>
      </c>
      <c r="L82" s="3"/>
      <c r="M82" s="3" t="b">
        <v>0</v>
      </c>
      <c r="N82" s="3" t="b">
        <v>0</v>
      </c>
      <c r="O82" s="35"/>
    </row>
    <row r="83" spans="1:15" hidden="1" x14ac:dyDescent="0.3">
      <c r="A83" s="27" t="s">
        <v>2177</v>
      </c>
      <c r="B83" s="3"/>
      <c r="C83" s="3" t="s">
        <v>935</v>
      </c>
      <c r="D83" s="3"/>
      <c r="E83" s="3" t="s">
        <v>51</v>
      </c>
      <c r="F83" s="3" t="s">
        <v>51</v>
      </c>
      <c r="G83" s="27"/>
      <c r="H83" s="11" t="s">
        <v>1172</v>
      </c>
      <c r="I83" s="16" t="s">
        <v>1124</v>
      </c>
      <c r="J83" s="3" t="s">
        <v>936</v>
      </c>
      <c r="K83" s="3" t="s">
        <v>1632</v>
      </c>
      <c r="L83" s="3"/>
      <c r="M83" s="3" t="b">
        <v>0</v>
      </c>
      <c r="N83" s="3" t="b">
        <v>0</v>
      </c>
      <c r="O83" s="35"/>
    </row>
    <row r="84" spans="1:15" hidden="1" x14ac:dyDescent="0.3">
      <c r="A84" s="27" t="s">
        <v>2177</v>
      </c>
      <c r="B84" s="3"/>
      <c r="C84" s="3" t="s">
        <v>1563</v>
      </c>
      <c r="D84" s="3"/>
      <c r="E84" s="3" t="s">
        <v>51</v>
      </c>
      <c r="F84" s="3" t="s">
        <v>51</v>
      </c>
      <c r="G84" s="27"/>
      <c r="H84" s="11" t="s">
        <v>1563</v>
      </c>
      <c r="I84" s="16" t="s">
        <v>1124</v>
      </c>
      <c r="J84" s="3" t="s">
        <v>1564</v>
      </c>
      <c r="K84" s="3" t="s">
        <v>1643</v>
      </c>
      <c r="L84" s="3"/>
      <c r="M84" s="3" t="b">
        <v>1</v>
      </c>
      <c r="N84" s="3" t="b">
        <v>1</v>
      </c>
      <c r="O84" s="35"/>
    </row>
    <row r="85" spans="1:15" hidden="1" x14ac:dyDescent="0.3">
      <c r="A85" s="27" t="s">
        <v>2177</v>
      </c>
      <c r="B85" s="3"/>
      <c r="C85" s="3" t="s">
        <v>1503</v>
      </c>
      <c r="D85" s="3"/>
      <c r="E85" s="3" t="s">
        <v>51</v>
      </c>
      <c r="F85" s="3" t="s">
        <v>51</v>
      </c>
      <c r="G85" s="27"/>
      <c r="H85" s="11"/>
      <c r="I85" s="16" t="s">
        <v>1124</v>
      </c>
      <c r="J85" s="3" t="s">
        <v>1507</v>
      </c>
      <c r="K85" s="3" t="s">
        <v>1644</v>
      </c>
      <c r="L85" s="3"/>
      <c r="M85" s="3" t="b">
        <v>0</v>
      </c>
      <c r="N85" s="3" t="b">
        <v>1</v>
      </c>
      <c r="O85" s="35"/>
    </row>
    <row r="86" spans="1:15" hidden="1" x14ac:dyDescent="0.3">
      <c r="A86" s="27" t="s">
        <v>2177</v>
      </c>
      <c r="B86" s="3"/>
      <c r="C86" s="3" t="s">
        <v>971</v>
      </c>
      <c r="D86" s="3"/>
      <c r="E86" s="3" t="s">
        <v>51</v>
      </c>
      <c r="F86" s="3" t="s">
        <v>51</v>
      </c>
      <c r="G86" s="27"/>
      <c r="H86" s="11" t="s">
        <v>1236</v>
      </c>
      <c r="I86" s="16" t="s">
        <v>1124</v>
      </c>
      <c r="J86" s="3" t="s">
        <v>972</v>
      </c>
      <c r="K86" s="3" t="s">
        <v>2099</v>
      </c>
      <c r="L86" s="3"/>
      <c r="M86" s="3" t="b">
        <v>0</v>
      </c>
      <c r="N86" s="3" t="b">
        <v>0</v>
      </c>
      <c r="O86" s="35"/>
    </row>
    <row r="87" spans="1:15" hidden="1" x14ac:dyDescent="0.3">
      <c r="A87" s="27" t="s">
        <v>2177</v>
      </c>
      <c r="B87" s="3"/>
      <c r="C87" s="3" t="s">
        <v>1941</v>
      </c>
      <c r="D87" s="3"/>
      <c r="E87" s="3" t="s">
        <v>51</v>
      </c>
      <c r="F87" s="3" t="s">
        <v>51</v>
      </c>
      <c r="G87" s="27"/>
      <c r="H87" s="11" t="s">
        <v>1236</v>
      </c>
      <c r="I87" s="16" t="s">
        <v>1124</v>
      </c>
      <c r="J87" s="3" t="s">
        <v>1952</v>
      </c>
      <c r="K87" s="3" t="s">
        <v>1654</v>
      </c>
      <c r="L87" s="3"/>
      <c r="M87" s="3" t="b">
        <v>0</v>
      </c>
      <c r="N87" s="3" t="b">
        <v>0</v>
      </c>
      <c r="O87" s="35"/>
    </row>
    <row r="88" spans="1:15" hidden="1" x14ac:dyDescent="0.3">
      <c r="A88" s="27" t="s">
        <v>2177</v>
      </c>
      <c r="B88" s="3"/>
      <c r="C88" s="3" t="s">
        <v>975</v>
      </c>
      <c r="D88" s="3"/>
      <c r="E88" s="3" t="s">
        <v>51</v>
      </c>
      <c r="F88" s="3" t="s">
        <v>51</v>
      </c>
      <c r="G88" s="27"/>
      <c r="H88" s="11" t="s">
        <v>1236</v>
      </c>
      <c r="I88" s="16" t="s">
        <v>1124</v>
      </c>
      <c r="J88" s="3" t="s">
        <v>1753</v>
      </c>
      <c r="K88" s="3" t="s">
        <v>1655</v>
      </c>
      <c r="L88" s="3"/>
      <c r="M88" s="3" t="b">
        <v>0</v>
      </c>
      <c r="N88" s="3" t="b">
        <v>0</v>
      </c>
      <c r="O88" s="35"/>
    </row>
    <row r="89" spans="1:15" hidden="1" x14ac:dyDescent="0.3">
      <c r="A89" s="27" t="s">
        <v>2180</v>
      </c>
      <c r="B89" s="3"/>
      <c r="C89" s="3" t="s">
        <v>953</v>
      </c>
      <c r="D89" s="3"/>
      <c r="E89" s="3" t="s">
        <v>51</v>
      </c>
      <c r="F89" s="3" t="s">
        <v>51</v>
      </c>
      <c r="G89" s="27"/>
      <c r="H89" s="11" t="s">
        <v>1172</v>
      </c>
      <c r="I89" s="16" t="s">
        <v>1124</v>
      </c>
      <c r="J89" s="3" t="s">
        <v>2078</v>
      </c>
      <c r="K89" s="3" t="s">
        <v>1646</v>
      </c>
      <c r="L89" s="3"/>
      <c r="M89" s="3" t="b">
        <v>0</v>
      </c>
      <c r="N89" s="3" t="b">
        <v>0</v>
      </c>
      <c r="O89" s="35"/>
    </row>
    <row r="90" spans="1:15" hidden="1" x14ac:dyDescent="0.3">
      <c r="A90" s="27" t="s">
        <v>2180</v>
      </c>
      <c r="B90" s="3"/>
      <c r="C90" s="3" t="s">
        <v>955</v>
      </c>
      <c r="D90" s="3"/>
      <c r="E90" s="3" t="s">
        <v>51</v>
      </c>
      <c r="F90" s="3" t="s">
        <v>51</v>
      </c>
      <c r="G90" s="27"/>
      <c r="H90" s="11" t="s">
        <v>1264</v>
      </c>
      <c r="I90" s="16" t="s">
        <v>1124</v>
      </c>
      <c r="J90" s="3" t="s">
        <v>2079</v>
      </c>
      <c r="K90" s="3" t="s">
        <v>1646</v>
      </c>
      <c r="L90" s="3"/>
      <c r="M90" s="3" t="b">
        <v>0</v>
      </c>
      <c r="N90" s="3" t="b">
        <v>0</v>
      </c>
      <c r="O90" s="35"/>
    </row>
    <row r="91" spans="1:15" hidden="1" x14ac:dyDescent="0.3">
      <c r="A91" s="27" t="s">
        <v>2180</v>
      </c>
      <c r="B91" s="3"/>
      <c r="C91" s="3" t="s">
        <v>957</v>
      </c>
      <c r="D91" s="3"/>
      <c r="E91" s="3" t="s">
        <v>51</v>
      </c>
      <c r="F91" s="3" t="s">
        <v>51</v>
      </c>
      <c r="G91" s="27"/>
      <c r="H91" s="11" t="s">
        <v>1266</v>
      </c>
      <c r="I91" s="16" t="s">
        <v>1124</v>
      </c>
      <c r="J91" s="3" t="s">
        <v>2080</v>
      </c>
      <c r="K91" s="3" t="s">
        <v>1646</v>
      </c>
      <c r="L91" s="3"/>
      <c r="M91" s="3" t="b">
        <v>0</v>
      </c>
      <c r="N91" s="3" t="b">
        <v>0</v>
      </c>
      <c r="O91" s="35"/>
    </row>
    <row r="92" spans="1:15" hidden="1" x14ac:dyDescent="0.3">
      <c r="A92" s="27" t="s">
        <v>2180</v>
      </c>
      <c r="B92" s="3"/>
      <c r="C92" s="3" t="s">
        <v>959</v>
      </c>
      <c r="D92" s="3"/>
      <c r="E92" s="3" t="s">
        <v>51</v>
      </c>
      <c r="F92" s="3" t="s">
        <v>51</v>
      </c>
      <c r="G92" s="27"/>
      <c r="H92" s="11" t="s">
        <v>1268</v>
      </c>
      <c r="I92" s="16" t="s">
        <v>1124</v>
      </c>
      <c r="J92" s="3" t="s">
        <v>2081</v>
      </c>
      <c r="K92" s="3" t="s">
        <v>1646</v>
      </c>
      <c r="L92" s="3"/>
      <c r="M92" s="3" t="b">
        <v>0</v>
      </c>
      <c r="N92" s="3" t="b">
        <v>0</v>
      </c>
      <c r="O92" s="35"/>
    </row>
    <row r="93" spans="1:15" hidden="1" x14ac:dyDescent="0.3">
      <c r="A93" s="27" t="s">
        <v>2180</v>
      </c>
      <c r="B93" s="3"/>
      <c r="C93" s="3" t="s">
        <v>1524</v>
      </c>
      <c r="D93" s="3"/>
      <c r="E93" s="3" t="s">
        <v>51</v>
      </c>
      <c r="F93" s="3" t="s">
        <v>51</v>
      </c>
      <c r="G93" s="27"/>
      <c r="H93" s="11" t="s">
        <v>1524</v>
      </c>
      <c r="I93" s="16" t="s">
        <v>1124</v>
      </c>
      <c r="J93" s="3" t="s">
        <v>1532</v>
      </c>
      <c r="K93" s="3" t="s">
        <v>1649</v>
      </c>
      <c r="L93" s="3"/>
      <c r="M93" s="3" t="b">
        <v>0</v>
      </c>
      <c r="N93" s="3" t="b">
        <v>0</v>
      </c>
      <c r="O93" s="35"/>
    </row>
    <row r="94" spans="1:15" hidden="1" x14ac:dyDescent="0.3">
      <c r="A94" s="27" t="s">
        <v>2180</v>
      </c>
      <c r="B94" s="3"/>
      <c r="C94" s="3" t="s">
        <v>1525</v>
      </c>
      <c r="D94" s="3"/>
      <c r="E94" s="3" t="s">
        <v>51</v>
      </c>
      <c r="F94" s="3" t="s">
        <v>51</v>
      </c>
      <c r="G94" s="27"/>
      <c r="H94" s="11" t="s">
        <v>1525</v>
      </c>
      <c r="I94" s="16" t="s">
        <v>1124</v>
      </c>
      <c r="J94" s="3" t="s">
        <v>1533</v>
      </c>
      <c r="K94" s="3" t="s">
        <v>1650</v>
      </c>
      <c r="L94" s="3"/>
      <c r="M94" s="3" t="b">
        <v>0</v>
      </c>
      <c r="N94" s="3" t="b">
        <v>0</v>
      </c>
      <c r="O94" s="35"/>
    </row>
    <row r="95" spans="1:15" hidden="1" x14ac:dyDescent="0.3">
      <c r="A95" s="27" t="s">
        <v>2180</v>
      </c>
      <c r="B95" s="3"/>
      <c r="C95" s="3" t="s">
        <v>925</v>
      </c>
      <c r="D95" s="3"/>
      <c r="E95" s="3" t="s">
        <v>51</v>
      </c>
      <c r="F95" s="3" t="s">
        <v>51</v>
      </c>
      <c r="G95" s="27"/>
      <c r="H95" s="11" t="s">
        <v>925</v>
      </c>
      <c r="I95" s="16" t="s">
        <v>1124</v>
      </c>
      <c r="J95" s="3" t="s">
        <v>926</v>
      </c>
      <c r="K95" s="3" t="s">
        <v>1635</v>
      </c>
      <c r="L95" s="3"/>
      <c r="M95" s="3" t="b">
        <v>1</v>
      </c>
      <c r="N95" s="3" t="b">
        <v>1</v>
      </c>
      <c r="O95" s="35"/>
    </row>
    <row r="96" spans="1:15" hidden="1" x14ac:dyDescent="0.3">
      <c r="A96" s="27" t="s">
        <v>2180</v>
      </c>
      <c r="B96" s="3"/>
      <c r="C96" s="3" t="s">
        <v>927</v>
      </c>
      <c r="D96" s="3"/>
      <c r="E96" s="3" t="s">
        <v>51</v>
      </c>
      <c r="F96" s="3" t="s">
        <v>51</v>
      </c>
      <c r="G96" s="27"/>
      <c r="H96" s="11" t="s">
        <v>927</v>
      </c>
      <c r="I96" s="16" t="s">
        <v>1124</v>
      </c>
      <c r="J96" s="3" t="s">
        <v>928</v>
      </c>
      <c r="K96" s="3" t="s">
        <v>1636</v>
      </c>
      <c r="L96" s="3"/>
      <c r="M96" s="3" t="b">
        <v>1</v>
      </c>
      <c r="N96" s="3" t="b">
        <v>1</v>
      </c>
      <c r="O96" s="35"/>
    </row>
    <row r="97" spans="1:15" hidden="1" x14ac:dyDescent="0.3">
      <c r="A97" s="27" t="s">
        <v>2180</v>
      </c>
      <c r="B97" s="3"/>
      <c r="C97" s="3" t="s">
        <v>1504</v>
      </c>
      <c r="D97" s="3"/>
      <c r="E97" s="3" t="s">
        <v>51</v>
      </c>
      <c r="F97" s="3" t="s">
        <v>51</v>
      </c>
      <c r="G97" s="27"/>
      <c r="H97" s="11"/>
      <c r="I97" s="16" t="s">
        <v>1124</v>
      </c>
      <c r="J97" s="3" t="s">
        <v>1508</v>
      </c>
      <c r="K97" s="3" t="s">
        <v>1637</v>
      </c>
      <c r="L97" s="3"/>
      <c r="M97" s="3" t="b">
        <v>0</v>
      </c>
      <c r="N97" s="3" t="b">
        <v>1</v>
      </c>
      <c r="O97" s="35"/>
    </row>
    <row r="98" spans="1:15" hidden="1" x14ac:dyDescent="0.3">
      <c r="A98" s="27" t="s">
        <v>2180</v>
      </c>
      <c r="B98" s="3"/>
      <c r="C98" s="3" t="s">
        <v>939</v>
      </c>
      <c r="D98" s="3"/>
      <c r="E98" s="3" t="s">
        <v>51</v>
      </c>
      <c r="F98" s="3" t="s">
        <v>51</v>
      </c>
      <c r="G98" s="27"/>
      <c r="H98" s="11" t="s">
        <v>1172</v>
      </c>
      <c r="I98" s="16" t="s">
        <v>1124</v>
      </c>
      <c r="J98" s="3" t="s">
        <v>1429</v>
      </c>
      <c r="K98" s="3" t="s">
        <v>1632</v>
      </c>
      <c r="L98" s="3"/>
      <c r="M98" s="3" t="b">
        <v>0</v>
      </c>
      <c r="N98" s="3" t="b">
        <v>0</v>
      </c>
      <c r="O98" s="35"/>
    </row>
    <row r="99" spans="1:15" hidden="1" x14ac:dyDescent="0.3">
      <c r="A99" s="27" t="s">
        <v>2180</v>
      </c>
      <c r="B99" s="3"/>
      <c r="C99" s="3" t="s">
        <v>935</v>
      </c>
      <c r="D99" s="3"/>
      <c r="E99" s="3" t="s">
        <v>51</v>
      </c>
      <c r="F99" s="3" t="s">
        <v>51</v>
      </c>
      <c r="G99" s="27"/>
      <c r="H99" s="11" t="s">
        <v>1172</v>
      </c>
      <c r="I99" s="16" t="s">
        <v>1124</v>
      </c>
      <c r="J99" s="3" t="s">
        <v>936</v>
      </c>
      <c r="K99" s="3" t="s">
        <v>1632</v>
      </c>
      <c r="L99" s="3"/>
      <c r="M99" s="3" t="b">
        <v>0</v>
      </c>
      <c r="N99" s="3" t="b">
        <v>0</v>
      </c>
      <c r="O99" s="35"/>
    </row>
    <row r="100" spans="1:15" hidden="1" x14ac:dyDescent="0.3">
      <c r="A100" s="27" t="s">
        <v>2180</v>
      </c>
      <c r="B100" s="3"/>
      <c r="C100" s="3" t="s">
        <v>1563</v>
      </c>
      <c r="D100" s="3"/>
      <c r="E100" s="3" t="s">
        <v>51</v>
      </c>
      <c r="F100" s="3" t="s">
        <v>51</v>
      </c>
      <c r="G100" s="27"/>
      <c r="H100" s="11" t="s">
        <v>1563</v>
      </c>
      <c r="I100" s="16" t="s">
        <v>1124</v>
      </c>
      <c r="J100" s="3" t="s">
        <v>1564</v>
      </c>
      <c r="K100" s="3" t="s">
        <v>1643</v>
      </c>
      <c r="L100" s="3"/>
      <c r="M100" s="3" t="b">
        <v>1</v>
      </c>
      <c r="N100" s="3" t="b">
        <v>1</v>
      </c>
      <c r="O100" s="35"/>
    </row>
    <row r="101" spans="1:15" hidden="1" x14ac:dyDescent="0.3">
      <c r="A101" s="27" t="s">
        <v>2180</v>
      </c>
      <c r="B101" s="3"/>
      <c r="C101" s="3" t="s">
        <v>1503</v>
      </c>
      <c r="D101" s="3"/>
      <c r="E101" s="3" t="s">
        <v>51</v>
      </c>
      <c r="F101" s="3" t="s">
        <v>51</v>
      </c>
      <c r="G101" s="27"/>
      <c r="H101" s="11"/>
      <c r="I101" s="16" t="s">
        <v>1124</v>
      </c>
      <c r="J101" s="3" t="s">
        <v>1507</v>
      </c>
      <c r="K101" s="3" t="s">
        <v>1644</v>
      </c>
      <c r="L101" s="3"/>
      <c r="M101" s="3" t="b">
        <v>0</v>
      </c>
      <c r="N101" s="3" t="b">
        <v>1</v>
      </c>
      <c r="O101" s="35"/>
    </row>
    <row r="102" spans="1:15" hidden="1" x14ac:dyDescent="0.3">
      <c r="A102" s="27" t="s">
        <v>2180</v>
      </c>
      <c r="B102" s="3"/>
      <c r="C102" s="3" t="s">
        <v>971</v>
      </c>
      <c r="D102" s="3"/>
      <c r="E102" s="3" t="s">
        <v>51</v>
      </c>
      <c r="F102" s="3" t="s">
        <v>51</v>
      </c>
      <c r="G102" s="27"/>
      <c r="H102" s="11" t="s">
        <v>1236</v>
      </c>
      <c r="I102" s="16" t="s">
        <v>1124</v>
      </c>
      <c r="J102" s="3" t="s">
        <v>972</v>
      </c>
      <c r="K102" s="3" t="s">
        <v>2099</v>
      </c>
      <c r="L102" s="3"/>
      <c r="M102" s="3" t="b">
        <v>0</v>
      </c>
      <c r="N102" s="3" t="b">
        <v>0</v>
      </c>
      <c r="O102" s="35"/>
    </row>
    <row r="103" spans="1:15" hidden="1" x14ac:dyDescent="0.3">
      <c r="A103" s="27" t="s">
        <v>2180</v>
      </c>
      <c r="B103" s="3"/>
      <c r="C103" s="3" t="s">
        <v>973</v>
      </c>
      <c r="D103" s="3"/>
      <c r="E103" s="3" t="s">
        <v>51</v>
      </c>
      <c r="F103" s="3" t="s">
        <v>51</v>
      </c>
      <c r="G103" s="27"/>
      <c r="H103" s="11" t="s">
        <v>1236</v>
      </c>
      <c r="I103" s="16" t="s">
        <v>1124</v>
      </c>
      <c r="J103" s="3" t="s">
        <v>974</v>
      </c>
      <c r="K103" s="3" t="s">
        <v>2100</v>
      </c>
      <c r="L103" s="3"/>
      <c r="M103" s="3" t="b">
        <v>0</v>
      </c>
      <c r="N103" s="3" t="b">
        <v>0</v>
      </c>
      <c r="O103" s="35"/>
    </row>
    <row r="104" spans="1:15" hidden="1" x14ac:dyDescent="0.3">
      <c r="A104" s="27" t="s">
        <v>2180</v>
      </c>
      <c r="B104" s="3"/>
      <c r="C104" s="3" t="s">
        <v>1941</v>
      </c>
      <c r="D104" s="3"/>
      <c r="E104" s="3" t="s">
        <v>51</v>
      </c>
      <c r="F104" s="3" t="s">
        <v>51</v>
      </c>
      <c r="G104" s="27"/>
      <c r="H104" s="11" t="s">
        <v>1236</v>
      </c>
      <c r="I104" s="16" t="s">
        <v>1124</v>
      </c>
      <c r="J104" s="3" t="s">
        <v>1952</v>
      </c>
      <c r="K104" s="3" t="s">
        <v>1654</v>
      </c>
      <c r="L104" s="3"/>
      <c r="M104" s="3" t="b">
        <v>0</v>
      </c>
      <c r="N104" s="3" t="b">
        <v>0</v>
      </c>
      <c r="O104" s="35"/>
    </row>
    <row r="105" spans="1:15" hidden="1" x14ac:dyDescent="0.3">
      <c r="A105" s="27" t="s">
        <v>2180</v>
      </c>
      <c r="B105" s="3"/>
      <c r="C105" s="3" t="s">
        <v>975</v>
      </c>
      <c r="D105" s="3"/>
      <c r="E105" s="3" t="s">
        <v>51</v>
      </c>
      <c r="F105" s="3" t="s">
        <v>51</v>
      </c>
      <c r="G105" s="27"/>
      <c r="H105" s="11" t="s">
        <v>1236</v>
      </c>
      <c r="I105" s="16" t="s">
        <v>1124</v>
      </c>
      <c r="J105" s="3" t="s">
        <v>1753</v>
      </c>
      <c r="K105" s="3" t="s">
        <v>1655</v>
      </c>
      <c r="L105" s="3"/>
      <c r="M105" s="3" t="b">
        <v>0</v>
      </c>
      <c r="N105" s="3" t="b">
        <v>0</v>
      </c>
      <c r="O105" s="35"/>
    </row>
    <row r="106" spans="1:15" hidden="1" x14ac:dyDescent="0.3">
      <c r="A106" s="27" t="s">
        <v>2181</v>
      </c>
      <c r="B106" s="3"/>
      <c r="C106" s="3" t="s">
        <v>941</v>
      </c>
      <c r="D106" s="3"/>
      <c r="E106" s="3" t="s">
        <v>51</v>
      </c>
      <c r="F106" s="3" t="s">
        <v>51</v>
      </c>
      <c r="G106" s="27"/>
      <c r="H106" s="11" t="s">
        <v>1172</v>
      </c>
      <c r="I106" s="16" t="s">
        <v>1124</v>
      </c>
      <c r="J106" s="3" t="s">
        <v>2067</v>
      </c>
      <c r="K106" s="3" t="s">
        <v>1645</v>
      </c>
      <c r="L106" s="3"/>
      <c r="M106" s="3" t="b">
        <v>0</v>
      </c>
      <c r="N106" s="3" t="b">
        <v>0</v>
      </c>
      <c r="O106" s="35"/>
    </row>
    <row r="107" spans="1:15" hidden="1" x14ac:dyDescent="0.3">
      <c r="A107" s="27" t="s">
        <v>2181</v>
      </c>
      <c r="B107" s="3"/>
      <c r="C107" s="3" t="s">
        <v>1522</v>
      </c>
      <c r="D107" s="3"/>
      <c r="E107" s="3" t="s">
        <v>51</v>
      </c>
      <c r="F107" s="3" t="s">
        <v>51</v>
      </c>
      <c r="G107" s="27"/>
      <c r="H107" s="11" t="s">
        <v>1522</v>
      </c>
      <c r="I107" s="16" t="s">
        <v>1124</v>
      </c>
      <c r="J107" s="3" t="s">
        <v>1529</v>
      </c>
      <c r="K107" s="3" t="s">
        <v>1653</v>
      </c>
      <c r="L107" s="3"/>
      <c r="M107" s="3" t="b">
        <v>0</v>
      </c>
      <c r="N107" s="3" t="b">
        <v>0</v>
      </c>
      <c r="O107" s="35"/>
    </row>
    <row r="108" spans="1:15" hidden="1" x14ac:dyDescent="0.3">
      <c r="A108" s="27" t="s">
        <v>2181</v>
      </c>
      <c r="B108" s="3"/>
      <c r="C108" s="3" t="s">
        <v>2084</v>
      </c>
      <c r="D108" s="3"/>
      <c r="E108" s="3" t="s">
        <v>51</v>
      </c>
      <c r="F108" s="3" t="s">
        <v>51</v>
      </c>
      <c r="G108" s="27"/>
      <c r="H108" s="11" t="s">
        <v>2084</v>
      </c>
      <c r="I108" s="16" t="s">
        <v>1124</v>
      </c>
      <c r="J108" s="3" t="s">
        <v>2085</v>
      </c>
      <c r="K108" s="3" t="s">
        <v>2088</v>
      </c>
      <c r="L108" s="3"/>
      <c r="M108" s="3" t="b">
        <v>0</v>
      </c>
      <c r="N108" s="3" t="b">
        <v>1</v>
      </c>
      <c r="O108" s="35"/>
    </row>
    <row r="109" spans="1:15" hidden="1" x14ac:dyDescent="0.3">
      <c r="A109" s="27" t="s">
        <v>858</v>
      </c>
      <c r="B109" s="3"/>
      <c r="C109" s="1" t="s">
        <v>941</v>
      </c>
      <c r="D109" s="3"/>
      <c r="E109" s="3" t="str" cm="1">
        <f t="array" ref="E109">IF(_xlfn.XLOOKUP(PUPILS[[#This Row],[FinanceCode]],FC[FinanceCode],FC[AvailableToAllSchools])=TRUE,(_xlfn.XLOOKUP(PUPILS[[#This Row],[FinanceCode]],FC[FinanceCode],FC[LedgerCode])),_xlfn.XLOOKUP(1,(FC[FinanceCode]=PUPILS[[#This Row],[FinanceCode]])*(IF(FIND(PUPILS[[#This Row],[SchoolCode]],FC[SchoolCodes])&gt;=1,1,0)),FC[LedgerCode]))</f>
        <v>DEFAULT</v>
      </c>
      <c r="F109" s="3" t="s">
        <v>51</v>
      </c>
      <c r="G109" s="27"/>
      <c r="H109" s="16" t="s">
        <v>1172</v>
      </c>
      <c r="I109" s="3" t="s">
        <v>1124</v>
      </c>
      <c r="J109" s="3" t="s">
        <v>2067</v>
      </c>
      <c r="K109" s="3" t="s">
        <v>1645</v>
      </c>
      <c r="L109" s="3"/>
      <c r="M109" s="3" t="b">
        <v>0</v>
      </c>
      <c r="N109" s="3" t="b">
        <v>0</v>
      </c>
      <c r="O109" s="35"/>
    </row>
    <row r="110" spans="1:15" hidden="1" x14ac:dyDescent="0.3">
      <c r="A110" s="27" t="s">
        <v>858</v>
      </c>
      <c r="B110" s="3"/>
      <c r="C110" s="1" t="s">
        <v>943</v>
      </c>
      <c r="D110" s="3"/>
      <c r="E110" s="3" t="str" cm="1">
        <f t="array" ref="E110">IF(_xlfn.XLOOKUP(PUPILS[[#This Row],[FinanceCode]],FC[FinanceCode],FC[AvailableToAllSchools])=TRUE,(_xlfn.XLOOKUP(PUPILS[[#This Row],[FinanceCode]],FC[FinanceCode],FC[LedgerCode])),_xlfn.XLOOKUP(1,(FC[FinanceCode]=PUPILS[[#This Row],[FinanceCode]])*(IF(FIND(PUPILS[[#This Row],[SchoolCode]],FC[SchoolCodes])&gt;=1,1,0)),FC[LedgerCode]))</f>
        <v>DEFAULT</v>
      </c>
      <c r="F110" s="3" t="s">
        <v>51</v>
      </c>
      <c r="G110" s="27"/>
      <c r="H110" s="16" t="s">
        <v>1172</v>
      </c>
      <c r="I110" s="3" t="s">
        <v>1124</v>
      </c>
      <c r="J110" s="3" t="s">
        <v>2068</v>
      </c>
      <c r="K110" s="3" t="s">
        <v>1646</v>
      </c>
      <c r="L110" s="3"/>
      <c r="M110" s="3" t="b">
        <v>0</v>
      </c>
      <c r="N110" s="3" t="b">
        <v>0</v>
      </c>
      <c r="O110" s="35"/>
    </row>
    <row r="111" spans="1:15" hidden="1" x14ac:dyDescent="0.3">
      <c r="A111" s="27" t="s">
        <v>858</v>
      </c>
      <c r="B111" s="3"/>
      <c r="C111" s="1" t="s">
        <v>945</v>
      </c>
      <c r="D111" s="3"/>
      <c r="E111" s="3" t="str" cm="1">
        <f t="array" ref="E111">IF(_xlfn.XLOOKUP(PUPILS[[#This Row],[FinanceCode]],FC[FinanceCode],FC[AvailableToAllSchools])=TRUE,(_xlfn.XLOOKUP(PUPILS[[#This Row],[FinanceCode]],FC[FinanceCode],FC[LedgerCode])),_xlfn.XLOOKUP(1,(FC[FinanceCode]=PUPILS[[#This Row],[FinanceCode]])*(IF(FIND(PUPILS[[#This Row],[SchoolCode]],FC[SchoolCodes])&gt;=1,1,0)),FC[LedgerCode]))</f>
        <v>DEFAULT</v>
      </c>
      <c r="F111" s="3" t="s">
        <v>51</v>
      </c>
      <c r="G111" s="27"/>
      <c r="H111" s="11" t="s">
        <v>1254</v>
      </c>
      <c r="I111" s="3" t="s">
        <v>1124</v>
      </c>
      <c r="J111" s="3" t="s">
        <v>2069</v>
      </c>
      <c r="K111" s="3" t="s">
        <v>1646</v>
      </c>
      <c r="L111" s="3"/>
      <c r="M111" s="3" t="b">
        <v>0</v>
      </c>
      <c r="N111" s="3" t="b">
        <v>0</v>
      </c>
      <c r="O111" s="35"/>
    </row>
    <row r="112" spans="1:15" hidden="1" x14ac:dyDescent="0.3">
      <c r="A112" s="27" t="s">
        <v>858</v>
      </c>
      <c r="B112" s="3"/>
      <c r="C112" s="1" t="s">
        <v>947</v>
      </c>
      <c r="D112" s="3"/>
      <c r="E112" s="3" t="str" cm="1">
        <f t="array" ref="E112">IF(_xlfn.XLOOKUP(PUPILS[[#This Row],[FinanceCode]],FC[FinanceCode],FC[AvailableToAllSchools])=TRUE,(_xlfn.XLOOKUP(PUPILS[[#This Row],[FinanceCode]],FC[FinanceCode],FC[LedgerCode])),_xlfn.XLOOKUP(1,(FC[FinanceCode]=PUPILS[[#This Row],[FinanceCode]])*(IF(FIND(PUPILS[[#This Row],[SchoolCode]],FC[SchoolCodes])&gt;=1,1,0)),FC[LedgerCode]))</f>
        <v>DEFAULT</v>
      </c>
      <c r="F112" s="3" t="s">
        <v>51</v>
      </c>
      <c r="G112" s="27"/>
      <c r="H112" s="11" t="s">
        <v>1256</v>
      </c>
      <c r="I112" s="3" t="s">
        <v>1124</v>
      </c>
      <c r="J112" s="3" t="s">
        <v>2075</v>
      </c>
      <c r="K112" s="3" t="s">
        <v>1646</v>
      </c>
      <c r="L112" s="3"/>
      <c r="M112" s="3" t="b">
        <v>0</v>
      </c>
      <c r="N112" s="3" t="b">
        <v>0</v>
      </c>
      <c r="O112" s="35"/>
    </row>
    <row r="113" spans="1:15" hidden="1" x14ac:dyDescent="0.3">
      <c r="A113" s="27" t="s">
        <v>858</v>
      </c>
      <c r="B113" s="3"/>
      <c r="C113" s="1" t="s">
        <v>949</v>
      </c>
      <c r="D113" s="3"/>
      <c r="E113" s="3" t="str" cm="1">
        <f t="array" ref="E113">IF(_xlfn.XLOOKUP(PUPILS[[#This Row],[FinanceCode]],FC[FinanceCode],FC[AvailableToAllSchools])=TRUE,(_xlfn.XLOOKUP(PUPILS[[#This Row],[FinanceCode]],FC[FinanceCode],FC[LedgerCode])),_xlfn.XLOOKUP(1,(FC[FinanceCode]=PUPILS[[#This Row],[FinanceCode]])*(IF(FIND(PUPILS[[#This Row],[SchoolCode]],FC[SchoolCodes])&gt;=1,1,0)),FC[LedgerCode]))</f>
        <v>DEFAULT</v>
      </c>
      <c r="F113" s="3" t="s">
        <v>51</v>
      </c>
      <c r="G113" s="27"/>
      <c r="H113" s="11" t="s">
        <v>1258</v>
      </c>
      <c r="I113" s="3" t="s">
        <v>1124</v>
      </c>
      <c r="J113" s="3" t="s">
        <v>2076</v>
      </c>
      <c r="K113" s="3" t="s">
        <v>1646</v>
      </c>
      <c r="L113" s="3"/>
      <c r="M113" s="3" t="b">
        <v>0</v>
      </c>
      <c r="N113" s="3" t="b">
        <v>0</v>
      </c>
      <c r="O113" s="35"/>
    </row>
    <row r="114" spans="1:15" hidden="1" x14ac:dyDescent="0.3">
      <c r="A114" s="27" t="s">
        <v>858</v>
      </c>
      <c r="B114" s="3"/>
      <c r="C114" s="1" t="s">
        <v>951</v>
      </c>
      <c r="D114" s="3"/>
      <c r="E114" s="3" t="str" cm="1">
        <f t="array" ref="E114">IF(_xlfn.XLOOKUP(PUPILS[[#This Row],[FinanceCode]],FC[FinanceCode],FC[AvailableToAllSchools])=TRUE,(_xlfn.XLOOKUP(PUPILS[[#This Row],[FinanceCode]],FC[FinanceCode],FC[LedgerCode])),_xlfn.XLOOKUP(1,(FC[FinanceCode]=PUPILS[[#This Row],[FinanceCode]])*(IF(FIND(PUPILS[[#This Row],[SchoolCode]],FC[SchoolCodes])&gt;=1,1,0)),FC[LedgerCode]))</f>
        <v>DEFAULT</v>
      </c>
      <c r="F114" s="3" t="s">
        <v>51</v>
      </c>
      <c r="G114" s="27"/>
      <c r="H114" s="11" t="s">
        <v>1260</v>
      </c>
      <c r="I114" s="3" t="s">
        <v>1124</v>
      </c>
      <c r="J114" s="3" t="s">
        <v>2077</v>
      </c>
      <c r="K114" s="3" t="s">
        <v>1646</v>
      </c>
      <c r="L114" s="3"/>
      <c r="M114" s="3" t="b">
        <v>0</v>
      </c>
      <c r="N114" s="3" t="b">
        <v>0</v>
      </c>
      <c r="O114" s="35"/>
    </row>
    <row r="115" spans="1:15" hidden="1" x14ac:dyDescent="0.3">
      <c r="A115" s="27" t="s">
        <v>858</v>
      </c>
      <c r="B115" s="3"/>
      <c r="C115" s="1" t="s">
        <v>953</v>
      </c>
      <c r="D115" s="3"/>
      <c r="E115" s="3" t="str" cm="1">
        <f t="array" ref="E115">IF(_xlfn.XLOOKUP(PUPILS[[#This Row],[FinanceCode]],FC[FinanceCode],FC[AvailableToAllSchools])=TRUE,(_xlfn.XLOOKUP(PUPILS[[#This Row],[FinanceCode]],FC[FinanceCode],FC[LedgerCode])),_xlfn.XLOOKUP(1,(FC[FinanceCode]=PUPILS[[#This Row],[FinanceCode]])*(IF(FIND(PUPILS[[#This Row],[SchoolCode]],FC[SchoolCodes])&gt;=1,1,0)),FC[LedgerCode]))</f>
        <v>DEFAULT</v>
      </c>
      <c r="F115" s="3" t="s">
        <v>51</v>
      </c>
      <c r="G115" s="27"/>
      <c r="H115" s="11" t="s">
        <v>1262</v>
      </c>
      <c r="I115" s="3" t="s">
        <v>1124</v>
      </c>
      <c r="J115" s="3" t="s">
        <v>2078</v>
      </c>
      <c r="K115" s="3" t="s">
        <v>1646</v>
      </c>
      <c r="L115" s="3"/>
      <c r="M115" s="3" t="b">
        <v>0</v>
      </c>
      <c r="N115" s="3" t="b">
        <v>0</v>
      </c>
      <c r="O115" s="35"/>
    </row>
    <row r="116" spans="1:15" hidden="1" x14ac:dyDescent="0.3">
      <c r="A116" s="27" t="s">
        <v>858</v>
      </c>
      <c r="B116" s="3"/>
      <c r="C116" s="1" t="s">
        <v>955</v>
      </c>
      <c r="D116" s="3"/>
      <c r="E116" s="3" t="str" cm="1">
        <f t="array" ref="E116">IF(_xlfn.XLOOKUP(PUPILS[[#This Row],[FinanceCode]],FC[FinanceCode],FC[AvailableToAllSchools])=TRUE,(_xlfn.XLOOKUP(PUPILS[[#This Row],[FinanceCode]],FC[FinanceCode],FC[LedgerCode])),_xlfn.XLOOKUP(1,(FC[FinanceCode]=PUPILS[[#This Row],[FinanceCode]])*(IF(FIND(PUPILS[[#This Row],[SchoolCode]],FC[SchoolCodes])&gt;=1,1,0)),FC[LedgerCode]))</f>
        <v>DEFAULT</v>
      </c>
      <c r="F116" s="3" t="s">
        <v>51</v>
      </c>
      <c r="G116" s="27"/>
      <c r="H116" s="11" t="s">
        <v>1264</v>
      </c>
      <c r="I116" s="3" t="s">
        <v>1124</v>
      </c>
      <c r="J116" s="3" t="s">
        <v>2079</v>
      </c>
      <c r="K116" s="3" t="s">
        <v>1646</v>
      </c>
      <c r="L116" s="3"/>
      <c r="M116" s="3" t="b">
        <v>0</v>
      </c>
      <c r="N116" s="3" t="b">
        <v>0</v>
      </c>
      <c r="O116" s="35"/>
    </row>
    <row r="117" spans="1:15" hidden="1" x14ac:dyDescent="0.3">
      <c r="A117" s="27" t="s">
        <v>858</v>
      </c>
      <c r="B117" s="3"/>
      <c r="C117" s="1" t="s">
        <v>1528</v>
      </c>
      <c r="D117" s="3"/>
      <c r="E117" s="3" t="str" cm="1">
        <f t="array" ref="E117">IF(_xlfn.XLOOKUP(PUPILS[[#This Row],[FinanceCode]],FC[FinanceCode],FC[AvailableToAllSchools])=TRUE,(_xlfn.XLOOKUP(PUPILS[[#This Row],[FinanceCode]],FC[FinanceCode],FC[LedgerCode])),_xlfn.XLOOKUP(1,(FC[FinanceCode]=PUPILS[[#This Row],[FinanceCode]])*(IF(FIND(PUPILS[[#This Row],[SchoolCode]],FC[SchoolCodes])&gt;=1,1,0)),FC[LedgerCode]))</f>
        <v>DEFAULT</v>
      </c>
      <c r="F117" s="3" t="s">
        <v>51</v>
      </c>
      <c r="G117" s="27"/>
      <c r="H117" s="1" t="s">
        <v>1528</v>
      </c>
      <c r="I117" s="3" t="s">
        <v>1124</v>
      </c>
      <c r="J117" s="3" t="s">
        <v>1530</v>
      </c>
      <c r="K117" s="3" t="s">
        <v>1647</v>
      </c>
      <c r="L117" s="3"/>
      <c r="M117" s="3" t="b">
        <v>0</v>
      </c>
      <c r="N117" s="3" t="b">
        <v>0</v>
      </c>
      <c r="O117" s="35"/>
    </row>
    <row r="118" spans="1:15" hidden="1" x14ac:dyDescent="0.3">
      <c r="A118" s="27" t="s">
        <v>858</v>
      </c>
      <c r="B118" s="3"/>
      <c r="C118" s="1" t="s">
        <v>1523</v>
      </c>
      <c r="D118" s="3"/>
      <c r="E118" s="3" t="str" cm="1">
        <f t="array" ref="E118">IF(_xlfn.XLOOKUP(PUPILS[[#This Row],[FinanceCode]],FC[FinanceCode],FC[AvailableToAllSchools])=TRUE,(_xlfn.XLOOKUP(PUPILS[[#This Row],[FinanceCode]],FC[FinanceCode],FC[LedgerCode])),_xlfn.XLOOKUP(1,(FC[FinanceCode]=PUPILS[[#This Row],[FinanceCode]])*(IF(FIND(PUPILS[[#This Row],[SchoolCode]],FC[SchoolCodes])&gt;=1,1,0)),FC[LedgerCode]))</f>
        <v>DEFAULT</v>
      </c>
      <c r="F118" s="3" t="s">
        <v>51</v>
      </c>
      <c r="G118" s="27"/>
      <c r="H118" s="1" t="s">
        <v>1523</v>
      </c>
      <c r="I118" s="3" t="s">
        <v>1124</v>
      </c>
      <c r="J118" s="3" t="s">
        <v>1531</v>
      </c>
      <c r="K118" s="3" t="s">
        <v>1648</v>
      </c>
      <c r="L118" s="3"/>
      <c r="M118" s="3" t="b">
        <v>0</v>
      </c>
      <c r="N118" s="3" t="b">
        <v>0</v>
      </c>
      <c r="O118" s="35"/>
    </row>
    <row r="119" spans="1:15" hidden="1" x14ac:dyDescent="0.3">
      <c r="A119" s="27" t="s">
        <v>858</v>
      </c>
      <c r="B119" s="3"/>
      <c r="C119" s="1" t="s">
        <v>1524</v>
      </c>
      <c r="D119" s="3"/>
      <c r="E119" s="3" t="str" cm="1">
        <f t="array" ref="E119">IF(_xlfn.XLOOKUP(PUPILS[[#This Row],[FinanceCode]],FC[FinanceCode],FC[AvailableToAllSchools])=TRUE,(_xlfn.XLOOKUP(PUPILS[[#This Row],[FinanceCode]],FC[FinanceCode],FC[LedgerCode])),_xlfn.XLOOKUP(1,(FC[FinanceCode]=PUPILS[[#This Row],[FinanceCode]])*(IF(FIND(PUPILS[[#This Row],[SchoolCode]],FC[SchoolCodes])&gt;=1,1,0)),FC[LedgerCode]))</f>
        <v>DEFAULT</v>
      </c>
      <c r="F119" s="3" t="s">
        <v>51</v>
      </c>
      <c r="G119" s="27"/>
      <c r="H119" s="1" t="s">
        <v>1524</v>
      </c>
      <c r="I119" s="3" t="s">
        <v>1124</v>
      </c>
      <c r="J119" s="3" t="s">
        <v>1532</v>
      </c>
      <c r="K119" s="3" t="s">
        <v>1649</v>
      </c>
      <c r="L119" s="3"/>
      <c r="M119" s="3" t="b">
        <v>0</v>
      </c>
      <c r="N119" s="3" t="b">
        <v>0</v>
      </c>
      <c r="O119" s="35"/>
    </row>
    <row r="120" spans="1:15" hidden="1" x14ac:dyDescent="0.3">
      <c r="A120" s="27" t="s">
        <v>858</v>
      </c>
      <c r="B120" s="3"/>
      <c r="C120" s="1" t="s">
        <v>1522</v>
      </c>
      <c r="D120" s="3"/>
      <c r="E120" s="3" t="str" cm="1">
        <f t="array" ref="E120">IF(_xlfn.XLOOKUP(PUPILS[[#This Row],[FinanceCode]],FC[FinanceCode],FC[AvailableToAllSchools])=TRUE,(_xlfn.XLOOKUP(PUPILS[[#This Row],[FinanceCode]],FC[FinanceCode],FC[LedgerCode])),_xlfn.XLOOKUP(1,(FC[FinanceCode]=PUPILS[[#This Row],[FinanceCode]])*(IF(FIND(PUPILS[[#This Row],[SchoolCode]],FC[SchoolCodes])&gt;=1,1,0)),FC[LedgerCode]))</f>
        <v>DEFAULT</v>
      </c>
      <c r="F120" s="3" t="s">
        <v>51</v>
      </c>
      <c r="G120" s="27"/>
      <c r="H120" s="1" t="s">
        <v>1522</v>
      </c>
      <c r="I120" s="3" t="s">
        <v>1124</v>
      </c>
      <c r="J120" s="3" t="s">
        <v>1529</v>
      </c>
      <c r="K120" s="3" t="s">
        <v>1653</v>
      </c>
      <c r="L120" s="3"/>
      <c r="M120" s="3" t="b">
        <v>0</v>
      </c>
      <c r="N120" s="3" t="b">
        <v>0</v>
      </c>
      <c r="O120" s="35"/>
    </row>
    <row r="121" spans="1:15" x14ac:dyDescent="0.3">
      <c r="A121" s="27" t="s">
        <v>858</v>
      </c>
      <c r="B121" s="3"/>
      <c r="C121" s="3" t="s">
        <v>1554</v>
      </c>
      <c r="D121" s="3"/>
      <c r="E121" s="3" t="str" cm="1">
        <f t="array" ref="E121">IF(_xlfn.XLOOKUP(PUPILS[[#This Row],[FinanceCode]],FC[FinanceCode],FC[AvailableToAllSchools])=TRUE,(_xlfn.XLOOKUP(PUPILS[[#This Row],[FinanceCode]],FC[FinanceCode],FC[LedgerCode])),_xlfn.XLOOKUP(1,(FC[FinanceCode]=PUPILS[[#This Row],[FinanceCode]])*(IF(FIND(PUPILS[[#This Row],[SchoolCode]],FC[SchoolCodes])&gt;=1,1,0)),FC[LedgerCode]))</f>
        <v>DEFAULT</v>
      </c>
      <c r="F121" s="3" t="s">
        <v>51</v>
      </c>
      <c r="G121" s="27"/>
      <c r="H121" s="11" t="s">
        <v>1309</v>
      </c>
      <c r="I121" s="16" t="s">
        <v>1124</v>
      </c>
      <c r="J121" s="3" t="s">
        <v>1555</v>
      </c>
      <c r="K121" s="3" t="s">
        <v>2092</v>
      </c>
      <c r="L121" s="3"/>
      <c r="M121" s="3" t="b">
        <v>0</v>
      </c>
      <c r="N121" s="3" t="b">
        <v>0</v>
      </c>
      <c r="O121" s="35"/>
    </row>
    <row r="122" spans="1:15" x14ac:dyDescent="0.3">
      <c r="A122" s="27" t="s">
        <v>858</v>
      </c>
      <c r="B122" s="3"/>
      <c r="C122" s="3" t="s">
        <v>1556</v>
      </c>
      <c r="D122" s="3"/>
      <c r="E122" s="3" t="str" cm="1">
        <f t="array" ref="E122">IF(_xlfn.XLOOKUP(PUPILS[[#This Row],[FinanceCode]],FC[FinanceCode],FC[AvailableToAllSchools])=TRUE,(_xlfn.XLOOKUP(PUPILS[[#This Row],[FinanceCode]],FC[FinanceCode],FC[LedgerCode])),_xlfn.XLOOKUP(1,(FC[FinanceCode]=PUPILS[[#This Row],[FinanceCode]])*(IF(FIND(PUPILS[[#This Row],[SchoolCode]],FC[SchoolCodes])&gt;=1,1,0)),FC[LedgerCode]))</f>
        <v>DEFAULT</v>
      </c>
      <c r="F122" s="3" t="s">
        <v>51</v>
      </c>
      <c r="G122" s="27"/>
      <c r="H122" s="11" t="s">
        <v>1309</v>
      </c>
      <c r="I122" s="16" t="s">
        <v>1124</v>
      </c>
      <c r="J122" s="3" t="s">
        <v>1557</v>
      </c>
      <c r="K122" s="3" t="s">
        <v>2092</v>
      </c>
      <c r="L122" s="3"/>
      <c r="M122" s="3" t="b">
        <v>0</v>
      </c>
      <c r="N122" s="3" t="b">
        <v>0</v>
      </c>
      <c r="O122" s="35"/>
    </row>
    <row r="123" spans="1:15" hidden="1" x14ac:dyDescent="0.3">
      <c r="A123" s="27" t="s">
        <v>858</v>
      </c>
      <c r="B123" s="3"/>
      <c r="C123" s="3" t="s">
        <v>920</v>
      </c>
      <c r="D123" s="3"/>
      <c r="E123" s="3" t="str" cm="1">
        <f t="array" ref="E123">IF(_xlfn.XLOOKUP(PUPILS[[#This Row],[FinanceCode]],FC[FinanceCode],FC[AvailableToAllSchools])=TRUE,(_xlfn.XLOOKUP(PUPILS[[#This Row],[FinanceCode]],FC[FinanceCode],FC[LedgerCode])),_xlfn.XLOOKUP(1,(FC[FinanceCode]=PUPILS[[#This Row],[FinanceCode]])*(IF(FIND(PUPILS[[#This Row],[SchoolCode]],FC[SchoolCodes])&gt;=1,1,0)),FC[LedgerCode]))</f>
        <v>DEFAULT</v>
      </c>
      <c r="F123" s="3" t="s">
        <v>51</v>
      </c>
      <c r="G123" s="27"/>
      <c r="H123" s="11" t="s">
        <v>920</v>
      </c>
      <c r="I123" s="3" t="s">
        <v>1124</v>
      </c>
      <c r="J123" s="3" t="s">
        <v>921</v>
      </c>
      <c r="K123" s="3" t="s">
        <v>1633</v>
      </c>
      <c r="L123" s="3"/>
      <c r="M123" s="3" t="b">
        <v>1</v>
      </c>
      <c r="N123" s="3" t="b">
        <v>1</v>
      </c>
      <c r="O123" s="35"/>
    </row>
    <row r="124" spans="1:15" hidden="1" x14ac:dyDescent="0.3">
      <c r="A124" s="27" t="s">
        <v>858</v>
      </c>
      <c r="B124" s="3"/>
      <c r="C124" s="1" t="s">
        <v>923</v>
      </c>
      <c r="D124" s="3"/>
      <c r="E124" s="3" t="str" cm="1">
        <f t="array" ref="E124">IF(_xlfn.XLOOKUP(PUPILS[[#This Row],[FinanceCode]],FC[FinanceCode],FC[AvailableToAllSchools])=TRUE,(_xlfn.XLOOKUP(PUPILS[[#This Row],[FinanceCode]],FC[FinanceCode],FC[LedgerCode])),_xlfn.XLOOKUP(1,(FC[FinanceCode]=PUPILS[[#This Row],[FinanceCode]])*(IF(FIND(PUPILS[[#This Row],[SchoolCode]],FC[SchoolCodes])&gt;=1,1,0)),FC[LedgerCode]))</f>
        <v>DEFAULT</v>
      </c>
      <c r="F124" s="3" t="s">
        <v>51</v>
      </c>
      <c r="G124" s="27"/>
      <c r="H124" s="1" t="s">
        <v>923</v>
      </c>
      <c r="I124" s="3" t="s">
        <v>1124</v>
      </c>
      <c r="J124" s="3" t="s">
        <v>924</v>
      </c>
      <c r="K124" s="3" t="s">
        <v>1634</v>
      </c>
      <c r="L124" s="3"/>
      <c r="M124" s="3" t="b">
        <v>1</v>
      </c>
      <c r="N124" s="3" t="b">
        <v>1</v>
      </c>
      <c r="O124" s="35"/>
    </row>
    <row r="125" spans="1:15" hidden="1" x14ac:dyDescent="0.3">
      <c r="A125" s="27" t="s">
        <v>858</v>
      </c>
      <c r="B125" s="3"/>
      <c r="C125" s="1" t="s">
        <v>925</v>
      </c>
      <c r="D125" s="3"/>
      <c r="E125" s="3" t="str" cm="1">
        <f t="array" ref="E125">IF(_xlfn.XLOOKUP(PUPILS[[#This Row],[FinanceCode]],FC[FinanceCode],FC[AvailableToAllSchools])=TRUE,(_xlfn.XLOOKUP(PUPILS[[#This Row],[FinanceCode]],FC[FinanceCode],FC[LedgerCode])),_xlfn.XLOOKUP(1,(FC[FinanceCode]=PUPILS[[#This Row],[FinanceCode]])*(IF(FIND(PUPILS[[#This Row],[SchoolCode]],FC[SchoolCodes])&gt;=1,1,0)),FC[LedgerCode]))</f>
        <v>DEFAULT</v>
      </c>
      <c r="F125" s="3" t="s">
        <v>51</v>
      </c>
      <c r="G125" s="27"/>
      <c r="H125" s="1" t="s">
        <v>925</v>
      </c>
      <c r="I125" s="3" t="s">
        <v>1124</v>
      </c>
      <c r="J125" s="3" t="s">
        <v>926</v>
      </c>
      <c r="K125" s="3" t="s">
        <v>1635</v>
      </c>
      <c r="L125" s="3"/>
      <c r="M125" s="3" t="b">
        <v>1</v>
      </c>
      <c r="N125" s="3" t="b">
        <v>1</v>
      </c>
      <c r="O125" s="35"/>
    </row>
    <row r="126" spans="1:15" hidden="1" x14ac:dyDescent="0.3">
      <c r="A126" s="27" t="s">
        <v>858</v>
      </c>
      <c r="B126" s="3"/>
      <c r="C126" s="1" t="s">
        <v>939</v>
      </c>
      <c r="D126" s="3"/>
      <c r="E126" s="3" t="str" cm="1">
        <f t="array" ref="E126">IF(_xlfn.XLOOKUP(PUPILS[[#This Row],[FinanceCode]],FC[FinanceCode],FC[AvailableToAllSchools])=TRUE,(_xlfn.XLOOKUP(PUPILS[[#This Row],[FinanceCode]],FC[FinanceCode],FC[LedgerCode])),_xlfn.XLOOKUP(1,(FC[FinanceCode]=PUPILS[[#This Row],[FinanceCode]])*(IF(FIND(PUPILS[[#This Row],[SchoolCode]],FC[SchoolCodes])&gt;=1,1,0)),FC[LedgerCode]))</f>
        <v>DEFAULT</v>
      </c>
      <c r="F126" s="3" t="s">
        <v>51</v>
      </c>
      <c r="G126" s="27"/>
      <c r="H126" s="16" t="s">
        <v>1172</v>
      </c>
      <c r="I126" s="3" t="s">
        <v>1124</v>
      </c>
      <c r="J126" s="3" t="s">
        <v>1429</v>
      </c>
      <c r="K126" s="3" t="s">
        <v>1632</v>
      </c>
      <c r="L126" s="3"/>
      <c r="M126" s="3" t="b">
        <v>0</v>
      </c>
      <c r="N126" s="3" t="b">
        <v>0</v>
      </c>
      <c r="O126" s="35"/>
    </row>
    <row r="127" spans="1:15" hidden="1" x14ac:dyDescent="0.3">
      <c r="A127" s="27" t="s">
        <v>858</v>
      </c>
      <c r="B127" s="3"/>
      <c r="C127" s="1" t="s">
        <v>935</v>
      </c>
      <c r="D127" s="3"/>
      <c r="E127" s="3" t="str" cm="1">
        <f t="array" ref="E127">IF(_xlfn.XLOOKUP(PUPILS[[#This Row],[FinanceCode]],FC[FinanceCode],FC[AvailableToAllSchools])=TRUE,(_xlfn.XLOOKUP(PUPILS[[#This Row],[FinanceCode]],FC[FinanceCode],FC[LedgerCode])),_xlfn.XLOOKUP(1,(FC[FinanceCode]=PUPILS[[#This Row],[FinanceCode]])*(IF(FIND(PUPILS[[#This Row],[SchoolCode]],FC[SchoolCodes])&gt;=1,1,0)),FC[LedgerCode]))</f>
        <v>DEFAULT</v>
      </c>
      <c r="F127" s="3" t="s">
        <v>51</v>
      </c>
      <c r="G127" s="27"/>
      <c r="H127" s="16" t="s">
        <v>1172</v>
      </c>
      <c r="I127" s="3" t="s">
        <v>1124</v>
      </c>
      <c r="J127" s="3" t="s">
        <v>936</v>
      </c>
      <c r="K127" s="3" t="s">
        <v>1632</v>
      </c>
      <c r="L127" s="3"/>
      <c r="M127" s="3" t="b">
        <v>0</v>
      </c>
      <c r="N127" s="3" t="b">
        <v>0</v>
      </c>
      <c r="O127" s="35"/>
    </row>
    <row r="128" spans="1:15" hidden="1" x14ac:dyDescent="0.3">
      <c r="A128" s="27" t="s">
        <v>858</v>
      </c>
      <c r="B128" s="3"/>
      <c r="C128" s="1" t="s">
        <v>1563</v>
      </c>
      <c r="D128" s="3"/>
      <c r="E128" s="3" t="str" cm="1">
        <f t="array" ref="E128">IF(_xlfn.XLOOKUP(PUPILS[[#This Row],[FinanceCode]],FC[FinanceCode],FC[AvailableToAllSchools])=TRUE,(_xlfn.XLOOKUP(PUPILS[[#This Row],[FinanceCode]],FC[FinanceCode],FC[LedgerCode])),_xlfn.XLOOKUP(1,(FC[FinanceCode]=PUPILS[[#This Row],[FinanceCode]])*(IF(FIND(PUPILS[[#This Row],[SchoolCode]],FC[SchoolCodes])&gt;=1,1,0)),FC[LedgerCode]))</f>
        <v>DEFAULT</v>
      </c>
      <c r="F128" s="3" t="s">
        <v>51</v>
      </c>
      <c r="G128" s="27"/>
      <c r="H128" s="1" t="s">
        <v>1563</v>
      </c>
      <c r="I128" s="16" t="s">
        <v>1124</v>
      </c>
      <c r="J128" s="3" t="s">
        <v>1564</v>
      </c>
      <c r="K128" s="3" t="s">
        <v>1643</v>
      </c>
      <c r="L128" s="3"/>
      <c r="M128" s="3" t="b">
        <v>1</v>
      </c>
      <c r="N128" s="3" t="b">
        <v>1</v>
      </c>
      <c r="O128" s="35"/>
    </row>
    <row r="129" spans="1:15" hidden="1" x14ac:dyDescent="0.3">
      <c r="A129" s="27" t="s">
        <v>858</v>
      </c>
      <c r="B129" s="3"/>
      <c r="C129" s="1" t="s">
        <v>1503</v>
      </c>
      <c r="D129" s="3"/>
      <c r="E129" s="3" t="str" cm="1">
        <f t="array" ref="E129">IF(_xlfn.XLOOKUP(PUPILS[[#This Row],[FinanceCode]],FC[FinanceCode],FC[AvailableToAllSchools])=TRUE,(_xlfn.XLOOKUP(PUPILS[[#This Row],[FinanceCode]],FC[FinanceCode],FC[LedgerCode])),_xlfn.XLOOKUP(1,(FC[FinanceCode]=PUPILS[[#This Row],[FinanceCode]])*(IF(FIND(PUPILS[[#This Row],[SchoolCode]],FC[SchoolCodes])&gt;=1,1,0)),FC[LedgerCode]))</f>
        <v>DEFAULT</v>
      </c>
      <c r="F129" s="3" t="s">
        <v>51</v>
      </c>
      <c r="G129" s="27"/>
      <c r="H129" s="46"/>
      <c r="I129" s="3" t="s">
        <v>1124</v>
      </c>
      <c r="J129" s="3" t="s">
        <v>1507</v>
      </c>
      <c r="K129" s="3" t="s">
        <v>1644</v>
      </c>
      <c r="L129" s="3"/>
      <c r="M129" s="3" t="b">
        <v>0</v>
      </c>
      <c r="N129" s="3" t="b">
        <v>1</v>
      </c>
      <c r="O129" s="35"/>
    </row>
    <row r="130" spans="1:15" hidden="1" x14ac:dyDescent="0.3">
      <c r="A130" s="27" t="s">
        <v>858</v>
      </c>
      <c r="B130" s="3"/>
      <c r="C130" s="1" t="s">
        <v>971</v>
      </c>
      <c r="D130" s="3"/>
      <c r="E130" s="3" t="s">
        <v>51</v>
      </c>
      <c r="F130" s="3" t="s">
        <v>51</v>
      </c>
      <c r="G130" s="27"/>
      <c r="H130" s="21" t="s">
        <v>1236</v>
      </c>
      <c r="I130" s="3" t="s">
        <v>1124</v>
      </c>
      <c r="J130" s="3" t="s">
        <v>972</v>
      </c>
      <c r="K130" s="3" t="s">
        <v>2099</v>
      </c>
      <c r="L130" s="3"/>
      <c r="M130" s="3" t="b">
        <v>0</v>
      </c>
      <c r="N130" s="3" t="b">
        <v>0</v>
      </c>
      <c r="O130" s="35"/>
    </row>
    <row r="131" spans="1:15" hidden="1" x14ac:dyDescent="0.3">
      <c r="A131" s="27" t="s">
        <v>858</v>
      </c>
      <c r="B131" s="3"/>
      <c r="C131" s="3" t="s">
        <v>1941</v>
      </c>
      <c r="D131" s="3"/>
      <c r="E131" s="3" t="s">
        <v>51</v>
      </c>
      <c r="F131" s="3" t="s">
        <v>51</v>
      </c>
      <c r="G131" s="27"/>
      <c r="H131" s="21" t="s">
        <v>1236</v>
      </c>
      <c r="I131" s="3" t="s">
        <v>1124</v>
      </c>
      <c r="J131" s="3" t="s">
        <v>1952</v>
      </c>
      <c r="K131" s="3" t="s">
        <v>1654</v>
      </c>
      <c r="L131" s="3"/>
      <c r="M131" s="3" t="b">
        <v>0</v>
      </c>
      <c r="N131" s="3" t="b">
        <v>0</v>
      </c>
      <c r="O131" s="35"/>
    </row>
    <row r="132" spans="1:15" hidden="1" x14ac:dyDescent="0.3">
      <c r="A132" s="27" t="s">
        <v>858</v>
      </c>
      <c r="B132" s="3"/>
      <c r="C132" s="3" t="s">
        <v>975</v>
      </c>
      <c r="D132" s="3"/>
      <c r="E132" s="3" t="s">
        <v>51</v>
      </c>
      <c r="F132" s="3" t="s">
        <v>51</v>
      </c>
      <c r="G132" s="27"/>
      <c r="H132" s="21" t="s">
        <v>1236</v>
      </c>
      <c r="I132" s="3" t="s">
        <v>1124</v>
      </c>
      <c r="J132" s="3" t="s">
        <v>1753</v>
      </c>
      <c r="K132" s="3" t="s">
        <v>1655</v>
      </c>
      <c r="L132" s="3"/>
      <c r="M132" s="3" t="b">
        <v>0</v>
      </c>
      <c r="N132" s="3" t="b">
        <v>0</v>
      </c>
      <c r="O132" s="35"/>
    </row>
    <row r="133" spans="1:15" hidden="1" x14ac:dyDescent="0.3">
      <c r="A133" s="27" t="s">
        <v>858</v>
      </c>
      <c r="B133" s="3"/>
      <c r="C133" s="3" t="s">
        <v>2084</v>
      </c>
      <c r="D133" s="3"/>
      <c r="E133" s="3" t="s">
        <v>51</v>
      </c>
      <c r="F133" s="3" t="s">
        <v>51</v>
      </c>
      <c r="G133" s="27"/>
      <c r="H133" s="11" t="s">
        <v>2084</v>
      </c>
      <c r="I133" s="16" t="s">
        <v>1124</v>
      </c>
      <c r="J133" s="3" t="s">
        <v>2085</v>
      </c>
      <c r="K133" s="3" t="s">
        <v>2088</v>
      </c>
      <c r="L133" s="3"/>
      <c r="M133" s="3" t="b">
        <v>0</v>
      </c>
      <c r="N133" s="3" t="b">
        <v>1</v>
      </c>
      <c r="O133" s="35"/>
    </row>
    <row r="134" spans="1:15" hidden="1" x14ac:dyDescent="0.3">
      <c r="A134" s="27" t="s">
        <v>859</v>
      </c>
      <c r="B134" s="3"/>
      <c r="C134" s="1" t="s">
        <v>957</v>
      </c>
      <c r="D134" s="3"/>
      <c r="E134" s="3" t="str" cm="1">
        <f t="array" ref="E134">IF(_xlfn.XLOOKUP(PUPILS[[#This Row],[FinanceCode]],FC[FinanceCode],FC[AvailableToAllSchools])=TRUE,(_xlfn.XLOOKUP(PUPILS[[#This Row],[FinanceCode]],FC[FinanceCode],FC[LedgerCode])),_xlfn.XLOOKUP(1,(FC[FinanceCode]=PUPILS[[#This Row],[FinanceCode]])*(IF(FIND(PUPILS[[#This Row],[SchoolCode]],FC[SchoolCodes])&gt;=1,1,0)),FC[LedgerCode]))</f>
        <v>DEFAULT</v>
      </c>
      <c r="F134" s="3" t="s">
        <v>51</v>
      </c>
      <c r="G134" s="27"/>
      <c r="H134" s="16" t="s">
        <v>1172</v>
      </c>
      <c r="I134" s="3" t="s">
        <v>1124</v>
      </c>
      <c r="J134" s="3" t="s">
        <v>2080</v>
      </c>
      <c r="K134" s="3" t="s">
        <v>1646</v>
      </c>
      <c r="L134" s="3"/>
      <c r="M134" s="3" t="b">
        <v>0</v>
      </c>
      <c r="N134" s="3" t="b">
        <v>0</v>
      </c>
      <c r="O134" s="35"/>
    </row>
    <row r="135" spans="1:15" hidden="1" x14ac:dyDescent="0.3">
      <c r="A135" s="27" t="s">
        <v>859</v>
      </c>
      <c r="B135" s="3"/>
      <c r="C135" s="1" t="s">
        <v>959</v>
      </c>
      <c r="D135" s="3"/>
      <c r="E135" s="3" t="str" cm="1">
        <f t="array" ref="E135">IF(_xlfn.XLOOKUP(PUPILS[[#This Row],[FinanceCode]],FC[FinanceCode],FC[AvailableToAllSchools])=TRUE,(_xlfn.XLOOKUP(PUPILS[[#This Row],[FinanceCode]],FC[FinanceCode],FC[LedgerCode])),_xlfn.XLOOKUP(1,(FC[FinanceCode]=PUPILS[[#This Row],[FinanceCode]])*(IF(FIND(PUPILS[[#This Row],[SchoolCode]],FC[SchoolCodes])&gt;=1,1,0)),FC[LedgerCode]))</f>
        <v>DEFAULT</v>
      </c>
      <c r="F135" s="3" t="s">
        <v>51</v>
      </c>
      <c r="G135" s="27"/>
      <c r="H135" s="11" t="s">
        <v>1268</v>
      </c>
      <c r="I135" s="3" t="s">
        <v>1124</v>
      </c>
      <c r="J135" s="3" t="s">
        <v>2081</v>
      </c>
      <c r="K135" s="3" t="s">
        <v>1646</v>
      </c>
      <c r="L135" s="3"/>
      <c r="M135" s="3" t="b">
        <v>0</v>
      </c>
      <c r="N135" s="3" t="b">
        <v>0</v>
      </c>
      <c r="O135" s="35"/>
    </row>
    <row r="136" spans="1:15" hidden="1" x14ac:dyDescent="0.3">
      <c r="A136" s="27" t="s">
        <v>859</v>
      </c>
      <c r="B136" s="3"/>
      <c r="C136" s="1" t="s">
        <v>961</v>
      </c>
      <c r="D136" s="3"/>
      <c r="E136" s="3" t="str" cm="1">
        <f t="array" ref="E136">IF(_xlfn.XLOOKUP(PUPILS[[#This Row],[FinanceCode]],FC[FinanceCode],FC[AvailableToAllSchools])=TRUE,(_xlfn.XLOOKUP(PUPILS[[#This Row],[FinanceCode]],FC[FinanceCode],FC[LedgerCode])),_xlfn.XLOOKUP(1,(FC[FinanceCode]=PUPILS[[#This Row],[FinanceCode]])*(IF(FIND(PUPILS[[#This Row],[SchoolCode]],FC[SchoolCodes])&gt;=1,1,0)),FC[LedgerCode]))</f>
        <v>DEFAULT</v>
      </c>
      <c r="F136" s="3" t="s">
        <v>51</v>
      </c>
      <c r="G136" s="27"/>
      <c r="H136" s="11" t="s">
        <v>1270</v>
      </c>
      <c r="I136" s="3" t="s">
        <v>1124</v>
      </c>
      <c r="J136" s="3" t="s">
        <v>2082</v>
      </c>
      <c r="K136" s="3" t="s">
        <v>1646</v>
      </c>
      <c r="L136" s="3"/>
      <c r="M136" s="3" t="b">
        <v>0</v>
      </c>
      <c r="N136" s="3" t="b">
        <v>0</v>
      </c>
      <c r="O136" s="35"/>
    </row>
    <row r="137" spans="1:15" hidden="1" x14ac:dyDescent="0.3">
      <c r="A137" s="27" t="s">
        <v>859</v>
      </c>
      <c r="B137" s="3"/>
      <c r="C137" s="1" t="s">
        <v>963</v>
      </c>
      <c r="D137" s="3"/>
      <c r="E137" s="3" t="str" cm="1">
        <f t="array" ref="E137">IF(_xlfn.XLOOKUP(PUPILS[[#This Row],[FinanceCode]],FC[FinanceCode],FC[AvailableToAllSchools])=TRUE,(_xlfn.XLOOKUP(PUPILS[[#This Row],[FinanceCode]],FC[FinanceCode],FC[LedgerCode])),_xlfn.XLOOKUP(1,(FC[FinanceCode]=PUPILS[[#This Row],[FinanceCode]])*(IF(FIND(PUPILS[[#This Row],[SchoolCode]],FC[SchoolCodes])&gt;=1,1,0)),FC[LedgerCode]))</f>
        <v>DEFAULT</v>
      </c>
      <c r="F137" s="3" t="s">
        <v>51</v>
      </c>
      <c r="G137" s="27"/>
      <c r="H137" s="11" t="s">
        <v>1272</v>
      </c>
      <c r="I137" s="3" t="s">
        <v>1124</v>
      </c>
      <c r="J137" s="3" t="s">
        <v>2070</v>
      </c>
      <c r="K137" s="3" t="s">
        <v>1646</v>
      </c>
      <c r="L137" s="3"/>
      <c r="M137" s="3" t="b">
        <v>0</v>
      </c>
      <c r="N137" s="3" t="b">
        <v>0</v>
      </c>
      <c r="O137" s="35"/>
    </row>
    <row r="138" spans="1:15" hidden="1" x14ac:dyDescent="0.3">
      <c r="A138" s="27" t="s">
        <v>859</v>
      </c>
      <c r="B138" s="3"/>
      <c r="C138" s="1" t="s">
        <v>965</v>
      </c>
      <c r="D138" s="3"/>
      <c r="E138" s="3" t="str" cm="1">
        <f t="array" ref="E138">IF(_xlfn.XLOOKUP(PUPILS[[#This Row],[FinanceCode]],FC[FinanceCode],FC[AvailableToAllSchools])=TRUE,(_xlfn.XLOOKUP(PUPILS[[#This Row],[FinanceCode]],FC[FinanceCode],FC[LedgerCode])),_xlfn.XLOOKUP(1,(FC[FinanceCode]=PUPILS[[#This Row],[FinanceCode]])*(IF(FIND(PUPILS[[#This Row],[SchoolCode]],FC[SchoolCodes])&gt;=1,1,0)),FC[LedgerCode]))</f>
        <v>DEFAULT</v>
      </c>
      <c r="F138" s="3" t="s">
        <v>51</v>
      </c>
      <c r="G138" s="27"/>
      <c r="H138" s="11" t="s">
        <v>1274</v>
      </c>
      <c r="I138" s="3" t="s">
        <v>1124</v>
      </c>
      <c r="J138" s="3" t="s">
        <v>2071</v>
      </c>
      <c r="K138" s="3" t="s">
        <v>1646</v>
      </c>
      <c r="L138" s="3"/>
      <c r="M138" s="3" t="b">
        <v>0</v>
      </c>
      <c r="N138" s="3" t="b">
        <v>0</v>
      </c>
      <c r="O138" s="35"/>
    </row>
    <row r="139" spans="1:15" hidden="1" x14ac:dyDescent="0.3">
      <c r="A139" s="27" t="s">
        <v>859</v>
      </c>
      <c r="B139" s="3"/>
      <c r="C139" s="1" t="s">
        <v>967</v>
      </c>
      <c r="D139" s="3"/>
      <c r="E139" s="3" t="str" cm="1">
        <f t="array" ref="E139">IF(_xlfn.XLOOKUP(PUPILS[[#This Row],[FinanceCode]],FC[FinanceCode],FC[AvailableToAllSchools])=TRUE,(_xlfn.XLOOKUP(PUPILS[[#This Row],[FinanceCode]],FC[FinanceCode],FC[LedgerCode])),_xlfn.XLOOKUP(1,(FC[FinanceCode]=PUPILS[[#This Row],[FinanceCode]])*(IF(FIND(PUPILS[[#This Row],[SchoolCode]],FC[SchoolCodes])&gt;=1,1,0)),FC[LedgerCode]))</f>
        <v>DEFAULT</v>
      </c>
      <c r="F139" s="3" t="s">
        <v>51</v>
      </c>
      <c r="G139" s="27"/>
      <c r="H139" s="16" t="s">
        <v>1172</v>
      </c>
      <c r="I139" s="3" t="s">
        <v>1124</v>
      </c>
      <c r="J139" s="3" t="s">
        <v>2072</v>
      </c>
      <c r="K139" s="3" t="s">
        <v>1646</v>
      </c>
      <c r="L139" s="3"/>
      <c r="M139" s="3" t="b">
        <v>0</v>
      </c>
      <c r="N139" s="3" t="b">
        <v>0</v>
      </c>
      <c r="O139" s="35"/>
    </row>
    <row r="140" spans="1:15" hidden="1" x14ac:dyDescent="0.3">
      <c r="A140" s="27" t="s">
        <v>859</v>
      </c>
      <c r="B140" s="3"/>
      <c r="C140" s="1" t="s">
        <v>969</v>
      </c>
      <c r="D140" s="3"/>
      <c r="E140" s="3" t="str" cm="1">
        <f t="array" ref="E140">IF(_xlfn.XLOOKUP(PUPILS[[#This Row],[FinanceCode]],FC[FinanceCode],FC[AvailableToAllSchools])=TRUE,(_xlfn.XLOOKUP(PUPILS[[#This Row],[FinanceCode]],FC[FinanceCode],FC[LedgerCode])),_xlfn.XLOOKUP(1,(FC[FinanceCode]=PUPILS[[#This Row],[FinanceCode]])*(IF(FIND(PUPILS[[#This Row],[SchoolCode]],FC[SchoolCodes])&gt;=1,1,0)),FC[LedgerCode]))</f>
        <v>DEFAULT</v>
      </c>
      <c r="F140" s="3" t="s">
        <v>51</v>
      </c>
      <c r="G140" s="27"/>
      <c r="H140" s="11" t="s">
        <v>1278</v>
      </c>
      <c r="I140" s="3" t="s">
        <v>1124</v>
      </c>
      <c r="J140" s="3" t="s">
        <v>2073</v>
      </c>
      <c r="K140" s="3" t="s">
        <v>1646</v>
      </c>
      <c r="L140" s="3"/>
      <c r="M140" s="3" t="b">
        <v>0</v>
      </c>
      <c r="N140" s="3" t="b">
        <v>0</v>
      </c>
      <c r="O140" s="35"/>
    </row>
    <row r="141" spans="1:15" hidden="1" x14ac:dyDescent="0.3">
      <c r="A141" s="27" t="s">
        <v>859</v>
      </c>
      <c r="B141" s="3"/>
      <c r="C141" s="1" t="s">
        <v>1501</v>
      </c>
      <c r="D141" s="3"/>
      <c r="E141" s="3" t="str" cm="1">
        <f t="array" ref="E141">IF(_xlfn.XLOOKUP(PUPILS[[#This Row],[FinanceCode]],FC[FinanceCode],FC[AvailableToAllSchools])=TRUE,(_xlfn.XLOOKUP(PUPILS[[#This Row],[FinanceCode]],FC[FinanceCode],FC[LedgerCode])),_xlfn.XLOOKUP(1,(FC[FinanceCode]=PUPILS[[#This Row],[FinanceCode]])*(IF(FIND(PUPILS[[#This Row],[SchoolCode]],FC[SchoolCodes])&gt;=1,1,0)),FC[LedgerCode]))</f>
        <v>DEFAULT</v>
      </c>
      <c r="F141" s="3" t="s">
        <v>51</v>
      </c>
      <c r="G141" s="27"/>
      <c r="H141" s="11" t="s">
        <v>1280</v>
      </c>
      <c r="I141" s="16" t="s">
        <v>1124</v>
      </c>
      <c r="J141" s="3" t="s">
        <v>2074</v>
      </c>
      <c r="K141" s="3" t="s">
        <v>1646</v>
      </c>
      <c r="L141" s="3"/>
      <c r="M141" s="3" t="b">
        <v>0</v>
      </c>
      <c r="N141" s="3" t="b">
        <v>0</v>
      </c>
      <c r="O141" s="35"/>
    </row>
    <row r="142" spans="1:15" hidden="1" x14ac:dyDescent="0.3">
      <c r="A142" s="27" t="s">
        <v>859</v>
      </c>
      <c r="B142" s="3"/>
      <c r="C142" s="1" t="s">
        <v>1525</v>
      </c>
      <c r="D142" s="3"/>
      <c r="E142" s="3" t="str" cm="1">
        <f t="array" ref="E142">IF(_xlfn.XLOOKUP(PUPILS[[#This Row],[FinanceCode]],FC[FinanceCode],FC[AvailableToAllSchools])=TRUE,(_xlfn.XLOOKUP(PUPILS[[#This Row],[FinanceCode]],FC[FinanceCode],FC[LedgerCode])),_xlfn.XLOOKUP(1,(FC[FinanceCode]=PUPILS[[#This Row],[FinanceCode]])*(IF(FIND(PUPILS[[#This Row],[SchoolCode]],FC[SchoolCodes])&gt;=1,1,0)),FC[LedgerCode]))</f>
        <v>DEFAULT</v>
      </c>
      <c r="F142" s="3" t="s">
        <v>51</v>
      </c>
      <c r="G142" s="27"/>
      <c r="H142" s="1" t="s">
        <v>1525</v>
      </c>
      <c r="I142" s="3" t="s">
        <v>1124</v>
      </c>
      <c r="J142" s="3" t="s">
        <v>1533</v>
      </c>
      <c r="K142" s="3" t="s">
        <v>1650</v>
      </c>
      <c r="L142" s="3"/>
      <c r="M142" s="3" t="b">
        <v>0</v>
      </c>
      <c r="N142" s="3" t="b">
        <v>0</v>
      </c>
      <c r="O142" s="35"/>
    </row>
    <row r="143" spans="1:15" hidden="1" x14ac:dyDescent="0.3">
      <c r="A143" s="27" t="s">
        <v>859</v>
      </c>
      <c r="B143" s="3"/>
      <c r="C143" s="1" t="s">
        <v>1526</v>
      </c>
      <c r="D143" s="3"/>
      <c r="E143" s="3" t="str" cm="1">
        <f t="array" ref="E143">IF(_xlfn.XLOOKUP(PUPILS[[#This Row],[FinanceCode]],FC[FinanceCode],FC[AvailableToAllSchools])=TRUE,(_xlfn.XLOOKUP(PUPILS[[#This Row],[FinanceCode]],FC[FinanceCode],FC[LedgerCode])),_xlfn.XLOOKUP(1,(FC[FinanceCode]=PUPILS[[#This Row],[FinanceCode]])*(IF(FIND(PUPILS[[#This Row],[SchoolCode]],FC[SchoolCodes])&gt;=1,1,0)),FC[LedgerCode]))</f>
        <v>DEFAULT</v>
      </c>
      <c r="F143" s="3" t="s">
        <v>51</v>
      </c>
      <c r="G143" s="27"/>
      <c r="H143" s="1" t="s">
        <v>1526</v>
      </c>
      <c r="I143" s="3" t="s">
        <v>1124</v>
      </c>
      <c r="J143" s="3" t="s">
        <v>1534</v>
      </c>
      <c r="K143" s="3" t="s">
        <v>1651</v>
      </c>
      <c r="L143" s="3"/>
      <c r="M143" s="3" t="b">
        <v>0</v>
      </c>
      <c r="N143" s="3" t="b">
        <v>0</v>
      </c>
      <c r="O143" s="35"/>
    </row>
    <row r="144" spans="1:15" hidden="1" x14ac:dyDescent="0.3">
      <c r="A144" s="27" t="s">
        <v>859</v>
      </c>
      <c r="B144" s="3"/>
      <c r="C144" s="1" t="s">
        <v>1527</v>
      </c>
      <c r="D144" s="3"/>
      <c r="E144" s="3" t="str" cm="1">
        <f t="array" ref="E144">IF(_xlfn.XLOOKUP(PUPILS[[#This Row],[FinanceCode]],FC[FinanceCode],FC[AvailableToAllSchools])=TRUE,(_xlfn.XLOOKUP(PUPILS[[#This Row],[FinanceCode]],FC[FinanceCode],FC[LedgerCode])),_xlfn.XLOOKUP(1,(FC[FinanceCode]=PUPILS[[#This Row],[FinanceCode]])*(IF(FIND(PUPILS[[#This Row],[SchoolCode]],FC[SchoolCodes])&gt;=1,1,0)),FC[LedgerCode]))</f>
        <v>DEFAULT</v>
      </c>
      <c r="F144" s="3" t="s">
        <v>51</v>
      </c>
      <c r="G144" s="27"/>
      <c r="H144" s="1" t="s">
        <v>1527</v>
      </c>
      <c r="I144" s="3" t="s">
        <v>1124</v>
      </c>
      <c r="J144" s="3" t="s">
        <v>1535</v>
      </c>
      <c r="K144" s="3" t="s">
        <v>1652</v>
      </c>
      <c r="L144" s="3"/>
      <c r="M144" s="3" t="b">
        <v>0</v>
      </c>
      <c r="N144" s="3" t="b">
        <v>0</v>
      </c>
      <c r="O144" s="35"/>
    </row>
    <row r="145" spans="1:15" hidden="1" x14ac:dyDescent="0.3">
      <c r="A145" s="27" t="s">
        <v>859</v>
      </c>
      <c r="B145" s="3"/>
      <c r="C145" s="1" t="s">
        <v>927</v>
      </c>
      <c r="D145" s="3"/>
      <c r="E145" s="3" t="str" cm="1">
        <f t="array" ref="E145">IF(_xlfn.XLOOKUP(PUPILS[[#This Row],[FinanceCode]],FC[FinanceCode],FC[AvailableToAllSchools])=TRUE,(_xlfn.XLOOKUP(PUPILS[[#This Row],[FinanceCode]],FC[FinanceCode],FC[LedgerCode])),_xlfn.XLOOKUP(1,(FC[FinanceCode]=PUPILS[[#This Row],[FinanceCode]])*(IF(FIND(PUPILS[[#This Row],[SchoolCode]],FC[SchoolCodes])&gt;=1,1,0)),FC[LedgerCode]))</f>
        <v>DEFAULT</v>
      </c>
      <c r="F145" s="3" t="s">
        <v>51</v>
      </c>
      <c r="G145" s="27"/>
      <c r="H145" s="1" t="s">
        <v>927</v>
      </c>
      <c r="I145" s="3" t="s">
        <v>1124</v>
      </c>
      <c r="J145" s="3" t="s">
        <v>928</v>
      </c>
      <c r="K145" s="3" t="s">
        <v>1636</v>
      </c>
      <c r="L145" s="3"/>
      <c r="M145" s="3" t="b">
        <v>1</v>
      </c>
      <c r="N145" s="3" t="b">
        <v>1</v>
      </c>
      <c r="O145" s="35"/>
    </row>
    <row r="146" spans="1:15" hidden="1" x14ac:dyDescent="0.3">
      <c r="A146" s="27" t="s">
        <v>859</v>
      </c>
      <c r="B146" s="3"/>
      <c r="C146" s="1" t="s">
        <v>1504</v>
      </c>
      <c r="D146" s="3"/>
      <c r="E146" s="3" t="str" cm="1">
        <f t="array" ref="E146">IF(_xlfn.XLOOKUP(PUPILS[[#This Row],[FinanceCode]],FC[FinanceCode],FC[AvailableToAllSchools])=TRUE,(_xlfn.XLOOKUP(PUPILS[[#This Row],[FinanceCode]],FC[FinanceCode],FC[LedgerCode])),_xlfn.XLOOKUP(1,(FC[FinanceCode]=PUPILS[[#This Row],[FinanceCode]])*(IF(FIND(PUPILS[[#This Row],[SchoolCode]],FC[SchoolCodes])&gt;=1,1,0)),FC[LedgerCode]))</f>
        <v>DEFAULT</v>
      </c>
      <c r="F146" s="3" t="s">
        <v>51</v>
      </c>
      <c r="G146" s="27"/>
      <c r="H146" s="46"/>
      <c r="I146" s="3" t="s">
        <v>1124</v>
      </c>
      <c r="J146" s="3" t="s">
        <v>1508</v>
      </c>
      <c r="K146" s="3" t="s">
        <v>1637</v>
      </c>
      <c r="L146" s="3"/>
      <c r="M146" s="3" t="b">
        <v>0</v>
      </c>
      <c r="N146" s="3" t="b">
        <v>1</v>
      </c>
      <c r="O146" s="35"/>
    </row>
    <row r="147" spans="1:15" hidden="1" x14ac:dyDescent="0.3">
      <c r="A147" s="27" t="s">
        <v>859</v>
      </c>
      <c r="B147" s="3"/>
      <c r="C147" s="1" t="s">
        <v>929</v>
      </c>
      <c r="D147" s="3"/>
      <c r="E147" s="3" t="str" cm="1">
        <f t="array" ref="E147">IF(_xlfn.XLOOKUP(PUPILS[[#This Row],[FinanceCode]],FC[FinanceCode],FC[AvailableToAllSchools])=TRUE,(_xlfn.XLOOKUP(PUPILS[[#This Row],[FinanceCode]],FC[FinanceCode],FC[LedgerCode])),_xlfn.XLOOKUP(1,(FC[FinanceCode]=PUPILS[[#This Row],[FinanceCode]])*(IF(FIND(PUPILS[[#This Row],[SchoolCode]],FC[SchoolCodes])&gt;=1,1,0)),FC[LedgerCode]))</f>
        <v>DEFAULT</v>
      </c>
      <c r="F147" s="3" t="s">
        <v>51</v>
      </c>
      <c r="G147" s="27"/>
      <c r="H147" s="1" t="s">
        <v>929</v>
      </c>
      <c r="I147" s="3" t="s">
        <v>1124</v>
      </c>
      <c r="J147" s="3" t="s">
        <v>930</v>
      </c>
      <c r="K147" s="3" t="s">
        <v>1638</v>
      </c>
      <c r="L147" s="3"/>
      <c r="M147" s="3" t="b">
        <v>1</v>
      </c>
      <c r="N147" s="3" t="b">
        <v>1</v>
      </c>
      <c r="O147" s="35"/>
    </row>
    <row r="148" spans="1:15" hidden="1" x14ac:dyDescent="0.3">
      <c r="A148" s="27" t="s">
        <v>859</v>
      </c>
      <c r="B148" s="3"/>
      <c r="C148" s="1" t="s">
        <v>1505</v>
      </c>
      <c r="D148" s="3"/>
      <c r="E148" s="3" t="str" cm="1">
        <f t="array" ref="E148">IF(_xlfn.XLOOKUP(PUPILS[[#This Row],[FinanceCode]],FC[FinanceCode],FC[AvailableToAllSchools])=TRUE,(_xlfn.XLOOKUP(PUPILS[[#This Row],[FinanceCode]],FC[FinanceCode],FC[LedgerCode])),_xlfn.XLOOKUP(1,(FC[FinanceCode]=PUPILS[[#This Row],[FinanceCode]])*(IF(FIND(PUPILS[[#This Row],[SchoolCode]],FC[SchoolCodes])&gt;=1,1,0)),FC[LedgerCode]))</f>
        <v>DEFAULT</v>
      </c>
      <c r="F148" s="3" t="s">
        <v>51</v>
      </c>
      <c r="G148" s="27"/>
      <c r="H148" s="46"/>
      <c r="I148" s="3" t="s">
        <v>1124</v>
      </c>
      <c r="J148" s="3" t="s">
        <v>1510</v>
      </c>
      <c r="K148" s="3" t="s">
        <v>1639</v>
      </c>
      <c r="L148" s="3"/>
      <c r="M148" s="3" t="b">
        <v>0</v>
      </c>
      <c r="N148" s="3" t="b">
        <v>1</v>
      </c>
      <c r="O148" s="35"/>
    </row>
    <row r="149" spans="1:15" hidden="1" x14ac:dyDescent="0.3">
      <c r="A149" s="27" t="s">
        <v>859</v>
      </c>
      <c r="B149" s="3"/>
      <c r="C149" s="1" t="s">
        <v>931</v>
      </c>
      <c r="D149" s="3"/>
      <c r="E149" s="3" t="str" cm="1">
        <f t="array" ref="E149">IF(_xlfn.XLOOKUP(PUPILS[[#This Row],[FinanceCode]],FC[FinanceCode],FC[AvailableToAllSchools])=TRUE,(_xlfn.XLOOKUP(PUPILS[[#This Row],[FinanceCode]],FC[FinanceCode],FC[LedgerCode])),_xlfn.XLOOKUP(1,(FC[FinanceCode]=PUPILS[[#This Row],[FinanceCode]])*(IF(FIND(PUPILS[[#This Row],[SchoolCode]],FC[SchoolCodes])&gt;=1,1,0)),FC[LedgerCode]))</f>
        <v>DEFAULT</v>
      </c>
      <c r="F149" s="3" t="s">
        <v>51</v>
      </c>
      <c r="G149" s="27"/>
      <c r="H149" s="1" t="s">
        <v>931</v>
      </c>
      <c r="I149" s="3" t="s">
        <v>1124</v>
      </c>
      <c r="J149" s="3" t="s">
        <v>932</v>
      </c>
      <c r="K149" s="3" t="s">
        <v>1640</v>
      </c>
      <c r="L149" s="3"/>
      <c r="M149" s="3" t="b">
        <v>1</v>
      </c>
      <c r="N149" s="3" t="b">
        <v>1</v>
      </c>
      <c r="O149" s="35"/>
    </row>
    <row r="150" spans="1:15" hidden="1" x14ac:dyDescent="0.3">
      <c r="A150" s="27" t="s">
        <v>859</v>
      </c>
      <c r="B150" s="3"/>
      <c r="C150" s="1" t="s">
        <v>1506</v>
      </c>
      <c r="D150" s="3"/>
      <c r="E150" s="3" t="str" cm="1">
        <f t="array" ref="E150">IF(_xlfn.XLOOKUP(PUPILS[[#This Row],[FinanceCode]],FC[FinanceCode],FC[AvailableToAllSchools])=TRUE,(_xlfn.XLOOKUP(PUPILS[[#This Row],[FinanceCode]],FC[FinanceCode],FC[LedgerCode])),_xlfn.XLOOKUP(1,(FC[FinanceCode]=PUPILS[[#This Row],[FinanceCode]])*(IF(FIND(PUPILS[[#This Row],[SchoolCode]],FC[SchoolCodes])&gt;=1,1,0)),FC[LedgerCode]))</f>
        <v>DEFAULT</v>
      </c>
      <c r="F150" s="3" t="s">
        <v>51</v>
      </c>
      <c r="G150" s="27"/>
      <c r="H150" s="46"/>
      <c r="I150" s="3" t="s">
        <v>1124</v>
      </c>
      <c r="J150" s="3" t="s">
        <v>1509</v>
      </c>
      <c r="K150" s="3" t="s">
        <v>1641</v>
      </c>
      <c r="L150" s="3"/>
      <c r="M150" s="3" t="b">
        <v>0</v>
      </c>
      <c r="N150" s="3" t="b">
        <v>1</v>
      </c>
      <c r="O150" s="35"/>
    </row>
    <row r="151" spans="1:15" hidden="1" x14ac:dyDescent="0.3">
      <c r="A151" s="27" t="s">
        <v>859</v>
      </c>
      <c r="B151" s="3"/>
      <c r="C151" s="1" t="s">
        <v>937</v>
      </c>
      <c r="D151" s="3"/>
      <c r="E151" s="3" t="str" cm="1">
        <f t="array" ref="E151">IF(_xlfn.XLOOKUP(PUPILS[[#This Row],[FinanceCode]],FC[FinanceCode],FC[AvailableToAllSchools])=TRUE,(_xlfn.XLOOKUP(PUPILS[[#This Row],[FinanceCode]],FC[FinanceCode],FC[LedgerCode])),_xlfn.XLOOKUP(1,(FC[FinanceCode]=PUPILS[[#This Row],[FinanceCode]])*(IF(FIND(PUPILS[[#This Row],[SchoolCode]],FC[SchoolCodes])&gt;=1,1,0)),FC[LedgerCode]))</f>
        <v>DEFAULT</v>
      </c>
      <c r="F151" s="3" t="s">
        <v>51</v>
      </c>
      <c r="G151" s="27"/>
      <c r="H151" s="16" t="s">
        <v>1172</v>
      </c>
      <c r="I151" s="3" t="s">
        <v>1124</v>
      </c>
      <c r="J151" s="3" t="s">
        <v>1428</v>
      </c>
      <c r="K151" s="3" t="s">
        <v>1642</v>
      </c>
      <c r="L151" s="3"/>
      <c r="M151" s="3" t="b">
        <v>0</v>
      </c>
      <c r="N151" s="3" t="b">
        <v>0</v>
      </c>
      <c r="O151" s="35"/>
    </row>
    <row r="152" spans="1:15" hidden="1" x14ac:dyDescent="0.3">
      <c r="A152" s="27" t="s">
        <v>859</v>
      </c>
      <c r="B152" s="3"/>
      <c r="C152" s="1" t="s">
        <v>933</v>
      </c>
      <c r="D152" s="3"/>
      <c r="E152" s="3" t="str" cm="1">
        <f t="array" ref="E152">IF(_xlfn.XLOOKUP(PUPILS[[#This Row],[FinanceCode]],FC[FinanceCode],FC[AvailableToAllSchools])=TRUE,(_xlfn.XLOOKUP(PUPILS[[#This Row],[FinanceCode]],FC[FinanceCode],FC[LedgerCode])),_xlfn.XLOOKUP(1,(FC[FinanceCode]=PUPILS[[#This Row],[FinanceCode]])*(IF(FIND(PUPILS[[#This Row],[SchoolCode]],FC[SchoolCodes])&gt;=1,1,0)),FC[LedgerCode]))</f>
        <v>DEFAULT</v>
      </c>
      <c r="F152" s="3" t="s">
        <v>51</v>
      </c>
      <c r="G152" s="27"/>
      <c r="H152" s="16" t="s">
        <v>1172</v>
      </c>
      <c r="I152" s="3" t="s">
        <v>1124</v>
      </c>
      <c r="J152" s="3" t="s">
        <v>1607</v>
      </c>
      <c r="K152" s="3" t="s">
        <v>1642</v>
      </c>
      <c r="L152" s="3"/>
      <c r="M152" s="3" t="b">
        <v>0</v>
      </c>
      <c r="N152" s="3" t="b">
        <v>0</v>
      </c>
      <c r="O152" s="35"/>
    </row>
    <row r="153" spans="1:15" hidden="1" x14ac:dyDescent="0.3">
      <c r="A153" s="27" t="s">
        <v>859</v>
      </c>
      <c r="B153" s="3"/>
      <c r="C153" s="1" t="s">
        <v>939</v>
      </c>
      <c r="D153" s="3"/>
      <c r="E153" s="3" t="str" cm="1">
        <f t="array" ref="E153">IF(_xlfn.XLOOKUP(PUPILS[[#This Row],[FinanceCode]],FC[FinanceCode],FC[AvailableToAllSchools])=TRUE,(_xlfn.XLOOKUP(PUPILS[[#This Row],[FinanceCode]],FC[FinanceCode],FC[LedgerCode])),_xlfn.XLOOKUP(1,(FC[FinanceCode]=PUPILS[[#This Row],[FinanceCode]])*(IF(FIND(PUPILS[[#This Row],[SchoolCode]],FC[SchoolCodes])&gt;=1,1,0)),FC[LedgerCode]))</f>
        <v>DEFAULT</v>
      </c>
      <c r="F153" s="3" t="s">
        <v>51</v>
      </c>
      <c r="G153" s="27"/>
      <c r="H153" s="16" t="s">
        <v>1172</v>
      </c>
      <c r="I153" s="3" t="s">
        <v>1124</v>
      </c>
      <c r="J153" s="3" t="s">
        <v>1429</v>
      </c>
      <c r="K153" s="3" t="s">
        <v>1632</v>
      </c>
      <c r="L153" s="3"/>
      <c r="M153" s="3" t="b">
        <v>0</v>
      </c>
      <c r="N153" s="3" t="b">
        <v>0</v>
      </c>
      <c r="O153" s="35"/>
    </row>
    <row r="154" spans="1:15" hidden="1" x14ac:dyDescent="0.3">
      <c r="A154" s="27" t="s">
        <v>859</v>
      </c>
      <c r="B154" s="3"/>
      <c r="C154" s="1" t="s">
        <v>935</v>
      </c>
      <c r="D154" s="3"/>
      <c r="E154" s="3" t="str" cm="1">
        <f t="array" ref="E154">IF(_xlfn.XLOOKUP(PUPILS[[#This Row],[FinanceCode]],FC[FinanceCode],FC[AvailableToAllSchools])=TRUE,(_xlfn.XLOOKUP(PUPILS[[#This Row],[FinanceCode]],FC[FinanceCode],FC[LedgerCode])),_xlfn.XLOOKUP(1,(FC[FinanceCode]=PUPILS[[#This Row],[FinanceCode]])*(IF(FIND(PUPILS[[#This Row],[SchoolCode]],FC[SchoolCodes])&gt;=1,1,0)),FC[LedgerCode]))</f>
        <v>DEFAULT</v>
      </c>
      <c r="F154" s="3" t="s">
        <v>51</v>
      </c>
      <c r="G154" s="27"/>
      <c r="H154" s="16" t="s">
        <v>1172</v>
      </c>
      <c r="I154" s="3" t="s">
        <v>1124</v>
      </c>
      <c r="J154" s="3" t="s">
        <v>936</v>
      </c>
      <c r="K154" s="3" t="s">
        <v>1632</v>
      </c>
      <c r="L154" s="3"/>
      <c r="M154" s="3" t="b">
        <v>0</v>
      </c>
      <c r="N154" s="3" t="b">
        <v>0</v>
      </c>
      <c r="O154" s="35"/>
    </row>
    <row r="155" spans="1:15" hidden="1" x14ac:dyDescent="0.3">
      <c r="A155" s="27" t="s">
        <v>859</v>
      </c>
      <c r="B155" s="3"/>
      <c r="C155" s="3" t="s">
        <v>973</v>
      </c>
      <c r="D155" s="3"/>
      <c r="E155" s="3" t="s">
        <v>51</v>
      </c>
      <c r="F155" s="3" t="s">
        <v>51</v>
      </c>
      <c r="G155" s="27"/>
      <c r="H155" s="21" t="s">
        <v>1236</v>
      </c>
      <c r="I155" s="3" t="s">
        <v>1124</v>
      </c>
      <c r="J155" s="3" t="s">
        <v>974</v>
      </c>
      <c r="K155" s="3" t="s">
        <v>2100</v>
      </c>
      <c r="L155" s="3"/>
      <c r="M155" s="3" t="b">
        <v>0</v>
      </c>
      <c r="N155" s="3" t="b">
        <v>0</v>
      </c>
      <c r="O155" s="35"/>
    </row>
    <row r="156" spans="1:15" hidden="1" x14ac:dyDescent="0.3">
      <c r="A156" s="27" t="s">
        <v>859</v>
      </c>
      <c r="B156" s="3"/>
      <c r="C156" s="3" t="s">
        <v>1941</v>
      </c>
      <c r="D156" s="3"/>
      <c r="E156" s="3" t="s">
        <v>51</v>
      </c>
      <c r="F156" s="3" t="s">
        <v>51</v>
      </c>
      <c r="G156" s="27"/>
      <c r="H156" s="21" t="s">
        <v>1236</v>
      </c>
      <c r="I156" s="3" t="s">
        <v>1124</v>
      </c>
      <c r="J156" s="3" t="s">
        <v>1952</v>
      </c>
      <c r="K156" s="3" t="s">
        <v>1654</v>
      </c>
      <c r="L156" s="3"/>
      <c r="M156" s="3" t="b">
        <v>0</v>
      </c>
      <c r="N156" s="3" t="b">
        <v>0</v>
      </c>
      <c r="O156" s="35"/>
    </row>
    <row r="157" spans="1:15" hidden="1" x14ac:dyDescent="0.3">
      <c r="A157" s="27" t="s">
        <v>859</v>
      </c>
      <c r="B157" s="3"/>
      <c r="C157" s="3" t="s">
        <v>975</v>
      </c>
      <c r="D157" s="3"/>
      <c r="E157" s="3" t="s">
        <v>51</v>
      </c>
      <c r="F157" s="3" t="s">
        <v>51</v>
      </c>
      <c r="G157" s="27"/>
      <c r="H157" s="21" t="s">
        <v>1236</v>
      </c>
      <c r="I157" s="3" t="s">
        <v>1124</v>
      </c>
      <c r="J157" s="3" t="s">
        <v>1753</v>
      </c>
      <c r="K157" s="3" t="s">
        <v>1655</v>
      </c>
      <c r="L157" s="3"/>
      <c r="M157" s="3" t="b">
        <v>0</v>
      </c>
      <c r="N157" s="3" t="b">
        <v>0</v>
      </c>
      <c r="O157" s="35"/>
    </row>
    <row r="158" spans="1:15" hidden="1" x14ac:dyDescent="0.3">
      <c r="A158" s="27" t="s">
        <v>859</v>
      </c>
      <c r="B158" s="3"/>
      <c r="C158" s="3" t="s">
        <v>2001</v>
      </c>
      <c r="D158" s="3"/>
      <c r="E158" s="3" t="s">
        <v>51</v>
      </c>
      <c r="F158" s="3" t="s">
        <v>51</v>
      </c>
      <c r="G158" s="27"/>
      <c r="H158" s="11" t="s">
        <v>2001</v>
      </c>
      <c r="I158" s="16" t="s">
        <v>1124</v>
      </c>
      <c r="J158" s="3" t="s">
        <v>2002</v>
      </c>
      <c r="K158" s="3" t="s">
        <v>2035</v>
      </c>
      <c r="L158" s="3"/>
      <c r="M158" s="3" t="b">
        <v>0</v>
      </c>
      <c r="N158" s="3" t="b">
        <v>1</v>
      </c>
      <c r="O158" s="35"/>
    </row>
    <row r="159" spans="1:15" hidden="1" x14ac:dyDescent="0.3">
      <c r="A159" s="27" t="s">
        <v>860</v>
      </c>
      <c r="B159" s="3"/>
      <c r="C159" s="1" t="s">
        <v>941</v>
      </c>
      <c r="D159" s="3"/>
      <c r="E159" s="3" t="str" cm="1">
        <f t="array" ref="E159">IF(_xlfn.XLOOKUP(PUPILS[[#This Row],[FinanceCode]],FC[FinanceCode],FC[AvailableToAllSchools])=TRUE,(_xlfn.XLOOKUP(PUPILS[[#This Row],[FinanceCode]],FC[FinanceCode],FC[LedgerCode])),_xlfn.XLOOKUP(1,(FC[FinanceCode]=PUPILS[[#This Row],[FinanceCode]])*(IF(FIND(PUPILS[[#This Row],[SchoolCode]],FC[SchoolCodes])&gt;=1,1,0)),FC[LedgerCode]))</f>
        <v>DEFAULT</v>
      </c>
      <c r="F159" s="3" t="s">
        <v>51</v>
      </c>
      <c r="G159" s="27"/>
      <c r="H159" s="16" t="s">
        <v>1172</v>
      </c>
      <c r="I159" s="3" t="s">
        <v>1124</v>
      </c>
      <c r="J159" s="3" t="s">
        <v>2067</v>
      </c>
      <c r="K159" s="3" t="s">
        <v>1645</v>
      </c>
      <c r="L159" s="3"/>
      <c r="M159" s="3" t="b">
        <v>0</v>
      </c>
      <c r="N159" s="3" t="b">
        <v>0</v>
      </c>
      <c r="O159" s="35"/>
    </row>
    <row r="160" spans="1:15" hidden="1" x14ac:dyDescent="0.3">
      <c r="A160" s="27" t="s">
        <v>860</v>
      </c>
      <c r="B160" s="3"/>
      <c r="C160" s="1" t="s">
        <v>943</v>
      </c>
      <c r="D160" s="3"/>
      <c r="E160" s="3" t="str" cm="1">
        <f t="array" ref="E160">IF(_xlfn.XLOOKUP(PUPILS[[#This Row],[FinanceCode]],FC[FinanceCode],FC[AvailableToAllSchools])=TRUE,(_xlfn.XLOOKUP(PUPILS[[#This Row],[FinanceCode]],FC[FinanceCode],FC[LedgerCode])),_xlfn.XLOOKUP(1,(FC[FinanceCode]=PUPILS[[#This Row],[FinanceCode]])*(IF(FIND(PUPILS[[#This Row],[SchoolCode]],FC[SchoolCodes])&gt;=1,1,0)),FC[LedgerCode]))</f>
        <v>DEFAULT</v>
      </c>
      <c r="F160" s="3" t="s">
        <v>51</v>
      </c>
      <c r="G160" s="27"/>
      <c r="H160" s="16" t="s">
        <v>1172</v>
      </c>
      <c r="I160" s="3" t="s">
        <v>1124</v>
      </c>
      <c r="J160" s="3" t="s">
        <v>2068</v>
      </c>
      <c r="K160" s="3" t="s">
        <v>1646</v>
      </c>
      <c r="L160" s="3"/>
      <c r="M160" s="3" t="b">
        <v>0</v>
      </c>
      <c r="N160" s="3" t="b">
        <v>0</v>
      </c>
      <c r="O160" s="35"/>
    </row>
    <row r="161" spans="1:15" hidden="1" x14ac:dyDescent="0.3">
      <c r="A161" s="27" t="s">
        <v>860</v>
      </c>
      <c r="B161" s="3"/>
      <c r="C161" s="1" t="s">
        <v>945</v>
      </c>
      <c r="D161" s="3"/>
      <c r="E161" s="3" t="str" cm="1">
        <f t="array" ref="E161">IF(_xlfn.XLOOKUP(PUPILS[[#This Row],[FinanceCode]],FC[FinanceCode],FC[AvailableToAllSchools])=TRUE,(_xlfn.XLOOKUP(PUPILS[[#This Row],[FinanceCode]],FC[FinanceCode],FC[LedgerCode])),_xlfn.XLOOKUP(1,(FC[FinanceCode]=PUPILS[[#This Row],[FinanceCode]])*(IF(FIND(PUPILS[[#This Row],[SchoolCode]],FC[SchoolCodes])&gt;=1,1,0)),FC[LedgerCode]))</f>
        <v>DEFAULT</v>
      </c>
      <c r="F161" s="3" t="s">
        <v>51</v>
      </c>
      <c r="G161" s="27"/>
      <c r="H161" s="11" t="s">
        <v>1172</v>
      </c>
      <c r="I161" s="3" t="s">
        <v>1124</v>
      </c>
      <c r="J161" s="3" t="s">
        <v>2069</v>
      </c>
      <c r="K161" s="3" t="s">
        <v>1646</v>
      </c>
      <c r="L161" s="3"/>
      <c r="M161" s="3" t="b">
        <v>0</v>
      </c>
      <c r="N161" s="3" t="b">
        <v>0</v>
      </c>
      <c r="O161" s="35"/>
    </row>
    <row r="162" spans="1:15" hidden="1" x14ac:dyDescent="0.3">
      <c r="A162" s="27" t="s">
        <v>860</v>
      </c>
      <c r="B162" s="3"/>
      <c r="C162" s="1" t="s">
        <v>947</v>
      </c>
      <c r="D162" s="3"/>
      <c r="E162" s="3" t="str" cm="1">
        <f t="array" ref="E162">IF(_xlfn.XLOOKUP(PUPILS[[#This Row],[FinanceCode]],FC[FinanceCode],FC[AvailableToAllSchools])=TRUE,(_xlfn.XLOOKUP(PUPILS[[#This Row],[FinanceCode]],FC[FinanceCode],FC[LedgerCode])),_xlfn.XLOOKUP(1,(FC[FinanceCode]=PUPILS[[#This Row],[FinanceCode]])*(IF(FIND(PUPILS[[#This Row],[SchoolCode]],FC[SchoolCodes])&gt;=1,1,0)),FC[LedgerCode]))</f>
        <v>DEFAULT</v>
      </c>
      <c r="F162" s="3" t="s">
        <v>51</v>
      </c>
      <c r="G162" s="27"/>
      <c r="H162" s="11" t="s">
        <v>1172</v>
      </c>
      <c r="I162" s="3" t="s">
        <v>1124</v>
      </c>
      <c r="J162" s="3" t="s">
        <v>2075</v>
      </c>
      <c r="K162" s="3" t="s">
        <v>1646</v>
      </c>
      <c r="L162" s="3"/>
      <c r="M162" s="3" t="b">
        <v>0</v>
      </c>
      <c r="N162" s="3" t="b">
        <v>0</v>
      </c>
      <c r="O162" s="35"/>
    </row>
    <row r="163" spans="1:15" hidden="1" x14ac:dyDescent="0.3">
      <c r="A163" s="27" t="s">
        <v>860</v>
      </c>
      <c r="B163" s="3"/>
      <c r="C163" s="1" t="s">
        <v>949</v>
      </c>
      <c r="D163" s="3"/>
      <c r="E163" s="3" t="str" cm="1">
        <f t="array" ref="E163">IF(_xlfn.XLOOKUP(PUPILS[[#This Row],[FinanceCode]],FC[FinanceCode],FC[AvailableToAllSchools])=TRUE,(_xlfn.XLOOKUP(PUPILS[[#This Row],[FinanceCode]],FC[FinanceCode],FC[LedgerCode])),_xlfn.XLOOKUP(1,(FC[FinanceCode]=PUPILS[[#This Row],[FinanceCode]])*(IF(FIND(PUPILS[[#This Row],[SchoolCode]],FC[SchoolCodes])&gt;=1,1,0)),FC[LedgerCode]))</f>
        <v>DEFAULT</v>
      </c>
      <c r="F163" s="3" t="s">
        <v>51</v>
      </c>
      <c r="G163" s="27"/>
      <c r="H163" s="11" t="s">
        <v>1172</v>
      </c>
      <c r="I163" s="3" t="s">
        <v>1124</v>
      </c>
      <c r="J163" s="3" t="s">
        <v>2076</v>
      </c>
      <c r="K163" s="3" t="s">
        <v>1646</v>
      </c>
      <c r="L163" s="3"/>
      <c r="M163" s="3" t="b">
        <v>0</v>
      </c>
      <c r="N163" s="3" t="b">
        <v>0</v>
      </c>
      <c r="O163" s="35"/>
    </row>
    <row r="164" spans="1:15" hidden="1" x14ac:dyDescent="0.3">
      <c r="A164" s="27" t="s">
        <v>860</v>
      </c>
      <c r="B164" s="3"/>
      <c r="C164" s="1" t="s">
        <v>951</v>
      </c>
      <c r="D164" s="3"/>
      <c r="E164" s="3" t="str" cm="1">
        <f t="array" ref="E164">IF(_xlfn.XLOOKUP(PUPILS[[#This Row],[FinanceCode]],FC[FinanceCode],FC[AvailableToAllSchools])=TRUE,(_xlfn.XLOOKUP(PUPILS[[#This Row],[FinanceCode]],FC[FinanceCode],FC[LedgerCode])),_xlfn.XLOOKUP(1,(FC[FinanceCode]=PUPILS[[#This Row],[FinanceCode]])*(IF(FIND(PUPILS[[#This Row],[SchoolCode]],FC[SchoolCodes])&gt;=1,1,0)),FC[LedgerCode]))</f>
        <v>DEFAULT</v>
      </c>
      <c r="F164" s="3" t="s">
        <v>51</v>
      </c>
      <c r="G164" s="27"/>
      <c r="H164" s="11" t="s">
        <v>1172</v>
      </c>
      <c r="I164" s="3" t="s">
        <v>1124</v>
      </c>
      <c r="J164" s="3" t="s">
        <v>2077</v>
      </c>
      <c r="K164" s="3" t="s">
        <v>1646</v>
      </c>
      <c r="L164" s="3"/>
      <c r="M164" s="3" t="b">
        <v>0</v>
      </c>
      <c r="N164" s="3" t="b">
        <v>0</v>
      </c>
      <c r="O164" s="35"/>
    </row>
    <row r="165" spans="1:15" hidden="1" x14ac:dyDescent="0.3">
      <c r="A165" s="27" t="s">
        <v>860</v>
      </c>
      <c r="B165" s="3"/>
      <c r="C165" s="1" t="s">
        <v>953</v>
      </c>
      <c r="D165" s="3"/>
      <c r="E165" s="3" t="str" cm="1">
        <f t="array" ref="E165">IF(_xlfn.XLOOKUP(PUPILS[[#This Row],[FinanceCode]],FC[FinanceCode],FC[AvailableToAllSchools])=TRUE,(_xlfn.XLOOKUP(PUPILS[[#This Row],[FinanceCode]],FC[FinanceCode],FC[LedgerCode])),_xlfn.XLOOKUP(1,(FC[FinanceCode]=PUPILS[[#This Row],[FinanceCode]])*(IF(FIND(PUPILS[[#This Row],[SchoolCode]],FC[SchoolCodes])&gt;=1,1,0)),FC[LedgerCode]))</f>
        <v>DEFAULT</v>
      </c>
      <c r="F165" s="3" t="s">
        <v>51</v>
      </c>
      <c r="G165" s="27"/>
      <c r="H165" s="11" t="s">
        <v>1172</v>
      </c>
      <c r="I165" s="3" t="s">
        <v>1124</v>
      </c>
      <c r="J165" s="3" t="s">
        <v>2078</v>
      </c>
      <c r="K165" s="3" t="s">
        <v>1646</v>
      </c>
      <c r="L165" s="3"/>
      <c r="M165" s="3" t="b">
        <v>0</v>
      </c>
      <c r="N165" s="3" t="b">
        <v>0</v>
      </c>
      <c r="O165" s="35"/>
    </row>
    <row r="166" spans="1:15" hidden="1" x14ac:dyDescent="0.3">
      <c r="A166" s="27" t="s">
        <v>860</v>
      </c>
      <c r="B166" s="3"/>
      <c r="C166" s="1" t="s">
        <v>955</v>
      </c>
      <c r="D166" s="3"/>
      <c r="E166" s="3" t="str" cm="1">
        <f t="array" ref="E166">IF(_xlfn.XLOOKUP(PUPILS[[#This Row],[FinanceCode]],FC[FinanceCode],FC[AvailableToAllSchools])=TRUE,(_xlfn.XLOOKUP(PUPILS[[#This Row],[FinanceCode]],FC[FinanceCode],FC[LedgerCode])),_xlfn.XLOOKUP(1,(FC[FinanceCode]=PUPILS[[#This Row],[FinanceCode]])*(IF(FIND(PUPILS[[#This Row],[SchoolCode]],FC[SchoolCodes])&gt;=1,1,0)),FC[LedgerCode]))</f>
        <v>DEFAULT</v>
      </c>
      <c r="F166" s="3" t="s">
        <v>51</v>
      </c>
      <c r="G166" s="27"/>
      <c r="H166" s="11" t="s">
        <v>1172</v>
      </c>
      <c r="I166" s="3" t="s">
        <v>1124</v>
      </c>
      <c r="J166" s="3" t="s">
        <v>2079</v>
      </c>
      <c r="K166" s="3" t="s">
        <v>1646</v>
      </c>
      <c r="L166" s="3"/>
      <c r="M166" s="3" t="b">
        <v>0</v>
      </c>
      <c r="N166" s="3" t="b">
        <v>0</v>
      </c>
      <c r="O166" s="35"/>
    </row>
    <row r="167" spans="1:15" hidden="1" x14ac:dyDescent="0.3">
      <c r="A167" s="27" t="s">
        <v>860</v>
      </c>
      <c r="B167" s="3"/>
      <c r="C167" s="1" t="s">
        <v>957</v>
      </c>
      <c r="D167" s="3"/>
      <c r="E167" s="3" t="str" cm="1">
        <f t="array" ref="E167">IF(_xlfn.XLOOKUP(PUPILS[[#This Row],[FinanceCode]],FC[FinanceCode],FC[AvailableToAllSchools])=TRUE,(_xlfn.XLOOKUP(PUPILS[[#This Row],[FinanceCode]],FC[FinanceCode],FC[LedgerCode])),_xlfn.XLOOKUP(1,(FC[FinanceCode]=PUPILS[[#This Row],[FinanceCode]])*(IF(FIND(PUPILS[[#This Row],[SchoolCode]],FC[SchoolCodes])&gt;=1,1,0)),FC[LedgerCode]))</f>
        <v>DEFAULT</v>
      </c>
      <c r="F167" s="3" t="s">
        <v>51</v>
      </c>
      <c r="G167" s="27"/>
      <c r="H167" s="16" t="s">
        <v>1172</v>
      </c>
      <c r="I167" s="3" t="s">
        <v>1124</v>
      </c>
      <c r="J167" s="3" t="s">
        <v>2080</v>
      </c>
      <c r="K167" s="3" t="s">
        <v>1646</v>
      </c>
      <c r="L167" s="3"/>
      <c r="M167" s="3" t="b">
        <v>0</v>
      </c>
      <c r="N167" s="3" t="b">
        <v>0</v>
      </c>
      <c r="O167" s="35"/>
    </row>
    <row r="168" spans="1:15" hidden="1" x14ac:dyDescent="0.3">
      <c r="A168" s="27" t="s">
        <v>860</v>
      </c>
      <c r="B168" s="3"/>
      <c r="C168" s="1" t="s">
        <v>959</v>
      </c>
      <c r="D168" s="3"/>
      <c r="E168" s="3" t="str" cm="1">
        <f t="array" ref="E168">IF(_xlfn.XLOOKUP(PUPILS[[#This Row],[FinanceCode]],FC[FinanceCode],FC[AvailableToAllSchools])=TRUE,(_xlfn.XLOOKUP(PUPILS[[#This Row],[FinanceCode]],FC[FinanceCode],FC[LedgerCode])),_xlfn.XLOOKUP(1,(FC[FinanceCode]=PUPILS[[#This Row],[FinanceCode]])*(IF(FIND(PUPILS[[#This Row],[SchoolCode]],FC[SchoolCodes])&gt;=1,1,0)),FC[LedgerCode]))</f>
        <v>DEFAULT</v>
      </c>
      <c r="F168" s="3" t="s">
        <v>51</v>
      </c>
      <c r="G168" s="27"/>
      <c r="H168" s="11" t="s">
        <v>1172</v>
      </c>
      <c r="I168" s="3" t="s">
        <v>1124</v>
      </c>
      <c r="J168" s="3" t="s">
        <v>2081</v>
      </c>
      <c r="K168" s="3" t="s">
        <v>1646</v>
      </c>
      <c r="L168" s="3"/>
      <c r="M168" s="3" t="b">
        <v>0</v>
      </c>
      <c r="N168" s="3" t="b">
        <v>0</v>
      </c>
      <c r="O168" s="35"/>
    </row>
    <row r="169" spans="1:15" hidden="1" x14ac:dyDescent="0.3">
      <c r="A169" s="27" t="s">
        <v>860</v>
      </c>
      <c r="B169" s="3"/>
      <c r="C169" s="1" t="s">
        <v>961</v>
      </c>
      <c r="D169" s="3"/>
      <c r="E169" s="3" t="str" cm="1">
        <f t="array" ref="E169">IF(_xlfn.XLOOKUP(PUPILS[[#This Row],[FinanceCode]],FC[FinanceCode],FC[AvailableToAllSchools])=TRUE,(_xlfn.XLOOKUP(PUPILS[[#This Row],[FinanceCode]],FC[FinanceCode],FC[LedgerCode])),_xlfn.XLOOKUP(1,(FC[FinanceCode]=PUPILS[[#This Row],[FinanceCode]])*(IF(FIND(PUPILS[[#This Row],[SchoolCode]],FC[SchoolCodes])&gt;=1,1,0)),FC[LedgerCode]))</f>
        <v>DEFAULT</v>
      </c>
      <c r="F169" s="3" t="s">
        <v>51</v>
      </c>
      <c r="G169" s="27"/>
      <c r="H169" s="11" t="s">
        <v>1172</v>
      </c>
      <c r="I169" s="3" t="s">
        <v>1124</v>
      </c>
      <c r="J169" s="3" t="s">
        <v>2082</v>
      </c>
      <c r="K169" s="3" t="s">
        <v>1646</v>
      </c>
      <c r="L169" s="3"/>
      <c r="M169" s="3" t="b">
        <v>0</v>
      </c>
      <c r="N169" s="3" t="b">
        <v>0</v>
      </c>
      <c r="O169" s="35"/>
    </row>
    <row r="170" spans="1:15" hidden="1" x14ac:dyDescent="0.3">
      <c r="A170" s="27" t="s">
        <v>860</v>
      </c>
      <c r="B170" s="3"/>
      <c r="C170" s="1" t="s">
        <v>963</v>
      </c>
      <c r="D170" s="3"/>
      <c r="E170" s="3" t="str" cm="1">
        <f t="array" ref="E170">IF(_xlfn.XLOOKUP(PUPILS[[#This Row],[FinanceCode]],FC[FinanceCode],FC[AvailableToAllSchools])=TRUE,(_xlfn.XLOOKUP(PUPILS[[#This Row],[FinanceCode]],FC[FinanceCode],FC[LedgerCode])),_xlfn.XLOOKUP(1,(FC[FinanceCode]=PUPILS[[#This Row],[FinanceCode]])*(IF(FIND(PUPILS[[#This Row],[SchoolCode]],FC[SchoolCodes])&gt;=1,1,0)),FC[LedgerCode]))</f>
        <v>DEFAULT</v>
      </c>
      <c r="F170" s="3" t="s">
        <v>51</v>
      </c>
      <c r="G170" s="27"/>
      <c r="H170" s="11" t="s">
        <v>1172</v>
      </c>
      <c r="I170" s="3" t="s">
        <v>1124</v>
      </c>
      <c r="J170" s="3" t="s">
        <v>2070</v>
      </c>
      <c r="K170" s="3" t="s">
        <v>1646</v>
      </c>
      <c r="L170" s="3"/>
      <c r="M170" s="3" t="b">
        <v>0</v>
      </c>
      <c r="N170" s="3" t="b">
        <v>0</v>
      </c>
      <c r="O170" s="35"/>
    </row>
    <row r="171" spans="1:15" hidden="1" x14ac:dyDescent="0.3">
      <c r="A171" s="27" t="s">
        <v>860</v>
      </c>
      <c r="B171" s="3"/>
      <c r="C171" s="1" t="s">
        <v>965</v>
      </c>
      <c r="D171" s="3"/>
      <c r="E171" s="3" t="str" cm="1">
        <f t="array" ref="E171">IF(_xlfn.XLOOKUP(PUPILS[[#This Row],[FinanceCode]],FC[FinanceCode],FC[AvailableToAllSchools])=TRUE,(_xlfn.XLOOKUP(PUPILS[[#This Row],[FinanceCode]],FC[FinanceCode],FC[LedgerCode])),_xlfn.XLOOKUP(1,(FC[FinanceCode]=PUPILS[[#This Row],[FinanceCode]])*(IF(FIND(PUPILS[[#This Row],[SchoolCode]],FC[SchoolCodes])&gt;=1,1,0)),FC[LedgerCode]))</f>
        <v>DEFAULT</v>
      </c>
      <c r="F171" s="3" t="s">
        <v>51</v>
      </c>
      <c r="G171" s="27"/>
      <c r="H171" s="11" t="s">
        <v>1172</v>
      </c>
      <c r="I171" s="3" t="s">
        <v>1124</v>
      </c>
      <c r="J171" s="3" t="s">
        <v>2071</v>
      </c>
      <c r="K171" s="3" t="s">
        <v>1646</v>
      </c>
      <c r="L171" s="3"/>
      <c r="M171" s="3" t="b">
        <v>0</v>
      </c>
      <c r="N171" s="3" t="b">
        <v>0</v>
      </c>
      <c r="O171" s="35"/>
    </row>
    <row r="172" spans="1:15" hidden="1" x14ac:dyDescent="0.3">
      <c r="A172" s="27" t="s">
        <v>860</v>
      </c>
      <c r="B172" s="3"/>
      <c r="C172" s="1" t="s">
        <v>967</v>
      </c>
      <c r="D172" s="3"/>
      <c r="E172" s="3" t="str" cm="1">
        <f t="array" ref="E172">IF(_xlfn.XLOOKUP(PUPILS[[#This Row],[FinanceCode]],FC[FinanceCode],FC[AvailableToAllSchools])=TRUE,(_xlfn.XLOOKUP(PUPILS[[#This Row],[FinanceCode]],FC[FinanceCode],FC[LedgerCode])),_xlfn.XLOOKUP(1,(FC[FinanceCode]=PUPILS[[#This Row],[FinanceCode]])*(IF(FIND(PUPILS[[#This Row],[SchoolCode]],FC[SchoolCodes])&gt;=1,1,0)),FC[LedgerCode]))</f>
        <v>DEFAULT</v>
      </c>
      <c r="F172" s="3" t="s">
        <v>51</v>
      </c>
      <c r="G172" s="27"/>
      <c r="H172" s="16" t="s">
        <v>1172</v>
      </c>
      <c r="I172" s="3" t="s">
        <v>1124</v>
      </c>
      <c r="J172" s="3" t="s">
        <v>2072</v>
      </c>
      <c r="K172" s="3" t="s">
        <v>1646</v>
      </c>
      <c r="L172" s="3"/>
      <c r="M172" s="3" t="b">
        <v>0</v>
      </c>
      <c r="N172" s="3" t="b">
        <v>0</v>
      </c>
      <c r="O172" s="35"/>
    </row>
    <row r="173" spans="1:15" hidden="1" x14ac:dyDescent="0.3">
      <c r="A173" s="27" t="s">
        <v>860</v>
      </c>
      <c r="B173" s="3"/>
      <c r="C173" s="1" t="s">
        <v>969</v>
      </c>
      <c r="D173" s="3"/>
      <c r="E173" s="3" t="str" cm="1">
        <f t="array" ref="E173">IF(_xlfn.XLOOKUP(PUPILS[[#This Row],[FinanceCode]],FC[FinanceCode],FC[AvailableToAllSchools])=TRUE,(_xlfn.XLOOKUP(PUPILS[[#This Row],[FinanceCode]],FC[FinanceCode],FC[LedgerCode])),_xlfn.XLOOKUP(1,(FC[FinanceCode]=PUPILS[[#This Row],[FinanceCode]])*(IF(FIND(PUPILS[[#This Row],[SchoolCode]],FC[SchoolCodes])&gt;=1,1,0)),FC[LedgerCode]))</f>
        <v>DEFAULT</v>
      </c>
      <c r="F173" s="3" t="s">
        <v>51</v>
      </c>
      <c r="G173" s="27"/>
      <c r="H173" s="11" t="s">
        <v>1172</v>
      </c>
      <c r="I173" s="3" t="s">
        <v>1124</v>
      </c>
      <c r="J173" s="3" t="s">
        <v>2073</v>
      </c>
      <c r="K173" s="3" t="s">
        <v>1646</v>
      </c>
      <c r="L173" s="3"/>
      <c r="M173" s="3" t="b">
        <v>0</v>
      </c>
      <c r="N173" s="3" t="b">
        <v>0</v>
      </c>
      <c r="O173" s="35"/>
    </row>
    <row r="174" spans="1:15" hidden="1" x14ac:dyDescent="0.3">
      <c r="A174" s="27" t="s">
        <v>860</v>
      </c>
      <c r="B174" s="3"/>
      <c r="C174" s="1" t="s">
        <v>1501</v>
      </c>
      <c r="D174" s="3"/>
      <c r="E174" s="3" t="str" cm="1">
        <f t="array" ref="E174">IF(_xlfn.XLOOKUP(PUPILS[[#This Row],[FinanceCode]],FC[FinanceCode],FC[AvailableToAllSchools])=TRUE,(_xlfn.XLOOKUP(PUPILS[[#This Row],[FinanceCode]],FC[FinanceCode],FC[LedgerCode])),_xlfn.XLOOKUP(1,(FC[FinanceCode]=PUPILS[[#This Row],[FinanceCode]])*(IF(FIND(PUPILS[[#This Row],[SchoolCode]],FC[SchoolCodes])&gt;=1,1,0)),FC[LedgerCode]))</f>
        <v>DEFAULT</v>
      </c>
      <c r="F174" s="3" t="s">
        <v>51</v>
      </c>
      <c r="G174" s="27"/>
      <c r="H174" s="11" t="s">
        <v>1172</v>
      </c>
      <c r="I174" s="16" t="s">
        <v>1124</v>
      </c>
      <c r="J174" s="3" t="s">
        <v>2074</v>
      </c>
      <c r="K174" s="3" t="s">
        <v>1646</v>
      </c>
      <c r="L174" s="3"/>
      <c r="M174" s="3" t="b">
        <v>0</v>
      </c>
      <c r="N174" s="3" t="b">
        <v>0</v>
      </c>
      <c r="O174" s="35"/>
    </row>
    <row r="175" spans="1:15" hidden="1" x14ac:dyDescent="0.3">
      <c r="A175" s="27" t="s">
        <v>860</v>
      </c>
      <c r="B175" s="3"/>
      <c r="C175" s="1" t="s">
        <v>1528</v>
      </c>
      <c r="D175" s="3"/>
      <c r="E175" s="3" t="str" cm="1">
        <f t="array" ref="E175">IF(_xlfn.XLOOKUP(PUPILS[[#This Row],[FinanceCode]],FC[FinanceCode],FC[AvailableToAllSchools])=TRUE,(_xlfn.XLOOKUP(PUPILS[[#This Row],[FinanceCode]],FC[FinanceCode],FC[LedgerCode])),_xlfn.XLOOKUP(1,(FC[FinanceCode]=PUPILS[[#This Row],[FinanceCode]])*(IF(FIND(PUPILS[[#This Row],[SchoolCode]],FC[SchoolCodes])&gt;=1,1,0)),FC[LedgerCode]))</f>
        <v>DEFAULT</v>
      </c>
      <c r="F175" s="3" t="s">
        <v>51</v>
      </c>
      <c r="G175" s="27"/>
      <c r="H175" s="1" t="s">
        <v>1528</v>
      </c>
      <c r="I175" s="3" t="s">
        <v>1124</v>
      </c>
      <c r="J175" s="3" t="s">
        <v>1530</v>
      </c>
      <c r="K175" s="3" t="s">
        <v>1647</v>
      </c>
      <c r="L175" s="3"/>
      <c r="M175" s="3" t="b">
        <v>0</v>
      </c>
      <c r="N175" s="3" t="b">
        <v>0</v>
      </c>
      <c r="O175" s="35"/>
    </row>
    <row r="176" spans="1:15" hidden="1" x14ac:dyDescent="0.3">
      <c r="A176" s="27" t="s">
        <v>860</v>
      </c>
      <c r="B176" s="3"/>
      <c r="C176" s="1" t="s">
        <v>1523</v>
      </c>
      <c r="D176" s="3"/>
      <c r="E176" s="3" t="str" cm="1">
        <f t="array" ref="E176">IF(_xlfn.XLOOKUP(PUPILS[[#This Row],[FinanceCode]],FC[FinanceCode],FC[AvailableToAllSchools])=TRUE,(_xlfn.XLOOKUP(PUPILS[[#This Row],[FinanceCode]],FC[FinanceCode],FC[LedgerCode])),_xlfn.XLOOKUP(1,(FC[FinanceCode]=PUPILS[[#This Row],[FinanceCode]])*(IF(FIND(PUPILS[[#This Row],[SchoolCode]],FC[SchoolCodes])&gt;=1,1,0)),FC[LedgerCode]))</f>
        <v>DEFAULT</v>
      </c>
      <c r="F176" s="3" t="s">
        <v>51</v>
      </c>
      <c r="G176" s="27"/>
      <c r="H176" s="1" t="s">
        <v>1523</v>
      </c>
      <c r="I176" s="3" t="s">
        <v>1124</v>
      </c>
      <c r="J176" s="3" t="s">
        <v>1531</v>
      </c>
      <c r="K176" s="3" t="s">
        <v>1648</v>
      </c>
      <c r="L176" s="3"/>
      <c r="M176" s="3" t="b">
        <v>0</v>
      </c>
      <c r="N176" s="3" t="b">
        <v>0</v>
      </c>
      <c r="O176" s="35"/>
    </row>
    <row r="177" spans="1:15" hidden="1" x14ac:dyDescent="0.3">
      <c r="A177" s="27" t="s">
        <v>860</v>
      </c>
      <c r="B177" s="3"/>
      <c r="C177" s="1" t="s">
        <v>1524</v>
      </c>
      <c r="D177" s="3"/>
      <c r="E177" s="3" t="str" cm="1">
        <f t="array" ref="E177">IF(_xlfn.XLOOKUP(PUPILS[[#This Row],[FinanceCode]],FC[FinanceCode],FC[AvailableToAllSchools])=TRUE,(_xlfn.XLOOKUP(PUPILS[[#This Row],[FinanceCode]],FC[FinanceCode],FC[LedgerCode])),_xlfn.XLOOKUP(1,(FC[FinanceCode]=PUPILS[[#This Row],[FinanceCode]])*(IF(FIND(PUPILS[[#This Row],[SchoolCode]],FC[SchoolCodes])&gt;=1,1,0)),FC[LedgerCode]))</f>
        <v>DEFAULT</v>
      </c>
      <c r="F177" s="3" t="s">
        <v>51</v>
      </c>
      <c r="G177" s="27"/>
      <c r="H177" s="1" t="s">
        <v>1524</v>
      </c>
      <c r="I177" s="3" t="s">
        <v>1124</v>
      </c>
      <c r="J177" s="3" t="s">
        <v>1532</v>
      </c>
      <c r="K177" s="3" t="s">
        <v>1649</v>
      </c>
      <c r="L177" s="3"/>
      <c r="M177" s="3" t="b">
        <v>0</v>
      </c>
      <c r="N177" s="3" t="b">
        <v>0</v>
      </c>
      <c r="O177" s="35"/>
    </row>
    <row r="178" spans="1:15" hidden="1" x14ac:dyDescent="0.3">
      <c r="A178" s="27" t="s">
        <v>860</v>
      </c>
      <c r="B178" s="3"/>
      <c r="C178" s="1" t="s">
        <v>1525</v>
      </c>
      <c r="D178" s="3"/>
      <c r="E178" s="3" t="str" cm="1">
        <f t="array" ref="E178">IF(_xlfn.XLOOKUP(PUPILS[[#This Row],[FinanceCode]],FC[FinanceCode],FC[AvailableToAllSchools])=TRUE,(_xlfn.XLOOKUP(PUPILS[[#This Row],[FinanceCode]],FC[FinanceCode],FC[LedgerCode])),_xlfn.XLOOKUP(1,(FC[FinanceCode]=PUPILS[[#This Row],[FinanceCode]])*(IF(FIND(PUPILS[[#This Row],[SchoolCode]],FC[SchoolCodes])&gt;=1,1,0)),FC[LedgerCode]))</f>
        <v>DEFAULT</v>
      </c>
      <c r="F178" s="3" t="s">
        <v>51</v>
      </c>
      <c r="G178" s="27"/>
      <c r="H178" s="1" t="s">
        <v>1525</v>
      </c>
      <c r="I178" s="3" t="s">
        <v>1124</v>
      </c>
      <c r="J178" s="3" t="s">
        <v>1533</v>
      </c>
      <c r="K178" s="3" t="s">
        <v>1650</v>
      </c>
      <c r="L178" s="3"/>
      <c r="M178" s="3" t="b">
        <v>0</v>
      </c>
      <c r="N178" s="3" t="b">
        <v>0</v>
      </c>
      <c r="O178" s="35"/>
    </row>
    <row r="179" spans="1:15" hidden="1" x14ac:dyDescent="0.3">
      <c r="A179" s="27" t="s">
        <v>860</v>
      </c>
      <c r="B179" s="3"/>
      <c r="C179" s="1" t="s">
        <v>1526</v>
      </c>
      <c r="D179" s="3"/>
      <c r="E179" s="3" t="str" cm="1">
        <f t="array" ref="E179">IF(_xlfn.XLOOKUP(PUPILS[[#This Row],[FinanceCode]],FC[FinanceCode],FC[AvailableToAllSchools])=TRUE,(_xlfn.XLOOKUP(PUPILS[[#This Row],[FinanceCode]],FC[FinanceCode],FC[LedgerCode])),_xlfn.XLOOKUP(1,(FC[FinanceCode]=PUPILS[[#This Row],[FinanceCode]])*(IF(FIND(PUPILS[[#This Row],[SchoolCode]],FC[SchoolCodes])&gt;=1,1,0)),FC[LedgerCode]))</f>
        <v>DEFAULT</v>
      </c>
      <c r="F179" s="3" t="s">
        <v>51</v>
      </c>
      <c r="G179" s="27"/>
      <c r="H179" s="1" t="s">
        <v>1526</v>
      </c>
      <c r="I179" s="3" t="s">
        <v>1124</v>
      </c>
      <c r="J179" s="3" t="s">
        <v>1534</v>
      </c>
      <c r="K179" s="3" t="s">
        <v>1651</v>
      </c>
      <c r="L179" s="3"/>
      <c r="M179" s="3" t="b">
        <v>0</v>
      </c>
      <c r="N179" s="3" t="b">
        <v>0</v>
      </c>
      <c r="O179" s="35"/>
    </row>
    <row r="180" spans="1:15" hidden="1" x14ac:dyDescent="0.3">
      <c r="A180" s="27" t="s">
        <v>860</v>
      </c>
      <c r="B180" s="3"/>
      <c r="C180" s="1" t="s">
        <v>1527</v>
      </c>
      <c r="D180" s="3"/>
      <c r="E180" s="3" t="str" cm="1">
        <f t="array" ref="E180">IF(_xlfn.XLOOKUP(PUPILS[[#This Row],[FinanceCode]],FC[FinanceCode],FC[AvailableToAllSchools])=TRUE,(_xlfn.XLOOKUP(PUPILS[[#This Row],[FinanceCode]],FC[FinanceCode],FC[LedgerCode])),_xlfn.XLOOKUP(1,(FC[FinanceCode]=PUPILS[[#This Row],[FinanceCode]])*(IF(FIND(PUPILS[[#This Row],[SchoolCode]],FC[SchoolCodes])&gt;=1,1,0)),FC[LedgerCode]))</f>
        <v>DEFAULT</v>
      </c>
      <c r="F180" s="3" t="s">
        <v>51</v>
      </c>
      <c r="G180" s="27"/>
      <c r="H180" s="1" t="s">
        <v>1527</v>
      </c>
      <c r="I180" s="3" t="s">
        <v>1124</v>
      </c>
      <c r="J180" s="3" t="s">
        <v>1535</v>
      </c>
      <c r="K180" s="3" t="s">
        <v>1652</v>
      </c>
      <c r="L180" s="3"/>
      <c r="M180" s="3" t="b">
        <v>0</v>
      </c>
      <c r="N180" s="3" t="b">
        <v>0</v>
      </c>
      <c r="O180" s="35"/>
    </row>
    <row r="181" spans="1:15" hidden="1" x14ac:dyDescent="0.3">
      <c r="A181" s="27" t="s">
        <v>860</v>
      </c>
      <c r="B181" s="3"/>
      <c r="C181" s="1" t="s">
        <v>1522</v>
      </c>
      <c r="D181" s="3"/>
      <c r="E181" s="3" t="str" cm="1">
        <f t="array" ref="E181">IF(_xlfn.XLOOKUP(PUPILS[[#This Row],[FinanceCode]],FC[FinanceCode],FC[AvailableToAllSchools])=TRUE,(_xlfn.XLOOKUP(PUPILS[[#This Row],[FinanceCode]],FC[FinanceCode],FC[LedgerCode])),_xlfn.XLOOKUP(1,(FC[FinanceCode]=PUPILS[[#This Row],[FinanceCode]])*(IF(FIND(PUPILS[[#This Row],[SchoolCode]],FC[SchoolCodes])&gt;=1,1,0)),FC[LedgerCode]))</f>
        <v>DEFAULT</v>
      </c>
      <c r="F181" s="3" t="s">
        <v>51</v>
      </c>
      <c r="G181" s="27"/>
      <c r="H181" s="1" t="s">
        <v>1522</v>
      </c>
      <c r="I181" s="3" t="s">
        <v>1124</v>
      </c>
      <c r="J181" s="3" t="s">
        <v>1529</v>
      </c>
      <c r="K181" s="3" t="s">
        <v>1653</v>
      </c>
      <c r="L181" s="3"/>
      <c r="M181" s="3" t="b">
        <v>0</v>
      </c>
      <c r="N181" s="3" t="b">
        <v>0</v>
      </c>
      <c r="O181" s="35"/>
    </row>
    <row r="182" spans="1:15" x14ac:dyDescent="0.3">
      <c r="A182" s="27" t="s">
        <v>860</v>
      </c>
      <c r="B182" s="3"/>
      <c r="C182" s="3" t="s">
        <v>1554</v>
      </c>
      <c r="D182" s="3"/>
      <c r="E182" s="3" t="str" cm="1">
        <f t="array" ref="E182">IF(_xlfn.XLOOKUP(PUPILS[[#This Row],[FinanceCode]],FC[FinanceCode],FC[AvailableToAllSchools])=TRUE,(_xlfn.XLOOKUP(PUPILS[[#This Row],[FinanceCode]],FC[FinanceCode],FC[LedgerCode])),_xlfn.XLOOKUP(1,(FC[FinanceCode]=PUPILS[[#This Row],[FinanceCode]])*(IF(FIND(PUPILS[[#This Row],[SchoolCode]],FC[SchoolCodes])&gt;=1,1,0)),FC[LedgerCode]))</f>
        <v>DEFAULT</v>
      </c>
      <c r="F182" s="3" t="s">
        <v>51</v>
      </c>
      <c r="G182" s="27"/>
      <c r="H182" s="11" t="s">
        <v>1172</v>
      </c>
      <c r="I182" s="16" t="s">
        <v>1124</v>
      </c>
      <c r="J182" s="3" t="s">
        <v>1555</v>
      </c>
      <c r="K182" s="3" t="s">
        <v>2092</v>
      </c>
      <c r="L182" s="3"/>
      <c r="M182" s="3" t="b">
        <v>0</v>
      </c>
      <c r="N182" s="3" t="b">
        <v>0</v>
      </c>
      <c r="O182" s="35"/>
    </row>
    <row r="183" spans="1:15" x14ac:dyDescent="0.3">
      <c r="A183" s="27" t="s">
        <v>860</v>
      </c>
      <c r="B183" s="3"/>
      <c r="C183" s="3" t="s">
        <v>1556</v>
      </c>
      <c r="D183" s="3"/>
      <c r="E183" s="3" t="str" cm="1">
        <f t="array" ref="E183">IF(_xlfn.XLOOKUP(PUPILS[[#This Row],[FinanceCode]],FC[FinanceCode],FC[AvailableToAllSchools])=TRUE,(_xlfn.XLOOKUP(PUPILS[[#This Row],[FinanceCode]],FC[FinanceCode],FC[LedgerCode])),_xlfn.XLOOKUP(1,(FC[FinanceCode]=PUPILS[[#This Row],[FinanceCode]])*(IF(FIND(PUPILS[[#This Row],[SchoolCode]],FC[SchoolCodes])&gt;=1,1,0)),FC[LedgerCode]))</f>
        <v>DEFAULT</v>
      </c>
      <c r="F183" s="3" t="s">
        <v>51</v>
      </c>
      <c r="G183" s="27"/>
      <c r="H183" s="11" t="s">
        <v>1172</v>
      </c>
      <c r="I183" s="16" t="s">
        <v>1124</v>
      </c>
      <c r="J183" s="3" t="s">
        <v>1557</v>
      </c>
      <c r="K183" s="3" t="s">
        <v>2092</v>
      </c>
      <c r="L183" s="3"/>
      <c r="M183" s="3" t="b">
        <v>0</v>
      </c>
      <c r="N183" s="3" t="b">
        <v>0</v>
      </c>
      <c r="O183" s="35"/>
    </row>
    <row r="184" spans="1:15" hidden="1" x14ac:dyDescent="0.3">
      <c r="A184" s="27" t="s">
        <v>860</v>
      </c>
      <c r="B184" s="3"/>
      <c r="C184" s="1" t="s">
        <v>937</v>
      </c>
      <c r="D184" s="3"/>
      <c r="E184" s="3" t="str" cm="1">
        <f t="array" ref="E184">IF(_xlfn.XLOOKUP(PUPILS[[#This Row],[FinanceCode]],FC[FinanceCode],FC[AvailableToAllSchools])=TRUE,(_xlfn.XLOOKUP(PUPILS[[#This Row],[FinanceCode]],FC[FinanceCode],FC[LedgerCode])),_xlfn.XLOOKUP(1,(FC[FinanceCode]=PUPILS[[#This Row],[FinanceCode]])*(IF(FIND(PUPILS[[#This Row],[SchoolCode]],FC[SchoolCodes])&gt;=1,1,0)),FC[LedgerCode]))</f>
        <v>DEFAULT</v>
      </c>
      <c r="F184" s="3" t="s">
        <v>51</v>
      </c>
      <c r="G184" s="27"/>
      <c r="H184" s="16" t="s">
        <v>1172</v>
      </c>
      <c r="I184" s="3" t="s">
        <v>1124</v>
      </c>
      <c r="J184" s="3" t="s">
        <v>1428</v>
      </c>
      <c r="K184" s="3" t="s">
        <v>1642</v>
      </c>
      <c r="L184" s="3"/>
      <c r="M184" s="3" t="b">
        <v>0</v>
      </c>
      <c r="N184" s="3" t="b">
        <v>0</v>
      </c>
      <c r="O184" s="35"/>
    </row>
    <row r="185" spans="1:15" hidden="1" x14ac:dyDescent="0.3">
      <c r="A185" s="27" t="s">
        <v>860</v>
      </c>
      <c r="B185" s="3"/>
      <c r="C185" s="1" t="s">
        <v>939</v>
      </c>
      <c r="D185" s="3"/>
      <c r="E185" s="3" t="str" cm="1">
        <f t="array" ref="E185">IF(_xlfn.XLOOKUP(PUPILS[[#This Row],[FinanceCode]],FC[FinanceCode],FC[AvailableToAllSchools])=TRUE,(_xlfn.XLOOKUP(PUPILS[[#This Row],[FinanceCode]],FC[FinanceCode],FC[LedgerCode])),_xlfn.XLOOKUP(1,(FC[FinanceCode]=PUPILS[[#This Row],[FinanceCode]])*(IF(FIND(PUPILS[[#This Row],[SchoolCode]],FC[SchoolCodes])&gt;=1,1,0)),FC[LedgerCode]))</f>
        <v>DEFAULT</v>
      </c>
      <c r="F185" s="3" t="s">
        <v>51</v>
      </c>
      <c r="G185" s="27"/>
      <c r="H185" s="16" t="s">
        <v>1172</v>
      </c>
      <c r="I185" s="3" t="s">
        <v>1124</v>
      </c>
      <c r="J185" s="3" t="s">
        <v>1429</v>
      </c>
      <c r="K185" s="3" t="s">
        <v>1632</v>
      </c>
      <c r="L185" s="3"/>
      <c r="M185" s="3" t="b">
        <v>0</v>
      </c>
      <c r="N185" s="3" t="b">
        <v>0</v>
      </c>
      <c r="O185" s="35"/>
    </row>
    <row r="186" spans="1:15" hidden="1" x14ac:dyDescent="0.3">
      <c r="A186" s="27" t="s">
        <v>860</v>
      </c>
      <c r="B186" s="3"/>
      <c r="C186" s="1" t="s">
        <v>971</v>
      </c>
      <c r="D186" s="3"/>
      <c r="E186" s="3" t="s">
        <v>51</v>
      </c>
      <c r="F186" s="3" t="s">
        <v>51</v>
      </c>
      <c r="G186" s="27"/>
      <c r="H186" s="11" t="s">
        <v>1172</v>
      </c>
      <c r="I186" s="3" t="s">
        <v>1124</v>
      </c>
      <c r="J186" s="3" t="s">
        <v>972</v>
      </c>
      <c r="K186" s="3" t="s">
        <v>2099</v>
      </c>
      <c r="L186" s="3"/>
      <c r="M186" s="3" t="b">
        <v>0</v>
      </c>
      <c r="N186" s="3" t="b">
        <v>0</v>
      </c>
      <c r="O186" s="35"/>
    </row>
    <row r="187" spans="1:15" hidden="1" x14ac:dyDescent="0.3">
      <c r="A187" s="27" t="s">
        <v>860</v>
      </c>
      <c r="B187" s="3"/>
      <c r="C187" s="3" t="s">
        <v>973</v>
      </c>
      <c r="D187" s="3"/>
      <c r="E187" s="3" t="s">
        <v>51</v>
      </c>
      <c r="F187" s="3" t="s">
        <v>51</v>
      </c>
      <c r="G187" s="27"/>
      <c r="H187" s="11" t="s">
        <v>1172</v>
      </c>
      <c r="I187" s="3" t="s">
        <v>1124</v>
      </c>
      <c r="J187" s="3" t="s">
        <v>974</v>
      </c>
      <c r="K187" s="3" t="s">
        <v>2100</v>
      </c>
      <c r="L187" s="3"/>
      <c r="M187" s="3" t="b">
        <v>0</v>
      </c>
      <c r="N187" s="3" t="b">
        <v>0</v>
      </c>
      <c r="O187" s="35"/>
    </row>
    <row r="188" spans="1:15" hidden="1" x14ac:dyDescent="0.3">
      <c r="A188" s="27" t="s">
        <v>860</v>
      </c>
      <c r="B188" s="3"/>
      <c r="C188" s="3" t="s">
        <v>1941</v>
      </c>
      <c r="D188" s="3"/>
      <c r="E188" s="3" t="s">
        <v>51</v>
      </c>
      <c r="F188" s="3" t="s">
        <v>51</v>
      </c>
      <c r="G188" s="27"/>
      <c r="H188" s="11" t="s">
        <v>1172</v>
      </c>
      <c r="I188" s="3" t="s">
        <v>1124</v>
      </c>
      <c r="J188" s="3" t="s">
        <v>1952</v>
      </c>
      <c r="K188" s="3" t="s">
        <v>1654</v>
      </c>
      <c r="L188" s="3"/>
      <c r="M188" s="3" t="b">
        <v>0</v>
      </c>
      <c r="N188" s="3" t="b">
        <v>0</v>
      </c>
      <c r="O188" s="35"/>
    </row>
    <row r="189" spans="1:15" hidden="1" x14ac:dyDescent="0.3">
      <c r="A189" s="27" t="s">
        <v>860</v>
      </c>
      <c r="B189" s="3"/>
      <c r="C189" s="3" t="s">
        <v>975</v>
      </c>
      <c r="D189" s="3"/>
      <c r="E189" s="3" t="s">
        <v>51</v>
      </c>
      <c r="F189" s="3" t="s">
        <v>51</v>
      </c>
      <c r="G189" s="27"/>
      <c r="H189" s="11" t="s">
        <v>1172</v>
      </c>
      <c r="I189" s="3" t="s">
        <v>1124</v>
      </c>
      <c r="J189" s="3" t="s">
        <v>1753</v>
      </c>
      <c r="K189" s="3" t="s">
        <v>1655</v>
      </c>
      <c r="L189" s="3"/>
      <c r="M189" s="3" t="b">
        <v>0</v>
      </c>
      <c r="N189" s="3" t="b">
        <v>0</v>
      </c>
      <c r="O189" s="35"/>
    </row>
    <row r="190" spans="1:15" hidden="1" x14ac:dyDescent="0.3">
      <c r="A190" s="27" t="s">
        <v>2422</v>
      </c>
      <c r="B190" s="3"/>
      <c r="C190" s="1" t="s">
        <v>943</v>
      </c>
      <c r="D190" s="3"/>
      <c r="E190" s="3" t="str" cm="1">
        <f t="array" ref="E190">IF(_xlfn.XLOOKUP(PUPILS[[#This Row],[FinanceCode]],FC[FinanceCode],FC[AvailableToAllSchools])=TRUE,(_xlfn.XLOOKUP(PUPILS[[#This Row],[FinanceCode]],FC[FinanceCode],FC[LedgerCode])),_xlfn.XLOOKUP(1,(FC[FinanceCode]=PUPILS[[#This Row],[FinanceCode]])*(IF(FIND(PUPILS[[#This Row],[SchoolCode]],FC[SchoolCodes])&gt;=1,1,0)),FC[LedgerCode]))</f>
        <v>DEFAULT</v>
      </c>
      <c r="F190" s="3" t="s">
        <v>51</v>
      </c>
      <c r="G190" s="27"/>
      <c r="H190" s="11" t="s">
        <v>1172</v>
      </c>
      <c r="I190" s="16" t="s">
        <v>1124</v>
      </c>
      <c r="J190" s="3" t="s">
        <v>2068</v>
      </c>
      <c r="K190" s="3" t="s">
        <v>1646</v>
      </c>
      <c r="L190" s="3"/>
      <c r="M190" s="3" t="b">
        <v>0</v>
      </c>
      <c r="N190" s="3" t="b">
        <v>0</v>
      </c>
      <c r="O190" s="35"/>
    </row>
    <row r="191" spans="1:15" hidden="1" x14ac:dyDescent="0.3">
      <c r="A191" s="27" t="s">
        <v>2422</v>
      </c>
      <c r="B191" s="3"/>
      <c r="C191" s="1" t="s">
        <v>945</v>
      </c>
      <c r="D191" s="3"/>
      <c r="E191" s="3" t="str" cm="1">
        <f t="array" ref="E191">IF(_xlfn.XLOOKUP(PUPILS[[#This Row],[FinanceCode]],FC[FinanceCode],FC[AvailableToAllSchools])=TRUE,(_xlfn.XLOOKUP(PUPILS[[#This Row],[FinanceCode]],FC[FinanceCode],FC[LedgerCode])),_xlfn.XLOOKUP(1,(FC[FinanceCode]=PUPILS[[#This Row],[FinanceCode]])*(IF(FIND(PUPILS[[#This Row],[SchoolCode]],FC[SchoolCodes])&gt;=1,1,0)),FC[LedgerCode]))</f>
        <v>DEFAULT</v>
      </c>
      <c r="F191" s="3" t="s">
        <v>51</v>
      </c>
      <c r="G191" s="27"/>
      <c r="H191" s="11" t="s">
        <v>1254</v>
      </c>
      <c r="I191" s="16" t="s">
        <v>1124</v>
      </c>
      <c r="J191" s="3" t="s">
        <v>2069</v>
      </c>
      <c r="K191" s="3" t="s">
        <v>1646</v>
      </c>
      <c r="L191" s="3"/>
      <c r="M191" s="3" t="b">
        <v>0</v>
      </c>
      <c r="N191" s="3" t="b">
        <v>0</v>
      </c>
      <c r="O191" s="35"/>
    </row>
    <row r="192" spans="1:15" hidden="1" x14ac:dyDescent="0.3">
      <c r="A192" s="27" t="s">
        <v>2422</v>
      </c>
      <c r="B192" s="3"/>
      <c r="C192" s="1" t="s">
        <v>947</v>
      </c>
      <c r="D192" s="3"/>
      <c r="E192" s="3" t="str" cm="1">
        <f t="array" ref="E192">IF(_xlfn.XLOOKUP(PUPILS[[#This Row],[FinanceCode]],FC[FinanceCode],FC[AvailableToAllSchools])=TRUE,(_xlfn.XLOOKUP(PUPILS[[#This Row],[FinanceCode]],FC[FinanceCode],FC[LedgerCode])),_xlfn.XLOOKUP(1,(FC[FinanceCode]=PUPILS[[#This Row],[FinanceCode]])*(IF(FIND(PUPILS[[#This Row],[SchoolCode]],FC[SchoolCodes])&gt;=1,1,0)),FC[LedgerCode]))</f>
        <v>DEFAULT</v>
      </c>
      <c r="F192" s="3" t="s">
        <v>51</v>
      </c>
      <c r="G192" s="27"/>
      <c r="H192" s="11" t="s">
        <v>1256</v>
      </c>
      <c r="I192" s="16" t="s">
        <v>1124</v>
      </c>
      <c r="J192" s="3" t="s">
        <v>2075</v>
      </c>
      <c r="K192" s="3" t="s">
        <v>1646</v>
      </c>
      <c r="L192" s="3"/>
      <c r="M192" s="3" t="b">
        <v>0</v>
      </c>
      <c r="N192" s="3" t="b">
        <v>0</v>
      </c>
      <c r="O192" s="35"/>
    </row>
    <row r="193" spans="1:15" hidden="1" x14ac:dyDescent="0.3">
      <c r="A193" s="27" t="s">
        <v>2422</v>
      </c>
      <c r="B193" s="3"/>
      <c r="C193" s="1" t="s">
        <v>949</v>
      </c>
      <c r="D193" s="3"/>
      <c r="E193" s="3" t="str" cm="1">
        <f t="array" ref="E193">IF(_xlfn.XLOOKUP(PUPILS[[#This Row],[FinanceCode]],FC[FinanceCode],FC[AvailableToAllSchools])=TRUE,(_xlfn.XLOOKUP(PUPILS[[#This Row],[FinanceCode]],FC[FinanceCode],FC[LedgerCode])),_xlfn.XLOOKUP(1,(FC[FinanceCode]=PUPILS[[#This Row],[FinanceCode]])*(IF(FIND(PUPILS[[#This Row],[SchoolCode]],FC[SchoolCodes])&gt;=1,1,0)),FC[LedgerCode]))</f>
        <v>DEFAULT</v>
      </c>
      <c r="F193" s="3" t="s">
        <v>51</v>
      </c>
      <c r="G193" s="27"/>
      <c r="H193" s="11" t="s">
        <v>1258</v>
      </c>
      <c r="I193" s="16" t="s">
        <v>1124</v>
      </c>
      <c r="J193" s="3" t="s">
        <v>2076</v>
      </c>
      <c r="K193" s="3" t="s">
        <v>1646</v>
      </c>
      <c r="L193" s="3"/>
      <c r="M193" s="3" t="b">
        <v>0</v>
      </c>
      <c r="N193" s="3" t="b">
        <v>0</v>
      </c>
      <c r="O193" s="35"/>
    </row>
    <row r="194" spans="1:15" hidden="1" x14ac:dyDescent="0.3">
      <c r="A194" s="27" t="s">
        <v>2422</v>
      </c>
      <c r="B194" s="3"/>
      <c r="C194" s="1" t="s">
        <v>951</v>
      </c>
      <c r="D194" s="3"/>
      <c r="E194" s="3" t="str" cm="1">
        <f t="array" ref="E194">IF(_xlfn.XLOOKUP(PUPILS[[#This Row],[FinanceCode]],FC[FinanceCode],FC[AvailableToAllSchools])=TRUE,(_xlfn.XLOOKUP(PUPILS[[#This Row],[FinanceCode]],FC[FinanceCode],FC[LedgerCode])),_xlfn.XLOOKUP(1,(FC[FinanceCode]=PUPILS[[#This Row],[FinanceCode]])*(IF(FIND(PUPILS[[#This Row],[SchoolCode]],FC[SchoolCodes])&gt;=1,1,0)),FC[LedgerCode]))</f>
        <v>DEFAULT</v>
      </c>
      <c r="F194" s="3" t="s">
        <v>51</v>
      </c>
      <c r="G194" s="27"/>
      <c r="H194" s="11" t="s">
        <v>1260</v>
      </c>
      <c r="I194" s="16" t="s">
        <v>1124</v>
      </c>
      <c r="J194" s="3" t="s">
        <v>2077</v>
      </c>
      <c r="K194" s="3" t="s">
        <v>1646</v>
      </c>
      <c r="L194" s="3"/>
      <c r="M194" s="3" t="b">
        <v>0</v>
      </c>
      <c r="N194" s="3" t="b">
        <v>0</v>
      </c>
      <c r="O194" s="35"/>
    </row>
    <row r="195" spans="1:15" hidden="1" x14ac:dyDescent="0.3">
      <c r="A195" s="27" t="s">
        <v>2422</v>
      </c>
      <c r="B195" s="3"/>
      <c r="C195" s="1" t="s">
        <v>953</v>
      </c>
      <c r="D195" s="3"/>
      <c r="E195" s="3" t="str" cm="1">
        <f t="array" ref="E195">IF(_xlfn.XLOOKUP(PUPILS[[#This Row],[FinanceCode]],FC[FinanceCode],FC[AvailableToAllSchools])=TRUE,(_xlfn.XLOOKUP(PUPILS[[#This Row],[FinanceCode]],FC[FinanceCode],FC[LedgerCode])),_xlfn.XLOOKUP(1,(FC[FinanceCode]=PUPILS[[#This Row],[FinanceCode]])*(IF(FIND(PUPILS[[#This Row],[SchoolCode]],FC[SchoolCodes])&gt;=1,1,0)),FC[LedgerCode]))</f>
        <v>DEFAULT</v>
      </c>
      <c r="F195" s="3" t="s">
        <v>51</v>
      </c>
      <c r="G195" s="27"/>
      <c r="H195" s="11" t="s">
        <v>1262</v>
      </c>
      <c r="I195" s="16" t="s">
        <v>1124</v>
      </c>
      <c r="J195" s="3" t="s">
        <v>2078</v>
      </c>
      <c r="K195" s="3" t="s">
        <v>1646</v>
      </c>
      <c r="L195" s="3"/>
      <c r="M195" s="3" t="b">
        <v>0</v>
      </c>
      <c r="N195" s="3" t="b">
        <v>0</v>
      </c>
      <c r="O195" s="35"/>
    </row>
    <row r="196" spans="1:15" hidden="1" x14ac:dyDescent="0.3">
      <c r="A196" s="27" t="s">
        <v>2422</v>
      </c>
      <c r="B196" s="3"/>
      <c r="C196" s="1" t="s">
        <v>955</v>
      </c>
      <c r="D196" s="3"/>
      <c r="E196" s="3" t="str" cm="1">
        <f t="array" ref="E196">IF(_xlfn.XLOOKUP(PUPILS[[#This Row],[FinanceCode]],FC[FinanceCode],FC[AvailableToAllSchools])=TRUE,(_xlfn.XLOOKUP(PUPILS[[#This Row],[FinanceCode]],FC[FinanceCode],FC[LedgerCode])),_xlfn.XLOOKUP(1,(FC[FinanceCode]=PUPILS[[#This Row],[FinanceCode]])*(IF(FIND(PUPILS[[#This Row],[SchoolCode]],FC[SchoolCodes])&gt;=1,1,0)),FC[LedgerCode]))</f>
        <v>DEFAULT</v>
      </c>
      <c r="F196" s="3" t="s">
        <v>51</v>
      </c>
      <c r="G196" s="27"/>
      <c r="H196" s="11" t="s">
        <v>1264</v>
      </c>
      <c r="I196" s="16" t="s">
        <v>1124</v>
      </c>
      <c r="J196" s="3" t="s">
        <v>2079</v>
      </c>
      <c r="K196" s="3" t="s">
        <v>1646</v>
      </c>
      <c r="L196" s="3"/>
      <c r="M196" s="3" t="b">
        <v>0</v>
      </c>
      <c r="N196" s="3" t="b">
        <v>0</v>
      </c>
      <c r="O196" s="35"/>
    </row>
    <row r="197" spans="1:15" hidden="1" x14ac:dyDescent="0.3">
      <c r="A197" s="27" t="s">
        <v>2422</v>
      </c>
      <c r="B197" s="3"/>
      <c r="C197" s="1" t="s">
        <v>1528</v>
      </c>
      <c r="D197" s="3"/>
      <c r="E197" s="3" t="str" cm="1">
        <f t="array" ref="E197">IF(_xlfn.XLOOKUP(PUPILS[[#This Row],[FinanceCode]],FC[FinanceCode],FC[AvailableToAllSchools])=TRUE,(_xlfn.XLOOKUP(PUPILS[[#This Row],[FinanceCode]],FC[FinanceCode],FC[LedgerCode])),_xlfn.XLOOKUP(1,(FC[FinanceCode]=PUPILS[[#This Row],[FinanceCode]])*(IF(FIND(PUPILS[[#This Row],[SchoolCode]],FC[SchoolCodes])&gt;=1,1,0)),FC[LedgerCode]))</f>
        <v>DEFAULT</v>
      </c>
      <c r="F197" s="3" t="s">
        <v>51</v>
      </c>
      <c r="G197" s="27"/>
      <c r="H197" s="46" t="s">
        <v>1528</v>
      </c>
      <c r="I197" s="16" t="s">
        <v>1124</v>
      </c>
      <c r="J197" s="3" t="s">
        <v>1530</v>
      </c>
      <c r="K197" s="3" t="s">
        <v>1647</v>
      </c>
      <c r="L197" s="3"/>
      <c r="M197" s="3" t="b">
        <v>0</v>
      </c>
      <c r="N197" s="3" t="b">
        <v>0</v>
      </c>
      <c r="O197" s="35"/>
    </row>
    <row r="198" spans="1:15" hidden="1" x14ac:dyDescent="0.3">
      <c r="A198" s="27" t="s">
        <v>2422</v>
      </c>
      <c r="B198" s="3"/>
      <c r="C198" s="1" t="s">
        <v>1523</v>
      </c>
      <c r="D198" s="3"/>
      <c r="E198" s="3" t="str" cm="1">
        <f t="array" ref="E198">IF(_xlfn.XLOOKUP(PUPILS[[#This Row],[FinanceCode]],FC[FinanceCode],FC[AvailableToAllSchools])=TRUE,(_xlfn.XLOOKUP(PUPILS[[#This Row],[FinanceCode]],FC[FinanceCode],FC[LedgerCode])),_xlfn.XLOOKUP(1,(FC[FinanceCode]=PUPILS[[#This Row],[FinanceCode]])*(IF(FIND(PUPILS[[#This Row],[SchoolCode]],FC[SchoolCodes])&gt;=1,1,0)),FC[LedgerCode]))</f>
        <v>DEFAULT</v>
      </c>
      <c r="F198" s="3" t="s">
        <v>51</v>
      </c>
      <c r="G198" s="27"/>
      <c r="H198" s="46" t="s">
        <v>1523</v>
      </c>
      <c r="I198" s="16" t="s">
        <v>1124</v>
      </c>
      <c r="J198" s="3" t="s">
        <v>1531</v>
      </c>
      <c r="K198" s="3" t="s">
        <v>1648</v>
      </c>
      <c r="L198" s="3"/>
      <c r="M198" s="3" t="b">
        <v>0</v>
      </c>
      <c r="N198" s="3" t="b">
        <v>0</v>
      </c>
      <c r="O198" s="35"/>
    </row>
    <row r="199" spans="1:15" hidden="1" x14ac:dyDescent="0.3">
      <c r="A199" s="27" t="s">
        <v>2422</v>
      </c>
      <c r="B199" s="3"/>
      <c r="C199" s="1" t="s">
        <v>1524</v>
      </c>
      <c r="D199" s="3"/>
      <c r="E199" s="3" t="str" cm="1">
        <f t="array" ref="E199">IF(_xlfn.XLOOKUP(PUPILS[[#This Row],[FinanceCode]],FC[FinanceCode],FC[AvailableToAllSchools])=TRUE,(_xlfn.XLOOKUP(PUPILS[[#This Row],[FinanceCode]],FC[FinanceCode],FC[LedgerCode])),_xlfn.XLOOKUP(1,(FC[FinanceCode]=PUPILS[[#This Row],[FinanceCode]])*(IF(FIND(PUPILS[[#This Row],[SchoolCode]],FC[SchoolCodes])&gt;=1,1,0)),FC[LedgerCode]))</f>
        <v>DEFAULT</v>
      </c>
      <c r="F199" s="3" t="s">
        <v>51</v>
      </c>
      <c r="G199" s="27"/>
      <c r="H199" s="46" t="s">
        <v>1524</v>
      </c>
      <c r="I199" s="16" t="s">
        <v>1124</v>
      </c>
      <c r="J199" s="3" t="s">
        <v>1532</v>
      </c>
      <c r="K199" s="3" t="s">
        <v>1649</v>
      </c>
      <c r="L199" s="3"/>
      <c r="M199" s="3" t="b">
        <v>0</v>
      </c>
      <c r="N199" s="3" t="b">
        <v>0</v>
      </c>
      <c r="O199" s="35"/>
    </row>
    <row r="200" spans="1:15" x14ac:dyDescent="0.3">
      <c r="A200" s="27" t="s">
        <v>2422</v>
      </c>
      <c r="B200" s="3"/>
      <c r="C200" s="3" t="s">
        <v>1554</v>
      </c>
      <c r="D200" s="3"/>
      <c r="E200" s="3" t="str" cm="1">
        <f t="array" ref="E200">IF(_xlfn.XLOOKUP(PUPILS[[#This Row],[FinanceCode]],FC[FinanceCode],FC[AvailableToAllSchools])=TRUE,(_xlfn.XLOOKUP(PUPILS[[#This Row],[FinanceCode]],FC[FinanceCode],FC[LedgerCode])),_xlfn.XLOOKUP(1,(FC[FinanceCode]=PUPILS[[#This Row],[FinanceCode]])*(IF(FIND(PUPILS[[#This Row],[SchoolCode]],FC[SchoolCodes])&gt;=1,1,0)),FC[LedgerCode]))</f>
        <v>DEFAULT</v>
      </c>
      <c r="F200" s="3" t="s">
        <v>51</v>
      </c>
      <c r="G200" s="27"/>
      <c r="H200" s="11" t="s">
        <v>1309</v>
      </c>
      <c r="I200" s="16" t="s">
        <v>1124</v>
      </c>
      <c r="J200" s="3" t="s">
        <v>1555</v>
      </c>
      <c r="K200" s="3" t="s">
        <v>2092</v>
      </c>
      <c r="L200" s="3"/>
      <c r="M200" s="3" t="b">
        <v>0</v>
      </c>
      <c r="N200" s="3" t="b">
        <v>0</v>
      </c>
      <c r="O200" s="35"/>
    </row>
    <row r="201" spans="1:15" x14ac:dyDescent="0.3">
      <c r="A201" s="27" t="s">
        <v>2422</v>
      </c>
      <c r="B201" s="3"/>
      <c r="C201" s="3" t="s">
        <v>1556</v>
      </c>
      <c r="D201" s="3"/>
      <c r="E201" s="3" t="str" cm="1">
        <f t="array" ref="E201">IF(_xlfn.XLOOKUP(PUPILS[[#This Row],[FinanceCode]],FC[FinanceCode],FC[AvailableToAllSchools])=TRUE,(_xlfn.XLOOKUP(PUPILS[[#This Row],[FinanceCode]],FC[FinanceCode],FC[LedgerCode])),_xlfn.XLOOKUP(1,(FC[FinanceCode]=PUPILS[[#This Row],[FinanceCode]])*(IF(FIND(PUPILS[[#This Row],[SchoolCode]],FC[SchoolCodes])&gt;=1,1,0)),FC[LedgerCode]))</f>
        <v>DEFAULT</v>
      </c>
      <c r="F201" s="3" t="s">
        <v>51</v>
      </c>
      <c r="G201" s="27"/>
      <c r="H201" s="11" t="s">
        <v>1309</v>
      </c>
      <c r="I201" s="16" t="s">
        <v>1124</v>
      </c>
      <c r="J201" s="3" t="s">
        <v>1557</v>
      </c>
      <c r="K201" s="3" t="s">
        <v>2092</v>
      </c>
      <c r="L201" s="3"/>
      <c r="M201" s="3" t="b">
        <v>0</v>
      </c>
      <c r="N201" s="3" t="b">
        <v>0</v>
      </c>
      <c r="O201" s="35"/>
    </row>
    <row r="202" spans="1:15" hidden="1" x14ac:dyDescent="0.3">
      <c r="A202" s="27" t="s">
        <v>2422</v>
      </c>
      <c r="B202" s="3"/>
      <c r="C202" s="3" t="s">
        <v>920</v>
      </c>
      <c r="D202" s="3"/>
      <c r="E202" s="3" t="str" cm="1">
        <f t="array" ref="E202">IF(_xlfn.XLOOKUP(PUPILS[[#This Row],[FinanceCode]],FC[FinanceCode],FC[AvailableToAllSchools])=TRUE,(_xlfn.XLOOKUP(PUPILS[[#This Row],[FinanceCode]],FC[FinanceCode],FC[LedgerCode])),_xlfn.XLOOKUP(1,(FC[FinanceCode]=PUPILS[[#This Row],[FinanceCode]])*(IF(FIND(PUPILS[[#This Row],[SchoolCode]],FC[SchoolCodes])&gt;=1,1,0)),FC[LedgerCode]))</f>
        <v>DEFAULT</v>
      </c>
      <c r="F202" s="3" t="s">
        <v>51</v>
      </c>
      <c r="G202" s="27"/>
      <c r="H202" s="11" t="s">
        <v>920</v>
      </c>
      <c r="I202" s="16" t="s">
        <v>1124</v>
      </c>
      <c r="J202" s="3" t="s">
        <v>921</v>
      </c>
      <c r="K202" s="3" t="s">
        <v>1633</v>
      </c>
      <c r="L202" s="3"/>
      <c r="M202" s="3" t="b">
        <v>1</v>
      </c>
      <c r="N202" s="3" t="b">
        <v>1</v>
      </c>
      <c r="O202" s="35"/>
    </row>
    <row r="203" spans="1:15" hidden="1" x14ac:dyDescent="0.3">
      <c r="A203" s="27" t="s">
        <v>2422</v>
      </c>
      <c r="B203" s="3"/>
      <c r="C203" s="1" t="s">
        <v>923</v>
      </c>
      <c r="D203" s="3"/>
      <c r="E203" s="3" t="str" cm="1">
        <f t="array" ref="E203">IF(_xlfn.XLOOKUP(PUPILS[[#This Row],[FinanceCode]],FC[FinanceCode],FC[AvailableToAllSchools])=TRUE,(_xlfn.XLOOKUP(PUPILS[[#This Row],[FinanceCode]],FC[FinanceCode],FC[LedgerCode])),_xlfn.XLOOKUP(1,(FC[FinanceCode]=PUPILS[[#This Row],[FinanceCode]])*(IF(FIND(PUPILS[[#This Row],[SchoolCode]],FC[SchoolCodes])&gt;=1,1,0)),FC[LedgerCode]))</f>
        <v>DEFAULT</v>
      </c>
      <c r="F203" s="3" t="s">
        <v>51</v>
      </c>
      <c r="G203" s="27"/>
      <c r="H203" s="46" t="s">
        <v>923</v>
      </c>
      <c r="I203" s="16" t="s">
        <v>1124</v>
      </c>
      <c r="J203" s="3" t="s">
        <v>924</v>
      </c>
      <c r="K203" s="3" t="s">
        <v>1634</v>
      </c>
      <c r="L203" s="3"/>
      <c r="M203" s="3" t="b">
        <v>1</v>
      </c>
      <c r="N203" s="3" t="b">
        <v>1</v>
      </c>
      <c r="O203" s="35"/>
    </row>
    <row r="204" spans="1:15" hidden="1" x14ac:dyDescent="0.3">
      <c r="A204" s="27" t="s">
        <v>2422</v>
      </c>
      <c r="B204" s="3"/>
      <c r="C204" s="1" t="s">
        <v>925</v>
      </c>
      <c r="D204" s="3"/>
      <c r="E204" s="3" t="str" cm="1">
        <f t="array" ref="E204">IF(_xlfn.XLOOKUP(PUPILS[[#This Row],[FinanceCode]],FC[FinanceCode],FC[AvailableToAllSchools])=TRUE,(_xlfn.XLOOKUP(PUPILS[[#This Row],[FinanceCode]],FC[FinanceCode],FC[LedgerCode])),_xlfn.XLOOKUP(1,(FC[FinanceCode]=PUPILS[[#This Row],[FinanceCode]])*(IF(FIND(PUPILS[[#This Row],[SchoolCode]],FC[SchoolCodes])&gt;=1,1,0)),FC[LedgerCode]))</f>
        <v>DEFAULT</v>
      </c>
      <c r="F204" s="3" t="s">
        <v>51</v>
      </c>
      <c r="G204" s="27"/>
      <c r="H204" s="46" t="s">
        <v>925</v>
      </c>
      <c r="I204" s="16" t="s">
        <v>1124</v>
      </c>
      <c r="J204" s="3" t="s">
        <v>926</v>
      </c>
      <c r="K204" s="3" t="s">
        <v>1635</v>
      </c>
      <c r="L204" s="3"/>
      <c r="M204" s="3" t="b">
        <v>1</v>
      </c>
      <c r="N204" s="3" t="b">
        <v>1</v>
      </c>
      <c r="O204" s="35"/>
    </row>
    <row r="205" spans="1:15" hidden="1" x14ac:dyDescent="0.3">
      <c r="A205" s="27" t="s">
        <v>2422</v>
      </c>
      <c r="B205" s="3"/>
      <c r="C205" s="1" t="s">
        <v>939</v>
      </c>
      <c r="D205" s="3"/>
      <c r="E205" s="3" t="str" cm="1">
        <f t="array" ref="E205">IF(_xlfn.XLOOKUP(PUPILS[[#This Row],[FinanceCode]],FC[FinanceCode],FC[AvailableToAllSchools])=TRUE,(_xlfn.XLOOKUP(PUPILS[[#This Row],[FinanceCode]],FC[FinanceCode],FC[LedgerCode])),_xlfn.XLOOKUP(1,(FC[FinanceCode]=PUPILS[[#This Row],[FinanceCode]])*(IF(FIND(PUPILS[[#This Row],[SchoolCode]],FC[SchoolCodes])&gt;=1,1,0)),FC[LedgerCode]))</f>
        <v>DEFAULT</v>
      </c>
      <c r="F205" s="3" t="s">
        <v>51</v>
      </c>
      <c r="G205" s="27"/>
      <c r="H205" s="11" t="s">
        <v>1172</v>
      </c>
      <c r="I205" s="16" t="s">
        <v>1124</v>
      </c>
      <c r="J205" s="3" t="s">
        <v>1429</v>
      </c>
      <c r="K205" s="3" t="s">
        <v>1632</v>
      </c>
      <c r="L205" s="3"/>
      <c r="M205" s="3" t="b">
        <v>0</v>
      </c>
      <c r="N205" s="3" t="b">
        <v>0</v>
      </c>
      <c r="O205" s="35"/>
    </row>
    <row r="206" spans="1:15" hidden="1" x14ac:dyDescent="0.3">
      <c r="A206" s="27" t="s">
        <v>2422</v>
      </c>
      <c r="B206" s="3"/>
      <c r="C206" s="1" t="s">
        <v>935</v>
      </c>
      <c r="D206" s="3"/>
      <c r="E206" s="3" t="str" cm="1">
        <f t="array" ref="E206">IF(_xlfn.XLOOKUP(PUPILS[[#This Row],[FinanceCode]],FC[FinanceCode],FC[AvailableToAllSchools])=TRUE,(_xlfn.XLOOKUP(PUPILS[[#This Row],[FinanceCode]],FC[FinanceCode],FC[LedgerCode])),_xlfn.XLOOKUP(1,(FC[FinanceCode]=PUPILS[[#This Row],[FinanceCode]])*(IF(FIND(PUPILS[[#This Row],[SchoolCode]],FC[SchoolCodes])&gt;=1,1,0)),FC[LedgerCode]))</f>
        <v>DEFAULT</v>
      </c>
      <c r="F206" s="3" t="s">
        <v>51</v>
      </c>
      <c r="G206" s="27"/>
      <c r="H206" s="11" t="s">
        <v>1172</v>
      </c>
      <c r="I206" s="16" t="s">
        <v>1124</v>
      </c>
      <c r="J206" s="3" t="s">
        <v>936</v>
      </c>
      <c r="K206" s="3" t="s">
        <v>1632</v>
      </c>
      <c r="L206" s="3"/>
      <c r="M206" s="3" t="b">
        <v>0</v>
      </c>
      <c r="N206" s="3" t="b">
        <v>0</v>
      </c>
      <c r="O206" s="35"/>
    </row>
    <row r="207" spans="1:15" hidden="1" x14ac:dyDescent="0.3">
      <c r="A207" s="27" t="s">
        <v>2422</v>
      </c>
      <c r="B207" s="3"/>
      <c r="C207" s="1" t="s">
        <v>1563</v>
      </c>
      <c r="D207" s="3"/>
      <c r="E207" s="3" t="str" cm="1">
        <f t="array" ref="E207">IF(_xlfn.XLOOKUP(PUPILS[[#This Row],[FinanceCode]],FC[FinanceCode],FC[AvailableToAllSchools])=TRUE,(_xlfn.XLOOKUP(PUPILS[[#This Row],[FinanceCode]],FC[FinanceCode],FC[LedgerCode])),_xlfn.XLOOKUP(1,(FC[FinanceCode]=PUPILS[[#This Row],[FinanceCode]])*(IF(FIND(PUPILS[[#This Row],[SchoolCode]],FC[SchoolCodes])&gt;=1,1,0)),FC[LedgerCode]))</f>
        <v>DEFAULT</v>
      </c>
      <c r="F207" s="3" t="s">
        <v>51</v>
      </c>
      <c r="G207" s="27"/>
      <c r="H207" s="46" t="s">
        <v>1563</v>
      </c>
      <c r="I207" s="16" t="s">
        <v>1124</v>
      </c>
      <c r="J207" s="3" t="s">
        <v>1564</v>
      </c>
      <c r="K207" s="3" t="s">
        <v>1643</v>
      </c>
      <c r="L207" s="3"/>
      <c r="M207" s="3" t="b">
        <v>1</v>
      </c>
      <c r="N207" s="3" t="b">
        <v>1</v>
      </c>
      <c r="O207" s="35"/>
    </row>
    <row r="208" spans="1:15" hidden="1" x14ac:dyDescent="0.3">
      <c r="A208" s="27" t="s">
        <v>2422</v>
      </c>
      <c r="B208" s="3"/>
      <c r="C208" s="1" t="s">
        <v>1503</v>
      </c>
      <c r="D208" s="3"/>
      <c r="E208" s="3" t="str" cm="1">
        <f t="array" ref="E208">IF(_xlfn.XLOOKUP(PUPILS[[#This Row],[FinanceCode]],FC[FinanceCode],FC[AvailableToAllSchools])=TRUE,(_xlfn.XLOOKUP(PUPILS[[#This Row],[FinanceCode]],FC[FinanceCode],FC[LedgerCode])),_xlfn.XLOOKUP(1,(FC[FinanceCode]=PUPILS[[#This Row],[FinanceCode]])*(IF(FIND(PUPILS[[#This Row],[SchoolCode]],FC[SchoolCodes])&gt;=1,1,0)),FC[LedgerCode]))</f>
        <v>DEFAULT</v>
      </c>
      <c r="F208" s="3" t="s">
        <v>51</v>
      </c>
      <c r="G208" s="27"/>
      <c r="H208" s="46"/>
      <c r="I208" s="16" t="s">
        <v>1124</v>
      </c>
      <c r="J208" s="3" t="s">
        <v>1507</v>
      </c>
      <c r="K208" s="3" t="s">
        <v>1644</v>
      </c>
      <c r="L208" s="3"/>
      <c r="M208" s="3" t="b">
        <v>0</v>
      </c>
      <c r="N208" s="3" t="b">
        <v>1</v>
      </c>
      <c r="O208" s="35"/>
    </row>
    <row r="209" spans="1:15" hidden="1" x14ac:dyDescent="0.3">
      <c r="A209" s="27" t="s">
        <v>2422</v>
      </c>
      <c r="B209" s="3"/>
      <c r="C209" s="1" t="s">
        <v>971</v>
      </c>
      <c r="D209" s="3"/>
      <c r="E209" s="3" t="s">
        <v>51</v>
      </c>
      <c r="F209" s="3" t="s">
        <v>51</v>
      </c>
      <c r="G209" s="27"/>
      <c r="H209" s="113" t="s">
        <v>1236</v>
      </c>
      <c r="I209" s="16" t="s">
        <v>1124</v>
      </c>
      <c r="J209" s="3" t="s">
        <v>972</v>
      </c>
      <c r="K209" s="3" t="s">
        <v>2099</v>
      </c>
      <c r="L209" s="3"/>
      <c r="M209" s="3" t="b">
        <v>0</v>
      </c>
      <c r="N209" s="3" t="b">
        <v>0</v>
      </c>
      <c r="O209" s="35"/>
    </row>
    <row r="210" spans="1:15" hidden="1" x14ac:dyDescent="0.3">
      <c r="A210" s="27" t="s">
        <v>2422</v>
      </c>
      <c r="B210" s="3"/>
      <c r="C210" s="3" t="s">
        <v>1941</v>
      </c>
      <c r="D210" s="3"/>
      <c r="E210" s="3" t="s">
        <v>51</v>
      </c>
      <c r="F210" s="3" t="s">
        <v>51</v>
      </c>
      <c r="G210" s="27"/>
      <c r="H210" s="113" t="s">
        <v>1236</v>
      </c>
      <c r="I210" s="16" t="s">
        <v>1124</v>
      </c>
      <c r="J210" s="3" t="s">
        <v>1952</v>
      </c>
      <c r="K210" s="3" t="s">
        <v>1654</v>
      </c>
      <c r="L210" s="3"/>
      <c r="M210" s="3" t="b">
        <v>0</v>
      </c>
      <c r="N210" s="3" t="b">
        <v>0</v>
      </c>
      <c r="O210" s="35"/>
    </row>
    <row r="211" spans="1:15" hidden="1" x14ac:dyDescent="0.3">
      <c r="A211" s="27" t="s">
        <v>2422</v>
      </c>
      <c r="B211" s="3"/>
      <c r="C211" s="3" t="s">
        <v>975</v>
      </c>
      <c r="D211" s="3"/>
      <c r="E211" s="3" t="s">
        <v>51</v>
      </c>
      <c r="F211" s="3" t="s">
        <v>51</v>
      </c>
      <c r="G211" s="27"/>
      <c r="H211" s="113" t="s">
        <v>1236</v>
      </c>
      <c r="I211" s="16" t="s">
        <v>1124</v>
      </c>
      <c r="J211" s="3" t="s">
        <v>1753</v>
      </c>
      <c r="K211" s="3" t="s">
        <v>1655</v>
      </c>
      <c r="L211" s="3"/>
      <c r="M211" s="3" t="b">
        <v>0</v>
      </c>
      <c r="N211" s="3" t="b">
        <v>0</v>
      </c>
      <c r="O211" s="35"/>
    </row>
    <row r="212" spans="1:15" hidden="1" x14ac:dyDescent="0.3">
      <c r="A212" s="27" t="s">
        <v>2431</v>
      </c>
      <c r="B212" s="3"/>
      <c r="C212" s="1" t="s">
        <v>957</v>
      </c>
      <c r="D212" s="3"/>
      <c r="E212" s="3" t="str" cm="1">
        <f t="array" ref="E212">IF(_xlfn.XLOOKUP(PUPILS[[#This Row],[FinanceCode]],FC[FinanceCode],FC[AvailableToAllSchools])=TRUE,(_xlfn.XLOOKUP(PUPILS[[#This Row],[FinanceCode]],FC[FinanceCode],FC[LedgerCode])),_xlfn.XLOOKUP(1,(FC[FinanceCode]=PUPILS[[#This Row],[FinanceCode]])*(IF(FIND(PUPILS[[#This Row],[SchoolCode]],FC[SchoolCodes])&gt;=1,1,0)),FC[LedgerCode]))</f>
        <v>DEFAULT</v>
      </c>
      <c r="F212" s="3" t="s">
        <v>51</v>
      </c>
      <c r="G212" s="27"/>
      <c r="H212" s="11" t="s">
        <v>1172</v>
      </c>
      <c r="I212" s="16" t="s">
        <v>1124</v>
      </c>
      <c r="J212" s="3" t="s">
        <v>2080</v>
      </c>
      <c r="K212" s="3" t="s">
        <v>1646</v>
      </c>
      <c r="L212" s="3"/>
      <c r="M212" s="3" t="b">
        <v>0</v>
      </c>
      <c r="N212" s="3" t="b">
        <v>0</v>
      </c>
      <c r="O212" s="35"/>
    </row>
    <row r="213" spans="1:15" hidden="1" x14ac:dyDescent="0.3">
      <c r="A213" s="27" t="s">
        <v>2431</v>
      </c>
      <c r="B213" s="3"/>
      <c r="C213" s="1" t="s">
        <v>959</v>
      </c>
      <c r="D213" s="3"/>
      <c r="E213" s="3" t="str" cm="1">
        <f t="array" ref="E213">IF(_xlfn.XLOOKUP(PUPILS[[#This Row],[FinanceCode]],FC[FinanceCode],FC[AvailableToAllSchools])=TRUE,(_xlfn.XLOOKUP(PUPILS[[#This Row],[FinanceCode]],FC[FinanceCode],FC[LedgerCode])),_xlfn.XLOOKUP(1,(FC[FinanceCode]=PUPILS[[#This Row],[FinanceCode]])*(IF(FIND(PUPILS[[#This Row],[SchoolCode]],FC[SchoolCodes])&gt;=1,1,0)),FC[LedgerCode]))</f>
        <v>DEFAULT</v>
      </c>
      <c r="F213" s="3" t="s">
        <v>51</v>
      </c>
      <c r="G213" s="27"/>
      <c r="H213" s="11" t="s">
        <v>1268</v>
      </c>
      <c r="I213" s="16" t="s">
        <v>1124</v>
      </c>
      <c r="J213" s="3" t="s">
        <v>2081</v>
      </c>
      <c r="K213" s="3" t="s">
        <v>1646</v>
      </c>
      <c r="L213" s="3"/>
      <c r="M213" s="3" t="b">
        <v>0</v>
      </c>
      <c r="N213" s="3" t="b">
        <v>0</v>
      </c>
      <c r="O213" s="35"/>
    </row>
    <row r="214" spans="1:15" hidden="1" x14ac:dyDescent="0.3">
      <c r="A214" s="27" t="s">
        <v>2431</v>
      </c>
      <c r="B214" s="3"/>
      <c r="C214" s="1" t="s">
        <v>961</v>
      </c>
      <c r="D214" s="3"/>
      <c r="E214" s="3" t="str" cm="1">
        <f t="array" ref="E214">IF(_xlfn.XLOOKUP(PUPILS[[#This Row],[FinanceCode]],FC[FinanceCode],FC[AvailableToAllSchools])=TRUE,(_xlfn.XLOOKUP(PUPILS[[#This Row],[FinanceCode]],FC[FinanceCode],FC[LedgerCode])),_xlfn.XLOOKUP(1,(FC[FinanceCode]=PUPILS[[#This Row],[FinanceCode]])*(IF(FIND(PUPILS[[#This Row],[SchoolCode]],FC[SchoolCodes])&gt;=1,1,0)),FC[LedgerCode]))</f>
        <v>DEFAULT</v>
      </c>
      <c r="F214" s="3" t="s">
        <v>51</v>
      </c>
      <c r="G214" s="27"/>
      <c r="H214" s="11" t="s">
        <v>1270</v>
      </c>
      <c r="I214" s="16" t="s">
        <v>1124</v>
      </c>
      <c r="J214" s="3" t="s">
        <v>2082</v>
      </c>
      <c r="K214" s="3" t="s">
        <v>1646</v>
      </c>
      <c r="L214" s="3"/>
      <c r="M214" s="3" t="b">
        <v>0</v>
      </c>
      <c r="N214" s="3" t="b">
        <v>0</v>
      </c>
      <c r="O214" s="35"/>
    </row>
    <row r="215" spans="1:15" hidden="1" x14ac:dyDescent="0.3">
      <c r="A215" s="27" t="s">
        <v>2431</v>
      </c>
      <c r="B215" s="3"/>
      <c r="C215" s="1" t="s">
        <v>963</v>
      </c>
      <c r="D215" s="3"/>
      <c r="E215" s="3" t="str" cm="1">
        <f t="array" ref="E215">IF(_xlfn.XLOOKUP(PUPILS[[#This Row],[FinanceCode]],FC[FinanceCode],FC[AvailableToAllSchools])=TRUE,(_xlfn.XLOOKUP(PUPILS[[#This Row],[FinanceCode]],FC[FinanceCode],FC[LedgerCode])),_xlfn.XLOOKUP(1,(FC[FinanceCode]=PUPILS[[#This Row],[FinanceCode]])*(IF(FIND(PUPILS[[#This Row],[SchoolCode]],FC[SchoolCodes])&gt;=1,1,0)),FC[LedgerCode]))</f>
        <v>DEFAULT</v>
      </c>
      <c r="F215" s="3" t="s">
        <v>51</v>
      </c>
      <c r="G215" s="27"/>
      <c r="H215" s="11" t="s">
        <v>1272</v>
      </c>
      <c r="I215" s="16" t="s">
        <v>1124</v>
      </c>
      <c r="J215" s="3" t="s">
        <v>2070</v>
      </c>
      <c r="K215" s="3" t="s">
        <v>1646</v>
      </c>
      <c r="L215" s="3"/>
      <c r="M215" s="3" t="b">
        <v>0</v>
      </c>
      <c r="N215" s="3" t="b">
        <v>0</v>
      </c>
      <c r="O215" s="35"/>
    </row>
    <row r="216" spans="1:15" hidden="1" x14ac:dyDescent="0.3">
      <c r="A216" s="27" t="s">
        <v>2431</v>
      </c>
      <c r="B216" s="3"/>
      <c r="C216" s="1" t="s">
        <v>965</v>
      </c>
      <c r="D216" s="3"/>
      <c r="E216" s="3" t="str" cm="1">
        <f t="array" ref="E216">IF(_xlfn.XLOOKUP(PUPILS[[#This Row],[FinanceCode]],FC[FinanceCode],FC[AvailableToAllSchools])=TRUE,(_xlfn.XLOOKUP(PUPILS[[#This Row],[FinanceCode]],FC[FinanceCode],FC[LedgerCode])),_xlfn.XLOOKUP(1,(FC[FinanceCode]=PUPILS[[#This Row],[FinanceCode]])*(IF(FIND(PUPILS[[#This Row],[SchoolCode]],FC[SchoolCodes])&gt;=1,1,0)),FC[LedgerCode]))</f>
        <v>DEFAULT</v>
      </c>
      <c r="F216" s="3" t="s">
        <v>51</v>
      </c>
      <c r="G216" s="27"/>
      <c r="H216" s="11" t="s">
        <v>1274</v>
      </c>
      <c r="I216" s="16" t="s">
        <v>1124</v>
      </c>
      <c r="J216" s="3" t="s">
        <v>2071</v>
      </c>
      <c r="K216" s="3" t="s">
        <v>1646</v>
      </c>
      <c r="L216" s="3"/>
      <c r="M216" s="3" t="b">
        <v>0</v>
      </c>
      <c r="N216" s="3" t="b">
        <v>0</v>
      </c>
      <c r="O216" s="35"/>
    </row>
    <row r="217" spans="1:15" hidden="1" x14ac:dyDescent="0.3">
      <c r="A217" s="27" t="s">
        <v>2431</v>
      </c>
      <c r="B217" s="3"/>
      <c r="C217" s="1" t="s">
        <v>1525</v>
      </c>
      <c r="D217" s="3"/>
      <c r="E217" s="3" t="str" cm="1">
        <f t="array" ref="E217">IF(_xlfn.XLOOKUP(PUPILS[[#This Row],[FinanceCode]],FC[FinanceCode],FC[AvailableToAllSchools])=TRUE,(_xlfn.XLOOKUP(PUPILS[[#This Row],[FinanceCode]],FC[FinanceCode],FC[LedgerCode])),_xlfn.XLOOKUP(1,(FC[FinanceCode]=PUPILS[[#This Row],[FinanceCode]])*(IF(FIND(PUPILS[[#This Row],[SchoolCode]],FC[SchoolCodes])&gt;=1,1,0)),FC[LedgerCode]))</f>
        <v>DEFAULT</v>
      </c>
      <c r="F217" s="3" t="s">
        <v>51</v>
      </c>
      <c r="G217" s="27"/>
      <c r="H217" s="46" t="s">
        <v>1525</v>
      </c>
      <c r="I217" s="16" t="s">
        <v>1124</v>
      </c>
      <c r="J217" s="3" t="s">
        <v>1533</v>
      </c>
      <c r="K217" s="3" t="s">
        <v>1650</v>
      </c>
      <c r="L217" s="3"/>
      <c r="M217" s="3" t="b">
        <v>0</v>
      </c>
      <c r="N217" s="3" t="b">
        <v>0</v>
      </c>
      <c r="O217" s="35"/>
    </row>
    <row r="218" spans="1:15" hidden="1" x14ac:dyDescent="0.3">
      <c r="A218" s="27" t="s">
        <v>2431</v>
      </c>
      <c r="B218" s="3"/>
      <c r="C218" s="1" t="s">
        <v>1526</v>
      </c>
      <c r="D218" s="3"/>
      <c r="E218" s="3" t="str" cm="1">
        <f t="array" ref="E218">IF(_xlfn.XLOOKUP(PUPILS[[#This Row],[FinanceCode]],FC[FinanceCode],FC[AvailableToAllSchools])=TRUE,(_xlfn.XLOOKUP(PUPILS[[#This Row],[FinanceCode]],FC[FinanceCode],FC[LedgerCode])),_xlfn.XLOOKUP(1,(FC[FinanceCode]=PUPILS[[#This Row],[FinanceCode]])*(IF(FIND(PUPILS[[#This Row],[SchoolCode]],FC[SchoolCodes])&gt;=1,1,0)),FC[LedgerCode]))</f>
        <v>DEFAULT</v>
      </c>
      <c r="F218" s="3" t="s">
        <v>51</v>
      </c>
      <c r="G218" s="27"/>
      <c r="H218" s="46" t="s">
        <v>1526</v>
      </c>
      <c r="I218" s="16" t="s">
        <v>1124</v>
      </c>
      <c r="J218" s="3" t="s">
        <v>1534</v>
      </c>
      <c r="K218" s="3" t="s">
        <v>1651</v>
      </c>
      <c r="L218" s="3"/>
      <c r="M218" s="3" t="b">
        <v>0</v>
      </c>
      <c r="N218" s="3" t="b">
        <v>0</v>
      </c>
      <c r="O218" s="35"/>
    </row>
    <row r="219" spans="1:15" hidden="1" x14ac:dyDescent="0.3">
      <c r="A219" s="27" t="s">
        <v>2431</v>
      </c>
      <c r="B219" s="3"/>
      <c r="C219" s="1" t="s">
        <v>927</v>
      </c>
      <c r="D219" s="3"/>
      <c r="E219" s="3" t="str" cm="1">
        <f t="array" ref="E219">IF(_xlfn.XLOOKUP(PUPILS[[#This Row],[FinanceCode]],FC[FinanceCode],FC[AvailableToAllSchools])=TRUE,(_xlfn.XLOOKUP(PUPILS[[#This Row],[FinanceCode]],FC[FinanceCode],FC[LedgerCode])),_xlfn.XLOOKUP(1,(FC[FinanceCode]=PUPILS[[#This Row],[FinanceCode]])*(IF(FIND(PUPILS[[#This Row],[SchoolCode]],FC[SchoolCodes])&gt;=1,1,0)),FC[LedgerCode]))</f>
        <v>DEFAULT</v>
      </c>
      <c r="F219" s="3" t="s">
        <v>51</v>
      </c>
      <c r="G219" s="27"/>
      <c r="H219" s="46" t="s">
        <v>927</v>
      </c>
      <c r="I219" s="16" t="s">
        <v>1124</v>
      </c>
      <c r="J219" s="3" t="s">
        <v>928</v>
      </c>
      <c r="K219" s="3" t="s">
        <v>1636</v>
      </c>
      <c r="L219" s="3"/>
      <c r="M219" s="3" t="b">
        <v>1</v>
      </c>
      <c r="N219" s="3" t="b">
        <v>1</v>
      </c>
      <c r="O219" s="35"/>
    </row>
    <row r="220" spans="1:15" hidden="1" x14ac:dyDescent="0.3">
      <c r="A220" s="27" t="s">
        <v>2431</v>
      </c>
      <c r="B220" s="3"/>
      <c r="C220" s="1" t="s">
        <v>1504</v>
      </c>
      <c r="D220" s="3"/>
      <c r="E220" s="3" t="str" cm="1">
        <f t="array" ref="E220">IF(_xlfn.XLOOKUP(PUPILS[[#This Row],[FinanceCode]],FC[FinanceCode],FC[AvailableToAllSchools])=TRUE,(_xlfn.XLOOKUP(PUPILS[[#This Row],[FinanceCode]],FC[FinanceCode],FC[LedgerCode])),_xlfn.XLOOKUP(1,(FC[FinanceCode]=PUPILS[[#This Row],[FinanceCode]])*(IF(FIND(PUPILS[[#This Row],[SchoolCode]],FC[SchoolCodes])&gt;=1,1,0)),FC[LedgerCode]))</f>
        <v>DEFAULT</v>
      </c>
      <c r="F220" s="3" t="s">
        <v>51</v>
      </c>
      <c r="G220" s="27"/>
      <c r="H220" s="46"/>
      <c r="I220" s="16" t="s">
        <v>1124</v>
      </c>
      <c r="J220" s="3" t="s">
        <v>1508</v>
      </c>
      <c r="K220" s="3" t="s">
        <v>1637</v>
      </c>
      <c r="L220" s="3"/>
      <c r="M220" s="3" t="b">
        <v>0</v>
      </c>
      <c r="N220" s="3" t="b">
        <v>1</v>
      </c>
      <c r="O220" s="35"/>
    </row>
    <row r="221" spans="1:15" hidden="1" x14ac:dyDescent="0.3">
      <c r="A221" s="27" t="s">
        <v>2431</v>
      </c>
      <c r="B221" s="3"/>
      <c r="C221" s="1" t="s">
        <v>929</v>
      </c>
      <c r="D221" s="3"/>
      <c r="E221" s="3" t="str" cm="1">
        <f t="array" ref="E221">IF(_xlfn.XLOOKUP(PUPILS[[#This Row],[FinanceCode]],FC[FinanceCode],FC[AvailableToAllSchools])=TRUE,(_xlfn.XLOOKUP(PUPILS[[#This Row],[FinanceCode]],FC[FinanceCode],FC[LedgerCode])),_xlfn.XLOOKUP(1,(FC[FinanceCode]=PUPILS[[#This Row],[FinanceCode]])*(IF(FIND(PUPILS[[#This Row],[SchoolCode]],FC[SchoolCodes])&gt;=1,1,0)),FC[LedgerCode]))</f>
        <v>DEFAULT</v>
      </c>
      <c r="F221" s="3" t="s">
        <v>51</v>
      </c>
      <c r="G221" s="27"/>
      <c r="H221" s="46" t="s">
        <v>929</v>
      </c>
      <c r="I221" s="16" t="s">
        <v>1124</v>
      </c>
      <c r="J221" s="3" t="s">
        <v>930</v>
      </c>
      <c r="K221" s="3" t="s">
        <v>1638</v>
      </c>
      <c r="L221" s="3"/>
      <c r="M221" s="3" t="b">
        <v>1</v>
      </c>
      <c r="N221" s="3" t="b">
        <v>1</v>
      </c>
      <c r="O221" s="35"/>
    </row>
    <row r="222" spans="1:15" hidden="1" x14ac:dyDescent="0.3">
      <c r="A222" s="27" t="s">
        <v>2431</v>
      </c>
      <c r="B222" s="3"/>
      <c r="C222" s="1" t="s">
        <v>1505</v>
      </c>
      <c r="D222" s="3"/>
      <c r="E222" s="3" t="str" cm="1">
        <f t="array" ref="E222">IF(_xlfn.XLOOKUP(PUPILS[[#This Row],[FinanceCode]],FC[FinanceCode],FC[AvailableToAllSchools])=TRUE,(_xlfn.XLOOKUP(PUPILS[[#This Row],[FinanceCode]],FC[FinanceCode],FC[LedgerCode])),_xlfn.XLOOKUP(1,(FC[FinanceCode]=PUPILS[[#This Row],[FinanceCode]])*(IF(FIND(PUPILS[[#This Row],[SchoolCode]],FC[SchoolCodes])&gt;=1,1,0)),FC[LedgerCode]))</f>
        <v>DEFAULT</v>
      </c>
      <c r="F222" s="3" t="s">
        <v>51</v>
      </c>
      <c r="G222" s="27"/>
      <c r="H222" s="46"/>
      <c r="I222" s="16" t="s">
        <v>1124</v>
      </c>
      <c r="J222" s="3" t="s">
        <v>1510</v>
      </c>
      <c r="K222" s="3" t="s">
        <v>1639</v>
      </c>
      <c r="L222" s="3"/>
      <c r="M222" s="3" t="b">
        <v>0</v>
      </c>
      <c r="N222" s="3" t="b">
        <v>1</v>
      </c>
      <c r="O222" s="35"/>
    </row>
    <row r="223" spans="1:15" hidden="1" x14ac:dyDescent="0.3">
      <c r="A223" s="27" t="s">
        <v>2431</v>
      </c>
      <c r="B223" s="3"/>
      <c r="C223" s="1" t="s">
        <v>939</v>
      </c>
      <c r="D223" s="3"/>
      <c r="E223" s="3" t="str" cm="1">
        <f t="array" ref="E223">IF(_xlfn.XLOOKUP(PUPILS[[#This Row],[FinanceCode]],FC[FinanceCode],FC[AvailableToAllSchools])=TRUE,(_xlfn.XLOOKUP(PUPILS[[#This Row],[FinanceCode]],FC[FinanceCode],FC[LedgerCode])),_xlfn.XLOOKUP(1,(FC[FinanceCode]=PUPILS[[#This Row],[FinanceCode]])*(IF(FIND(PUPILS[[#This Row],[SchoolCode]],FC[SchoolCodes])&gt;=1,1,0)),FC[LedgerCode]))</f>
        <v>DEFAULT</v>
      </c>
      <c r="F223" s="3" t="s">
        <v>51</v>
      </c>
      <c r="G223" s="27"/>
      <c r="H223" s="11" t="s">
        <v>1172</v>
      </c>
      <c r="I223" s="16" t="s">
        <v>1124</v>
      </c>
      <c r="J223" s="3" t="s">
        <v>1429</v>
      </c>
      <c r="K223" s="3" t="s">
        <v>1632</v>
      </c>
      <c r="L223" s="3"/>
      <c r="M223" s="3" t="b">
        <v>0</v>
      </c>
      <c r="N223" s="3" t="b">
        <v>0</v>
      </c>
      <c r="O223" s="35"/>
    </row>
    <row r="224" spans="1:15" hidden="1" x14ac:dyDescent="0.3">
      <c r="A224" s="27" t="s">
        <v>2431</v>
      </c>
      <c r="B224" s="3"/>
      <c r="C224" s="1" t="s">
        <v>935</v>
      </c>
      <c r="D224" s="3"/>
      <c r="E224" s="3" t="str" cm="1">
        <f t="array" ref="E224">IF(_xlfn.XLOOKUP(PUPILS[[#This Row],[FinanceCode]],FC[FinanceCode],FC[AvailableToAllSchools])=TRUE,(_xlfn.XLOOKUP(PUPILS[[#This Row],[FinanceCode]],FC[FinanceCode],FC[LedgerCode])),_xlfn.XLOOKUP(1,(FC[FinanceCode]=PUPILS[[#This Row],[FinanceCode]])*(IF(FIND(PUPILS[[#This Row],[SchoolCode]],FC[SchoolCodes])&gt;=1,1,0)),FC[LedgerCode]))</f>
        <v>DEFAULT</v>
      </c>
      <c r="F224" s="3" t="s">
        <v>51</v>
      </c>
      <c r="G224" s="27"/>
      <c r="H224" s="11" t="s">
        <v>1172</v>
      </c>
      <c r="I224" s="16" t="s">
        <v>1124</v>
      </c>
      <c r="J224" s="3" t="s">
        <v>936</v>
      </c>
      <c r="K224" s="3" t="s">
        <v>1632</v>
      </c>
      <c r="L224" s="3"/>
      <c r="M224" s="3" t="b">
        <v>0</v>
      </c>
      <c r="N224" s="3" t="b">
        <v>0</v>
      </c>
      <c r="O224" s="35"/>
    </row>
    <row r="225" spans="1:15" hidden="1" x14ac:dyDescent="0.3">
      <c r="A225" s="27" t="s">
        <v>2431</v>
      </c>
      <c r="B225" s="3"/>
      <c r="C225" s="3" t="s">
        <v>973</v>
      </c>
      <c r="D225" s="3"/>
      <c r="E225" s="3" t="s">
        <v>51</v>
      </c>
      <c r="F225" s="3" t="s">
        <v>51</v>
      </c>
      <c r="G225" s="27"/>
      <c r="H225" s="113" t="s">
        <v>1236</v>
      </c>
      <c r="I225" s="16" t="s">
        <v>1124</v>
      </c>
      <c r="J225" s="3" t="s">
        <v>974</v>
      </c>
      <c r="K225" s="3" t="s">
        <v>2100</v>
      </c>
      <c r="L225" s="3"/>
      <c r="M225" s="3" t="b">
        <v>0</v>
      </c>
      <c r="N225" s="3" t="b">
        <v>0</v>
      </c>
      <c r="O225" s="35"/>
    </row>
    <row r="226" spans="1:15" hidden="1" x14ac:dyDescent="0.3">
      <c r="A226" s="27" t="s">
        <v>2431</v>
      </c>
      <c r="B226" s="3"/>
      <c r="C226" s="3" t="s">
        <v>1941</v>
      </c>
      <c r="D226" s="3"/>
      <c r="E226" s="3" t="s">
        <v>51</v>
      </c>
      <c r="F226" s="3" t="s">
        <v>51</v>
      </c>
      <c r="G226" s="27"/>
      <c r="H226" s="113" t="s">
        <v>1236</v>
      </c>
      <c r="I226" s="16" t="s">
        <v>1124</v>
      </c>
      <c r="J226" s="3" t="s">
        <v>1952</v>
      </c>
      <c r="K226" s="3" t="s">
        <v>1654</v>
      </c>
      <c r="L226" s="3"/>
      <c r="M226" s="3" t="b">
        <v>0</v>
      </c>
      <c r="N226" s="3" t="b">
        <v>0</v>
      </c>
      <c r="O226" s="35"/>
    </row>
    <row r="227" spans="1:15" hidden="1" x14ac:dyDescent="0.3">
      <c r="A227" s="27" t="s">
        <v>2431</v>
      </c>
      <c r="B227" s="3"/>
      <c r="C227" s="3" t="s">
        <v>975</v>
      </c>
      <c r="D227" s="3"/>
      <c r="E227" s="3" t="s">
        <v>51</v>
      </c>
      <c r="F227" s="3" t="s">
        <v>51</v>
      </c>
      <c r="G227" s="27"/>
      <c r="H227" s="113" t="s">
        <v>1236</v>
      </c>
      <c r="I227" s="16" t="s">
        <v>1124</v>
      </c>
      <c r="J227" s="3" t="s">
        <v>1753</v>
      </c>
      <c r="K227" s="3" t="s">
        <v>1655</v>
      </c>
      <c r="L227" s="3"/>
      <c r="M227" s="3" t="b">
        <v>0</v>
      </c>
      <c r="N227" s="3" t="b">
        <v>0</v>
      </c>
      <c r="O227" s="35"/>
    </row>
    <row r="228" spans="1:15" x14ac:dyDescent="0.3">
      <c r="O228"/>
    </row>
    <row r="229" spans="1:15" x14ac:dyDescent="0.3">
      <c r="O229"/>
    </row>
    <row r="230" spans="1:15" x14ac:dyDescent="0.3">
      <c r="O230"/>
    </row>
    <row r="231" spans="1:15" x14ac:dyDescent="0.3">
      <c r="O231"/>
    </row>
    <row r="232" spans="1:15" x14ac:dyDescent="0.3">
      <c r="O232"/>
    </row>
    <row r="233" spans="1:15" x14ac:dyDescent="0.3">
      <c r="O233"/>
    </row>
    <row r="234" spans="1:15" x14ac:dyDescent="0.3">
      <c r="O234"/>
    </row>
    <row r="235" spans="1:15" x14ac:dyDescent="0.3">
      <c r="O235"/>
    </row>
    <row r="236" spans="1:15" x14ac:dyDescent="0.3">
      <c r="O236"/>
    </row>
    <row r="237" spans="1:15" x14ac:dyDescent="0.3">
      <c r="O237"/>
    </row>
    <row r="238" spans="1:15" x14ac:dyDescent="0.3">
      <c r="O238"/>
    </row>
    <row r="239" spans="1:15" x14ac:dyDescent="0.3">
      <c r="O239"/>
    </row>
    <row r="240" spans="1:15" x14ac:dyDescent="0.3">
      <c r="O240"/>
    </row>
    <row r="241" spans="15:15" x14ac:dyDescent="0.3">
      <c r="O241"/>
    </row>
    <row r="242" spans="15:15" x14ac:dyDescent="0.3">
      <c r="O242"/>
    </row>
    <row r="243" spans="15:15" x14ac:dyDescent="0.3">
      <c r="O243"/>
    </row>
    <row r="244" spans="15:15" x14ac:dyDescent="0.3">
      <c r="O244"/>
    </row>
    <row r="245" spans="15:15" x14ac:dyDescent="0.3">
      <c r="O245"/>
    </row>
    <row r="246" spans="15:15" x14ac:dyDescent="0.3">
      <c r="O246"/>
    </row>
    <row r="247" spans="15:15" x14ac:dyDescent="0.3">
      <c r="O247"/>
    </row>
    <row r="248" spans="15:15" x14ac:dyDescent="0.3">
      <c r="O248"/>
    </row>
    <row r="249" spans="15:15" x14ac:dyDescent="0.3">
      <c r="O249"/>
    </row>
    <row r="250" spans="15:15" x14ac:dyDescent="0.3">
      <c r="O250"/>
    </row>
    <row r="251" spans="15:15" x14ac:dyDescent="0.3">
      <c r="O251"/>
    </row>
    <row r="252" spans="15:15" x14ac:dyDescent="0.3">
      <c r="O252"/>
    </row>
    <row r="253" spans="15:15" x14ac:dyDescent="0.3">
      <c r="O253"/>
    </row>
    <row r="254" spans="15:15" x14ac:dyDescent="0.3">
      <c r="O254"/>
    </row>
    <row r="255" spans="15:15" x14ac:dyDescent="0.3">
      <c r="O255"/>
    </row>
    <row r="256" spans="15:15" x14ac:dyDescent="0.3">
      <c r="O256"/>
    </row>
    <row r="257" spans="15:15" x14ac:dyDescent="0.3">
      <c r="O257"/>
    </row>
    <row r="258" spans="15:15" x14ac:dyDescent="0.3">
      <c r="O258"/>
    </row>
    <row r="259" spans="15:15" x14ac:dyDescent="0.3">
      <c r="O259"/>
    </row>
    <row r="260" spans="15:15" x14ac:dyDescent="0.3">
      <c r="O260"/>
    </row>
    <row r="261" spans="15:15" x14ac:dyDescent="0.3">
      <c r="O261"/>
    </row>
    <row r="262" spans="15:15" x14ac:dyDescent="0.3">
      <c r="O262"/>
    </row>
    <row r="263" spans="15:15" x14ac:dyDescent="0.3">
      <c r="O263"/>
    </row>
    <row r="264" spans="15:15" x14ac:dyDescent="0.3">
      <c r="O264"/>
    </row>
    <row r="265" spans="15:15" x14ac:dyDescent="0.3">
      <c r="O265"/>
    </row>
    <row r="266" spans="15:15" x14ac:dyDescent="0.3">
      <c r="O266"/>
    </row>
    <row r="267" spans="15:15" x14ac:dyDescent="0.3">
      <c r="O267"/>
    </row>
    <row r="268" spans="15:15" x14ac:dyDescent="0.3">
      <c r="O268"/>
    </row>
    <row r="269" spans="15:15" x14ac:dyDescent="0.3">
      <c r="O269"/>
    </row>
    <row r="270" spans="15:15" x14ac:dyDescent="0.3">
      <c r="O270"/>
    </row>
    <row r="271" spans="15:15" x14ac:dyDescent="0.3">
      <c r="O271"/>
    </row>
    <row r="272" spans="15:15" x14ac:dyDescent="0.3">
      <c r="O272"/>
    </row>
    <row r="273" spans="15:15" x14ac:dyDescent="0.3">
      <c r="O273"/>
    </row>
    <row r="274" spans="15:15" x14ac:dyDescent="0.3">
      <c r="O274"/>
    </row>
    <row r="275" spans="15:15" x14ac:dyDescent="0.3">
      <c r="O275"/>
    </row>
    <row r="276" spans="15:15" x14ac:dyDescent="0.3">
      <c r="O276"/>
    </row>
    <row r="277" spans="15:15" x14ac:dyDescent="0.3">
      <c r="O277"/>
    </row>
    <row r="278" spans="15:15" x14ac:dyDescent="0.3">
      <c r="O278"/>
    </row>
    <row r="279" spans="15:15" x14ac:dyDescent="0.3">
      <c r="O279"/>
    </row>
    <row r="280" spans="15:15" x14ac:dyDescent="0.3">
      <c r="O280"/>
    </row>
    <row r="281" spans="15:15" x14ac:dyDescent="0.3">
      <c r="O281"/>
    </row>
    <row r="282" spans="15:15" x14ac:dyDescent="0.3">
      <c r="O282"/>
    </row>
    <row r="283" spans="15:15" x14ac:dyDescent="0.3">
      <c r="O283"/>
    </row>
    <row r="284" spans="15:15" x14ac:dyDescent="0.3">
      <c r="O284"/>
    </row>
    <row r="285" spans="15:15" x14ac:dyDescent="0.3">
      <c r="O285"/>
    </row>
    <row r="286" spans="15:15" x14ac:dyDescent="0.3">
      <c r="O286"/>
    </row>
    <row r="287" spans="15:15" x14ac:dyDescent="0.3">
      <c r="O287"/>
    </row>
    <row r="288" spans="15:15" x14ac:dyDescent="0.3">
      <c r="O288"/>
    </row>
    <row r="289" spans="15:15" x14ac:dyDescent="0.3">
      <c r="O289"/>
    </row>
    <row r="290" spans="15:15" x14ac:dyDescent="0.3">
      <c r="O290"/>
    </row>
    <row r="291" spans="15:15" x14ac:dyDescent="0.3">
      <c r="O291"/>
    </row>
    <row r="292" spans="15:15" x14ac:dyDescent="0.3">
      <c r="O292"/>
    </row>
    <row r="293" spans="15:15" x14ac:dyDescent="0.3">
      <c r="O293"/>
    </row>
    <row r="294" spans="15:15" x14ac:dyDescent="0.3">
      <c r="O294"/>
    </row>
    <row r="295" spans="15:15" x14ac:dyDescent="0.3">
      <c r="O295"/>
    </row>
    <row r="296" spans="15:15" x14ac:dyDescent="0.3">
      <c r="O296"/>
    </row>
    <row r="297" spans="15:15" x14ac:dyDescent="0.3">
      <c r="O297"/>
    </row>
    <row r="298" spans="15:15" x14ac:dyDescent="0.3">
      <c r="O298"/>
    </row>
    <row r="299" spans="15:15" x14ac:dyDescent="0.3">
      <c r="O299"/>
    </row>
    <row r="300" spans="15:15" x14ac:dyDescent="0.3">
      <c r="O300"/>
    </row>
    <row r="301" spans="15:15" x14ac:dyDescent="0.3">
      <c r="O301"/>
    </row>
    <row r="302" spans="15:15" x14ac:dyDescent="0.3">
      <c r="O302"/>
    </row>
    <row r="303" spans="15:15" x14ac:dyDescent="0.3">
      <c r="O303"/>
    </row>
    <row r="304" spans="15:15" x14ac:dyDescent="0.3">
      <c r="O304"/>
    </row>
    <row r="305" spans="15:15" x14ac:dyDescent="0.3">
      <c r="O305"/>
    </row>
    <row r="306" spans="15:15" x14ac:dyDescent="0.3">
      <c r="O306"/>
    </row>
    <row r="307" spans="15:15" x14ac:dyDescent="0.3">
      <c r="O307"/>
    </row>
    <row r="308" spans="15:15" x14ac:dyDescent="0.3">
      <c r="O308"/>
    </row>
    <row r="309" spans="15:15" x14ac:dyDescent="0.3">
      <c r="O309"/>
    </row>
    <row r="310" spans="15:15" x14ac:dyDescent="0.3">
      <c r="O310"/>
    </row>
    <row r="311" spans="15:15" x14ac:dyDescent="0.3">
      <c r="O311"/>
    </row>
    <row r="312" spans="15:15" x14ac:dyDescent="0.3">
      <c r="O312"/>
    </row>
    <row r="313" spans="15:15" x14ac:dyDescent="0.3">
      <c r="O313"/>
    </row>
    <row r="314" spans="15:15" x14ac:dyDescent="0.3">
      <c r="O314"/>
    </row>
    <row r="315" spans="15:15" x14ac:dyDescent="0.3">
      <c r="O315"/>
    </row>
    <row r="316" spans="15:15" x14ac:dyDescent="0.3">
      <c r="O316"/>
    </row>
    <row r="317" spans="15:15" x14ac:dyDescent="0.3">
      <c r="O317"/>
    </row>
    <row r="318" spans="15:15" x14ac:dyDescent="0.3">
      <c r="O318"/>
    </row>
    <row r="319" spans="15:15" x14ac:dyDescent="0.3">
      <c r="O319"/>
    </row>
    <row r="320" spans="15:15" x14ac:dyDescent="0.3">
      <c r="O320"/>
    </row>
    <row r="321" spans="15:15" x14ac:dyDescent="0.3">
      <c r="O321"/>
    </row>
    <row r="322" spans="15:15" x14ac:dyDescent="0.3">
      <c r="O322"/>
    </row>
    <row r="323" spans="15:15" x14ac:dyDescent="0.3">
      <c r="O323"/>
    </row>
    <row r="324" spans="15:15" x14ac:dyDescent="0.3">
      <c r="O324"/>
    </row>
    <row r="325" spans="15:15" x14ac:dyDescent="0.3">
      <c r="O325"/>
    </row>
    <row r="326" spans="15:15" x14ac:dyDescent="0.3">
      <c r="O326"/>
    </row>
    <row r="327" spans="15:15" x14ac:dyDescent="0.3">
      <c r="O327"/>
    </row>
    <row r="328" spans="15:15" x14ac:dyDescent="0.3">
      <c r="O328"/>
    </row>
    <row r="329" spans="15:15" x14ac:dyDescent="0.3">
      <c r="O329"/>
    </row>
    <row r="330" spans="15:15" x14ac:dyDescent="0.3">
      <c r="O330"/>
    </row>
    <row r="331" spans="15:15" x14ac:dyDescent="0.3">
      <c r="O331"/>
    </row>
    <row r="332" spans="15:15" x14ac:dyDescent="0.3">
      <c r="O332"/>
    </row>
    <row r="333" spans="15:15" x14ac:dyDescent="0.3">
      <c r="O333"/>
    </row>
    <row r="334" spans="15:15" x14ac:dyDescent="0.3">
      <c r="O334"/>
    </row>
    <row r="335" spans="15:15" x14ac:dyDescent="0.3">
      <c r="O335"/>
    </row>
    <row r="336" spans="15:15" x14ac:dyDescent="0.3">
      <c r="O336"/>
    </row>
    <row r="337" spans="15:15" x14ac:dyDescent="0.3">
      <c r="O337"/>
    </row>
    <row r="338" spans="15:15" x14ac:dyDescent="0.3">
      <c r="O338"/>
    </row>
    <row r="339" spans="15:15" x14ac:dyDescent="0.3">
      <c r="O339"/>
    </row>
    <row r="340" spans="15:15" x14ac:dyDescent="0.3">
      <c r="O340"/>
    </row>
    <row r="341" spans="15:15" x14ac:dyDescent="0.3">
      <c r="O341"/>
    </row>
    <row r="342" spans="15:15" x14ac:dyDescent="0.3">
      <c r="O342"/>
    </row>
    <row r="343" spans="15:15" x14ac:dyDescent="0.3">
      <c r="O343"/>
    </row>
    <row r="344" spans="15:15" x14ac:dyDescent="0.3">
      <c r="O344"/>
    </row>
    <row r="345" spans="15:15" x14ac:dyDescent="0.3">
      <c r="O345"/>
    </row>
    <row r="346" spans="15:15" x14ac:dyDescent="0.3">
      <c r="O346"/>
    </row>
    <row r="347" spans="15:15" x14ac:dyDescent="0.3">
      <c r="O347"/>
    </row>
    <row r="348" spans="15:15" x14ac:dyDescent="0.3">
      <c r="O348"/>
    </row>
    <row r="349" spans="15:15" x14ac:dyDescent="0.3">
      <c r="O349"/>
    </row>
    <row r="350" spans="15:15" x14ac:dyDescent="0.3">
      <c r="O350"/>
    </row>
    <row r="351" spans="15:15" x14ac:dyDescent="0.3">
      <c r="O351"/>
    </row>
    <row r="352" spans="15:15" x14ac:dyDescent="0.3">
      <c r="O352"/>
    </row>
    <row r="353" spans="15:15" x14ac:dyDescent="0.3">
      <c r="O353"/>
    </row>
    <row r="354" spans="15:15" x14ac:dyDescent="0.3">
      <c r="O354"/>
    </row>
    <row r="355" spans="15:15" x14ac:dyDescent="0.3">
      <c r="O355"/>
    </row>
    <row r="356" spans="15:15" x14ac:dyDescent="0.3">
      <c r="O356"/>
    </row>
    <row r="357" spans="15:15" x14ac:dyDescent="0.3">
      <c r="O357"/>
    </row>
    <row r="358" spans="15:15" x14ac:dyDescent="0.3">
      <c r="O358"/>
    </row>
    <row r="359" spans="15:15" x14ac:dyDescent="0.3">
      <c r="O359"/>
    </row>
    <row r="360" spans="15:15" x14ac:dyDescent="0.3">
      <c r="O360"/>
    </row>
    <row r="361" spans="15:15" x14ac:dyDescent="0.3">
      <c r="O361"/>
    </row>
    <row r="362" spans="15:15" x14ac:dyDescent="0.3">
      <c r="O362"/>
    </row>
    <row r="363" spans="15:15" x14ac:dyDescent="0.3">
      <c r="O363"/>
    </row>
    <row r="364" spans="15:15" x14ac:dyDescent="0.3">
      <c r="O364"/>
    </row>
    <row r="365" spans="15:15" x14ac:dyDescent="0.3">
      <c r="O365"/>
    </row>
    <row r="366" spans="15:15" x14ac:dyDescent="0.3">
      <c r="O366"/>
    </row>
    <row r="367" spans="15:15" x14ac:dyDescent="0.3">
      <c r="O367"/>
    </row>
    <row r="368" spans="15:15" x14ac:dyDescent="0.3">
      <c r="O368"/>
    </row>
    <row r="369" spans="15:15" x14ac:dyDescent="0.3">
      <c r="O369"/>
    </row>
    <row r="370" spans="15:15" x14ac:dyDescent="0.3">
      <c r="O370"/>
    </row>
    <row r="371" spans="15:15" x14ac:dyDescent="0.3">
      <c r="O371"/>
    </row>
    <row r="372" spans="15:15" x14ac:dyDescent="0.3">
      <c r="O372"/>
    </row>
    <row r="373" spans="15:15" x14ac:dyDescent="0.3">
      <c r="O373"/>
    </row>
    <row r="374" spans="15:15" x14ac:dyDescent="0.3">
      <c r="O374"/>
    </row>
    <row r="375" spans="15:15" x14ac:dyDescent="0.3">
      <c r="O375"/>
    </row>
    <row r="376" spans="15:15" x14ac:dyDescent="0.3">
      <c r="O376"/>
    </row>
    <row r="377" spans="15:15" x14ac:dyDescent="0.3">
      <c r="O377"/>
    </row>
    <row r="378" spans="15:15" x14ac:dyDescent="0.3">
      <c r="O378"/>
    </row>
    <row r="379" spans="15:15" x14ac:dyDescent="0.3">
      <c r="O379"/>
    </row>
    <row r="380" spans="15:15" x14ac:dyDescent="0.3">
      <c r="O380"/>
    </row>
    <row r="381" spans="15:15" x14ac:dyDescent="0.3">
      <c r="O381"/>
    </row>
    <row r="382" spans="15:15" x14ac:dyDescent="0.3">
      <c r="O382"/>
    </row>
    <row r="383" spans="15:15" x14ac:dyDescent="0.3">
      <c r="O383"/>
    </row>
    <row r="384" spans="15:15" x14ac:dyDescent="0.3">
      <c r="O384"/>
    </row>
    <row r="385" spans="15:15" x14ac:dyDescent="0.3">
      <c r="O385"/>
    </row>
    <row r="386" spans="15:15" x14ac:dyDescent="0.3">
      <c r="O386"/>
    </row>
    <row r="387" spans="15:15" x14ac:dyDescent="0.3">
      <c r="O387"/>
    </row>
    <row r="388" spans="15:15" x14ac:dyDescent="0.3">
      <c r="O388"/>
    </row>
    <row r="389" spans="15:15" x14ac:dyDescent="0.3">
      <c r="O389"/>
    </row>
    <row r="390" spans="15:15" x14ac:dyDescent="0.3">
      <c r="O390"/>
    </row>
    <row r="391" spans="15:15" x14ac:dyDescent="0.3">
      <c r="O391"/>
    </row>
    <row r="392" spans="15:15" x14ac:dyDescent="0.3">
      <c r="O392"/>
    </row>
    <row r="393" spans="15:15" x14ac:dyDescent="0.3">
      <c r="O393"/>
    </row>
    <row r="394" spans="15:15" x14ac:dyDescent="0.3">
      <c r="O394"/>
    </row>
    <row r="395" spans="15:15" x14ac:dyDescent="0.3">
      <c r="O395"/>
    </row>
    <row r="396" spans="15:15" x14ac:dyDescent="0.3">
      <c r="O396"/>
    </row>
    <row r="397" spans="15:15" x14ac:dyDescent="0.3">
      <c r="O397"/>
    </row>
    <row r="398" spans="15:15" x14ac:dyDescent="0.3">
      <c r="O398"/>
    </row>
    <row r="399" spans="15:15" x14ac:dyDescent="0.3">
      <c r="O399"/>
    </row>
    <row r="400" spans="15:15" x14ac:dyDescent="0.3">
      <c r="O400"/>
    </row>
    <row r="401" spans="15:15" x14ac:dyDescent="0.3">
      <c r="O401"/>
    </row>
    <row r="402" spans="15:15" x14ac:dyDescent="0.3">
      <c r="O402"/>
    </row>
    <row r="403" spans="15:15" x14ac:dyDescent="0.3">
      <c r="O403"/>
    </row>
    <row r="404" spans="15:15" x14ac:dyDescent="0.3">
      <c r="O404"/>
    </row>
    <row r="405" spans="15:15" x14ac:dyDescent="0.3">
      <c r="O405"/>
    </row>
    <row r="406" spans="15:15" x14ac:dyDescent="0.3">
      <c r="O406"/>
    </row>
    <row r="407" spans="15:15" x14ac:dyDescent="0.3">
      <c r="O407"/>
    </row>
    <row r="408" spans="15:15" x14ac:dyDescent="0.3">
      <c r="O408"/>
    </row>
    <row r="409" spans="15:15" x14ac:dyDescent="0.3">
      <c r="O409"/>
    </row>
    <row r="410" spans="15:15" x14ac:dyDescent="0.3">
      <c r="O410"/>
    </row>
    <row r="411" spans="15:15" x14ac:dyDescent="0.3">
      <c r="O411"/>
    </row>
    <row r="412" spans="15:15" x14ac:dyDescent="0.3">
      <c r="O412"/>
    </row>
    <row r="413" spans="15:15" x14ac:dyDescent="0.3">
      <c r="O413"/>
    </row>
    <row r="414" spans="15:15" x14ac:dyDescent="0.3">
      <c r="O414"/>
    </row>
    <row r="415" spans="15:15" x14ac:dyDescent="0.3">
      <c r="O415"/>
    </row>
    <row r="416" spans="15:15" x14ac:dyDescent="0.3">
      <c r="O416"/>
    </row>
    <row r="417" spans="15:15" x14ac:dyDescent="0.3">
      <c r="O417"/>
    </row>
    <row r="418" spans="15:15" x14ac:dyDescent="0.3">
      <c r="O418"/>
    </row>
    <row r="419" spans="15:15" x14ac:dyDescent="0.3">
      <c r="O419"/>
    </row>
    <row r="420" spans="15:15" x14ac:dyDescent="0.3">
      <c r="O420"/>
    </row>
    <row r="421" spans="15:15" x14ac:dyDescent="0.3">
      <c r="O421"/>
    </row>
    <row r="422" spans="15:15" x14ac:dyDescent="0.3">
      <c r="O422"/>
    </row>
    <row r="423" spans="15:15" x14ac:dyDescent="0.3">
      <c r="O423"/>
    </row>
    <row r="424" spans="15:15" x14ac:dyDescent="0.3">
      <c r="O424"/>
    </row>
    <row r="425" spans="15:15" x14ac:dyDescent="0.3">
      <c r="O425"/>
    </row>
    <row r="426" spans="15:15" x14ac:dyDescent="0.3">
      <c r="O426"/>
    </row>
    <row r="427" spans="15:15" x14ac:dyDescent="0.3">
      <c r="O427"/>
    </row>
    <row r="428" spans="15:15" x14ac:dyDescent="0.3">
      <c r="O428"/>
    </row>
    <row r="429" spans="15:15" x14ac:dyDescent="0.3">
      <c r="O429"/>
    </row>
    <row r="430" spans="15:15" x14ac:dyDescent="0.3">
      <c r="O430"/>
    </row>
    <row r="431" spans="15:15" x14ac:dyDescent="0.3">
      <c r="O431"/>
    </row>
    <row r="432" spans="15:15" x14ac:dyDescent="0.3">
      <c r="O432"/>
    </row>
    <row r="433" spans="15:15" x14ac:dyDescent="0.3">
      <c r="O433"/>
    </row>
    <row r="434" spans="15:15" x14ac:dyDescent="0.3">
      <c r="O434"/>
    </row>
    <row r="435" spans="15:15" x14ac:dyDescent="0.3">
      <c r="O435"/>
    </row>
    <row r="436" spans="15:15" x14ac:dyDescent="0.3">
      <c r="O436"/>
    </row>
    <row r="437" spans="15:15" x14ac:dyDescent="0.3">
      <c r="O437"/>
    </row>
    <row r="438" spans="15:15" x14ac:dyDescent="0.3">
      <c r="O438"/>
    </row>
    <row r="439" spans="15:15" x14ac:dyDescent="0.3">
      <c r="O439"/>
    </row>
    <row r="440" spans="15:15" x14ac:dyDescent="0.3">
      <c r="O440"/>
    </row>
    <row r="441" spans="15:15" x14ac:dyDescent="0.3">
      <c r="O441"/>
    </row>
    <row r="442" spans="15:15" x14ac:dyDescent="0.3">
      <c r="O442"/>
    </row>
    <row r="443" spans="15:15" x14ac:dyDescent="0.3">
      <c r="O443"/>
    </row>
    <row r="444" spans="15:15" x14ac:dyDescent="0.3">
      <c r="O444"/>
    </row>
    <row r="445" spans="15:15" x14ac:dyDescent="0.3">
      <c r="O445"/>
    </row>
    <row r="446" spans="15:15" x14ac:dyDescent="0.3">
      <c r="O446"/>
    </row>
    <row r="447" spans="15:15" x14ac:dyDescent="0.3">
      <c r="O447"/>
    </row>
    <row r="448" spans="15:15" x14ac:dyDescent="0.3">
      <c r="O448"/>
    </row>
    <row r="449" spans="15:15" x14ac:dyDescent="0.3">
      <c r="O449"/>
    </row>
    <row r="450" spans="15:15" x14ac:dyDescent="0.3">
      <c r="O450"/>
    </row>
    <row r="451" spans="15:15" x14ac:dyDescent="0.3">
      <c r="O451"/>
    </row>
    <row r="452" spans="15:15" x14ac:dyDescent="0.3">
      <c r="O452"/>
    </row>
    <row r="453" spans="15:15" x14ac:dyDescent="0.3">
      <c r="O453"/>
    </row>
    <row r="454" spans="15:15" x14ac:dyDescent="0.3">
      <c r="O454"/>
    </row>
    <row r="455" spans="15:15" x14ac:dyDescent="0.3">
      <c r="O455"/>
    </row>
    <row r="456" spans="15:15" x14ac:dyDescent="0.3">
      <c r="O456"/>
    </row>
    <row r="457" spans="15:15" x14ac:dyDescent="0.3">
      <c r="O457"/>
    </row>
    <row r="458" spans="15:15" x14ac:dyDescent="0.3">
      <c r="O458"/>
    </row>
    <row r="459" spans="15:15" x14ac:dyDescent="0.3">
      <c r="O459"/>
    </row>
    <row r="460" spans="15:15" x14ac:dyDescent="0.3">
      <c r="O460"/>
    </row>
    <row r="461" spans="15:15" x14ac:dyDescent="0.3">
      <c r="O461"/>
    </row>
    <row r="462" spans="15:15" x14ac:dyDescent="0.3">
      <c r="O462"/>
    </row>
    <row r="463" spans="15:15" x14ac:dyDescent="0.3">
      <c r="O463"/>
    </row>
    <row r="464" spans="15:15" x14ac:dyDescent="0.3">
      <c r="O464"/>
    </row>
    <row r="465" spans="15:15" x14ac:dyDescent="0.3">
      <c r="O465"/>
    </row>
    <row r="466" spans="15:15" x14ac:dyDescent="0.3">
      <c r="O466"/>
    </row>
    <row r="467" spans="15:15" x14ac:dyDescent="0.3">
      <c r="O467"/>
    </row>
    <row r="468" spans="15:15" x14ac:dyDescent="0.3">
      <c r="O468"/>
    </row>
    <row r="469" spans="15:15" x14ac:dyDescent="0.3">
      <c r="O469"/>
    </row>
    <row r="470" spans="15:15" x14ac:dyDescent="0.3">
      <c r="O470"/>
    </row>
    <row r="471" spans="15:15" x14ac:dyDescent="0.3">
      <c r="O471"/>
    </row>
    <row r="472" spans="15:15" x14ac:dyDescent="0.3">
      <c r="O472"/>
    </row>
    <row r="473" spans="15:15" x14ac:dyDescent="0.3">
      <c r="O473"/>
    </row>
    <row r="474" spans="15:15" x14ac:dyDescent="0.3">
      <c r="O474"/>
    </row>
    <row r="475" spans="15:15" x14ac:dyDescent="0.3">
      <c r="O475"/>
    </row>
    <row r="476" spans="15:15" x14ac:dyDescent="0.3">
      <c r="O476"/>
    </row>
    <row r="477" spans="15:15" x14ac:dyDescent="0.3">
      <c r="O477"/>
    </row>
    <row r="478" spans="15:15" x14ac:dyDescent="0.3">
      <c r="O478"/>
    </row>
    <row r="479" spans="15:15" x14ac:dyDescent="0.3">
      <c r="O479"/>
    </row>
    <row r="480" spans="15:15" x14ac:dyDescent="0.3">
      <c r="O480"/>
    </row>
    <row r="481" spans="15:15" x14ac:dyDescent="0.3">
      <c r="O481"/>
    </row>
    <row r="482" spans="15:15" x14ac:dyDescent="0.3">
      <c r="O482"/>
    </row>
    <row r="483" spans="15:15" x14ac:dyDescent="0.3">
      <c r="O483"/>
    </row>
    <row r="484" spans="15:15" x14ac:dyDescent="0.3">
      <c r="O484"/>
    </row>
    <row r="485" spans="15:15" x14ac:dyDescent="0.3">
      <c r="O485"/>
    </row>
    <row r="486" spans="15:15" x14ac:dyDescent="0.3">
      <c r="O486"/>
    </row>
    <row r="487" spans="15:15" x14ac:dyDescent="0.3">
      <c r="O487"/>
    </row>
    <row r="488" spans="15:15" x14ac:dyDescent="0.3">
      <c r="O488"/>
    </row>
    <row r="489" spans="15:15" x14ac:dyDescent="0.3">
      <c r="O489"/>
    </row>
    <row r="490" spans="15:15" x14ac:dyDescent="0.3">
      <c r="O490"/>
    </row>
    <row r="491" spans="15:15" x14ac:dyDescent="0.3">
      <c r="O491"/>
    </row>
    <row r="492" spans="15:15" x14ac:dyDescent="0.3">
      <c r="O492"/>
    </row>
    <row r="493" spans="15:15" x14ac:dyDescent="0.3">
      <c r="O493"/>
    </row>
    <row r="494" spans="15:15" x14ac:dyDescent="0.3">
      <c r="O494"/>
    </row>
    <row r="495" spans="15:15" x14ac:dyDescent="0.3">
      <c r="O495"/>
    </row>
    <row r="496" spans="15:15" x14ac:dyDescent="0.3">
      <c r="O496"/>
    </row>
    <row r="497" spans="15:15" x14ac:dyDescent="0.3">
      <c r="O497"/>
    </row>
    <row r="498" spans="15:15" x14ac:dyDescent="0.3">
      <c r="O498"/>
    </row>
    <row r="499" spans="15:15" x14ac:dyDescent="0.3">
      <c r="O499"/>
    </row>
    <row r="500" spans="15:15" x14ac:dyDescent="0.3">
      <c r="O500"/>
    </row>
    <row r="501" spans="15:15" x14ac:dyDescent="0.3">
      <c r="O501"/>
    </row>
    <row r="502" spans="15:15" x14ac:dyDescent="0.3">
      <c r="O502"/>
    </row>
    <row r="503" spans="15:15" x14ac:dyDescent="0.3">
      <c r="O503"/>
    </row>
    <row r="504" spans="15:15" x14ac:dyDescent="0.3">
      <c r="O504"/>
    </row>
    <row r="505" spans="15:15" x14ac:dyDescent="0.3">
      <c r="O505"/>
    </row>
    <row r="506" spans="15:15" x14ac:dyDescent="0.3">
      <c r="O506"/>
    </row>
    <row r="507" spans="15:15" x14ac:dyDescent="0.3">
      <c r="O507"/>
    </row>
    <row r="508" spans="15:15" x14ac:dyDescent="0.3">
      <c r="O508"/>
    </row>
    <row r="509" spans="15:15" x14ac:dyDescent="0.3">
      <c r="O509"/>
    </row>
    <row r="510" spans="15:15" x14ac:dyDescent="0.3">
      <c r="O510"/>
    </row>
    <row r="511" spans="15:15" x14ac:dyDescent="0.3">
      <c r="O511"/>
    </row>
    <row r="512" spans="15:15" x14ac:dyDescent="0.3">
      <c r="O512"/>
    </row>
    <row r="513" spans="15:15" x14ac:dyDescent="0.3">
      <c r="O513"/>
    </row>
    <row r="514" spans="15:15" x14ac:dyDescent="0.3">
      <c r="O514"/>
    </row>
    <row r="515" spans="15:15" x14ac:dyDescent="0.3">
      <c r="O515"/>
    </row>
    <row r="516" spans="15:15" x14ac:dyDescent="0.3">
      <c r="O516"/>
    </row>
    <row r="517" spans="15:15" x14ac:dyDescent="0.3">
      <c r="O517"/>
    </row>
    <row r="518" spans="15:15" x14ac:dyDescent="0.3">
      <c r="O518"/>
    </row>
    <row r="519" spans="15:15" x14ac:dyDescent="0.3">
      <c r="O519"/>
    </row>
    <row r="520" spans="15:15" x14ac:dyDescent="0.3">
      <c r="O520"/>
    </row>
    <row r="521" spans="15:15" x14ac:dyDescent="0.3">
      <c r="O521"/>
    </row>
    <row r="522" spans="15:15" x14ac:dyDescent="0.3">
      <c r="O522"/>
    </row>
    <row r="523" spans="15:15" x14ac:dyDescent="0.3">
      <c r="O523"/>
    </row>
    <row r="524" spans="15:15" x14ac:dyDescent="0.3">
      <c r="O524"/>
    </row>
    <row r="525" spans="15:15" x14ac:dyDescent="0.3">
      <c r="O525"/>
    </row>
    <row r="526" spans="15:15" x14ac:dyDescent="0.3">
      <c r="O526"/>
    </row>
    <row r="527" spans="15:15" x14ac:dyDescent="0.3">
      <c r="O527"/>
    </row>
    <row r="528" spans="15:15" x14ac:dyDescent="0.3">
      <c r="O528"/>
    </row>
    <row r="529" spans="15:15" x14ac:dyDescent="0.3">
      <c r="O529"/>
    </row>
    <row r="530" spans="15:15" x14ac:dyDescent="0.3">
      <c r="O530"/>
    </row>
    <row r="531" spans="15:15" x14ac:dyDescent="0.3">
      <c r="O531"/>
    </row>
    <row r="532" spans="15:15" x14ac:dyDescent="0.3">
      <c r="O532"/>
    </row>
    <row r="533" spans="15:15" x14ac:dyDescent="0.3">
      <c r="O533"/>
    </row>
    <row r="534" spans="15:15" x14ac:dyDescent="0.3">
      <c r="O534"/>
    </row>
    <row r="535" spans="15:15" x14ac:dyDescent="0.3">
      <c r="O535"/>
    </row>
    <row r="536" spans="15:15" x14ac:dyDescent="0.3">
      <c r="O536"/>
    </row>
    <row r="537" spans="15:15" x14ac:dyDescent="0.3">
      <c r="O537"/>
    </row>
    <row r="538" spans="15:15" x14ac:dyDescent="0.3">
      <c r="O538"/>
    </row>
    <row r="539" spans="15:15" x14ac:dyDescent="0.3">
      <c r="O539"/>
    </row>
    <row r="540" spans="15:15" x14ac:dyDescent="0.3">
      <c r="O540"/>
    </row>
    <row r="541" spans="15:15" x14ac:dyDescent="0.3">
      <c r="O541"/>
    </row>
    <row r="542" spans="15:15" x14ac:dyDescent="0.3">
      <c r="O542"/>
    </row>
    <row r="543" spans="15:15" x14ac:dyDescent="0.3">
      <c r="O543"/>
    </row>
    <row r="544" spans="15:15" x14ac:dyDescent="0.3">
      <c r="O544"/>
    </row>
    <row r="545" spans="15:15" x14ac:dyDescent="0.3">
      <c r="O545"/>
    </row>
    <row r="546" spans="15:15" x14ac:dyDescent="0.3">
      <c r="O546"/>
    </row>
    <row r="547" spans="15:15" x14ac:dyDescent="0.3">
      <c r="O547"/>
    </row>
    <row r="548" spans="15:15" x14ac:dyDescent="0.3">
      <c r="O548"/>
    </row>
    <row r="549" spans="15:15" x14ac:dyDescent="0.3">
      <c r="O549"/>
    </row>
    <row r="550" spans="15:15" x14ac:dyDescent="0.3">
      <c r="O550"/>
    </row>
    <row r="551" spans="15:15" x14ac:dyDescent="0.3">
      <c r="O551"/>
    </row>
    <row r="552" spans="15:15" x14ac:dyDescent="0.3">
      <c r="O552"/>
    </row>
    <row r="553" spans="15:15" x14ac:dyDescent="0.3">
      <c r="O553"/>
    </row>
    <row r="554" spans="15:15" x14ac:dyDescent="0.3">
      <c r="O554"/>
    </row>
    <row r="555" spans="15:15" x14ac:dyDescent="0.3">
      <c r="O555"/>
    </row>
    <row r="556" spans="15:15" x14ac:dyDescent="0.3">
      <c r="O556"/>
    </row>
    <row r="557" spans="15:15" x14ac:dyDescent="0.3">
      <c r="O557"/>
    </row>
    <row r="558" spans="15:15" x14ac:dyDescent="0.3">
      <c r="O558"/>
    </row>
    <row r="559" spans="15:15" x14ac:dyDescent="0.3">
      <c r="O559"/>
    </row>
    <row r="560" spans="15:15" x14ac:dyDescent="0.3">
      <c r="O560"/>
    </row>
    <row r="561" spans="15:15" x14ac:dyDescent="0.3">
      <c r="O561"/>
    </row>
    <row r="562" spans="15:15" x14ac:dyDescent="0.3">
      <c r="O562"/>
    </row>
    <row r="563" spans="15:15" x14ac:dyDescent="0.3">
      <c r="O563"/>
    </row>
    <row r="564" spans="15:15" x14ac:dyDescent="0.3">
      <c r="O564"/>
    </row>
    <row r="565" spans="15:15" x14ac:dyDescent="0.3">
      <c r="O565"/>
    </row>
    <row r="566" spans="15:15" x14ac:dyDescent="0.3">
      <c r="O566"/>
    </row>
    <row r="567" spans="15:15" x14ac:dyDescent="0.3">
      <c r="O567"/>
    </row>
    <row r="568" spans="15:15" x14ac:dyDescent="0.3">
      <c r="O568"/>
    </row>
    <row r="569" spans="15:15" x14ac:dyDescent="0.3">
      <c r="O569"/>
    </row>
    <row r="570" spans="15:15" x14ac:dyDescent="0.3">
      <c r="O570"/>
    </row>
    <row r="571" spans="15:15" x14ac:dyDescent="0.3">
      <c r="O571"/>
    </row>
    <row r="572" spans="15:15" x14ac:dyDescent="0.3">
      <c r="O572"/>
    </row>
    <row r="573" spans="15:15" x14ac:dyDescent="0.3">
      <c r="O573"/>
    </row>
    <row r="574" spans="15:15" x14ac:dyDescent="0.3">
      <c r="O574"/>
    </row>
    <row r="575" spans="15:15" x14ac:dyDescent="0.3">
      <c r="O575"/>
    </row>
    <row r="576" spans="15:15" x14ac:dyDescent="0.3">
      <c r="O576"/>
    </row>
    <row r="577" spans="15:15" x14ac:dyDescent="0.3">
      <c r="O577"/>
    </row>
    <row r="578" spans="15:15" x14ac:dyDescent="0.3">
      <c r="O578"/>
    </row>
    <row r="579" spans="15:15" x14ac:dyDescent="0.3">
      <c r="O579"/>
    </row>
    <row r="580" spans="15:15" x14ac:dyDescent="0.3">
      <c r="O580"/>
    </row>
    <row r="581" spans="15:15" x14ac:dyDescent="0.3">
      <c r="O581"/>
    </row>
    <row r="582" spans="15:15" x14ac:dyDescent="0.3">
      <c r="O582"/>
    </row>
    <row r="583" spans="15:15" x14ac:dyDescent="0.3">
      <c r="O583"/>
    </row>
    <row r="584" spans="15:15" x14ac:dyDescent="0.3">
      <c r="O584"/>
    </row>
    <row r="585" spans="15:15" x14ac:dyDescent="0.3">
      <c r="O585"/>
    </row>
    <row r="586" spans="15:15" x14ac:dyDescent="0.3">
      <c r="O586"/>
    </row>
    <row r="587" spans="15:15" x14ac:dyDescent="0.3">
      <c r="O587"/>
    </row>
    <row r="588" spans="15:15" x14ac:dyDescent="0.3">
      <c r="O588"/>
    </row>
    <row r="589" spans="15:15" x14ac:dyDescent="0.3">
      <c r="O589"/>
    </row>
    <row r="590" spans="15:15" x14ac:dyDescent="0.3">
      <c r="O590"/>
    </row>
    <row r="591" spans="15:15" x14ac:dyDescent="0.3">
      <c r="O591"/>
    </row>
    <row r="592" spans="15:15" x14ac:dyDescent="0.3">
      <c r="O592"/>
    </row>
    <row r="593" spans="15:15" x14ac:dyDescent="0.3">
      <c r="O593"/>
    </row>
    <row r="594" spans="15:15" x14ac:dyDescent="0.3">
      <c r="O594"/>
    </row>
    <row r="595" spans="15:15" x14ac:dyDescent="0.3">
      <c r="O595"/>
    </row>
    <row r="596" spans="15:15" x14ac:dyDescent="0.3">
      <c r="O596"/>
    </row>
    <row r="597" spans="15:15" x14ac:dyDescent="0.3">
      <c r="O597"/>
    </row>
    <row r="598" spans="15:15" x14ac:dyDescent="0.3">
      <c r="O598"/>
    </row>
    <row r="599" spans="15:15" x14ac:dyDescent="0.3">
      <c r="O599"/>
    </row>
    <row r="600" spans="15:15" x14ac:dyDescent="0.3">
      <c r="O600"/>
    </row>
    <row r="601" spans="15:15" x14ac:dyDescent="0.3">
      <c r="O601"/>
    </row>
    <row r="602" spans="15:15" x14ac:dyDescent="0.3">
      <c r="O602"/>
    </row>
    <row r="603" spans="15:15" x14ac:dyDescent="0.3">
      <c r="O603"/>
    </row>
    <row r="604" spans="15:15" x14ac:dyDescent="0.3">
      <c r="O604"/>
    </row>
    <row r="605" spans="15:15" x14ac:dyDescent="0.3">
      <c r="O605"/>
    </row>
    <row r="606" spans="15:15" x14ac:dyDescent="0.3">
      <c r="O606"/>
    </row>
    <row r="607" spans="15:15" x14ac:dyDescent="0.3">
      <c r="O607"/>
    </row>
    <row r="608" spans="15:15" x14ac:dyDescent="0.3">
      <c r="O608"/>
    </row>
    <row r="609" spans="15:15" x14ac:dyDescent="0.3">
      <c r="O609"/>
    </row>
    <row r="610" spans="15:15" x14ac:dyDescent="0.3">
      <c r="O610"/>
    </row>
    <row r="611" spans="15:15" x14ac:dyDescent="0.3">
      <c r="O611"/>
    </row>
    <row r="612" spans="15:15" x14ac:dyDescent="0.3">
      <c r="O612"/>
    </row>
    <row r="613" spans="15:15" x14ac:dyDescent="0.3">
      <c r="O613"/>
    </row>
    <row r="614" spans="15:15" x14ac:dyDescent="0.3">
      <c r="O614"/>
    </row>
    <row r="615" spans="15:15" x14ac:dyDescent="0.3">
      <c r="O615"/>
    </row>
    <row r="616" spans="15:15" x14ac:dyDescent="0.3">
      <c r="O616"/>
    </row>
    <row r="617" spans="15:15" x14ac:dyDescent="0.3">
      <c r="O617"/>
    </row>
    <row r="618" spans="15:15" x14ac:dyDescent="0.3">
      <c r="O618"/>
    </row>
    <row r="619" spans="15:15" x14ac:dyDescent="0.3">
      <c r="O619"/>
    </row>
    <row r="620" spans="15:15" x14ac:dyDescent="0.3">
      <c r="O620"/>
    </row>
    <row r="621" spans="15:15" x14ac:dyDescent="0.3">
      <c r="O621"/>
    </row>
    <row r="622" spans="15:15" x14ac:dyDescent="0.3">
      <c r="O622"/>
    </row>
    <row r="623" spans="15:15" x14ac:dyDescent="0.3">
      <c r="O623"/>
    </row>
    <row r="624" spans="15:15" x14ac:dyDescent="0.3">
      <c r="O624"/>
    </row>
    <row r="625" spans="15:15" x14ac:dyDescent="0.3">
      <c r="O625"/>
    </row>
    <row r="626" spans="15:15" x14ac:dyDescent="0.3">
      <c r="O626"/>
    </row>
    <row r="627" spans="15:15" x14ac:dyDescent="0.3">
      <c r="O627"/>
    </row>
    <row r="628" spans="15:15" x14ac:dyDescent="0.3">
      <c r="O628"/>
    </row>
    <row r="629" spans="15:15" x14ac:dyDescent="0.3">
      <c r="O629"/>
    </row>
    <row r="630" spans="15:15" x14ac:dyDescent="0.3">
      <c r="O630"/>
    </row>
    <row r="631" spans="15:15" x14ac:dyDescent="0.3">
      <c r="O631"/>
    </row>
    <row r="632" spans="15:15" x14ac:dyDescent="0.3">
      <c r="O632"/>
    </row>
    <row r="633" spans="15:15" x14ac:dyDescent="0.3">
      <c r="O633"/>
    </row>
    <row r="634" spans="15:15" x14ac:dyDescent="0.3">
      <c r="O634"/>
    </row>
    <row r="635" spans="15:15" x14ac:dyDescent="0.3">
      <c r="O635"/>
    </row>
    <row r="636" spans="15:15" x14ac:dyDescent="0.3">
      <c r="O636"/>
    </row>
    <row r="637" spans="15:15" x14ac:dyDescent="0.3">
      <c r="O637"/>
    </row>
    <row r="638" spans="15:15" x14ac:dyDescent="0.3">
      <c r="O638"/>
    </row>
    <row r="639" spans="15:15" x14ac:dyDescent="0.3">
      <c r="O639"/>
    </row>
    <row r="640" spans="15:15" x14ac:dyDescent="0.3">
      <c r="O640"/>
    </row>
    <row r="641" spans="15:15" x14ac:dyDescent="0.3">
      <c r="O641"/>
    </row>
    <row r="642" spans="15:15" x14ac:dyDescent="0.3">
      <c r="O642"/>
    </row>
    <row r="643" spans="15:15" x14ac:dyDescent="0.3">
      <c r="O643"/>
    </row>
    <row r="644" spans="15:15" x14ac:dyDescent="0.3">
      <c r="O644"/>
    </row>
    <row r="645" spans="15:15" x14ac:dyDescent="0.3">
      <c r="O645"/>
    </row>
    <row r="646" spans="15:15" x14ac:dyDescent="0.3">
      <c r="O646"/>
    </row>
    <row r="647" spans="15:15" x14ac:dyDescent="0.3">
      <c r="O647"/>
    </row>
    <row r="648" spans="15:15" x14ac:dyDescent="0.3">
      <c r="O648"/>
    </row>
    <row r="649" spans="15:15" x14ac:dyDescent="0.3">
      <c r="O649"/>
    </row>
    <row r="650" spans="15:15" x14ac:dyDescent="0.3">
      <c r="O650"/>
    </row>
    <row r="651" spans="15:15" x14ac:dyDescent="0.3">
      <c r="O651"/>
    </row>
    <row r="652" spans="15:15" x14ac:dyDescent="0.3">
      <c r="O652"/>
    </row>
    <row r="653" spans="15:15" x14ac:dyDescent="0.3">
      <c r="O653"/>
    </row>
    <row r="654" spans="15:15" x14ac:dyDescent="0.3">
      <c r="O654"/>
    </row>
    <row r="655" spans="15:15" x14ac:dyDescent="0.3">
      <c r="O655"/>
    </row>
    <row r="656" spans="15:15" x14ac:dyDescent="0.3">
      <c r="O656"/>
    </row>
    <row r="657" spans="15:15" x14ac:dyDescent="0.3">
      <c r="O657"/>
    </row>
  </sheetData>
  <phoneticPr fontId="2" type="noConversion"/>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8">
        <x14:dataValidation type="list" allowBlank="1" showInputMessage="1" showErrorMessage="1" xr:uid="{E0C55C14-7B1C-4701-A0F4-5BC3AFC5064A}">
          <x14:formula1>
            <xm:f>Validation!$G$2:$G$4</xm:f>
          </x14:formula1>
          <xm:sqref>M56:M74 M84:M88 M122:M124 M174 M176:N176 M32:M39 M2:M30 M178:N178 M41:M53 N177 N2:N175 M201:M203 N179:N227</xm:sqref>
        </x14:dataValidation>
        <x14:dataValidation type="list" allowBlank="1" showInputMessage="1" showErrorMessage="1" xr:uid="{AE5B635D-2FB5-4C7F-9EC9-B1341399DB85}">
          <x14:formula1>
            <xm:f>Funds!#REF!</xm:f>
          </x14:formula1>
          <xm:sqref>G86:G88 G56:G64 G33:G34 G2:G30 G41:G53</xm:sqref>
        </x14:dataValidation>
        <x14:dataValidation type="list" allowBlank="1" showInputMessage="1" showErrorMessage="1" xr:uid="{F4BB06DC-1B57-48D9-96B9-65862547CDA2}">
          <x14:formula1>
            <xm:f>Depts!#REF!</xm:f>
          </x14:formula1>
          <xm:sqref>F56:F74 F33:F39 F84:F88 F2:F30 F41:F53</xm:sqref>
        </x14:dataValidation>
        <x14:dataValidation type="list" allowBlank="1" showInputMessage="1" showErrorMessage="1" xr:uid="{0A14A194-2682-4447-ABE0-874CACC2F349}">
          <x14:formula1>
            <xm:f>SourceFinanceCodes!$E:$E</xm:f>
          </x14:formula1>
          <xm:sqref>C87:C88 C41:C47 C3:C26</xm:sqref>
        </x14:dataValidation>
        <x14:dataValidation type="list" allowBlank="1" showInputMessage="1" showErrorMessage="1" xr:uid="{580A25C1-0B47-458C-81A4-62DA3FAE4472}">
          <x14:formula1>
            <xm:f>'15_MonthProfiles'!$I:$I</xm:f>
          </x14:formula1>
          <xm:sqref>I2:I227</xm:sqref>
        </x14:dataValidation>
        <x14:dataValidation type="list" allowBlank="1" showInputMessage="1" showErrorMessage="1" xr:uid="{7E494F54-AD21-4CF6-80A3-73D1EBF1B189}">
          <x14:formula1>
            <xm:f>Schools!#REF!</xm:f>
          </x14:formula1>
          <xm:sqref>D2:D227</xm:sqref>
        </x14:dataValidation>
        <x14:dataValidation type="list" allowBlank="1" showInputMessage="1" showErrorMessage="1" xr:uid="{76ABE45E-1E16-43B3-A726-D4EC6D8B3FEF}">
          <x14:formula1>
            <xm:f>CalculatorsTempl!$E:$E</xm:f>
          </x14:formula1>
          <xm:sqref>H2:H227</xm:sqref>
        </x14:dataValidation>
        <x14:dataValidation type="list" allowBlank="1" showInputMessage="1" showErrorMessage="1" xr:uid="{33E30C27-72CE-4006-A081-FF7695D105B2}">
          <x14:formula1>
            <xm:f>Validation!$A$15:$A$27</xm:f>
          </x14:formula1>
          <xm:sqref>A1:A1048576</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EBCFF-6F76-45CD-960D-5D47FB01760C}">
  <sheetPr codeName="Sheet301">
    <tabColor theme="0" tint="-0.14999847407452621"/>
  </sheetPr>
  <dimension ref="A1:S479"/>
  <sheetViews>
    <sheetView topLeftCell="M1" zoomScale="85" zoomScaleNormal="85" workbookViewId="0">
      <pane ySplit="1" topLeftCell="A68" activePane="bottomLeft" state="frozen"/>
      <selection pane="bottomLeft" activeCell="N112" sqref="N112"/>
    </sheetView>
  </sheetViews>
  <sheetFormatPr defaultColWidth="9.33203125" defaultRowHeight="14.4" x14ac:dyDescent="0.3"/>
  <cols>
    <col min="1" max="1" width="18.5546875" bestFit="1" customWidth="1"/>
    <col min="2" max="4" width="18.5546875" customWidth="1"/>
    <col min="5" max="5" width="15.33203125" bestFit="1" customWidth="1"/>
    <col min="6" max="6" width="27.33203125" bestFit="1" customWidth="1"/>
    <col min="7" max="8" width="13.5546875" bestFit="1" customWidth="1"/>
    <col min="9" max="9" width="18.33203125" bestFit="1" customWidth="1"/>
    <col min="10" max="10" width="12.33203125" bestFit="1" customWidth="1"/>
    <col min="11" max="11" width="24.88671875" bestFit="1" customWidth="1"/>
    <col min="12" max="12" width="17.5546875" customWidth="1"/>
    <col min="13" max="13" width="35.44140625" customWidth="1"/>
    <col min="14" max="14" width="102.6640625" customWidth="1"/>
    <col min="15" max="15" width="14.33203125" customWidth="1"/>
    <col min="16" max="16" width="21.5546875" customWidth="1"/>
    <col min="17" max="17" width="18.6640625" customWidth="1"/>
    <col min="18" max="18" width="12.109375" style="38" customWidth="1"/>
    <col min="19" max="19" width="12.33203125" bestFit="1" customWidth="1"/>
  </cols>
  <sheetData>
    <row r="1" spans="1:19" x14ac:dyDescent="0.3">
      <c r="A1" s="33" t="s">
        <v>869</v>
      </c>
      <c r="B1" s="33" t="s">
        <v>861</v>
      </c>
      <c r="C1" s="33" t="s">
        <v>892</v>
      </c>
      <c r="D1" s="33" t="s">
        <v>1762</v>
      </c>
      <c r="E1" s="13" t="s">
        <v>1331</v>
      </c>
      <c r="F1" s="13" t="s">
        <v>893</v>
      </c>
      <c r="G1" s="13" t="s">
        <v>871</v>
      </c>
      <c r="H1" s="13" t="s">
        <v>857</v>
      </c>
      <c r="I1" s="13" t="s">
        <v>884</v>
      </c>
      <c r="J1" s="13" t="s">
        <v>49</v>
      </c>
      <c r="K1" s="13" t="s">
        <v>1136</v>
      </c>
      <c r="L1" s="13" t="s">
        <v>1382</v>
      </c>
      <c r="M1" s="13" t="s">
        <v>1383</v>
      </c>
      <c r="N1" s="15" t="s">
        <v>44</v>
      </c>
      <c r="O1" s="15" t="s">
        <v>1384</v>
      </c>
      <c r="P1" s="14" t="s">
        <v>1374</v>
      </c>
      <c r="Q1" s="13" t="s">
        <v>1385</v>
      </c>
      <c r="R1" s="14" t="s">
        <v>1386</v>
      </c>
      <c r="S1" s="39" t="s">
        <v>1387</v>
      </c>
    </row>
    <row r="2" spans="1:19" x14ac:dyDescent="0.3">
      <c r="A2" s="27" t="s">
        <v>1548</v>
      </c>
      <c r="B2" s="27" t="s">
        <v>1464</v>
      </c>
      <c r="C2" s="27">
        <f>_xlfn.XLOOKUP(STATS[[#This Row],[FinanceCode]],FC[FinanceCode],FC[London Weighting]," ")</f>
        <v>0</v>
      </c>
      <c r="D2" s="27" t="s">
        <v>1630</v>
      </c>
      <c r="E2" s="3"/>
      <c r="F2" s="1" t="s">
        <v>1758</v>
      </c>
      <c r="G2" s="3" t="s">
        <v>39</v>
      </c>
      <c r="H2" s="3" t="s">
        <v>51</v>
      </c>
      <c r="I2" s="3" t="s">
        <v>51</v>
      </c>
      <c r="J2" s="27"/>
      <c r="K2" s="11" t="s">
        <v>1036</v>
      </c>
      <c r="L2" s="16" t="s">
        <v>1124</v>
      </c>
      <c r="M2" s="3" t="s">
        <v>1545</v>
      </c>
      <c r="N2" s="3" t="s">
        <v>1658</v>
      </c>
      <c r="O2" s="3"/>
      <c r="P2" s="3" t="b">
        <v>1</v>
      </c>
      <c r="Q2" s="3" t="s">
        <v>1497</v>
      </c>
      <c r="R2" s="4" t="b">
        <v>0</v>
      </c>
      <c r="S2" s="4"/>
    </row>
    <row r="3" spans="1:19" x14ac:dyDescent="0.3">
      <c r="A3" s="27" t="s">
        <v>1548</v>
      </c>
      <c r="B3" s="27" t="s">
        <v>1466</v>
      </c>
      <c r="C3" s="27">
        <f>_xlfn.XLOOKUP(STATS[[#This Row],[FinanceCode]],FC[FinanceCode],FC[London Weighting]," ")</f>
        <v>0</v>
      </c>
      <c r="D3" s="27" t="s">
        <v>1630</v>
      </c>
      <c r="E3" s="3"/>
      <c r="F3" s="1" t="s">
        <v>1758</v>
      </c>
      <c r="G3" s="3" t="s">
        <v>39</v>
      </c>
      <c r="H3" s="3" t="s">
        <v>51</v>
      </c>
      <c r="I3" s="3" t="s">
        <v>51</v>
      </c>
      <c r="J3" s="27"/>
      <c r="K3" s="11" t="s">
        <v>1036</v>
      </c>
      <c r="L3" s="16" t="s">
        <v>1124</v>
      </c>
      <c r="M3" s="3" t="s">
        <v>1545</v>
      </c>
      <c r="N3" s="3" t="s">
        <v>1658</v>
      </c>
      <c r="O3" s="3"/>
      <c r="P3" s="3" t="b">
        <v>1</v>
      </c>
      <c r="Q3" s="3" t="s">
        <v>1497</v>
      </c>
      <c r="R3" s="4" t="b">
        <v>0</v>
      </c>
      <c r="S3" s="4"/>
    </row>
    <row r="4" spans="1:19" x14ac:dyDescent="0.3">
      <c r="A4" s="27" t="s">
        <v>1548</v>
      </c>
      <c r="B4" s="27" t="s">
        <v>1467</v>
      </c>
      <c r="C4" s="27">
        <f>_xlfn.XLOOKUP(STATS[[#This Row],[FinanceCode]],FC[FinanceCode],FC[London Weighting]," ")</f>
        <v>0</v>
      </c>
      <c r="D4" s="27" t="s">
        <v>1630</v>
      </c>
      <c r="E4" s="3"/>
      <c r="F4" s="1" t="s">
        <v>1758</v>
      </c>
      <c r="G4" s="3" t="s">
        <v>39</v>
      </c>
      <c r="H4" s="3" t="s">
        <v>51</v>
      </c>
      <c r="I4" s="3" t="s">
        <v>51</v>
      </c>
      <c r="J4" s="27"/>
      <c r="K4" s="11" t="s">
        <v>1036</v>
      </c>
      <c r="L4" s="16" t="s">
        <v>1124</v>
      </c>
      <c r="M4" s="3" t="s">
        <v>1545</v>
      </c>
      <c r="N4" s="3" t="s">
        <v>1658</v>
      </c>
      <c r="O4" s="3"/>
      <c r="P4" s="3" t="b">
        <v>1</v>
      </c>
      <c r="Q4" s="3" t="s">
        <v>1497</v>
      </c>
      <c r="R4" s="4" t="b">
        <v>0</v>
      </c>
      <c r="S4" s="4"/>
    </row>
    <row r="5" spans="1:19" x14ac:dyDescent="0.3">
      <c r="A5" s="27" t="s">
        <v>1548</v>
      </c>
      <c r="B5" s="27" t="s">
        <v>1468</v>
      </c>
      <c r="C5" s="27">
        <f>_xlfn.XLOOKUP(STATS[[#This Row],[FinanceCode]],FC[FinanceCode],FC[London Weighting]," ")</f>
        <v>0</v>
      </c>
      <c r="D5" s="27" t="s">
        <v>1630</v>
      </c>
      <c r="E5" s="3"/>
      <c r="F5" s="1" t="s">
        <v>1758</v>
      </c>
      <c r="G5" s="3" t="s">
        <v>39</v>
      </c>
      <c r="H5" s="3" t="s">
        <v>51</v>
      </c>
      <c r="I5" s="3" t="s">
        <v>51</v>
      </c>
      <c r="J5" s="27"/>
      <c r="K5" s="11" t="s">
        <v>1036</v>
      </c>
      <c r="L5" s="16" t="s">
        <v>1124</v>
      </c>
      <c r="M5" s="3" t="s">
        <v>1545</v>
      </c>
      <c r="N5" s="3" t="s">
        <v>1658</v>
      </c>
      <c r="O5" s="3"/>
      <c r="P5" s="3" t="b">
        <v>1</v>
      </c>
      <c r="Q5" s="3" t="s">
        <v>1497</v>
      </c>
      <c r="R5" s="4" t="b">
        <v>0</v>
      </c>
      <c r="S5" s="4"/>
    </row>
    <row r="6" spans="1:19" x14ac:dyDescent="0.3">
      <c r="A6" s="27" t="s">
        <v>1548</v>
      </c>
      <c r="B6" s="27" t="s">
        <v>1469</v>
      </c>
      <c r="C6" s="27">
        <f>_xlfn.XLOOKUP(STATS[[#This Row],[FinanceCode]],FC[FinanceCode],FC[London Weighting]," ")</f>
        <v>0</v>
      </c>
      <c r="D6" s="27" t="s">
        <v>1630</v>
      </c>
      <c r="E6" s="3"/>
      <c r="F6" s="1" t="s">
        <v>1758</v>
      </c>
      <c r="G6" s="3" t="s">
        <v>39</v>
      </c>
      <c r="H6" s="3" t="s">
        <v>51</v>
      </c>
      <c r="I6" s="3" t="s">
        <v>51</v>
      </c>
      <c r="J6" s="27"/>
      <c r="K6" s="11" t="s">
        <v>1036</v>
      </c>
      <c r="L6" s="16" t="s">
        <v>1124</v>
      </c>
      <c r="M6" s="3" t="s">
        <v>1545</v>
      </c>
      <c r="N6" s="3" t="s">
        <v>1658</v>
      </c>
      <c r="O6" s="3"/>
      <c r="P6" s="3" t="b">
        <v>1</v>
      </c>
      <c r="Q6" s="3" t="s">
        <v>1497</v>
      </c>
      <c r="R6" s="4" t="b">
        <v>0</v>
      </c>
      <c r="S6" s="4"/>
    </row>
    <row r="7" spans="1:19" x14ac:dyDescent="0.3">
      <c r="A7" s="27" t="s">
        <v>1548</v>
      </c>
      <c r="B7" s="27" t="s">
        <v>1470</v>
      </c>
      <c r="C7" s="27">
        <f>_xlfn.XLOOKUP(STATS[[#This Row],[FinanceCode]],FC[FinanceCode],FC[London Weighting]," ")</f>
        <v>0</v>
      </c>
      <c r="D7" s="27" t="s">
        <v>1630</v>
      </c>
      <c r="E7" s="3"/>
      <c r="F7" s="1" t="s">
        <v>1758</v>
      </c>
      <c r="G7" s="3" t="s">
        <v>39</v>
      </c>
      <c r="H7" s="3" t="s">
        <v>51</v>
      </c>
      <c r="I7" s="3" t="s">
        <v>51</v>
      </c>
      <c r="J7" s="27"/>
      <c r="K7" s="11" t="s">
        <v>1036</v>
      </c>
      <c r="L7" s="16" t="s">
        <v>1124</v>
      </c>
      <c r="M7" s="3" t="s">
        <v>1545</v>
      </c>
      <c r="N7" s="3" t="s">
        <v>1658</v>
      </c>
      <c r="O7" s="3"/>
      <c r="P7" s="3" t="b">
        <v>1</v>
      </c>
      <c r="Q7" s="3" t="s">
        <v>1497</v>
      </c>
      <c r="R7" s="4" t="b">
        <v>0</v>
      </c>
      <c r="S7" s="4"/>
    </row>
    <row r="8" spans="1:19" x14ac:dyDescent="0.3">
      <c r="A8" s="27" t="s">
        <v>1548</v>
      </c>
      <c r="B8" s="27" t="s">
        <v>1934</v>
      </c>
      <c r="C8" s="27">
        <v>0</v>
      </c>
      <c r="D8" s="27" t="s">
        <v>1630</v>
      </c>
      <c r="E8" s="3"/>
      <c r="F8" s="1" t="s">
        <v>1758</v>
      </c>
      <c r="G8" s="3" t="s">
        <v>39</v>
      </c>
      <c r="H8" s="3" t="s">
        <v>51</v>
      </c>
      <c r="I8" s="3" t="s">
        <v>51</v>
      </c>
      <c r="J8" s="27"/>
      <c r="K8" s="11" t="s">
        <v>1036</v>
      </c>
      <c r="L8" s="16" t="s">
        <v>1124</v>
      </c>
      <c r="M8" s="3" t="s">
        <v>1545</v>
      </c>
      <c r="N8" s="3" t="s">
        <v>1658</v>
      </c>
      <c r="O8" s="3"/>
      <c r="P8" s="3" t="b">
        <v>1</v>
      </c>
      <c r="Q8" s="3" t="s">
        <v>1497</v>
      </c>
      <c r="R8" s="4" t="b">
        <v>0</v>
      </c>
      <c r="S8" s="4"/>
    </row>
    <row r="9" spans="1:19" x14ac:dyDescent="0.3">
      <c r="A9" s="27" t="s">
        <v>1548</v>
      </c>
      <c r="B9" s="27" t="s">
        <v>1935</v>
      </c>
      <c r="C9" s="27">
        <v>0</v>
      </c>
      <c r="D9" s="27" t="s">
        <v>1630</v>
      </c>
      <c r="E9" s="3"/>
      <c r="F9" s="1" t="s">
        <v>1758</v>
      </c>
      <c r="G9" s="3" t="s">
        <v>39</v>
      </c>
      <c r="H9" s="3" t="s">
        <v>51</v>
      </c>
      <c r="I9" s="3" t="s">
        <v>51</v>
      </c>
      <c r="J9" s="27"/>
      <c r="K9" s="11" t="s">
        <v>1036</v>
      </c>
      <c r="L9" s="16" t="s">
        <v>1124</v>
      </c>
      <c r="M9" s="3" t="s">
        <v>1545</v>
      </c>
      <c r="N9" s="3" t="s">
        <v>1658</v>
      </c>
      <c r="O9" s="3"/>
      <c r="P9" s="3" t="b">
        <v>1</v>
      </c>
      <c r="Q9" s="3" t="s">
        <v>1497</v>
      </c>
      <c r="R9" s="4" t="b">
        <v>0</v>
      </c>
      <c r="S9" s="4"/>
    </row>
    <row r="10" spans="1:19" x14ac:dyDescent="0.3">
      <c r="A10" s="27" t="s">
        <v>1548</v>
      </c>
      <c r="B10" s="27" t="s">
        <v>1936</v>
      </c>
      <c r="C10" s="27">
        <v>0</v>
      </c>
      <c r="D10" s="27" t="s">
        <v>1630</v>
      </c>
      <c r="E10" s="3"/>
      <c r="F10" s="1" t="s">
        <v>1758</v>
      </c>
      <c r="G10" s="3" t="s">
        <v>39</v>
      </c>
      <c r="H10" s="3" t="s">
        <v>51</v>
      </c>
      <c r="I10" s="3" t="s">
        <v>51</v>
      </c>
      <c r="J10" s="27"/>
      <c r="K10" s="11" t="s">
        <v>1036</v>
      </c>
      <c r="L10" s="16" t="s">
        <v>1124</v>
      </c>
      <c r="M10" s="3" t="s">
        <v>1545</v>
      </c>
      <c r="N10" s="3" t="s">
        <v>1658</v>
      </c>
      <c r="O10" s="3"/>
      <c r="P10" s="3" t="b">
        <v>1</v>
      </c>
      <c r="Q10" s="3" t="s">
        <v>1497</v>
      </c>
      <c r="R10" s="4" t="b">
        <v>0</v>
      </c>
      <c r="S10" s="4"/>
    </row>
    <row r="11" spans="1:19" x14ac:dyDescent="0.3">
      <c r="A11" s="27" t="s">
        <v>1548</v>
      </c>
      <c r="B11" s="27" t="s">
        <v>1937</v>
      </c>
      <c r="C11" s="27">
        <v>0</v>
      </c>
      <c r="D11" s="27" t="s">
        <v>1630</v>
      </c>
      <c r="E11" s="3"/>
      <c r="F11" s="1" t="s">
        <v>1758</v>
      </c>
      <c r="G11" s="3" t="s">
        <v>39</v>
      </c>
      <c r="H11" s="3" t="s">
        <v>51</v>
      </c>
      <c r="I11" s="3" t="s">
        <v>51</v>
      </c>
      <c r="J11" s="27"/>
      <c r="K11" s="11" t="s">
        <v>1036</v>
      </c>
      <c r="L11" s="16" t="s">
        <v>1124</v>
      </c>
      <c r="M11" s="3" t="s">
        <v>1545</v>
      </c>
      <c r="N11" s="3" t="s">
        <v>1658</v>
      </c>
      <c r="O11" s="3"/>
      <c r="P11" s="3" t="b">
        <v>1</v>
      </c>
      <c r="Q11" s="3" t="s">
        <v>1497</v>
      </c>
      <c r="R11" s="4" t="b">
        <v>0</v>
      </c>
      <c r="S11" s="4"/>
    </row>
    <row r="12" spans="1:19" x14ac:dyDescent="0.3">
      <c r="A12" s="27" t="s">
        <v>1548</v>
      </c>
      <c r="B12" s="27" t="s">
        <v>1938</v>
      </c>
      <c r="C12" s="27">
        <v>0</v>
      </c>
      <c r="D12" s="27" t="s">
        <v>1630</v>
      </c>
      <c r="E12" s="3"/>
      <c r="F12" s="1" t="s">
        <v>1758</v>
      </c>
      <c r="G12" s="3" t="s">
        <v>39</v>
      </c>
      <c r="H12" s="3" t="s">
        <v>51</v>
      </c>
      <c r="I12" s="3" t="s">
        <v>51</v>
      </c>
      <c r="J12" s="27"/>
      <c r="K12" s="11" t="s">
        <v>1036</v>
      </c>
      <c r="L12" s="16" t="s">
        <v>1124</v>
      </c>
      <c r="M12" s="3" t="s">
        <v>1545</v>
      </c>
      <c r="N12" s="3" t="s">
        <v>1658</v>
      </c>
      <c r="O12" s="3"/>
      <c r="P12" s="3" t="b">
        <v>1</v>
      </c>
      <c r="Q12" s="3" t="s">
        <v>1497</v>
      </c>
      <c r="R12" s="4" t="b">
        <v>0</v>
      </c>
      <c r="S12" s="4"/>
    </row>
    <row r="13" spans="1:19" x14ac:dyDescent="0.3">
      <c r="A13" s="27" t="s">
        <v>1548</v>
      </c>
      <c r="B13" s="27" t="s">
        <v>1939</v>
      </c>
      <c r="C13" s="27">
        <v>0</v>
      </c>
      <c r="D13" s="27" t="s">
        <v>1630</v>
      </c>
      <c r="E13" s="3"/>
      <c r="F13" s="1" t="s">
        <v>1758</v>
      </c>
      <c r="G13" s="3" t="s">
        <v>39</v>
      </c>
      <c r="H13" s="3" t="s">
        <v>51</v>
      </c>
      <c r="I13" s="3" t="s">
        <v>51</v>
      </c>
      <c r="J13" s="27"/>
      <c r="K13" s="11" t="s">
        <v>1036</v>
      </c>
      <c r="L13" s="16" t="s">
        <v>1124</v>
      </c>
      <c r="M13" s="3" t="s">
        <v>1545</v>
      </c>
      <c r="N13" s="3" t="s">
        <v>1658</v>
      </c>
      <c r="O13" s="3"/>
      <c r="P13" s="3" t="b">
        <v>1</v>
      </c>
      <c r="Q13" s="3" t="s">
        <v>1497</v>
      </c>
      <c r="R13" s="4" t="b">
        <v>0</v>
      </c>
      <c r="S13" s="4"/>
    </row>
    <row r="14" spans="1:19" x14ac:dyDescent="0.3">
      <c r="A14" s="27" t="s">
        <v>1548</v>
      </c>
      <c r="B14" s="27" t="s">
        <v>1464</v>
      </c>
      <c r="C14" s="27">
        <f>_xlfn.XLOOKUP(STATS[[#This Row],[FinanceCode]],FC[FinanceCode],FC[London Weighting]," ")</f>
        <v>0</v>
      </c>
      <c r="D14" s="27" t="s">
        <v>1481</v>
      </c>
      <c r="E14" s="3"/>
      <c r="F14" s="1" t="s">
        <v>1759</v>
      </c>
      <c r="G14" s="3" t="s">
        <v>39</v>
      </c>
      <c r="H14" s="3" t="s">
        <v>51</v>
      </c>
      <c r="I14" s="3" t="s">
        <v>51</v>
      </c>
      <c r="J14" s="27"/>
      <c r="K14" s="11" t="s">
        <v>1036</v>
      </c>
      <c r="L14" s="16" t="s">
        <v>1124</v>
      </c>
      <c r="M14" s="3" t="s">
        <v>1543</v>
      </c>
      <c r="N14" s="3" t="s">
        <v>1656</v>
      </c>
      <c r="O14" s="3"/>
      <c r="P14" s="3" t="b">
        <v>1</v>
      </c>
      <c r="Q14" s="3" t="s">
        <v>1497</v>
      </c>
      <c r="R14" s="4" t="b">
        <v>0</v>
      </c>
      <c r="S14" s="4"/>
    </row>
    <row r="15" spans="1:19" x14ac:dyDescent="0.3">
      <c r="A15" s="27" t="s">
        <v>1548</v>
      </c>
      <c r="B15" s="27" t="s">
        <v>1466</v>
      </c>
      <c r="C15" s="27">
        <f>_xlfn.XLOOKUP(STATS[[#This Row],[FinanceCode]],FC[FinanceCode],FC[London Weighting]," ")</f>
        <v>0</v>
      </c>
      <c r="D15" s="27" t="s">
        <v>1481</v>
      </c>
      <c r="E15" s="3"/>
      <c r="F15" s="1" t="s">
        <v>1759</v>
      </c>
      <c r="G15" s="3" t="s">
        <v>39</v>
      </c>
      <c r="H15" s="3" t="s">
        <v>51</v>
      </c>
      <c r="I15" s="3" t="s">
        <v>51</v>
      </c>
      <c r="J15" s="27"/>
      <c r="K15" s="11" t="s">
        <v>1036</v>
      </c>
      <c r="L15" s="16" t="s">
        <v>1124</v>
      </c>
      <c r="M15" s="3" t="s">
        <v>1543</v>
      </c>
      <c r="N15" s="3" t="s">
        <v>1656</v>
      </c>
      <c r="O15" s="3"/>
      <c r="P15" s="3" t="b">
        <v>1</v>
      </c>
      <c r="Q15" s="3" t="s">
        <v>1497</v>
      </c>
      <c r="R15" s="4" t="b">
        <v>0</v>
      </c>
      <c r="S15" s="4"/>
    </row>
    <row r="16" spans="1:19" x14ac:dyDescent="0.3">
      <c r="A16" s="27" t="s">
        <v>1548</v>
      </c>
      <c r="B16" s="27" t="s">
        <v>1467</v>
      </c>
      <c r="C16" s="27">
        <f>_xlfn.XLOOKUP(STATS[[#This Row],[FinanceCode]],FC[FinanceCode],FC[London Weighting]," ")</f>
        <v>0</v>
      </c>
      <c r="D16" s="27" t="s">
        <v>1481</v>
      </c>
      <c r="E16" s="3"/>
      <c r="F16" s="1" t="s">
        <v>1759</v>
      </c>
      <c r="G16" s="3" t="s">
        <v>39</v>
      </c>
      <c r="H16" s="3" t="s">
        <v>51</v>
      </c>
      <c r="I16" s="3" t="s">
        <v>51</v>
      </c>
      <c r="J16" s="27"/>
      <c r="K16" s="11" t="s">
        <v>1036</v>
      </c>
      <c r="L16" s="16" t="s">
        <v>1124</v>
      </c>
      <c r="M16" s="3" t="s">
        <v>1543</v>
      </c>
      <c r="N16" s="3" t="s">
        <v>1656</v>
      </c>
      <c r="O16" s="3"/>
      <c r="P16" s="3" t="b">
        <v>1</v>
      </c>
      <c r="Q16" s="3" t="s">
        <v>1497</v>
      </c>
      <c r="R16" s="4" t="b">
        <v>0</v>
      </c>
      <c r="S16" s="4"/>
    </row>
    <row r="17" spans="1:19" x14ac:dyDescent="0.3">
      <c r="A17" s="27" t="s">
        <v>1548</v>
      </c>
      <c r="B17" s="27" t="s">
        <v>1468</v>
      </c>
      <c r="C17" s="27">
        <f>_xlfn.XLOOKUP(STATS[[#This Row],[FinanceCode]],FC[FinanceCode],FC[London Weighting]," ")</f>
        <v>0</v>
      </c>
      <c r="D17" s="27" t="s">
        <v>1481</v>
      </c>
      <c r="E17" s="3"/>
      <c r="F17" s="1" t="s">
        <v>1759</v>
      </c>
      <c r="G17" s="3" t="s">
        <v>39</v>
      </c>
      <c r="H17" s="3" t="s">
        <v>51</v>
      </c>
      <c r="I17" s="3" t="s">
        <v>51</v>
      </c>
      <c r="J17" s="27"/>
      <c r="K17" s="11" t="s">
        <v>1036</v>
      </c>
      <c r="L17" s="16" t="s">
        <v>1124</v>
      </c>
      <c r="M17" s="3" t="s">
        <v>1543</v>
      </c>
      <c r="N17" s="3" t="s">
        <v>1656</v>
      </c>
      <c r="O17" s="3"/>
      <c r="P17" s="3" t="b">
        <v>1</v>
      </c>
      <c r="Q17" s="3" t="s">
        <v>1497</v>
      </c>
      <c r="R17" s="4" t="b">
        <v>0</v>
      </c>
      <c r="S17" s="4"/>
    </row>
    <row r="18" spans="1:19" x14ac:dyDescent="0.3">
      <c r="A18" s="27" t="s">
        <v>1548</v>
      </c>
      <c r="B18" s="27" t="s">
        <v>1469</v>
      </c>
      <c r="C18" s="27">
        <f>_xlfn.XLOOKUP(STATS[[#This Row],[FinanceCode]],FC[FinanceCode],FC[London Weighting]," ")</f>
        <v>0</v>
      </c>
      <c r="D18" s="27" t="s">
        <v>1481</v>
      </c>
      <c r="E18" s="3"/>
      <c r="F18" s="1" t="s">
        <v>1759</v>
      </c>
      <c r="G18" s="3" t="s">
        <v>39</v>
      </c>
      <c r="H18" s="3" t="s">
        <v>51</v>
      </c>
      <c r="I18" s="3" t="s">
        <v>51</v>
      </c>
      <c r="J18" s="27"/>
      <c r="K18" s="11" t="s">
        <v>1036</v>
      </c>
      <c r="L18" s="16" t="s">
        <v>1124</v>
      </c>
      <c r="M18" s="3" t="s">
        <v>1543</v>
      </c>
      <c r="N18" s="3" t="s">
        <v>1656</v>
      </c>
      <c r="O18" s="3"/>
      <c r="P18" s="3" t="b">
        <v>1</v>
      </c>
      <c r="Q18" s="3" t="s">
        <v>1497</v>
      </c>
      <c r="R18" s="4" t="b">
        <v>0</v>
      </c>
      <c r="S18" s="4"/>
    </row>
    <row r="19" spans="1:19" x14ac:dyDescent="0.3">
      <c r="A19" s="27" t="s">
        <v>1548</v>
      </c>
      <c r="B19" s="27" t="s">
        <v>1470</v>
      </c>
      <c r="C19" s="27">
        <f>_xlfn.XLOOKUP(STATS[[#This Row],[FinanceCode]],FC[FinanceCode],FC[London Weighting]," ")</f>
        <v>0</v>
      </c>
      <c r="D19" s="27" t="s">
        <v>1481</v>
      </c>
      <c r="E19" s="3"/>
      <c r="F19" s="1" t="s">
        <v>1759</v>
      </c>
      <c r="G19" s="3" t="s">
        <v>39</v>
      </c>
      <c r="H19" s="3" t="s">
        <v>51</v>
      </c>
      <c r="I19" s="3" t="s">
        <v>51</v>
      </c>
      <c r="J19" s="27"/>
      <c r="K19" s="11" t="s">
        <v>1036</v>
      </c>
      <c r="L19" s="16" t="s">
        <v>1124</v>
      </c>
      <c r="M19" s="3" t="s">
        <v>1543</v>
      </c>
      <c r="N19" s="3" t="s">
        <v>1656</v>
      </c>
      <c r="O19" s="3"/>
      <c r="P19" s="3" t="b">
        <v>1</v>
      </c>
      <c r="Q19" s="3" t="s">
        <v>1497</v>
      </c>
      <c r="R19" s="4" t="b">
        <v>0</v>
      </c>
      <c r="S19" s="4"/>
    </row>
    <row r="20" spans="1:19" x14ac:dyDescent="0.3">
      <c r="A20" s="27" t="s">
        <v>1548</v>
      </c>
      <c r="B20" s="27" t="s">
        <v>1934</v>
      </c>
      <c r="C20" s="27">
        <v>0</v>
      </c>
      <c r="D20" s="27" t="s">
        <v>1481</v>
      </c>
      <c r="E20" s="3"/>
      <c r="F20" s="1" t="s">
        <v>1759</v>
      </c>
      <c r="G20" s="3" t="s">
        <v>39</v>
      </c>
      <c r="H20" s="3" t="s">
        <v>51</v>
      </c>
      <c r="I20" s="3" t="s">
        <v>51</v>
      </c>
      <c r="J20" s="27"/>
      <c r="K20" s="11" t="s">
        <v>1036</v>
      </c>
      <c r="L20" s="16" t="s">
        <v>1124</v>
      </c>
      <c r="M20" s="3" t="s">
        <v>1543</v>
      </c>
      <c r="N20" s="3" t="s">
        <v>1656</v>
      </c>
      <c r="O20" s="3"/>
      <c r="P20" s="3" t="b">
        <v>1</v>
      </c>
      <c r="Q20" s="3" t="s">
        <v>1497</v>
      </c>
      <c r="R20" s="4" t="b">
        <v>0</v>
      </c>
      <c r="S20" s="4"/>
    </row>
    <row r="21" spans="1:19" x14ac:dyDescent="0.3">
      <c r="A21" s="27" t="s">
        <v>1548</v>
      </c>
      <c r="B21" s="27" t="s">
        <v>1935</v>
      </c>
      <c r="C21" s="27">
        <v>0</v>
      </c>
      <c r="D21" s="27" t="s">
        <v>1481</v>
      </c>
      <c r="E21" s="3"/>
      <c r="F21" s="1" t="s">
        <v>1759</v>
      </c>
      <c r="G21" s="3" t="s">
        <v>39</v>
      </c>
      <c r="H21" s="3" t="s">
        <v>51</v>
      </c>
      <c r="I21" s="3" t="s">
        <v>51</v>
      </c>
      <c r="J21" s="27"/>
      <c r="K21" s="11" t="s">
        <v>1036</v>
      </c>
      <c r="L21" s="16" t="s">
        <v>1124</v>
      </c>
      <c r="M21" s="3" t="s">
        <v>1543</v>
      </c>
      <c r="N21" s="3" t="s">
        <v>1656</v>
      </c>
      <c r="O21" s="3"/>
      <c r="P21" s="3" t="b">
        <v>1</v>
      </c>
      <c r="Q21" s="3" t="s">
        <v>1497</v>
      </c>
      <c r="R21" s="4" t="b">
        <v>0</v>
      </c>
      <c r="S21" s="4"/>
    </row>
    <row r="22" spans="1:19" x14ac:dyDescent="0.3">
      <c r="A22" s="27" t="s">
        <v>1548</v>
      </c>
      <c r="B22" s="27" t="s">
        <v>1936</v>
      </c>
      <c r="C22" s="27">
        <v>0</v>
      </c>
      <c r="D22" s="27" t="s">
        <v>1481</v>
      </c>
      <c r="E22" s="3"/>
      <c r="F22" s="1" t="s">
        <v>1759</v>
      </c>
      <c r="G22" s="3" t="s">
        <v>39</v>
      </c>
      <c r="H22" s="3" t="s">
        <v>51</v>
      </c>
      <c r="I22" s="3" t="s">
        <v>51</v>
      </c>
      <c r="J22" s="27"/>
      <c r="K22" s="11" t="s">
        <v>1036</v>
      </c>
      <c r="L22" s="16" t="s">
        <v>1124</v>
      </c>
      <c r="M22" s="3" t="s">
        <v>1543</v>
      </c>
      <c r="N22" s="3" t="s">
        <v>1656</v>
      </c>
      <c r="O22" s="3"/>
      <c r="P22" s="3" t="b">
        <v>1</v>
      </c>
      <c r="Q22" s="3" t="s">
        <v>1497</v>
      </c>
      <c r="R22" s="4" t="b">
        <v>0</v>
      </c>
      <c r="S22" s="4"/>
    </row>
    <row r="23" spans="1:19" x14ac:dyDescent="0.3">
      <c r="A23" s="27" t="s">
        <v>1548</v>
      </c>
      <c r="B23" s="27" t="s">
        <v>1937</v>
      </c>
      <c r="C23" s="27">
        <v>0</v>
      </c>
      <c r="D23" s="27" t="s">
        <v>1481</v>
      </c>
      <c r="E23" s="3"/>
      <c r="F23" s="1" t="s">
        <v>1759</v>
      </c>
      <c r="G23" s="3" t="s">
        <v>39</v>
      </c>
      <c r="H23" s="3" t="s">
        <v>51</v>
      </c>
      <c r="I23" s="3" t="s">
        <v>51</v>
      </c>
      <c r="J23" s="27"/>
      <c r="K23" s="11" t="s">
        <v>1036</v>
      </c>
      <c r="L23" s="16" t="s">
        <v>1124</v>
      </c>
      <c r="M23" s="3" t="s">
        <v>1543</v>
      </c>
      <c r="N23" s="3" t="s">
        <v>1656</v>
      </c>
      <c r="O23" s="3"/>
      <c r="P23" s="3" t="b">
        <v>1</v>
      </c>
      <c r="Q23" s="3" t="s">
        <v>1497</v>
      </c>
      <c r="R23" s="4" t="b">
        <v>0</v>
      </c>
      <c r="S23" s="4"/>
    </row>
    <row r="24" spans="1:19" x14ac:dyDescent="0.3">
      <c r="A24" s="27" t="s">
        <v>1548</v>
      </c>
      <c r="B24" s="27" t="s">
        <v>1938</v>
      </c>
      <c r="C24" s="27">
        <v>0</v>
      </c>
      <c r="D24" s="27" t="s">
        <v>1481</v>
      </c>
      <c r="E24" s="3"/>
      <c r="F24" s="1" t="s">
        <v>1759</v>
      </c>
      <c r="G24" s="3" t="s">
        <v>39</v>
      </c>
      <c r="H24" s="3" t="s">
        <v>51</v>
      </c>
      <c r="I24" s="3" t="s">
        <v>51</v>
      </c>
      <c r="J24" s="27"/>
      <c r="K24" s="11" t="s">
        <v>1036</v>
      </c>
      <c r="L24" s="16" t="s">
        <v>1124</v>
      </c>
      <c r="M24" s="3" t="s">
        <v>1543</v>
      </c>
      <c r="N24" s="3" t="s">
        <v>1656</v>
      </c>
      <c r="O24" s="3"/>
      <c r="P24" s="3" t="b">
        <v>1</v>
      </c>
      <c r="Q24" s="3" t="s">
        <v>1497</v>
      </c>
      <c r="R24" s="4" t="b">
        <v>0</v>
      </c>
      <c r="S24" s="4"/>
    </row>
    <row r="25" spans="1:19" x14ac:dyDescent="0.3">
      <c r="A25" s="27" t="s">
        <v>1548</v>
      </c>
      <c r="B25" s="27" t="s">
        <v>1939</v>
      </c>
      <c r="C25" s="27">
        <v>0</v>
      </c>
      <c r="D25" s="27" t="s">
        <v>1481</v>
      </c>
      <c r="E25" s="3"/>
      <c r="F25" s="1" t="s">
        <v>1759</v>
      </c>
      <c r="G25" s="3" t="s">
        <v>39</v>
      </c>
      <c r="H25" s="3" t="s">
        <v>51</v>
      </c>
      <c r="I25" s="3" t="s">
        <v>51</v>
      </c>
      <c r="J25" s="27"/>
      <c r="K25" s="11" t="s">
        <v>1036</v>
      </c>
      <c r="L25" s="16" t="s">
        <v>1124</v>
      </c>
      <c r="M25" s="3" t="s">
        <v>1543</v>
      </c>
      <c r="N25" s="3" t="s">
        <v>1656</v>
      </c>
      <c r="O25" s="3"/>
      <c r="P25" s="3" t="b">
        <v>1</v>
      </c>
      <c r="Q25" s="3" t="s">
        <v>1497</v>
      </c>
      <c r="R25" s="4" t="b">
        <v>0</v>
      </c>
      <c r="S25" s="4"/>
    </row>
    <row r="26" spans="1:19" x14ac:dyDescent="0.3">
      <c r="A26" s="27" t="s">
        <v>1548</v>
      </c>
      <c r="B26" s="27" t="s">
        <v>1464</v>
      </c>
      <c r="C26" s="27">
        <f>_xlfn.XLOOKUP(STATS[[#This Row],[FinanceCode]],FC[FinanceCode],FC[London Weighting]," ")</f>
        <v>0</v>
      </c>
      <c r="D26" s="27" t="s">
        <v>1594</v>
      </c>
      <c r="E26" s="3"/>
      <c r="F26" s="1" t="s">
        <v>1760</v>
      </c>
      <c r="G26" s="3" t="s">
        <v>39</v>
      </c>
      <c r="H26" s="3" t="s">
        <v>51</v>
      </c>
      <c r="I26" s="3" t="s">
        <v>51</v>
      </c>
      <c r="J26" s="27"/>
      <c r="K26" s="11" t="s">
        <v>1036</v>
      </c>
      <c r="L26" s="16" t="s">
        <v>1124</v>
      </c>
      <c r="M26" s="3" t="s">
        <v>1544</v>
      </c>
      <c r="N26" s="3" t="s">
        <v>1657</v>
      </c>
      <c r="O26" s="3"/>
      <c r="P26" s="3" t="b">
        <v>1</v>
      </c>
      <c r="Q26" s="3" t="s">
        <v>1497</v>
      </c>
      <c r="R26" s="4" t="b">
        <v>0</v>
      </c>
      <c r="S26" s="4"/>
    </row>
    <row r="27" spans="1:19" x14ac:dyDescent="0.3">
      <c r="A27" s="27" t="s">
        <v>1548</v>
      </c>
      <c r="B27" s="27" t="s">
        <v>1466</v>
      </c>
      <c r="C27" s="27">
        <f>_xlfn.XLOOKUP(STATS[[#This Row],[FinanceCode]],FC[FinanceCode],FC[London Weighting]," ")</f>
        <v>0</v>
      </c>
      <c r="D27" s="27" t="s">
        <v>1594</v>
      </c>
      <c r="E27" s="3"/>
      <c r="F27" s="1" t="s">
        <v>1760</v>
      </c>
      <c r="G27" s="3" t="s">
        <v>39</v>
      </c>
      <c r="H27" s="3" t="s">
        <v>51</v>
      </c>
      <c r="I27" s="3" t="s">
        <v>51</v>
      </c>
      <c r="J27" s="27"/>
      <c r="K27" s="11" t="s">
        <v>1036</v>
      </c>
      <c r="L27" s="16" t="s">
        <v>1124</v>
      </c>
      <c r="M27" s="3" t="s">
        <v>1544</v>
      </c>
      <c r="N27" s="3" t="s">
        <v>1657</v>
      </c>
      <c r="O27" s="3"/>
      <c r="P27" s="3" t="b">
        <v>1</v>
      </c>
      <c r="Q27" s="3" t="s">
        <v>1497</v>
      </c>
      <c r="R27" s="4" t="b">
        <v>0</v>
      </c>
      <c r="S27" s="4"/>
    </row>
    <row r="28" spans="1:19" x14ac:dyDescent="0.3">
      <c r="A28" s="27" t="s">
        <v>1548</v>
      </c>
      <c r="B28" s="27" t="s">
        <v>1467</v>
      </c>
      <c r="C28" s="27">
        <f>_xlfn.XLOOKUP(STATS[[#This Row],[FinanceCode]],FC[FinanceCode],FC[London Weighting]," ")</f>
        <v>0</v>
      </c>
      <c r="D28" s="27" t="s">
        <v>1594</v>
      </c>
      <c r="E28" s="3"/>
      <c r="F28" s="1" t="s">
        <v>1760</v>
      </c>
      <c r="G28" s="3" t="s">
        <v>39</v>
      </c>
      <c r="H28" s="3" t="s">
        <v>51</v>
      </c>
      <c r="I28" s="3" t="s">
        <v>51</v>
      </c>
      <c r="J28" s="27"/>
      <c r="K28" s="11" t="s">
        <v>1036</v>
      </c>
      <c r="L28" s="16" t="s">
        <v>1124</v>
      </c>
      <c r="M28" s="3" t="s">
        <v>1544</v>
      </c>
      <c r="N28" s="3" t="s">
        <v>1657</v>
      </c>
      <c r="O28" s="3"/>
      <c r="P28" s="3" t="b">
        <v>1</v>
      </c>
      <c r="Q28" s="3" t="s">
        <v>1497</v>
      </c>
      <c r="R28" s="4" t="b">
        <v>0</v>
      </c>
      <c r="S28" s="4"/>
    </row>
    <row r="29" spans="1:19" x14ac:dyDescent="0.3">
      <c r="A29" s="27" t="s">
        <v>1548</v>
      </c>
      <c r="B29" s="27" t="s">
        <v>1468</v>
      </c>
      <c r="C29" s="27">
        <f>_xlfn.XLOOKUP(STATS[[#This Row],[FinanceCode]],FC[FinanceCode],FC[London Weighting]," ")</f>
        <v>0</v>
      </c>
      <c r="D29" s="27" t="s">
        <v>1594</v>
      </c>
      <c r="E29" s="3"/>
      <c r="F29" s="1" t="s">
        <v>1760</v>
      </c>
      <c r="G29" s="3" t="s">
        <v>39</v>
      </c>
      <c r="H29" s="3" t="s">
        <v>51</v>
      </c>
      <c r="I29" s="3" t="s">
        <v>51</v>
      </c>
      <c r="J29" s="27"/>
      <c r="K29" s="11" t="s">
        <v>1036</v>
      </c>
      <c r="L29" s="16" t="s">
        <v>1124</v>
      </c>
      <c r="M29" s="3" t="s">
        <v>1544</v>
      </c>
      <c r="N29" s="3" t="s">
        <v>1657</v>
      </c>
      <c r="O29" s="3"/>
      <c r="P29" s="3" t="b">
        <v>1</v>
      </c>
      <c r="Q29" s="3" t="s">
        <v>1497</v>
      </c>
      <c r="R29" s="4" t="b">
        <v>0</v>
      </c>
      <c r="S29" s="4"/>
    </row>
    <row r="30" spans="1:19" x14ac:dyDescent="0.3">
      <c r="A30" s="27" t="s">
        <v>1548</v>
      </c>
      <c r="B30" s="27" t="s">
        <v>1469</v>
      </c>
      <c r="C30" s="27">
        <f>_xlfn.XLOOKUP(STATS[[#This Row],[FinanceCode]],FC[FinanceCode],FC[London Weighting]," ")</f>
        <v>0</v>
      </c>
      <c r="D30" s="27" t="s">
        <v>1594</v>
      </c>
      <c r="E30" s="3"/>
      <c r="F30" s="1" t="s">
        <v>1760</v>
      </c>
      <c r="G30" s="3" t="s">
        <v>39</v>
      </c>
      <c r="H30" s="3" t="s">
        <v>51</v>
      </c>
      <c r="I30" s="3" t="s">
        <v>51</v>
      </c>
      <c r="J30" s="27"/>
      <c r="K30" s="11" t="s">
        <v>1036</v>
      </c>
      <c r="L30" s="16" t="s">
        <v>1124</v>
      </c>
      <c r="M30" s="3" t="s">
        <v>1544</v>
      </c>
      <c r="N30" s="3" t="s">
        <v>1657</v>
      </c>
      <c r="O30" s="3"/>
      <c r="P30" s="3" t="b">
        <v>1</v>
      </c>
      <c r="Q30" s="3" t="s">
        <v>1497</v>
      </c>
      <c r="R30" s="4" t="b">
        <v>0</v>
      </c>
      <c r="S30" s="4"/>
    </row>
    <row r="31" spans="1:19" x14ac:dyDescent="0.3">
      <c r="A31" s="27" t="s">
        <v>1548</v>
      </c>
      <c r="B31" s="27" t="s">
        <v>1470</v>
      </c>
      <c r="C31" s="27">
        <f>_xlfn.XLOOKUP(STATS[[#This Row],[FinanceCode]],FC[FinanceCode],FC[London Weighting]," ")</f>
        <v>0</v>
      </c>
      <c r="D31" s="27" t="s">
        <v>1594</v>
      </c>
      <c r="E31" s="3"/>
      <c r="F31" s="1" t="s">
        <v>1760</v>
      </c>
      <c r="G31" s="3" t="s">
        <v>39</v>
      </c>
      <c r="H31" s="3" t="s">
        <v>51</v>
      </c>
      <c r="I31" s="3" t="s">
        <v>51</v>
      </c>
      <c r="J31" s="27"/>
      <c r="K31" s="11" t="s">
        <v>1036</v>
      </c>
      <c r="L31" s="16" t="s">
        <v>1124</v>
      </c>
      <c r="M31" s="3" t="s">
        <v>1544</v>
      </c>
      <c r="N31" s="3" t="s">
        <v>1657</v>
      </c>
      <c r="O31" s="3"/>
      <c r="P31" s="3" t="b">
        <v>1</v>
      </c>
      <c r="Q31" s="3" t="s">
        <v>1497</v>
      </c>
      <c r="R31" s="4" t="b">
        <v>0</v>
      </c>
      <c r="S31" s="4"/>
    </row>
    <row r="32" spans="1:19" x14ac:dyDescent="0.3">
      <c r="A32" s="27" t="s">
        <v>1548</v>
      </c>
      <c r="B32" s="27" t="s">
        <v>1934</v>
      </c>
      <c r="C32" s="27">
        <v>0</v>
      </c>
      <c r="D32" s="27" t="s">
        <v>1594</v>
      </c>
      <c r="E32" s="3"/>
      <c r="F32" s="1" t="s">
        <v>1760</v>
      </c>
      <c r="G32" s="3" t="s">
        <v>39</v>
      </c>
      <c r="H32" s="3" t="s">
        <v>51</v>
      </c>
      <c r="I32" s="3" t="s">
        <v>51</v>
      </c>
      <c r="J32" s="27"/>
      <c r="K32" s="11" t="s">
        <v>1036</v>
      </c>
      <c r="L32" s="16" t="s">
        <v>1124</v>
      </c>
      <c r="M32" s="3" t="s">
        <v>1544</v>
      </c>
      <c r="N32" s="3" t="s">
        <v>1657</v>
      </c>
      <c r="O32" s="3"/>
      <c r="P32" s="3" t="b">
        <v>1</v>
      </c>
      <c r="Q32" s="3" t="s">
        <v>1497</v>
      </c>
      <c r="R32" s="4" t="b">
        <v>0</v>
      </c>
      <c r="S32" s="4"/>
    </row>
    <row r="33" spans="1:19" x14ac:dyDescent="0.3">
      <c r="A33" s="27" t="s">
        <v>1548</v>
      </c>
      <c r="B33" s="27" t="s">
        <v>1935</v>
      </c>
      <c r="C33" s="27">
        <v>0</v>
      </c>
      <c r="D33" s="27" t="s">
        <v>1594</v>
      </c>
      <c r="E33" s="3"/>
      <c r="F33" s="1" t="s">
        <v>1760</v>
      </c>
      <c r="G33" s="3" t="s">
        <v>39</v>
      </c>
      <c r="H33" s="3" t="s">
        <v>51</v>
      </c>
      <c r="I33" s="3" t="s">
        <v>51</v>
      </c>
      <c r="J33" s="27"/>
      <c r="K33" s="11" t="s">
        <v>1036</v>
      </c>
      <c r="L33" s="16" t="s">
        <v>1124</v>
      </c>
      <c r="M33" s="3" t="s">
        <v>1544</v>
      </c>
      <c r="N33" s="3" t="s">
        <v>1657</v>
      </c>
      <c r="O33" s="3"/>
      <c r="P33" s="3" t="b">
        <v>1</v>
      </c>
      <c r="Q33" s="3" t="s">
        <v>1497</v>
      </c>
      <c r="R33" s="4" t="b">
        <v>0</v>
      </c>
      <c r="S33" s="4"/>
    </row>
    <row r="34" spans="1:19" x14ac:dyDescent="0.3">
      <c r="A34" s="27" t="s">
        <v>1548</v>
      </c>
      <c r="B34" s="27" t="s">
        <v>1936</v>
      </c>
      <c r="C34" s="27">
        <v>0</v>
      </c>
      <c r="D34" s="27" t="s">
        <v>1594</v>
      </c>
      <c r="E34" s="3"/>
      <c r="F34" s="1" t="s">
        <v>1760</v>
      </c>
      <c r="G34" s="3" t="s">
        <v>39</v>
      </c>
      <c r="H34" s="3" t="s">
        <v>51</v>
      </c>
      <c r="I34" s="3" t="s">
        <v>51</v>
      </c>
      <c r="J34" s="27"/>
      <c r="K34" s="11" t="s">
        <v>1036</v>
      </c>
      <c r="L34" s="16" t="s">
        <v>1124</v>
      </c>
      <c r="M34" s="3" t="s">
        <v>1544</v>
      </c>
      <c r="N34" s="3" t="s">
        <v>1657</v>
      </c>
      <c r="O34" s="3"/>
      <c r="P34" s="3" t="b">
        <v>1</v>
      </c>
      <c r="Q34" s="3" t="s">
        <v>1497</v>
      </c>
      <c r="R34" s="4" t="b">
        <v>0</v>
      </c>
      <c r="S34" s="4"/>
    </row>
    <row r="35" spans="1:19" x14ac:dyDescent="0.3">
      <c r="A35" s="27" t="s">
        <v>1548</v>
      </c>
      <c r="B35" s="27" t="s">
        <v>1937</v>
      </c>
      <c r="C35" s="27">
        <v>0</v>
      </c>
      <c r="D35" s="27" t="s">
        <v>1594</v>
      </c>
      <c r="E35" s="3"/>
      <c r="F35" s="1" t="s">
        <v>1760</v>
      </c>
      <c r="G35" s="3" t="s">
        <v>39</v>
      </c>
      <c r="H35" s="3" t="s">
        <v>51</v>
      </c>
      <c r="I35" s="3" t="s">
        <v>51</v>
      </c>
      <c r="J35" s="27"/>
      <c r="K35" s="11" t="s">
        <v>1036</v>
      </c>
      <c r="L35" s="16" t="s">
        <v>1124</v>
      </c>
      <c r="M35" s="3" t="s">
        <v>1544</v>
      </c>
      <c r="N35" s="3" t="s">
        <v>1657</v>
      </c>
      <c r="O35" s="3"/>
      <c r="P35" s="3" t="b">
        <v>1</v>
      </c>
      <c r="Q35" s="3" t="s">
        <v>1497</v>
      </c>
      <c r="R35" s="4" t="b">
        <v>0</v>
      </c>
      <c r="S35" s="4"/>
    </row>
    <row r="36" spans="1:19" x14ac:dyDescent="0.3">
      <c r="A36" s="27" t="s">
        <v>1548</v>
      </c>
      <c r="B36" s="27" t="s">
        <v>1938</v>
      </c>
      <c r="C36" s="27">
        <v>0</v>
      </c>
      <c r="D36" s="27" t="s">
        <v>1594</v>
      </c>
      <c r="E36" s="3"/>
      <c r="F36" s="1" t="s">
        <v>1760</v>
      </c>
      <c r="G36" s="3" t="s">
        <v>39</v>
      </c>
      <c r="H36" s="3" t="s">
        <v>51</v>
      </c>
      <c r="I36" s="3" t="s">
        <v>51</v>
      </c>
      <c r="J36" s="27"/>
      <c r="K36" s="11" t="s">
        <v>1036</v>
      </c>
      <c r="L36" s="16" t="s">
        <v>1124</v>
      </c>
      <c r="M36" s="3" t="s">
        <v>1544</v>
      </c>
      <c r="N36" s="3" t="s">
        <v>1657</v>
      </c>
      <c r="O36" s="3"/>
      <c r="P36" s="3" t="b">
        <v>1</v>
      </c>
      <c r="Q36" s="3" t="s">
        <v>1497</v>
      </c>
      <c r="R36" s="4" t="b">
        <v>0</v>
      </c>
      <c r="S36" s="4"/>
    </row>
    <row r="37" spans="1:19" x14ac:dyDescent="0.3">
      <c r="A37" s="27" t="s">
        <v>1548</v>
      </c>
      <c r="B37" s="27" t="s">
        <v>1939</v>
      </c>
      <c r="C37" s="27">
        <v>0</v>
      </c>
      <c r="D37" s="27" t="s">
        <v>1594</v>
      </c>
      <c r="E37" s="3"/>
      <c r="F37" s="1" t="s">
        <v>1760</v>
      </c>
      <c r="G37" s="3" t="s">
        <v>39</v>
      </c>
      <c r="H37" s="3" t="s">
        <v>51</v>
      </c>
      <c r="I37" s="3" t="s">
        <v>51</v>
      </c>
      <c r="J37" s="27"/>
      <c r="K37" s="11" t="s">
        <v>1036</v>
      </c>
      <c r="L37" s="16" t="s">
        <v>1124</v>
      </c>
      <c r="M37" s="3" t="s">
        <v>1544</v>
      </c>
      <c r="N37" s="3" t="s">
        <v>1657</v>
      </c>
      <c r="O37" s="3"/>
      <c r="P37" s="3" t="b">
        <v>1</v>
      </c>
      <c r="Q37" s="3" t="s">
        <v>1497</v>
      </c>
      <c r="R37" s="4" t="b">
        <v>0</v>
      </c>
      <c r="S37" s="4"/>
    </row>
    <row r="38" spans="1:19" x14ac:dyDescent="0.3">
      <c r="A38" s="27" t="s">
        <v>880</v>
      </c>
      <c r="B38" s="27"/>
      <c r="C38" s="27">
        <f>_xlfn.XLOOKUP(STATS[[#This Row],[FinanceCode]],FC[FinanceCode],FC[London Weighting]," ")</f>
        <v>0</v>
      </c>
      <c r="D38" s="27"/>
      <c r="E38" s="3"/>
      <c r="F38" s="3" t="s">
        <v>999</v>
      </c>
      <c r="G38" s="3" t="s">
        <v>39</v>
      </c>
      <c r="H38" s="3" t="s">
        <v>51</v>
      </c>
      <c r="I38" s="3" t="s">
        <v>51</v>
      </c>
      <c r="J38" s="27"/>
      <c r="K38" s="11" t="s">
        <v>1172</v>
      </c>
      <c r="L38" s="16" t="s">
        <v>1124</v>
      </c>
      <c r="M38" s="3" t="s">
        <v>1395</v>
      </c>
      <c r="N38" s="3" t="s">
        <v>1660</v>
      </c>
      <c r="O38" s="3"/>
      <c r="P38" s="3" t="b">
        <v>1</v>
      </c>
      <c r="Q38" s="3" t="s">
        <v>1394</v>
      </c>
      <c r="R38" s="4" t="b">
        <v>0</v>
      </c>
      <c r="S38" s="4">
        <v>-4000</v>
      </c>
    </row>
    <row r="39" spans="1:19" x14ac:dyDescent="0.3">
      <c r="A39" s="27" t="s">
        <v>1548</v>
      </c>
      <c r="B39" s="27"/>
      <c r="C39" s="27">
        <f>_xlfn.XLOOKUP(STATS[[#This Row],[FinanceCode]],FC[FinanceCode],FC[London Weighting]," ")</f>
        <v>0</v>
      </c>
      <c r="D39" s="27"/>
      <c r="E39" s="3"/>
      <c r="F39" s="3" t="s">
        <v>1517</v>
      </c>
      <c r="G39" s="3" t="s">
        <v>39</v>
      </c>
      <c r="H39" s="3" t="s">
        <v>51</v>
      </c>
      <c r="I39" s="3" t="s">
        <v>51</v>
      </c>
      <c r="J39" s="27"/>
      <c r="K39" s="11" t="s">
        <v>1172</v>
      </c>
      <c r="L39" s="16" t="s">
        <v>1124</v>
      </c>
      <c r="M39" s="3" t="s">
        <v>1520</v>
      </c>
      <c r="N39" s="3" t="s">
        <v>1661</v>
      </c>
      <c r="O39" s="3"/>
      <c r="P39" s="3" t="b">
        <v>1</v>
      </c>
      <c r="Q39" s="3" t="s">
        <v>1394</v>
      </c>
      <c r="R39" s="4" t="b">
        <v>0</v>
      </c>
      <c r="S39" s="4">
        <v>-6.75</v>
      </c>
    </row>
    <row r="40" spans="1:19" x14ac:dyDescent="0.3">
      <c r="A40" s="27" t="s">
        <v>858</v>
      </c>
      <c r="B40" s="27"/>
      <c r="C40" s="27">
        <f>_xlfn.XLOOKUP(STATS[[#This Row],[FinanceCode]],FC[FinanceCode],FC[London Weighting]," ")</f>
        <v>0</v>
      </c>
      <c r="D40" s="27"/>
      <c r="E40" s="3"/>
      <c r="F40" s="3" t="s">
        <v>1517</v>
      </c>
      <c r="G40" s="3" t="s">
        <v>39</v>
      </c>
      <c r="H40" s="3" t="s">
        <v>51</v>
      </c>
      <c r="I40" s="3" t="s">
        <v>51</v>
      </c>
      <c r="J40" s="27"/>
      <c r="K40" s="11" t="s">
        <v>1172</v>
      </c>
      <c r="L40" s="16" t="s">
        <v>1124</v>
      </c>
      <c r="M40" s="3" t="s">
        <v>1520</v>
      </c>
      <c r="N40" s="3" t="s">
        <v>1661</v>
      </c>
      <c r="O40" s="3"/>
      <c r="P40" s="3" t="b">
        <v>1</v>
      </c>
      <c r="Q40" s="3" t="s">
        <v>1394</v>
      </c>
      <c r="R40" s="4" t="b">
        <v>0</v>
      </c>
      <c r="S40" s="4">
        <v>-6.75</v>
      </c>
    </row>
    <row r="41" spans="1:19" x14ac:dyDescent="0.3">
      <c r="A41" s="27" t="s">
        <v>2178</v>
      </c>
      <c r="B41" s="27"/>
      <c r="C41" s="27">
        <v>0</v>
      </c>
      <c r="D41" s="27"/>
      <c r="E41" s="3"/>
      <c r="F41" s="3" t="s">
        <v>1517</v>
      </c>
      <c r="G41" s="3" t="s">
        <v>39</v>
      </c>
      <c r="H41" s="3" t="s">
        <v>51</v>
      </c>
      <c r="I41" s="3" t="s">
        <v>51</v>
      </c>
      <c r="J41" s="27"/>
      <c r="K41" s="11" t="s">
        <v>1172</v>
      </c>
      <c r="L41" s="16" t="s">
        <v>1124</v>
      </c>
      <c r="M41" s="3" t="s">
        <v>1520</v>
      </c>
      <c r="N41" s="3" t="s">
        <v>1661</v>
      </c>
      <c r="O41" s="3"/>
      <c r="P41" s="3" t="b">
        <v>1</v>
      </c>
      <c r="Q41" s="3" t="s">
        <v>1394</v>
      </c>
      <c r="R41" s="4" t="b">
        <v>0</v>
      </c>
      <c r="S41" s="4">
        <v>-6.75</v>
      </c>
    </row>
    <row r="42" spans="1:19" x14ac:dyDescent="0.3">
      <c r="A42" s="27" t="s">
        <v>1548</v>
      </c>
      <c r="B42" s="27" t="s">
        <v>1464</v>
      </c>
      <c r="C42" s="27">
        <f>_xlfn.XLOOKUP(STATS[[#This Row],[FinanceCode]],FC[FinanceCode],FC[London Weighting]," ")</f>
        <v>0</v>
      </c>
      <c r="D42" s="27" t="s">
        <v>1630</v>
      </c>
      <c r="E42" s="3"/>
      <c r="F42" s="1" t="s">
        <v>1761</v>
      </c>
      <c r="G42" s="3" t="s">
        <v>39</v>
      </c>
      <c r="H42" s="3" t="s">
        <v>51</v>
      </c>
      <c r="I42" s="3" t="s">
        <v>51</v>
      </c>
      <c r="J42" s="27"/>
      <c r="K42" s="11" t="s">
        <v>1036</v>
      </c>
      <c r="L42" s="16" t="s">
        <v>1124</v>
      </c>
      <c r="M42" s="3" t="s">
        <v>1546</v>
      </c>
      <c r="N42" s="3" t="s">
        <v>1670</v>
      </c>
      <c r="O42" s="3"/>
      <c r="P42" s="3" t="b">
        <v>1</v>
      </c>
      <c r="Q42" s="3" t="s">
        <v>1497</v>
      </c>
      <c r="R42" s="4" t="b">
        <v>0</v>
      </c>
      <c r="S42" s="4"/>
    </row>
    <row r="43" spans="1:19" x14ac:dyDescent="0.3">
      <c r="A43" s="27" t="s">
        <v>1548</v>
      </c>
      <c r="B43" s="27" t="s">
        <v>1466</v>
      </c>
      <c r="C43" s="27">
        <f>_xlfn.XLOOKUP(STATS[[#This Row],[FinanceCode]],FC[FinanceCode],FC[London Weighting]," ")</f>
        <v>0</v>
      </c>
      <c r="D43" s="27" t="s">
        <v>1630</v>
      </c>
      <c r="E43" s="3"/>
      <c r="F43" s="1" t="s">
        <v>1761</v>
      </c>
      <c r="G43" s="3" t="s">
        <v>39</v>
      </c>
      <c r="H43" s="3" t="s">
        <v>51</v>
      </c>
      <c r="I43" s="3" t="s">
        <v>51</v>
      </c>
      <c r="J43" s="27"/>
      <c r="K43" s="11" t="s">
        <v>1036</v>
      </c>
      <c r="L43" s="16" t="s">
        <v>1124</v>
      </c>
      <c r="M43" s="3" t="s">
        <v>1546</v>
      </c>
      <c r="N43" s="3" t="s">
        <v>1670</v>
      </c>
      <c r="O43" s="3"/>
      <c r="P43" s="3" t="b">
        <v>1</v>
      </c>
      <c r="Q43" s="3" t="s">
        <v>1497</v>
      </c>
      <c r="R43" s="4" t="b">
        <v>0</v>
      </c>
      <c r="S43" s="4"/>
    </row>
    <row r="44" spans="1:19" x14ac:dyDescent="0.3">
      <c r="A44" s="27" t="s">
        <v>1548</v>
      </c>
      <c r="B44" s="27" t="s">
        <v>1467</v>
      </c>
      <c r="C44" s="27">
        <f>_xlfn.XLOOKUP(STATS[[#This Row],[FinanceCode]],FC[FinanceCode],FC[London Weighting]," ")</f>
        <v>0</v>
      </c>
      <c r="D44" s="27" t="s">
        <v>1630</v>
      </c>
      <c r="E44" s="3"/>
      <c r="F44" s="1" t="s">
        <v>1761</v>
      </c>
      <c r="G44" s="3" t="s">
        <v>39</v>
      </c>
      <c r="H44" s="3" t="s">
        <v>51</v>
      </c>
      <c r="I44" s="3" t="s">
        <v>51</v>
      </c>
      <c r="J44" s="27"/>
      <c r="K44" s="11" t="s">
        <v>1036</v>
      </c>
      <c r="L44" s="16" t="s">
        <v>1124</v>
      </c>
      <c r="M44" s="3" t="s">
        <v>1546</v>
      </c>
      <c r="N44" s="3" t="s">
        <v>1670</v>
      </c>
      <c r="O44" s="3"/>
      <c r="P44" s="3" t="b">
        <v>1</v>
      </c>
      <c r="Q44" s="3" t="s">
        <v>1497</v>
      </c>
      <c r="R44" s="4" t="b">
        <v>0</v>
      </c>
      <c r="S44" s="4"/>
    </row>
    <row r="45" spans="1:19" x14ac:dyDescent="0.3">
      <c r="A45" s="27" t="s">
        <v>1548</v>
      </c>
      <c r="B45" s="27" t="s">
        <v>1468</v>
      </c>
      <c r="C45" s="27">
        <f>_xlfn.XLOOKUP(STATS[[#This Row],[FinanceCode]],FC[FinanceCode],FC[London Weighting]," ")</f>
        <v>0</v>
      </c>
      <c r="D45" s="27" t="s">
        <v>1630</v>
      </c>
      <c r="E45" s="3"/>
      <c r="F45" s="1" t="s">
        <v>1761</v>
      </c>
      <c r="G45" s="3" t="s">
        <v>39</v>
      </c>
      <c r="H45" s="3" t="s">
        <v>51</v>
      </c>
      <c r="I45" s="3" t="s">
        <v>51</v>
      </c>
      <c r="J45" s="27"/>
      <c r="K45" s="11" t="s">
        <v>1036</v>
      </c>
      <c r="L45" s="16" t="s">
        <v>1124</v>
      </c>
      <c r="M45" s="3" t="s">
        <v>1546</v>
      </c>
      <c r="N45" s="3" t="s">
        <v>1670</v>
      </c>
      <c r="O45" s="3"/>
      <c r="P45" s="3" t="b">
        <v>1</v>
      </c>
      <c r="Q45" s="3" t="s">
        <v>1497</v>
      </c>
      <c r="R45" s="4" t="b">
        <v>0</v>
      </c>
      <c r="S45" s="4"/>
    </row>
    <row r="46" spans="1:19" x14ac:dyDescent="0.3">
      <c r="A46" s="27" t="s">
        <v>1548</v>
      </c>
      <c r="B46" s="27" t="s">
        <v>1469</v>
      </c>
      <c r="C46" s="27">
        <f>_xlfn.XLOOKUP(STATS[[#This Row],[FinanceCode]],FC[FinanceCode],FC[London Weighting]," ")</f>
        <v>0</v>
      </c>
      <c r="D46" s="27" t="s">
        <v>1630</v>
      </c>
      <c r="E46" s="3"/>
      <c r="F46" s="1" t="s">
        <v>1761</v>
      </c>
      <c r="G46" s="3" t="s">
        <v>39</v>
      </c>
      <c r="H46" s="3" t="s">
        <v>51</v>
      </c>
      <c r="I46" s="3" t="s">
        <v>51</v>
      </c>
      <c r="J46" s="27"/>
      <c r="K46" s="11" t="s">
        <v>1036</v>
      </c>
      <c r="L46" s="16" t="s">
        <v>1124</v>
      </c>
      <c r="M46" s="3" t="s">
        <v>1546</v>
      </c>
      <c r="N46" s="3" t="s">
        <v>1670</v>
      </c>
      <c r="O46" s="3"/>
      <c r="P46" s="3" t="b">
        <v>1</v>
      </c>
      <c r="Q46" s="3" t="s">
        <v>1497</v>
      </c>
      <c r="R46" s="4" t="b">
        <v>0</v>
      </c>
      <c r="S46" s="4"/>
    </row>
    <row r="47" spans="1:19" x14ac:dyDescent="0.3">
      <c r="A47" s="27" t="s">
        <v>1548</v>
      </c>
      <c r="B47" s="27" t="s">
        <v>1470</v>
      </c>
      <c r="C47" s="27">
        <f>_xlfn.XLOOKUP(STATS[[#This Row],[FinanceCode]],FC[FinanceCode],FC[London Weighting]," ")</f>
        <v>0</v>
      </c>
      <c r="D47" s="27" t="s">
        <v>1630</v>
      </c>
      <c r="E47" s="3"/>
      <c r="F47" s="1" t="s">
        <v>1761</v>
      </c>
      <c r="G47" s="3" t="s">
        <v>39</v>
      </c>
      <c r="H47" s="3" t="s">
        <v>51</v>
      </c>
      <c r="I47" s="3" t="s">
        <v>51</v>
      </c>
      <c r="J47" s="27"/>
      <c r="K47" s="11" t="s">
        <v>1036</v>
      </c>
      <c r="L47" s="16" t="s">
        <v>1124</v>
      </c>
      <c r="M47" s="3" t="s">
        <v>1546</v>
      </c>
      <c r="N47" s="3" t="s">
        <v>1670</v>
      </c>
      <c r="O47" s="3"/>
      <c r="P47" s="3" t="b">
        <v>1</v>
      </c>
      <c r="Q47" s="3" t="s">
        <v>1497</v>
      </c>
      <c r="R47" s="4" t="b">
        <v>0</v>
      </c>
      <c r="S47" s="4"/>
    </row>
    <row r="48" spans="1:19" x14ac:dyDescent="0.3">
      <c r="A48" s="27" t="s">
        <v>1548</v>
      </c>
      <c r="B48" s="27" t="s">
        <v>1464</v>
      </c>
      <c r="C48" s="27">
        <f>_xlfn.XLOOKUP(STATS[[#This Row],[FinanceCode]],FC[FinanceCode],FC[London Weighting]," ")</f>
        <v>0</v>
      </c>
      <c r="D48" s="27" t="s">
        <v>1631</v>
      </c>
      <c r="E48" s="3"/>
      <c r="F48" s="1" t="s">
        <v>1761</v>
      </c>
      <c r="G48" s="3" t="s">
        <v>39</v>
      </c>
      <c r="H48" s="3" t="s">
        <v>51</v>
      </c>
      <c r="I48" s="3" t="s">
        <v>51</v>
      </c>
      <c r="J48" s="27"/>
      <c r="K48" s="11" t="s">
        <v>1036</v>
      </c>
      <c r="L48" s="16" t="s">
        <v>1124</v>
      </c>
      <c r="M48" s="3" t="s">
        <v>1547</v>
      </c>
      <c r="N48" s="3" t="s">
        <v>1671</v>
      </c>
      <c r="O48" s="3"/>
      <c r="P48" s="3" t="b">
        <v>1</v>
      </c>
      <c r="Q48" s="3" t="s">
        <v>1497</v>
      </c>
      <c r="R48" s="4" t="b">
        <v>0</v>
      </c>
      <c r="S48" s="4"/>
    </row>
    <row r="49" spans="1:19" x14ac:dyDescent="0.3">
      <c r="A49" s="27" t="s">
        <v>1548</v>
      </c>
      <c r="B49" s="27" t="s">
        <v>1466</v>
      </c>
      <c r="C49" s="27">
        <f>_xlfn.XLOOKUP(STATS[[#This Row],[FinanceCode]],FC[FinanceCode],FC[London Weighting]," ")</f>
        <v>0</v>
      </c>
      <c r="D49" s="27" t="s">
        <v>1631</v>
      </c>
      <c r="E49" s="3"/>
      <c r="F49" s="1" t="s">
        <v>1761</v>
      </c>
      <c r="G49" s="3" t="s">
        <v>39</v>
      </c>
      <c r="H49" s="3" t="s">
        <v>51</v>
      </c>
      <c r="I49" s="3" t="s">
        <v>51</v>
      </c>
      <c r="J49" s="27"/>
      <c r="K49" s="11" t="s">
        <v>1036</v>
      </c>
      <c r="L49" s="16" t="s">
        <v>1124</v>
      </c>
      <c r="M49" s="3" t="s">
        <v>1547</v>
      </c>
      <c r="N49" s="3" t="s">
        <v>1671</v>
      </c>
      <c r="O49" s="3"/>
      <c r="P49" s="3" t="b">
        <v>1</v>
      </c>
      <c r="Q49" s="3" t="s">
        <v>1497</v>
      </c>
      <c r="R49" s="4" t="b">
        <v>0</v>
      </c>
      <c r="S49" s="4"/>
    </row>
    <row r="50" spans="1:19" x14ac:dyDescent="0.3">
      <c r="A50" s="27" t="s">
        <v>1548</v>
      </c>
      <c r="B50" s="27" t="s">
        <v>1467</v>
      </c>
      <c r="C50" s="27">
        <f>_xlfn.XLOOKUP(STATS[[#This Row],[FinanceCode]],FC[FinanceCode],FC[London Weighting]," ")</f>
        <v>0</v>
      </c>
      <c r="D50" s="27" t="s">
        <v>1631</v>
      </c>
      <c r="E50" s="3"/>
      <c r="F50" s="1" t="s">
        <v>1761</v>
      </c>
      <c r="G50" s="3" t="s">
        <v>39</v>
      </c>
      <c r="H50" s="3" t="s">
        <v>51</v>
      </c>
      <c r="I50" s="3" t="s">
        <v>51</v>
      </c>
      <c r="J50" s="27"/>
      <c r="K50" s="11" t="s">
        <v>1036</v>
      </c>
      <c r="L50" s="16" t="s">
        <v>1124</v>
      </c>
      <c r="M50" s="3" t="s">
        <v>1547</v>
      </c>
      <c r="N50" s="3" t="s">
        <v>1671</v>
      </c>
      <c r="O50" s="3"/>
      <c r="P50" s="3" t="b">
        <v>1</v>
      </c>
      <c r="Q50" s="3" t="s">
        <v>1497</v>
      </c>
      <c r="R50" s="4" t="b">
        <v>0</v>
      </c>
      <c r="S50" s="4"/>
    </row>
    <row r="51" spans="1:19" x14ac:dyDescent="0.3">
      <c r="A51" s="27" t="s">
        <v>1548</v>
      </c>
      <c r="B51" s="27" t="s">
        <v>1468</v>
      </c>
      <c r="C51" s="27">
        <f>_xlfn.XLOOKUP(STATS[[#This Row],[FinanceCode]],FC[FinanceCode],FC[London Weighting]," ")</f>
        <v>0</v>
      </c>
      <c r="D51" s="27" t="s">
        <v>1631</v>
      </c>
      <c r="E51" s="3"/>
      <c r="F51" s="1" t="s">
        <v>1761</v>
      </c>
      <c r="G51" s="3" t="s">
        <v>39</v>
      </c>
      <c r="H51" s="3" t="s">
        <v>51</v>
      </c>
      <c r="I51" s="3" t="s">
        <v>51</v>
      </c>
      <c r="J51" s="27"/>
      <c r="K51" s="11" t="s">
        <v>1036</v>
      </c>
      <c r="L51" s="16" t="s">
        <v>1124</v>
      </c>
      <c r="M51" s="3" t="s">
        <v>1547</v>
      </c>
      <c r="N51" s="3" t="s">
        <v>1671</v>
      </c>
      <c r="O51" s="3"/>
      <c r="P51" s="3" t="b">
        <v>1</v>
      </c>
      <c r="Q51" s="3" t="s">
        <v>1497</v>
      </c>
      <c r="R51" s="4" t="b">
        <v>0</v>
      </c>
      <c r="S51" s="4"/>
    </row>
    <row r="52" spans="1:19" x14ac:dyDescent="0.3">
      <c r="A52" s="27" t="s">
        <v>1548</v>
      </c>
      <c r="B52" s="27" t="s">
        <v>1469</v>
      </c>
      <c r="C52" s="27">
        <f>_xlfn.XLOOKUP(STATS[[#This Row],[FinanceCode]],FC[FinanceCode],FC[London Weighting]," ")</f>
        <v>0</v>
      </c>
      <c r="D52" s="27" t="s">
        <v>1631</v>
      </c>
      <c r="E52" s="3"/>
      <c r="F52" s="1" t="s">
        <v>1761</v>
      </c>
      <c r="G52" s="3" t="s">
        <v>39</v>
      </c>
      <c r="H52" s="3" t="s">
        <v>51</v>
      </c>
      <c r="I52" s="3" t="s">
        <v>51</v>
      </c>
      <c r="J52" s="27"/>
      <c r="K52" s="11" t="s">
        <v>1036</v>
      </c>
      <c r="L52" s="16" t="s">
        <v>1124</v>
      </c>
      <c r="M52" s="3" t="s">
        <v>1547</v>
      </c>
      <c r="N52" s="3" t="s">
        <v>1671</v>
      </c>
      <c r="O52" s="3"/>
      <c r="P52" s="3" t="b">
        <v>1</v>
      </c>
      <c r="Q52" s="3" t="s">
        <v>1497</v>
      </c>
      <c r="R52" s="4" t="b">
        <v>0</v>
      </c>
      <c r="S52" s="4"/>
    </row>
    <row r="53" spans="1:19" x14ac:dyDescent="0.3">
      <c r="A53" s="27" t="s">
        <v>1548</v>
      </c>
      <c r="B53" s="27" t="s">
        <v>1470</v>
      </c>
      <c r="C53" s="27">
        <f>_xlfn.XLOOKUP(STATS[[#This Row],[FinanceCode]],FC[FinanceCode],FC[London Weighting]," ")</f>
        <v>0</v>
      </c>
      <c r="D53" s="27" t="s">
        <v>1631</v>
      </c>
      <c r="E53" s="3"/>
      <c r="F53" s="1" t="s">
        <v>1761</v>
      </c>
      <c r="G53" s="3" t="s">
        <v>39</v>
      </c>
      <c r="H53" s="3" t="s">
        <v>51</v>
      </c>
      <c r="I53" s="3" t="s">
        <v>51</v>
      </c>
      <c r="J53" s="27"/>
      <c r="K53" s="11" t="s">
        <v>1036</v>
      </c>
      <c r="L53" s="16" t="s">
        <v>1124</v>
      </c>
      <c r="M53" s="3" t="s">
        <v>1547</v>
      </c>
      <c r="N53" s="3" t="s">
        <v>1671</v>
      </c>
      <c r="O53" s="3"/>
      <c r="P53" s="3" t="b">
        <v>1</v>
      </c>
      <c r="Q53" s="3" t="s">
        <v>1497</v>
      </c>
      <c r="R53" s="4" t="b">
        <v>0</v>
      </c>
      <c r="S53" s="4"/>
    </row>
    <row r="54" spans="1:19" x14ac:dyDescent="0.3">
      <c r="A54" s="27" t="s">
        <v>1548</v>
      </c>
      <c r="B54" s="27" t="s">
        <v>1934</v>
      </c>
      <c r="C54" s="27">
        <v>0</v>
      </c>
      <c r="D54" s="27" t="s">
        <v>1630</v>
      </c>
      <c r="E54" s="3"/>
      <c r="F54" s="1" t="s">
        <v>1761</v>
      </c>
      <c r="G54" s="3" t="s">
        <v>39</v>
      </c>
      <c r="H54" s="3" t="s">
        <v>51</v>
      </c>
      <c r="I54" s="3" t="s">
        <v>51</v>
      </c>
      <c r="J54" s="27"/>
      <c r="K54" s="11" t="s">
        <v>1036</v>
      </c>
      <c r="L54" s="16" t="s">
        <v>1124</v>
      </c>
      <c r="M54" s="3" t="s">
        <v>1546</v>
      </c>
      <c r="N54" s="3" t="s">
        <v>1670</v>
      </c>
      <c r="O54" s="3"/>
      <c r="P54" s="3" t="b">
        <v>1</v>
      </c>
      <c r="Q54" s="3" t="s">
        <v>1497</v>
      </c>
      <c r="R54" s="4" t="b">
        <v>0</v>
      </c>
      <c r="S54" s="4"/>
    </row>
    <row r="55" spans="1:19" x14ac:dyDescent="0.3">
      <c r="A55" s="27" t="s">
        <v>1548</v>
      </c>
      <c r="B55" s="27" t="s">
        <v>1935</v>
      </c>
      <c r="C55" s="27">
        <v>0</v>
      </c>
      <c r="D55" s="27" t="s">
        <v>1630</v>
      </c>
      <c r="E55" s="3"/>
      <c r="F55" s="1" t="s">
        <v>1761</v>
      </c>
      <c r="G55" s="3" t="s">
        <v>39</v>
      </c>
      <c r="H55" s="3" t="s">
        <v>51</v>
      </c>
      <c r="I55" s="3" t="s">
        <v>51</v>
      </c>
      <c r="J55" s="27"/>
      <c r="K55" s="11" t="s">
        <v>1036</v>
      </c>
      <c r="L55" s="16" t="s">
        <v>1124</v>
      </c>
      <c r="M55" s="3" t="s">
        <v>1546</v>
      </c>
      <c r="N55" s="3" t="s">
        <v>1670</v>
      </c>
      <c r="O55" s="3"/>
      <c r="P55" s="3" t="b">
        <v>1</v>
      </c>
      <c r="Q55" s="3" t="s">
        <v>1497</v>
      </c>
      <c r="R55" s="4" t="b">
        <v>0</v>
      </c>
      <c r="S55" s="4"/>
    </row>
    <row r="56" spans="1:19" x14ac:dyDescent="0.3">
      <c r="A56" s="27" t="s">
        <v>1548</v>
      </c>
      <c r="B56" s="27" t="s">
        <v>1936</v>
      </c>
      <c r="C56" s="27">
        <v>0</v>
      </c>
      <c r="D56" s="27" t="s">
        <v>1630</v>
      </c>
      <c r="E56" s="3"/>
      <c r="F56" s="1" t="s">
        <v>1761</v>
      </c>
      <c r="G56" s="3" t="s">
        <v>39</v>
      </c>
      <c r="H56" s="3" t="s">
        <v>51</v>
      </c>
      <c r="I56" s="3" t="s">
        <v>51</v>
      </c>
      <c r="J56" s="27"/>
      <c r="K56" s="11" t="s">
        <v>1036</v>
      </c>
      <c r="L56" s="16" t="s">
        <v>1124</v>
      </c>
      <c r="M56" s="3" t="s">
        <v>1546</v>
      </c>
      <c r="N56" s="3" t="s">
        <v>1670</v>
      </c>
      <c r="O56" s="3"/>
      <c r="P56" s="3" t="b">
        <v>1</v>
      </c>
      <c r="Q56" s="3" t="s">
        <v>1497</v>
      </c>
      <c r="R56" s="4" t="b">
        <v>0</v>
      </c>
      <c r="S56" s="4"/>
    </row>
    <row r="57" spans="1:19" x14ac:dyDescent="0.3">
      <c r="A57" s="27" t="s">
        <v>1548</v>
      </c>
      <c r="B57" s="27" t="s">
        <v>1937</v>
      </c>
      <c r="C57" s="27">
        <v>0</v>
      </c>
      <c r="D57" s="27" t="s">
        <v>1630</v>
      </c>
      <c r="E57" s="3"/>
      <c r="F57" s="1" t="s">
        <v>1761</v>
      </c>
      <c r="G57" s="3" t="s">
        <v>39</v>
      </c>
      <c r="H57" s="3" t="s">
        <v>51</v>
      </c>
      <c r="I57" s="3" t="s">
        <v>51</v>
      </c>
      <c r="J57" s="27"/>
      <c r="K57" s="11" t="s">
        <v>1036</v>
      </c>
      <c r="L57" s="16" t="s">
        <v>1124</v>
      </c>
      <c r="M57" s="3" t="s">
        <v>1546</v>
      </c>
      <c r="N57" s="3" t="s">
        <v>1670</v>
      </c>
      <c r="O57" s="3"/>
      <c r="P57" s="3" t="b">
        <v>1</v>
      </c>
      <c r="Q57" s="3" t="s">
        <v>1497</v>
      </c>
      <c r="R57" s="4" t="b">
        <v>0</v>
      </c>
      <c r="S57" s="4"/>
    </row>
    <row r="58" spans="1:19" x14ac:dyDescent="0.3">
      <c r="A58" s="27" t="s">
        <v>1548</v>
      </c>
      <c r="B58" s="27" t="s">
        <v>1938</v>
      </c>
      <c r="C58" s="27">
        <v>0</v>
      </c>
      <c r="D58" s="27" t="s">
        <v>1630</v>
      </c>
      <c r="E58" s="3"/>
      <c r="F58" s="1" t="s">
        <v>1761</v>
      </c>
      <c r="G58" s="3" t="s">
        <v>39</v>
      </c>
      <c r="H58" s="3" t="s">
        <v>51</v>
      </c>
      <c r="I58" s="3" t="s">
        <v>51</v>
      </c>
      <c r="J58" s="27"/>
      <c r="K58" s="11" t="s">
        <v>1036</v>
      </c>
      <c r="L58" s="16" t="s">
        <v>1124</v>
      </c>
      <c r="M58" s="3" t="s">
        <v>1546</v>
      </c>
      <c r="N58" s="3" t="s">
        <v>1670</v>
      </c>
      <c r="O58" s="3"/>
      <c r="P58" s="3" t="b">
        <v>1</v>
      </c>
      <c r="Q58" s="3" t="s">
        <v>1497</v>
      </c>
      <c r="R58" s="4" t="b">
        <v>0</v>
      </c>
      <c r="S58" s="4"/>
    </row>
    <row r="59" spans="1:19" x14ac:dyDescent="0.3">
      <c r="A59" s="27" t="s">
        <v>1548</v>
      </c>
      <c r="B59" s="27" t="s">
        <v>1939</v>
      </c>
      <c r="C59" s="27">
        <v>0</v>
      </c>
      <c r="D59" s="27" t="s">
        <v>1630</v>
      </c>
      <c r="E59" s="3"/>
      <c r="F59" s="1" t="s">
        <v>1761</v>
      </c>
      <c r="G59" s="3" t="s">
        <v>39</v>
      </c>
      <c r="H59" s="3" t="s">
        <v>51</v>
      </c>
      <c r="I59" s="3" t="s">
        <v>51</v>
      </c>
      <c r="J59" s="27"/>
      <c r="K59" s="11" t="s">
        <v>1036</v>
      </c>
      <c r="L59" s="16" t="s">
        <v>1124</v>
      </c>
      <c r="M59" s="3" t="s">
        <v>1546</v>
      </c>
      <c r="N59" s="3" t="s">
        <v>1670</v>
      </c>
      <c r="O59" s="3"/>
      <c r="P59" s="3" t="b">
        <v>1</v>
      </c>
      <c r="Q59" s="3" t="s">
        <v>1497</v>
      </c>
      <c r="R59" s="4" t="b">
        <v>0</v>
      </c>
      <c r="S59" s="4"/>
    </row>
    <row r="60" spans="1:19" x14ac:dyDescent="0.3">
      <c r="A60" s="27" t="s">
        <v>1548</v>
      </c>
      <c r="B60" s="27" t="s">
        <v>1934</v>
      </c>
      <c r="C60" s="27">
        <v>0</v>
      </c>
      <c r="D60" s="27" t="s">
        <v>1631</v>
      </c>
      <c r="E60" s="3"/>
      <c r="F60" s="1" t="s">
        <v>1761</v>
      </c>
      <c r="G60" s="3" t="s">
        <v>39</v>
      </c>
      <c r="H60" s="3" t="s">
        <v>51</v>
      </c>
      <c r="I60" s="3" t="s">
        <v>51</v>
      </c>
      <c r="J60" s="27"/>
      <c r="K60" s="11" t="s">
        <v>1036</v>
      </c>
      <c r="L60" s="16" t="s">
        <v>1124</v>
      </c>
      <c r="M60" s="3" t="s">
        <v>1547</v>
      </c>
      <c r="N60" s="3" t="s">
        <v>1671</v>
      </c>
      <c r="O60" s="3"/>
      <c r="P60" s="3" t="b">
        <v>1</v>
      </c>
      <c r="Q60" s="3" t="s">
        <v>1497</v>
      </c>
      <c r="R60" s="4" t="b">
        <v>0</v>
      </c>
      <c r="S60" s="4"/>
    </row>
    <row r="61" spans="1:19" x14ac:dyDescent="0.3">
      <c r="A61" s="27" t="s">
        <v>1548</v>
      </c>
      <c r="B61" s="27" t="s">
        <v>1935</v>
      </c>
      <c r="C61" s="27">
        <v>0</v>
      </c>
      <c r="D61" s="27" t="s">
        <v>1631</v>
      </c>
      <c r="E61" s="3"/>
      <c r="F61" s="1" t="s">
        <v>1761</v>
      </c>
      <c r="G61" s="3" t="s">
        <v>39</v>
      </c>
      <c r="H61" s="3" t="s">
        <v>51</v>
      </c>
      <c r="I61" s="3" t="s">
        <v>51</v>
      </c>
      <c r="J61" s="27"/>
      <c r="K61" s="11" t="s">
        <v>1036</v>
      </c>
      <c r="L61" s="16" t="s">
        <v>1124</v>
      </c>
      <c r="M61" s="3" t="s">
        <v>1547</v>
      </c>
      <c r="N61" s="3" t="s">
        <v>1671</v>
      </c>
      <c r="O61" s="3"/>
      <c r="P61" s="3" t="b">
        <v>1</v>
      </c>
      <c r="Q61" s="3" t="s">
        <v>1497</v>
      </c>
      <c r="R61" s="4" t="b">
        <v>0</v>
      </c>
      <c r="S61" s="4"/>
    </row>
    <row r="62" spans="1:19" x14ac:dyDescent="0.3">
      <c r="A62" s="27" t="s">
        <v>1548</v>
      </c>
      <c r="B62" s="27" t="s">
        <v>1936</v>
      </c>
      <c r="C62" s="27">
        <v>0</v>
      </c>
      <c r="D62" s="27" t="s">
        <v>1631</v>
      </c>
      <c r="E62" s="3"/>
      <c r="F62" s="1" t="s">
        <v>1761</v>
      </c>
      <c r="G62" s="3" t="s">
        <v>39</v>
      </c>
      <c r="H62" s="3" t="s">
        <v>51</v>
      </c>
      <c r="I62" s="3" t="s">
        <v>51</v>
      </c>
      <c r="J62" s="27"/>
      <c r="K62" s="11" t="s">
        <v>1036</v>
      </c>
      <c r="L62" s="16" t="s">
        <v>1124</v>
      </c>
      <c r="M62" s="3" t="s">
        <v>1547</v>
      </c>
      <c r="N62" s="3" t="s">
        <v>1671</v>
      </c>
      <c r="O62" s="3"/>
      <c r="P62" s="3" t="b">
        <v>1</v>
      </c>
      <c r="Q62" s="3" t="s">
        <v>1497</v>
      </c>
      <c r="R62" s="4" t="b">
        <v>0</v>
      </c>
      <c r="S62" s="4"/>
    </row>
    <row r="63" spans="1:19" x14ac:dyDescent="0.3">
      <c r="A63" s="27" t="s">
        <v>1548</v>
      </c>
      <c r="B63" s="27" t="s">
        <v>1937</v>
      </c>
      <c r="C63" s="27">
        <v>0</v>
      </c>
      <c r="D63" s="27" t="s">
        <v>1631</v>
      </c>
      <c r="E63" s="3"/>
      <c r="F63" s="1" t="s">
        <v>1761</v>
      </c>
      <c r="G63" s="3" t="s">
        <v>39</v>
      </c>
      <c r="H63" s="3" t="s">
        <v>51</v>
      </c>
      <c r="I63" s="3" t="s">
        <v>51</v>
      </c>
      <c r="J63" s="27"/>
      <c r="K63" s="11" t="s">
        <v>1036</v>
      </c>
      <c r="L63" s="16" t="s">
        <v>1124</v>
      </c>
      <c r="M63" s="3" t="s">
        <v>1547</v>
      </c>
      <c r="N63" s="3" t="s">
        <v>1671</v>
      </c>
      <c r="O63" s="3"/>
      <c r="P63" s="3" t="b">
        <v>1</v>
      </c>
      <c r="Q63" s="3" t="s">
        <v>1497</v>
      </c>
      <c r="R63" s="4" t="b">
        <v>0</v>
      </c>
      <c r="S63" s="4"/>
    </row>
    <row r="64" spans="1:19" x14ac:dyDescent="0.3">
      <c r="A64" s="27" t="s">
        <v>1548</v>
      </c>
      <c r="B64" s="27" t="s">
        <v>1938</v>
      </c>
      <c r="C64" s="27">
        <v>0</v>
      </c>
      <c r="D64" s="27" t="s">
        <v>1631</v>
      </c>
      <c r="E64" s="3"/>
      <c r="F64" s="1" t="s">
        <v>1761</v>
      </c>
      <c r="G64" s="3" t="s">
        <v>39</v>
      </c>
      <c r="H64" s="3" t="s">
        <v>51</v>
      </c>
      <c r="I64" s="3" t="s">
        <v>51</v>
      </c>
      <c r="J64" s="27"/>
      <c r="K64" s="11" t="s">
        <v>1036</v>
      </c>
      <c r="L64" s="16" t="s">
        <v>1124</v>
      </c>
      <c r="M64" s="3" t="s">
        <v>1547</v>
      </c>
      <c r="N64" s="3" t="s">
        <v>1671</v>
      </c>
      <c r="O64" s="3"/>
      <c r="P64" s="3" t="b">
        <v>1</v>
      </c>
      <c r="Q64" s="3" t="s">
        <v>1497</v>
      </c>
      <c r="R64" s="4" t="b">
        <v>0</v>
      </c>
      <c r="S64" s="4"/>
    </row>
    <row r="65" spans="1:19" x14ac:dyDescent="0.3">
      <c r="A65" s="27" t="s">
        <v>1548</v>
      </c>
      <c r="B65" s="27" t="s">
        <v>1939</v>
      </c>
      <c r="C65" s="27">
        <v>0</v>
      </c>
      <c r="D65" s="27" t="s">
        <v>1631</v>
      </c>
      <c r="E65" s="3"/>
      <c r="F65" s="1" t="s">
        <v>1761</v>
      </c>
      <c r="G65" s="3" t="s">
        <v>39</v>
      </c>
      <c r="H65" s="3" t="s">
        <v>51</v>
      </c>
      <c r="I65" s="3" t="s">
        <v>51</v>
      </c>
      <c r="J65" s="27"/>
      <c r="K65" s="11" t="s">
        <v>1036</v>
      </c>
      <c r="L65" s="16" t="s">
        <v>1124</v>
      </c>
      <c r="M65" s="3" t="s">
        <v>1547</v>
      </c>
      <c r="N65" s="3" t="s">
        <v>1671</v>
      </c>
      <c r="O65" s="3"/>
      <c r="P65" s="3" t="b">
        <v>1</v>
      </c>
      <c r="Q65" s="3" t="s">
        <v>1497</v>
      </c>
      <c r="R65" s="4" t="b">
        <v>0</v>
      </c>
      <c r="S65" s="4"/>
    </row>
    <row r="66" spans="1:19" x14ac:dyDescent="0.3">
      <c r="A66" s="27" t="s">
        <v>2181</v>
      </c>
      <c r="B66" s="27"/>
      <c r="C66" s="27">
        <v>0</v>
      </c>
      <c r="D66" s="27"/>
      <c r="E66" s="3"/>
      <c r="F66" s="3" t="s">
        <v>1517</v>
      </c>
      <c r="G66" s="3" t="s">
        <v>39</v>
      </c>
      <c r="H66" s="3" t="s">
        <v>51</v>
      </c>
      <c r="I66" s="3" t="s">
        <v>51</v>
      </c>
      <c r="J66" s="27"/>
      <c r="K66" s="11" t="s">
        <v>1172</v>
      </c>
      <c r="L66" s="16" t="s">
        <v>1124</v>
      </c>
      <c r="M66" s="3" t="s">
        <v>1520</v>
      </c>
      <c r="N66" s="3" t="s">
        <v>1661</v>
      </c>
      <c r="O66" s="3"/>
      <c r="P66" s="3" t="b">
        <v>1</v>
      </c>
      <c r="Q66" s="3" t="s">
        <v>1394</v>
      </c>
      <c r="R66" s="4" t="b">
        <v>0</v>
      </c>
      <c r="S66" s="4">
        <v>-6.75</v>
      </c>
    </row>
    <row r="67" spans="1:19" x14ac:dyDescent="0.3">
      <c r="A67" s="27" t="s">
        <v>1548</v>
      </c>
      <c r="B67" s="27"/>
      <c r="C67" s="27">
        <f>_xlfn.XLOOKUP(STATS[[#This Row],[FinanceCode]],FC[FinanceCode],FC[London Weighting]," ")</f>
        <v>0</v>
      </c>
      <c r="D67" s="27"/>
      <c r="E67" s="3"/>
      <c r="F67" s="3" t="s">
        <v>1001</v>
      </c>
      <c r="G67" s="3" t="s">
        <v>39</v>
      </c>
      <c r="H67" s="3" t="s">
        <v>51</v>
      </c>
      <c r="I67" s="3" t="s">
        <v>51</v>
      </c>
      <c r="J67" s="27"/>
      <c r="K67" s="11" t="s">
        <v>1172</v>
      </c>
      <c r="L67" s="16" t="s">
        <v>1124</v>
      </c>
      <c r="M67" s="3" t="s">
        <v>1002</v>
      </c>
      <c r="N67" s="3" t="s">
        <v>1662</v>
      </c>
      <c r="O67" s="3"/>
      <c r="P67" s="3" t="b">
        <v>1</v>
      </c>
      <c r="Q67" s="3" t="s">
        <v>1394</v>
      </c>
      <c r="R67" s="4" t="b">
        <v>0</v>
      </c>
      <c r="S67" s="4">
        <v>-22.5</v>
      </c>
    </row>
    <row r="68" spans="1:19" x14ac:dyDescent="0.3">
      <c r="A68" s="27" t="s">
        <v>1548</v>
      </c>
      <c r="B68" s="27"/>
      <c r="C68" s="27" t="str">
        <f>_xlfn.XLOOKUP(STATS[[#This Row],[FinanceCode]],FC[FinanceCode],FC[London Weighting]," ")</f>
        <v>England &amp; Wales</v>
      </c>
      <c r="D68" s="27"/>
      <c r="E68" s="3"/>
      <c r="F68" s="3" t="s">
        <v>2017</v>
      </c>
      <c r="G68" s="3" t="s">
        <v>39</v>
      </c>
      <c r="H68" s="3" t="s">
        <v>51</v>
      </c>
      <c r="I68" s="3" t="s">
        <v>51</v>
      </c>
      <c r="J68" s="27"/>
      <c r="K68" s="11" t="s">
        <v>1172</v>
      </c>
      <c r="L68" s="16" t="s">
        <v>1124</v>
      </c>
      <c r="M68" s="3" t="s">
        <v>2003</v>
      </c>
      <c r="N68" s="3"/>
      <c r="O68" s="3"/>
      <c r="P68" s="3" t="b">
        <v>1</v>
      </c>
      <c r="Q68" s="3" t="s">
        <v>1394</v>
      </c>
      <c r="R68" s="4" t="b">
        <v>0</v>
      </c>
      <c r="S68" s="4">
        <v>-135.55000000000001</v>
      </c>
    </row>
    <row r="69" spans="1:19" x14ac:dyDescent="0.3">
      <c r="A69" s="27" t="s">
        <v>1548</v>
      </c>
      <c r="B69" s="27"/>
      <c r="C69" s="27" t="str">
        <f>_xlfn.XLOOKUP(STATS[[#This Row],[FinanceCode]],FC[FinanceCode],FC[London Weighting]," ")</f>
        <v>Fringe</v>
      </c>
      <c r="D69" s="27"/>
      <c r="E69" s="3"/>
      <c r="F69" s="3" t="s">
        <v>2004</v>
      </c>
      <c r="G69" s="3" t="s">
        <v>39</v>
      </c>
      <c r="H69" s="3" t="s">
        <v>51</v>
      </c>
      <c r="I69" s="3" t="s">
        <v>51</v>
      </c>
      <c r="J69" s="27"/>
      <c r="K69" s="11" t="s">
        <v>1172</v>
      </c>
      <c r="L69" s="16" t="s">
        <v>1124</v>
      </c>
      <c r="M69" s="3" t="s">
        <v>2005</v>
      </c>
      <c r="N69" s="3"/>
      <c r="O69" s="3"/>
      <c r="P69" s="3" t="b">
        <v>1</v>
      </c>
      <c r="Q69" s="3" t="s">
        <v>1394</v>
      </c>
      <c r="R69" s="4" t="b">
        <v>0</v>
      </c>
      <c r="S69" s="4">
        <v>-139.65</v>
      </c>
    </row>
    <row r="70" spans="1:19" x14ac:dyDescent="0.3">
      <c r="A70" s="27" t="s">
        <v>1548</v>
      </c>
      <c r="B70" s="27"/>
      <c r="C70" s="27" t="str">
        <f>_xlfn.XLOOKUP(STATS[[#This Row],[FinanceCode]],FC[FinanceCode],FC[London Weighting]," ")</f>
        <v>Inner</v>
      </c>
      <c r="D70" s="27"/>
      <c r="E70" s="3"/>
      <c r="F70" s="3" t="s">
        <v>2006</v>
      </c>
      <c r="G70" s="3" t="s">
        <v>39</v>
      </c>
      <c r="H70" s="3" t="s">
        <v>51</v>
      </c>
      <c r="I70" s="3" t="s">
        <v>51</v>
      </c>
      <c r="J70" s="27"/>
      <c r="K70" s="11" t="s">
        <v>1172</v>
      </c>
      <c r="L70" s="16" t="s">
        <v>1124</v>
      </c>
      <c r="M70" s="3" t="s">
        <v>2007</v>
      </c>
      <c r="N70" s="3"/>
      <c r="O70" s="3"/>
      <c r="P70" s="3" t="b">
        <v>1</v>
      </c>
      <c r="Q70" s="3" t="s">
        <v>1394</v>
      </c>
      <c r="R70" s="4" t="b">
        <v>0</v>
      </c>
      <c r="S70" s="4">
        <v>-161.25</v>
      </c>
    </row>
    <row r="71" spans="1:19" x14ac:dyDescent="0.3">
      <c r="A71" s="27" t="s">
        <v>1548</v>
      </c>
      <c r="B71" s="27"/>
      <c r="C71" s="27" t="str">
        <f>_xlfn.XLOOKUP(STATS[[#This Row],[FinanceCode]],FC[FinanceCode],FC[London Weighting]," ")</f>
        <v>Outer</v>
      </c>
      <c r="D71" s="27"/>
      <c r="E71" s="3"/>
      <c r="F71" s="3" t="s">
        <v>2008</v>
      </c>
      <c r="G71" s="3" t="s">
        <v>39</v>
      </c>
      <c r="H71" s="3" t="s">
        <v>51</v>
      </c>
      <c r="I71" s="3" t="s">
        <v>51</v>
      </c>
      <c r="J71" s="27"/>
      <c r="K71" s="11" t="s">
        <v>1172</v>
      </c>
      <c r="L71" s="16" t="s">
        <v>1124</v>
      </c>
      <c r="M71" s="3" t="s">
        <v>2009</v>
      </c>
      <c r="N71" s="3"/>
      <c r="O71" s="3"/>
      <c r="P71" s="3" t="b">
        <v>1</v>
      </c>
      <c r="Q71" s="3" t="s">
        <v>1394</v>
      </c>
      <c r="R71" s="4" t="b">
        <v>0</v>
      </c>
      <c r="S71" s="4">
        <v>-149.18</v>
      </c>
    </row>
    <row r="72" spans="1:19" x14ac:dyDescent="0.3">
      <c r="A72" s="27" t="s">
        <v>1548</v>
      </c>
      <c r="B72" s="27"/>
      <c r="C72" s="27" t="str">
        <f>_xlfn.XLOOKUP(STATS[[#This Row],[FinanceCode]],FC[FinanceCode],FC[London Weighting]," ")</f>
        <v>England &amp; Wales</v>
      </c>
      <c r="D72" s="27"/>
      <c r="E72" s="3"/>
      <c r="F72" s="3" t="s">
        <v>2018</v>
      </c>
      <c r="G72" s="3" t="s">
        <v>39</v>
      </c>
      <c r="H72" s="3" t="s">
        <v>51</v>
      </c>
      <c r="I72" s="3" t="s">
        <v>51</v>
      </c>
      <c r="J72" s="27"/>
      <c r="K72" s="11" t="s">
        <v>1172</v>
      </c>
      <c r="L72" s="16" t="s">
        <v>1124</v>
      </c>
      <c r="M72" s="3" t="s">
        <v>2010</v>
      </c>
      <c r="N72" s="3"/>
      <c r="O72" s="3"/>
      <c r="P72" s="3" t="b">
        <v>1</v>
      </c>
      <c r="Q72" s="3" t="s">
        <v>1410</v>
      </c>
      <c r="R72" s="4" t="b">
        <v>0</v>
      </c>
      <c r="S72" s="4">
        <v>-189.77</v>
      </c>
    </row>
    <row r="73" spans="1:19" x14ac:dyDescent="0.3">
      <c r="A73" s="27" t="s">
        <v>1548</v>
      </c>
      <c r="B73" s="27"/>
      <c r="C73" s="27" t="str">
        <f>_xlfn.XLOOKUP(STATS[[#This Row],[FinanceCode]],FC[FinanceCode],FC[London Weighting]," ")</f>
        <v>Fringe</v>
      </c>
      <c r="D73" s="27"/>
      <c r="E73" s="3"/>
      <c r="F73" s="3" t="s">
        <v>2011</v>
      </c>
      <c r="G73" s="3" t="s">
        <v>39</v>
      </c>
      <c r="H73" s="3" t="s">
        <v>51</v>
      </c>
      <c r="I73" s="3" t="s">
        <v>51</v>
      </c>
      <c r="J73" s="27"/>
      <c r="K73" s="11" t="s">
        <v>1172</v>
      </c>
      <c r="L73" s="16" t="s">
        <v>1124</v>
      </c>
      <c r="M73" s="3" t="s">
        <v>2012</v>
      </c>
      <c r="N73" s="3"/>
      <c r="O73" s="3"/>
      <c r="P73" s="3" t="b">
        <v>1</v>
      </c>
      <c r="Q73" s="3" t="s">
        <v>1410</v>
      </c>
      <c r="R73" s="4" t="b">
        <v>0</v>
      </c>
      <c r="S73" s="4">
        <v>-195.5</v>
      </c>
    </row>
    <row r="74" spans="1:19" x14ac:dyDescent="0.3">
      <c r="A74" s="27" t="s">
        <v>1548</v>
      </c>
      <c r="B74" s="27"/>
      <c r="C74" s="27" t="str">
        <f>_xlfn.XLOOKUP(STATS[[#This Row],[FinanceCode]],FC[FinanceCode],FC[London Weighting]," ")</f>
        <v>Inner</v>
      </c>
      <c r="D74" s="27"/>
      <c r="E74" s="3"/>
      <c r="F74" s="3" t="s">
        <v>2013</v>
      </c>
      <c r="G74" s="3" t="s">
        <v>39</v>
      </c>
      <c r="H74" s="3" t="s">
        <v>51</v>
      </c>
      <c r="I74" s="3" t="s">
        <v>51</v>
      </c>
      <c r="J74" s="27"/>
      <c r="K74" s="11" t="s">
        <v>1172</v>
      </c>
      <c r="L74" s="16" t="s">
        <v>1124</v>
      </c>
      <c r="M74" s="3" t="s">
        <v>2014</v>
      </c>
      <c r="N74" s="3"/>
      <c r="O74" s="3"/>
      <c r="P74" s="3" t="b">
        <v>1</v>
      </c>
      <c r="Q74" s="3" t="s">
        <v>1410</v>
      </c>
      <c r="R74" s="4" t="b">
        <v>0</v>
      </c>
      <c r="S74" s="4">
        <v>-225.75</v>
      </c>
    </row>
    <row r="75" spans="1:19" x14ac:dyDescent="0.3">
      <c r="A75" s="27" t="s">
        <v>1548</v>
      </c>
      <c r="B75" s="27"/>
      <c r="C75" s="27" t="str">
        <f>_xlfn.XLOOKUP(STATS[[#This Row],[FinanceCode]],FC[FinanceCode],FC[London Weighting]," ")</f>
        <v>Outer</v>
      </c>
      <c r="D75" s="27"/>
      <c r="E75" s="3"/>
      <c r="F75" s="3" t="s">
        <v>2015</v>
      </c>
      <c r="G75" s="3" t="s">
        <v>39</v>
      </c>
      <c r="H75" s="3" t="s">
        <v>51</v>
      </c>
      <c r="I75" s="3" t="s">
        <v>51</v>
      </c>
      <c r="J75" s="27"/>
      <c r="K75" s="11" t="s">
        <v>1172</v>
      </c>
      <c r="L75" s="16" t="s">
        <v>1124</v>
      </c>
      <c r="M75" s="3" t="s">
        <v>2016</v>
      </c>
      <c r="N75" s="3"/>
      <c r="O75" s="3"/>
      <c r="P75" s="3" t="b">
        <v>1</v>
      </c>
      <c r="Q75" s="3" t="s">
        <v>1410</v>
      </c>
      <c r="R75" s="4" t="b">
        <v>0</v>
      </c>
      <c r="S75" s="4">
        <v>-208.85</v>
      </c>
    </row>
    <row r="76" spans="1:19" x14ac:dyDescent="0.3">
      <c r="A76" s="27" t="s">
        <v>1548</v>
      </c>
      <c r="B76" s="27"/>
      <c r="C76" s="27">
        <v>0</v>
      </c>
      <c r="D76" s="27"/>
      <c r="E76" s="3"/>
      <c r="F76" s="3" t="s">
        <v>1023</v>
      </c>
      <c r="G76" s="3" t="s">
        <v>39</v>
      </c>
      <c r="H76" s="3" t="s">
        <v>51</v>
      </c>
      <c r="I76" s="3" t="s">
        <v>51</v>
      </c>
      <c r="J76" s="27"/>
      <c r="K76" s="11" t="s">
        <v>1172</v>
      </c>
      <c r="L76" s="16" t="s">
        <v>1124</v>
      </c>
      <c r="M76" s="3" t="s">
        <v>1024</v>
      </c>
      <c r="N76" s="3" t="s">
        <v>1673</v>
      </c>
      <c r="O76" s="3"/>
      <c r="P76" s="3" t="b">
        <v>1</v>
      </c>
      <c r="Q76" s="3" t="s">
        <v>1394</v>
      </c>
      <c r="R76" s="4" t="b">
        <v>0</v>
      </c>
      <c r="S76" s="4">
        <v>-1480</v>
      </c>
    </row>
    <row r="77" spans="1:19" x14ac:dyDescent="0.3">
      <c r="A77" s="27" t="s">
        <v>880</v>
      </c>
      <c r="B77" s="27"/>
      <c r="C77" s="27">
        <v>0</v>
      </c>
      <c r="D77" s="27"/>
      <c r="E77" s="3"/>
      <c r="F77" s="3" t="s">
        <v>1022</v>
      </c>
      <c r="G77" s="3" t="s">
        <v>39</v>
      </c>
      <c r="H77" s="3" t="s">
        <v>51</v>
      </c>
      <c r="I77" s="3" t="s">
        <v>51</v>
      </c>
      <c r="J77" s="27"/>
      <c r="K77" s="11" t="s">
        <v>1172</v>
      </c>
      <c r="L77" s="16" t="s">
        <v>1124</v>
      </c>
      <c r="M77" s="3" t="s">
        <v>1953</v>
      </c>
      <c r="N77" s="3" t="s">
        <v>1954</v>
      </c>
      <c r="O77" s="3"/>
      <c r="P77" s="3" t="b">
        <v>1</v>
      </c>
      <c r="Q77" s="3" t="s">
        <v>1410</v>
      </c>
      <c r="R77" s="4" t="b">
        <v>0</v>
      </c>
      <c r="S77" s="4">
        <v>-2630</v>
      </c>
    </row>
    <row r="78" spans="1:19" x14ac:dyDescent="0.3">
      <c r="A78" s="27" t="s">
        <v>1548</v>
      </c>
      <c r="B78" s="27"/>
      <c r="C78" s="27">
        <v>0</v>
      </c>
      <c r="D78" s="27"/>
      <c r="E78" s="3"/>
      <c r="F78" s="3" t="s">
        <v>1025</v>
      </c>
      <c r="G78" s="3" t="s">
        <v>39</v>
      </c>
      <c r="H78" s="3" t="s">
        <v>51</v>
      </c>
      <c r="I78" s="3" t="s">
        <v>51</v>
      </c>
      <c r="J78" s="27"/>
      <c r="K78" s="11" t="s">
        <v>1172</v>
      </c>
      <c r="L78" s="16" t="s">
        <v>1124</v>
      </c>
      <c r="M78" s="3" t="s">
        <v>1026</v>
      </c>
      <c r="N78" s="3" t="s">
        <v>1674</v>
      </c>
      <c r="O78" s="3"/>
      <c r="P78" s="3" t="b">
        <v>1</v>
      </c>
      <c r="Q78" s="3" t="s">
        <v>1394</v>
      </c>
      <c r="R78" s="4" t="b">
        <v>0</v>
      </c>
      <c r="S78" s="4">
        <v>-1050</v>
      </c>
    </row>
    <row r="79" spans="1:19" x14ac:dyDescent="0.3">
      <c r="A79" s="27" t="s">
        <v>1548</v>
      </c>
      <c r="B79" s="27"/>
      <c r="C79" s="27">
        <v>0</v>
      </c>
      <c r="D79" s="27"/>
      <c r="E79" s="3"/>
      <c r="F79" s="3" t="s">
        <v>1023</v>
      </c>
      <c r="G79" s="3" t="s">
        <v>39</v>
      </c>
      <c r="H79" s="3" t="s">
        <v>51</v>
      </c>
      <c r="I79" s="3" t="s">
        <v>51</v>
      </c>
      <c r="J79" s="27"/>
      <c r="K79" s="11" t="s">
        <v>1172</v>
      </c>
      <c r="L79" s="16" t="s">
        <v>1124</v>
      </c>
      <c r="M79" s="3" t="s">
        <v>1024</v>
      </c>
      <c r="N79" s="3" t="s">
        <v>1673</v>
      </c>
      <c r="O79" s="3"/>
      <c r="P79" s="3" t="b">
        <v>1</v>
      </c>
      <c r="Q79" s="3" t="s">
        <v>1410</v>
      </c>
      <c r="R79" s="4" t="b">
        <v>0</v>
      </c>
      <c r="S79" s="4">
        <v>-1515</v>
      </c>
    </row>
    <row r="80" spans="1:19" x14ac:dyDescent="0.3">
      <c r="A80" s="27" t="s">
        <v>1548</v>
      </c>
      <c r="B80" s="27"/>
      <c r="C80" s="27">
        <f>_xlfn.XLOOKUP(STATS[[#This Row],[FinanceCode]],FC[FinanceCode],FC[London Weighting]," ")</f>
        <v>0</v>
      </c>
      <c r="D80" s="27"/>
      <c r="E80" s="3"/>
      <c r="F80" s="3" t="s">
        <v>1034</v>
      </c>
      <c r="G80" s="3" t="s">
        <v>39</v>
      </c>
      <c r="H80" s="3" t="s">
        <v>51</v>
      </c>
      <c r="I80" s="3" t="s">
        <v>51</v>
      </c>
      <c r="J80" s="27"/>
      <c r="K80" s="11" t="s">
        <v>1172</v>
      </c>
      <c r="L80" s="16" t="s">
        <v>1124</v>
      </c>
      <c r="M80" s="3" t="s">
        <v>1311</v>
      </c>
      <c r="N80" s="3"/>
      <c r="O80" s="3"/>
      <c r="P80" s="3" t="b">
        <v>1</v>
      </c>
      <c r="Q80" s="3" t="s">
        <v>1497</v>
      </c>
      <c r="R80" s="4" t="b">
        <v>0</v>
      </c>
      <c r="S80" s="4"/>
    </row>
    <row r="81" spans="1:19" x14ac:dyDescent="0.3">
      <c r="A81" s="27" t="s">
        <v>1548</v>
      </c>
      <c r="B81" s="27"/>
      <c r="C81" s="27">
        <f>_xlfn.XLOOKUP(STATS[[#This Row],[FinanceCode]],FC[FinanceCode],FC[London Weighting]," ")</f>
        <v>0</v>
      </c>
      <c r="D81" s="27"/>
      <c r="E81" s="3"/>
      <c r="F81" s="3" t="s">
        <v>1050</v>
      </c>
      <c r="G81" s="3"/>
      <c r="H81" s="3" t="s">
        <v>51</v>
      </c>
      <c r="I81" s="3" t="s">
        <v>51</v>
      </c>
      <c r="J81" s="27"/>
      <c r="K81" s="11" t="s">
        <v>1242</v>
      </c>
      <c r="L81" s="16" t="s">
        <v>1124</v>
      </c>
      <c r="M81" s="3" t="s">
        <v>1400</v>
      </c>
      <c r="N81" s="3" t="s">
        <v>1679</v>
      </c>
      <c r="O81" s="3"/>
      <c r="P81" s="3" t="b">
        <v>1</v>
      </c>
      <c r="Q81" s="3" t="s">
        <v>1497</v>
      </c>
      <c r="R81" s="4" t="b">
        <v>1</v>
      </c>
      <c r="S81" s="4"/>
    </row>
    <row r="82" spans="1:19" x14ac:dyDescent="0.3">
      <c r="A82" s="27" t="s">
        <v>1548</v>
      </c>
      <c r="B82" s="27"/>
      <c r="C82" s="27">
        <f>_xlfn.XLOOKUP(STATS[[#This Row],[FinanceCode]],FC[FinanceCode],FC[London Weighting]," ")</f>
        <v>0</v>
      </c>
      <c r="D82" s="27"/>
      <c r="E82" s="3"/>
      <c r="F82" s="3" t="s">
        <v>1048</v>
      </c>
      <c r="G82" s="3"/>
      <c r="H82" s="3" t="s">
        <v>51</v>
      </c>
      <c r="I82" s="3" t="s">
        <v>51</v>
      </c>
      <c r="J82" s="27"/>
      <c r="K82" s="11" t="s">
        <v>1244</v>
      </c>
      <c r="L82" s="16" t="s">
        <v>1124</v>
      </c>
      <c r="M82" s="3" t="s">
        <v>1399</v>
      </c>
      <c r="N82" s="3" t="s">
        <v>1680</v>
      </c>
      <c r="O82" s="3"/>
      <c r="P82" s="3" t="b">
        <v>1</v>
      </c>
      <c r="Q82" s="3" t="s">
        <v>1497</v>
      </c>
      <c r="R82" s="4" t="b">
        <v>1</v>
      </c>
      <c r="S82" s="4"/>
    </row>
    <row r="83" spans="1:19" x14ac:dyDescent="0.3">
      <c r="A83" s="27" t="s">
        <v>1548</v>
      </c>
      <c r="B83" s="27"/>
      <c r="C83" s="27">
        <f>_xlfn.XLOOKUP(STATS[[#This Row],[FinanceCode]],FC[FinanceCode],FC[London Weighting]," ")</f>
        <v>0</v>
      </c>
      <c r="D83" s="27"/>
      <c r="E83" s="3"/>
      <c r="F83" s="3" t="s">
        <v>1042</v>
      </c>
      <c r="G83" s="3"/>
      <c r="H83" s="3" t="s">
        <v>51</v>
      </c>
      <c r="I83" s="3" t="s">
        <v>51</v>
      </c>
      <c r="J83" s="27"/>
      <c r="K83" s="11" t="s">
        <v>1248</v>
      </c>
      <c r="L83" s="16" t="s">
        <v>1124</v>
      </c>
      <c r="M83" s="3" t="s">
        <v>1397</v>
      </c>
      <c r="N83" s="3" t="s">
        <v>1681</v>
      </c>
      <c r="O83" s="3"/>
      <c r="P83" s="3" t="b">
        <v>1</v>
      </c>
      <c r="Q83" s="3" t="s">
        <v>1497</v>
      </c>
      <c r="R83" s="4" t="b">
        <v>1</v>
      </c>
      <c r="S83" s="4"/>
    </row>
    <row r="84" spans="1:19" x14ac:dyDescent="0.3">
      <c r="A84" s="27" t="s">
        <v>1548</v>
      </c>
      <c r="B84" s="27"/>
      <c r="C84" s="27">
        <f>_xlfn.XLOOKUP(STATS[[#This Row],[FinanceCode]],FC[FinanceCode],FC[London Weighting]," ")</f>
        <v>0</v>
      </c>
      <c r="D84" s="27"/>
      <c r="E84" s="3"/>
      <c r="F84" s="3" t="s">
        <v>1044</v>
      </c>
      <c r="G84" s="3"/>
      <c r="H84" s="3" t="s">
        <v>51</v>
      </c>
      <c r="I84" s="3" t="s">
        <v>51</v>
      </c>
      <c r="J84" s="27"/>
      <c r="K84" s="11" t="s">
        <v>1250</v>
      </c>
      <c r="L84" s="16" t="s">
        <v>1124</v>
      </c>
      <c r="M84" s="3" t="s">
        <v>1403</v>
      </c>
      <c r="N84" s="3" t="s">
        <v>1682</v>
      </c>
      <c r="O84" s="3"/>
      <c r="P84" s="3" t="b">
        <v>1</v>
      </c>
      <c r="Q84" s="3" t="s">
        <v>1497</v>
      </c>
      <c r="R84" s="4" t="b">
        <v>1</v>
      </c>
      <c r="S84" s="4"/>
    </row>
    <row r="85" spans="1:19" x14ac:dyDescent="0.3">
      <c r="A85" s="27" t="s">
        <v>1548</v>
      </c>
      <c r="B85" s="27"/>
      <c r="C85" s="27">
        <f>_xlfn.XLOOKUP(STATS[[#This Row],[FinanceCode]],FC[FinanceCode],FC[London Weighting]," ")</f>
        <v>0</v>
      </c>
      <c r="D85" s="27"/>
      <c r="E85" s="3"/>
      <c r="F85" s="3" t="s">
        <v>1040</v>
      </c>
      <c r="G85" s="3"/>
      <c r="H85" s="3" t="s">
        <v>51</v>
      </c>
      <c r="I85" s="3" t="s">
        <v>51</v>
      </c>
      <c r="J85" s="27"/>
      <c r="K85" s="11" t="s">
        <v>1246</v>
      </c>
      <c r="L85" s="16" t="s">
        <v>1124</v>
      </c>
      <c r="M85" s="3" t="s">
        <v>1396</v>
      </c>
      <c r="N85" s="3" t="s">
        <v>1683</v>
      </c>
      <c r="O85" s="3"/>
      <c r="P85" s="3" t="b">
        <v>1</v>
      </c>
      <c r="Q85" s="3" t="s">
        <v>1497</v>
      </c>
      <c r="R85" s="4" t="b">
        <v>1</v>
      </c>
      <c r="S85" s="4"/>
    </row>
    <row r="86" spans="1:19" x14ac:dyDescent="0.3">
      <c r="A86" s="27" t="s">
        <v>1548</v>
      </c>
      <c r="B86" s="27"/>
      <c r="C86" s="27">
        <f>_xlfn.XLOOKUP(STATS[[#This Row],[FinanceCode]],FC[FinanceCode],FC[London Weighting]," ")</f>
        <v>0</v>
      </c>
      <c r="D86" s="27"/>
      <c r="E86" s="3"/>
      <c r="F86" s="3" t="s">
        <v>1046</v>
      </c>
      <c r="G86" s="3"/>
      <c r="H86" s="3" t="s">
        <v>51</v>
      </c>
      <c r="I86" s="3" t="s">
        <v>51</v>
      </c>
      <c r="J86" s="27"/>
      <c r="K86" s="11" t="s">
        <v>1252</v>
      </c>
      <c r="L86" s="16" t="s">
        <v>1124</v>
      </c>
      <c r="M86" s="3" t="s">
        <v>1398</v>
      </c>
      <c r="N86" s="3" t="s">
        <v>1684</v>
      </c>
      <c r="O86" s="3"/>
      <c r="P86" s="3" t="b">
        <v>1</v>
      </c>
      <c r="Q86" s="3" t="s">
        <v>1497</v>
      </c>
      <c r="R86" s="4" t="b">
        <v>1</v>
      </c>
      <c r="S86" s="4"/>
    </row>
    <row r="87" spans="1:19" x14ac:dyDescent="0.3">
      <c r="A87" s="27" t="s">
        <v>880</v>
      </c>
      <c r="B87" s="27"/>
      <c r="C87" s="27">
        <f>_xlfn.XLOOKUP(STATS[[#This Row],[FinanceCode]],FC[FinanceCode],FC[London Weighting]," ")</f>
        <v>0</v>
      </c>
      <c r="D87" s="27"/>
      <c r="E87" s="3"/>
      <c r="F87" s="3" t="s">
        <v>997</v>
      </c>
      <c r="G87" s="3" t="s">
        <v>39</v>
      </c>
      <c r="H87" s="3" t="s">
        <v>51</v>
      </c>
      <c r="I87" s="3" t="s">
        <v>51</v>
      </c>
      <c r="J87" s="27"/>
      <c r="K87" s="11" t="s">
        <v>1172</v>
      </c>
      <c r="L87" s="16" t="s">
        <v>1124</v>
      </c>
      <c r="M87" s="3" t="s">
        <v>1388</v>
      </c>
      <c r="N87" s="3" t="s">
        <v>1659</v>
      </c>
      <c r="O87" s="3"/>
      <c r="P87" s="3" t="b">
        <v>1</v>
      </c>
      <c r="Q87" s="3" t="s">
        <v>1497</v>
      </c>
      <c r="R87" s="4" t="b">
        <v>0</v>
      </c>
      <c r="S87" s="4"/>
    </row>
    <row r="88" spans="1:19" x14ac:dyDescent="0.3">
      <c r="A88" s="27" t="s">
        <v>859</v>
      </c>
      <c r="B88" s="27"/>
      <c r="C88" s="27">
        <f>_xlfn.XLOOKUP(STATS[[#This Row],[FinanceCode]],FC[FinanceCode],FC[London Weighting]," ")</f>
        <v>0</v>
      </c>
      <c r="D88" s="27"/>
      <c r="E88" s="3"/>
      <c r="F88" s="3" t="s">
        <v>1001</v>
      </c>
      <c r="G88" s="3" t="s">
        <v>39</v>
      </c>
      <c r="H88" s="3" t="s">
        <v>51</v>
      </c>
      <c r="I88" s="3" t="s">
        <v>51</v>
      </c>
      <c r="J88" s="27"/>
      <c r="K88" s="11" t="s">
        <v>1172</v>
      </c>
      <c r="L88" s="16" t="s">
        <v>1124</v>
      </c>
      <c r="M88" s="3" t="s">
        <v>1002</v>
      </c>
      <c r="N88" s="3" t="s">
        <v>1662</v>
      </c>
      <c r="O88" s="3"/>
      <c r="P88" s="3" t="b">
        <v>1</v>
      </c>
      <c r="Q88" s="3" t="s">
        <v>1394</v>
      </c>
      <c r="R88" s="4" t="b">
        <v>0</v>
      </c>
      <c r="S88" s="4">
        <v>-22.5</v>
      </c>
    </row>
    <row r="89" spans="1:19" x14ac:dyDescent="0.3">
      <c r="A89" s="27" t="s">
        <v>2179</v>
      </c>
      <c r="B89" s="27"/>
      <c r="C89" s="27">
        <v>0</v>
      </c>
      <c r="D89" s="27"/>
      <c r="E89" s="3"/>
      <c r="F89" s="3" t="s">
        <v>1001</v>
      </c>
      <c r="G89" s="3" t="s">
        <v>39</v>
      </c>
      <c r="H89" s="3" t="s">
        <v>51</v>
      </c>
      <c r="I89" s="3" t="s">
        <v>51</v>
      </c>
      <c r="J89" s="27"/>
      <c r="K89" s="11" t="s">
        <v>1172</v>
      </c>
      <c r="L89" s="16" t="s">
        <v>1124</v>
      </c>
      <c r="M89" s="3" t="s">
        <v>1002</v>
      </c>
      <c r="N89" s="3" t="s">
        <v>1662</v>
      </c>
      <c r="O89" s="3"/>
      <c r="P89" s="3" t="b">
        <v>1</v>
      </c>
      <c r="Q89" s="3" t="s">
        <v>1394</v>
      </c>
      <c r="R89" s="4" t="b">
        <v>0</v>
      </c>
      <c r="S89" s="4">
        <v>-22.5</v>
      </c>
    </row>
    <row r="90" spans="1:19" x14ac:dyDescent="0.3">
      <c r="A90" s="27" t="s">
        <v>1548</v>
      </c>
      <c r="B90" s="27"/>
      <c r="C90" s="27">
        <f>_xlfn.XLOOKUP(STATS[[#This Row],[FinanceCode]],FC[FinanceCode],FC[London Weighting]," ")</f>
        <v>0</v>
      </c>
      <c r="D90" s="27"/>
      <c r="E90" s="3"/>
      <c r="F90" s="3" t="s">
        <v>1003</v>
      </c>
      <c r="G90" s="3" t="s">
        <v>39</v>
      </c>
      <c r="H90" s="3" t="s">
        <v>51</v>
      </c>
      <c r="I90" s="3" t="s">
        <v>51</v>
      </c>
      <c r="J90" s="27"/>
      <c r="K90" s="11" t="s">
        <v>1172</v>
      </c>
      <c r="L90" s="16" t="s">
        <v>1124</v>
      </c>
      <c r="M90" s="3" t="s">
        <v>1004</v>
      </c>
      <c r="N90" s="3" t="s">
        <v>1663</v>
      </c>
      <c r="O90" s="3"/>
      <c r="P90" s="3" t="b">
        <v>1</v>
      </c>
      <c r="Q90" s="3" t="s">
        <v>1394</v>
      </c>
      <c r="R90" s="4" t="b">
        <v>0</v>
      </c>
      <c r="S90" s="4">
        <v>-11.25</v>
      </c>
    </row>
    <row r="91" spans="1:19" x14ac:dyDescent="0.3">
      <c r="A91" s="27" t="s">
        <v>858</v>
      </c>
      <c r="B91" s="27"/>
      <c r="C91" s="27">
        <f>_xlfn.XLOOKUP(STATS[[#This Row],[FinanceCode]],FC[FinanceCode],FC[London Weighting]," ")</f>
        <v>0</v>
      </c>
      <c r="D91" s="27"/>
      <c r="E91" s="3"/>
      <c r="F91" s="3" t="s">
        <v>1003</v>
      </c>
      <c r="G91" s="3" t="s">
        <v>39</v>
      </c>
      <c r="H91" s="3" t="s">
        <v>51</v>
      </c>
      <c r="I91" s="3" t="s">
        <v>51</v>
      </c>
      <c r="J91" s="27"/>
      <c r="K91" s="11" t="s">
        <v>1172</v>
      </c>
      <c r="L91" s="16" t="s">
        <v>1124</v>
      </c>
      <c r="M91" s="3" t="s">
        <v>1004</v>
      </c>
      <c r="N91" s="3" t="s">
        <v>1663</v>
      </c>
      <c r="O91" s="3"/>
      <c r="P91" s="3" t="b">
        <v>1</v>
      </c>
      <c r="Q91" s="3" t="s">
        <v>1394</v>
      </c>
      <c r="R91" s="4" t="b">
        <v>0</v>
      </c>
      <c r="S91" s="4">
        <v>-11.25</v>
      </c>
    </row>
    <row r="92" spans="1:19" x14ac:dyDescent="0.3">
      <c r="A92" s="27" t="s">
        <v>2178</v>
      </c>
      <c r="B92" s="27"/>
      <c r="C92" s="27">
        <v>0</v>
      </c>
      <c r="D92" s="27"/>
      <c r="E92" s="3"/>
      <c r="F92" s="3" t="s">
        <v>1003</v>
      </c>
      <c r="G92" s="3" t="s">
        <v>39</v>
      </c>
      <c r="H92" s="3" t="s">
        <v>51</v>
      </c>
      <c r="I92" s="3" t="s">
        <v>51</v>
      </c>
      <c r="J92" s="27"/>
      <c r="K92" s="11" t="s">
        <v>1172</v>
      </c>
      <c r="L92" s="16" t="s">
        <v>1124</v>
      </c>
      <c r="M92" s="3" t="s">
        <v>1004</v>
      </c>
      <c r="N92" s="3" t="s">
        <v>1663</v>
      </c>
      <c r="O92" s="3"/>
      <c r="P92" s="3" t="b">
        <v>1</v>
      </c>
      <c r="Q92" s="3" t="s">
        <v>1394</v>
      </c>
      <c r="R92" s="4" t="b">
        <v>0</v>
      </c>
      <c r="S92" s="4">
        <v>-11.25</v>
      </c>
    </row>
    <row r="93" spans="1:19" x14ac:dyDescent="0.3">
      <c r="A93" s="27" t="s">
        <v>880</v>
      </c>
      <c r="B93" s="27"/>
      <c r="C93" s="27">
        <v>0</v>
      </c>
      <c r="D93" s="27"/>
      <c r="E93" s="3"/>
      <c r="F93" s="3" t="s">
        <v>1022</v>
      </c>
      <c r="G93" s="3" t="s">
        <v>39</v>
      </c>
      <c r="H93" s="3" t="s">
        <v>51</v>
      </c>
      <c r="I93" s="3" t="s">
        <v>51</v>
      </c>
      <c r="J93" s="27"/>
      <c r="K93" s="11" t="s">
        <v>1172</v>
      </c>
      <c r="L93" s="16" t="s">
        <v>1124</v>
      </c>
      <c r="M93" s="3" t="s">
        <v>1953</v>
      </c>
      <c r="N93" s="3" t="s">
        <v>1954</v>
      </c>
      <c r="O93" s="3"/>
      <c r="P93" s="3" t="b">
        <v>1</v>
      </c>
      <c r="Q93" s="3" t="s">
        <v>1394</v>
      </c>
      <c r="R93" s="4" t="b">
        <v>0</v>
      </c>
      <c r="S93" s="4">
        <v>-2570</v>
      </c>
    </row>
    <row r="94" spans="1:19" x14ac:dyDescent="0.3">
      <c r="A94" s="27" t="s">
        <v>858</v>
      </c>
      <c r="B94" s="27"/>
      <c r="C94" s="27">
        <v>0</v>
      </c>
      <c r="D94" s="27"/>
      <c r="E94" s="3"/>
      <c r="F94" s="3" t="s">
        <v>1023</v>
      </c>
      <c r="G94" s="3" t="s">
        <v>39</v>
      </c>
      <c r="H94" s="3" t="s">
        <v>51</v>
      </c>
      <c r="I94" s="3" t="s">
        <v>51</v>
      </c>
      <c r="J94" s="27"/>
      <c r="K94" s="11" t="s">
        <v>1172</v>
      </c>
      <c r="L94" s="16" t="s">
        <v>1124</v>
      </c>
      <c r="M94" s="3" t="s">
        <v>1024</v>
      </c>
      <c r="N94" s="3" t="s">
        <v>1673</v>
      </c>
      <c r="O94" s="3"/>
      <c r="P94" s="3" t="b">
        <v>1</v>
      </c>
      <c r="Q94" s="3" t="s">
        <v>1410</v>
      </c>
      <c r="R94" s="4" t="b">
        <v>0</v>
      </c>
      <c r="S94" s="4">
        <v>-1515</v>
      </c>
    </row>
    <row r="95" spans="1:19" x14ac:dyDescent="0.3">
      <c r="A95" s="27" t="s">
        <v>880</v>
      </c>
      <c r="B95" s="27"/>
      <c r="C95" s="27">
        <v>0</v>
      </c>
      <c r="D95" s="27"/>
      <c r="E95" s="3"/>
      <c r="F95" s="3" t="s">
        <v>1027</v>
      </c>
      <c r="G95" s="3" t="s">
        <v>39</v>
      </c>
      <c r="H95" s="3" t="s">
        <v>51</v>
      </c>
      <c r="I95" s="3" t="s">
        <v>51</v>
      </c>
      <c r="J95" s="27"/>
      <c r="K95" s="11" t="s">
        <v>1172</v>
      </c>
      <c r="L95" s="16" t="s">
        <v>1124</v>
      </c>
      <c r="M95" s="3" t="s">
        <v>1393</v>
      </c>
      <c r="N95" s="3" t="s">
        <v>1675</v>
      </c>
      <c r="O95" s="3"/>
      <c r="P95" s="3" t="b">
        <v>1</v>
      </c>
      <c r="Q95" s="3" t="s">
        <v>1394</v>
      </c>
      <c r="R95" s="4" t="b">
        <v>0</v>
      </c>
      <c r="S95" s="4">
        <v>-340</v>
      </c>
    </row>
    <row r="96" spans="1:19" x14ac:dyDescent="0.3">
      <c r="A96" s="27" t="s">
        <v>860</v>
      </c>
      <c r="B96" s="27"/>
      <c r="C96" s="27">
        <v>0</v>
      </c>
      <c r="D96" s="27"/>
      <c r="E96" s="3"/>
      <c r="F96" s="3" t="s">
        <v>1023</v>
      </c>
      <c r="G96" s="3" t="s">
        <v>39</v>
      </c>
      <c r="H96" s="3" t="s">
        <v>51</v>
      </c>
      <c r="I96" s="3" t="s">
        <v>51</v>
      </c>
      <c r="J96" s="27"/>
      <c r="K96" s="11" t="s">
        <v>1172</v>
      </c>
      <c r="L96" s="16" t="s">
        <v>1124</v>
      </c>
      <c r="M96" s="3" t="s">
        <v>1024</v>
      </c>
      <c r="N96" s="3" t="s">
        <v>1673</v>
      </c>
      <c r="O96" s="3"/>
      <c r="P96" s="3" t="b">
        <v>1</v>
      </c>
      <c r="Q96" s="3" t="s">
        <v>1410</v>
      </c>
      <c r="R96" s="4" t="b">
        <v>0</v>
      </c>
      <c r="S96" s="4">
        <v>-1515</v>
      </c>
    </row>
    <row r="97" spans="1:19" x14ac:dyDescent="0.3">
      <c r="A97" s="27" t="s">
        <v>880</v>
      </c>
      <c r="B97" s="27"/>
      <c r="C97" s="27">
        <f>_xlfn.XLOOKUP(STATS[[#This Row],[FinanceCode]],FC[FinanceCode],FC[London Weighting]," ")</f>
        <v>0</v>
      </c>
      <c r="D97" s="27"/>
      <c r="E97" s="3"/>
      <c r="F97" s="3" t="s">
        <v>1028</v>
      </c>
      <c r="G97" s="3" t="s">
        <v>39</v>
      </c>
      <c r="H97" s="3" t="s">
        <v>51</v>
      </c>
      <c r="I97" s="3" t="s">
        <v>51</v>
      </c>
      <c r="J97" s="27"/>
      <c r="K97" s="11" t="s">
        <v>1172</v>
      </c>
      <c r="L97" s="16" t="s">
        <v>1124</v>
      </c>
      <c r="M97" s="3" t="s">
        <v>1676</v>
      </c>
      <c r="N97" s="3"/>
      <c r="O97" s="3"/>
      <c r="P97" s="3" t="b">
        <v>1</v>
      </c>
      <c r="Q97" s="3" t="s">
        <v>1394</v>
      </c>
      <c r="R97" s="4" t="b">
        <v>0</v>
      </c>
      <c r="S97" s="4">
        <v>23</v>
      </c>
    </row>
    <row r="98" spans="1:19" x14ac:dyDescent="0.3">
      <c r="A98" s="27" t="s">
        <v>880</v>
      </c>
      <c r="B98" s="27"/>
      <c r="C98" s="27">
        <f>_xlfn.XLOOKUP(STATS[[#This Row],[FinanceCode]],FC[FinanceCode],FC[London Weighting]," ")</f>
        <v>0</v>
      </c>
      <c r="D98" s="27"/>
      <c r="E98" s="3"/>
      <c r="F98" s="3" t="s">
        <v>1028</v>
      </c>
      <c r="G98" s="3" t="s">
        <v>39</v>
      </c>
      <c r="H98" s="3" t="s">
        <v>51</v>
      </c>
      <c r="I98" s="3" t="s">
        <v>51</v>
      </c>
      <c r="J98" s="27"/>
      <c r="K98" s="11" t="s">
        <v>1172</v>
      </c>
      <c r="L98" s="16" t="s">
        <v>1124</v>
      </c>
      <c r="M98" s="3" t="s">
        <v>1676</v>
      </c>
      <c r="N98" s="3"/>
      <c r="O98" s="3"/>
      <c r="P98" s="3" t="b">
        <v>1</v>
      </c>
      <c r="Q98" s="3" t="s">
        <v>1410</v>
      </c>
      <c r="R98" s="4" t="b">
        <v>0</v>
      </c>
      <c r="S98" s="4">
        <v>25</v>
      </c>
    </row>
    <row r="99" spans="1:19" x14ac:dyDescent="0.3">
      <c r="A99" s="27" t="s">
        <v>880</v>
      </c>
      <c r="B99" s="27"/>
      <c r="C99" s="27">
        <v>0</v>
      </c>
      <c r="D99" s="27"/>
      <c r="E99" s="3"/>
      <c r="F99" s="3" t="s">
        <v>1028</v>
      </c>
      <c r="G99" s="3" t="s">
        <v>39</v>
      </c>
      <c r="H99" s="3" t="s">
        <v>51</v>
      </c>
      <c r="I99" s="3" t="s">
        <v>51</v>
      </c>
      <c r="J99" s="27"/>
      <c r="K99" s="11" t="s">
        <v>1172</v>
      </c>
      <c r="L99" s="16" t="s">
        <v>1124</v>
      </c>
      <c r="M99" s="3" t="s">
        <v>1676</v>
      </c>
      <c r="N99" s="3"/>
      <c r="O99" s="3"/>
      <c r="P99" s="3" t="b">
        <v>1</v>
      </c>
      <c r="Q99" s="3" t="s">
        <v>1497</v>
      </c>
      <c r="R99" s="4" t="b">
        <v>0</v>
      </c>
      <c r="S99" s="4">
        <v>27</v>
      </c>
    </row>
    <row r="100" spans="1:19" x14ac:dyDescent="0.3">
      <c r="A100" s="27" t="s">
        <v>880</v>
      </c>
      <c r="B100" s="27"/>
      <c r="C100" s="27">
        <f>_xlfn.XLOOKUP(STATS[[#This Row],[FinanceCode]],FC[FinanceCode],FC[London Weighting]," ")</f>
        <v>0</v>
      </c>
      <c r="D100" s="27"/>
      <c r="E100" s="3"/>
      <c r="F100" s="3" t="s">
        <v>1030</v>
      </c>
      <c r="G100" s="3" t="s">
        <v>39</v>
      </c>
      <c r="H100" s="3" t="s">
        <v>51</v>
      </c>
      <c r="I100" s="3" t="s">
        <v>51</v>
      </c>
      <c r="J100" s="27"/>
      <c r="K100" s="11" t="s">
        <v>1172</v>
      </c>
      <c r="L100" s="16" t="s">
        <v>1124</v>
      </c>
      <c r="M100" s="3" t="s">
        <v>2065</v>
      </c>
      <c r="N100" s="3"/>
      <c r="O100" s="3"/>
      <c r="P100" s="3" t="b">
        <v>1</v>
      </c>
      <c r="Q100" s="3" t="s">
        <v>1410</v>
      </c>
      <c r="R100" s="4" t="b">
        <v>0</v>
      </c>
      <c r="S100" s="4">
        <v>2.2999999999999998</v>
      </c>
    </row>
    <row r="101" spans="1:19" x14ac:dyDescent="0.3">
      <c r="A101" s="27" t="s">
        <v>880</v>
      </c>
      <c r="B101" s="27"/>
      <c r="C101" s="27">
        <f>_xlfn.XLOOKUP(STATS[[#This Row],[FinanceCode]],FC[FinanceCode],FC[London Weighting]," ")</f>
        <v>0</v>
      </c>
      <c r="D101" s="27"/>
      <c r="E101" s="3"/>
      <c r="F101" s="3" t="s">
        <v>1030</v>
      </c>
      <c r="G101" s="3" t="s">
        <v>39</v>
      </c>
      <c r="H101" s="3" t="s">
        <v>51</v>
      </c>
      <c r="I101" s="3" t="s">
        <v>51</v>
      </c>
      <c r="J101" s="27"/>
      <c r="K101" s="11" t="s">
        <v>1172</v>
      </c>
      <c r="L101" s="16" t="s">
        <v>1124</v>
      </c>
      <c r="M101" s="3" t="s">
        <v>2065</v>
      </c>
      <c r="N101" s="3"/>
      <c r="O101" s="3"/>
      <c r="P101" s="3" t="b">
        <v>1</v>
      </c>
      <c r="Q101" s="3" t="s">
        <v>1497</v>
      </c>
      <c r="R101" s="4" t="b">
        <v>0</v>
      </c>
      <c r="S101" s="4">
        <v>1.9</v>
      </c>
    </row>
    <row r="102" spans="1:19" x14ac:dyDescent="0.3">
      <c r="A102" s="27" t="s">
        <v>880</v>
      </c>
      <c r="B102" s="27"/>
      <c r="C102" s="27">
        <f>_xlfn.XLOOKUP(STATS[[#This Row],[FinanceCode]],FC[FinanceCode],FC[London Weighting]," ")</f>
        <v>0</v>
      </c>
      <c r="D102" s="27"/>
      <c r="E102" s="3"/>
      <c r="F102" s="3" t="s">
        <v>1030</v>
      </c>
      <c r="G102" s="3" t="s">
        <v>39</v>
      </c>
      <c r="H102" s="3" t="s">
        <v>51</v>
      </c>
      <c r="I102" s="3" t="s">
        <v>51</v>
      </c>
      <c r="J102" s="27"/>
      <c r="K102" s="11" t="s">
        <v>1172</v>
      </c>
      <c r="L102" s="16" t="s">
        <v>1124</v>
      </c>
      <c r="M102" s="3" t="s">
        <v>2065</v>
      </c>
      <c r="N102" s="3"/>
      <c r="O102" s="3"/>
      <c r="P102" s="3" t="b">
        <v>1</v>
      </c>
      <c r="Q102" s="3" t="s">
        <v>1499</v>
      </c>
      <c r="R102" s="4" t="b">
        <v>0</v>
      </c>
      <c r="S102" s="4">
        <v>2.1</v>
      </c>
    </row>
    <row r="103" spans="1:19" x14ac:dyDescent="0.3">
      <c r="A103" s="27" t="s">
        <v>880</v>
      </c>
      <c r="B103" s="27"/>
      <c r="C103" s="27">
        <f>_xlfn.XLOOKUP(STATS[[#This Row],[FinanceCode]],FC[FinanceCode],FC[London Weighting]," ")</f>
        <v>0</v>
      </c>
      <c r="D103" s="27"/>
      <c r="E103" s="3"/>
      <c r="F103" s="3" t="s">
        <v>1052</v>
      </c>
      <c r="G103" s="3" t="s">
        <v>39</v>
      </c>
      <c r="H103" s="3" t="s">
        <v>51</v>
      </c>
      <c r="I103" s="3" t="s">
        <v>51</v>
      </c>
      <c r="J103" s="27"/>
      <c r="K103" s="11"/>
      <c r="L103" s="16" t="s">
        <v>1124</v>
      </c>
      <c r="M103" s="3" t="s">
        <v>2066</v>
      </c>
      <c r="N103" s="3" t="s">
        <v>1678</v>
      </c>
      <c r="O103" s="3"/>
      <c r="P103" s="3" t="b">
        <v>1</v>
      </c>
      <c r="Q103" s="3" t="s">
        <v>1410</v>
      </c>
      <c r="R103" s="4" t="b">
        <v>0</v>
      </c>
      <c r="S103" s="4">
        <v>2.2999999999999998</v>
      </c>
    </row>
    <row r="104" spans="1:19" x14ac:dyDescent="0.3">
      <c r="A104" s="27" t="s">
        <v>880</v>
      </c>
      <c r="B104" s="27"/>
      <c r="C104" s="27">
        <f>_xlfn.XLOOKUP(STATS[[#This Row],[FinanceCode]],FC[FinanceCode],FC[London Weighting]," ")</f>
        <v>0</v>
      </c>
      <c r="D104" s="27"/>
      <c r="E104" s="3"/>
      <c r="F104" s="3" t="s">
        <v>1052</v>
      </c>
      <c r="G104" s="3" t="s">
        <v>39</v>
      </c>
      <c r="H104" s="3" t="s">
        <v>51</v>
      </c>
      <c r="I104" s="3" t="s">
        <v>51</v>
      </c>
      <c r="J104" s="27"/>
      <c r="K104" s="11"/>
      <c r="L104" s="16" t="s">
        <v>1124</v>
      </c>
      <c r="M104" s="3" t="s">
        <v>2066</v>
      </c>
      <c r="N104" s="3" t="s">
        <v>1678</v>
      </c>
      <c r="O104" s="3"/>
      <c r="P104" s="3" t="b">
        <v>1</v>
      </c>
      <c r="Q104" s="3" t="s">
        <v>1497</v>
      </c>
      <c r="R104" s="4" t="b">
        <v>0</v>
      </c>
      <c r="S104" s="4">
        <v>1.9</v>
      </c>
    </row>
    <row r="105" spans="1:19" x14ac:dyDescent="0.3">
      <c r="A105" s="27" t="s">
        <v>880</v>
      </c>
      <c r="B105" s="27"/>
      <c r="C105" s="27">
        <f>_xlfn.XLOOKUP(STATS[[#This Row],[FinanceCode]],FC[FinanceCode],FC[London Weighting]," ")</f>
        <v>0</v>
      </c>
      <c r="D105" s="27"/>
      <c r="E105" s="3"/>
      <c r="F105" s="3" t="s">
        <v>1052</v>
      </c>
      <c r="G105" s="3" t="s">
        <v>39</v>
      </c>
      <c r="H105" s="3" t="s">
        <v>51</v>
      </c>
      <c r="I105" s="3" t="s">
        <v>51</v>
      </c>
      <c r="J105" s="27"/>
      <c r="K105" s="11"/>
      <c r="L105" s="16" t="s">
        <v>1124</v>
      </c>
      <c r="M105" s="3" t="s">
        <v>2066</v>
      </c>
      <c r="N105" s="3" t="s">
        <v>1678</v>
      </c>
      <c r="O105" s="3"/>
      <c r="P105" s="3" t="b">
        <v>1</v>
      </c>
      <c r="Q105" s="3" t="s">
        <v>1499</v>
      </c>
      <c r="R105" s="4" t="b">
        <v>0</v>
      </c>
      <c r="S105" s="4">
        <v>2.1</v>
      </c>
    </row>
    <row r="106" spans="1:19" x14ac:dyDescent="0.3">
      <c r="A106" s="27" t="s">
        <v>880</v>
      </c>
      <c r="B106" s="27"/>
      <c r="C106" s="27">
        <f>_xlfn.XLOOKUP(STATS[[#This Row],[FinanceCode]],FC[FinanceCode],FC[London Weighting]," ")</f>
        <v>0</v>
      </c>
      <c r="D106" s="27"/>
      <c r="E106" s="3"/>
      <c r="F106" s="3" t="s">
        <v>1032</v>
      </c>
      <c r="G106" s="3" t="s">
        <v>39</v>
      </c>
      <c r="H106" s="3" t="s">
        <v>51</v>
      </c>
      <c r="I106" s="3" t="s">
        <v>51</v>
      </c>
      <c r="J106" s="27"/>
      <c r="K106" s="11" t="s">
        <v>1172</v>
      </c>
      <c r="L106" s="16" t="s">
        <v>1124</v>
      </c>
      <c r="M106" s="3" t="s">
        <v>1402</v>
      </c>
      <c r="N106" s="3"/>
      <c r="O106" s="3"/>
      <c r="P106" s="3" t="b">
        <v>1</v>
      </c>
      <c r="Q106" s="3" t="s">
        <v>1497</v>
      </c>
      <c r="R106" s="4" t="b">
        <v>0</v>
      </c>
      <c r="S106" s="4"/>
    </row>
    <row r="107" spans="1:19" x14ac:dyDescent="0.3">
      <c r="A107" s="27" t="s">
        <v>880</v>
      </c>
      <c r="B107" s="27"/>
      <c r="C107" s="27">
        <f>_xlfn.XLOOKUP(STATS[[#This Row],[FinanceCode]],FC[FinanceCode],FC[London Weighting]," ")</f>
        <v>0</v>
      </c>
      <c r="D107" s="27"/>
      <c r="E107" s="3"/>
      <c r="F107" s="3" t="s">
        <v>1036</v>
      </c>
      <c r="G107" s="3" t="s">
        <v>39</v>
      </c>
      <c r="H107" s="3" t="s">
        <v>51</v>
      </c>
      <c r="I107" s="3" t="s">
        <v>51</v>
      </c>
      <c r="J107" s="27"/>
      <c r="K107" s="11" t="s">
        <v>1172</v>
      </c>
      <c r="L107" s="16" t="s">
        <v>1124</v>
      </c>
      <c r="M107" s="3" t="s">
        <v>1302</v>
      </c>
      <c r="N107" s="3"/>
      <c r="O107" s="3"/>
      <c r="P107" s="3" t="b">
        <v>1</v>
      </c>
      <c r="Q107" s="3" t="s">
        <v>1497</v>
      </c>
      <c r="R107" s="4" t="b">
        <v>0</v>
      </c>
      <c r="S107" s="4"/>
    </row>
    <row r="108" spans="1:19" x14ac:dyDescent="0.3">
      <c r="A108" s="27" t="s">
        <v>880</v>
      </c>
      <c r="B108" s="27"/>
      <c r="C108" s="27">
        <f>_xlfn.XLOOKUP(STATS[[#This Row],[FinanceCode]],FC[FinanceCode],FC[London Weighting]," ")</f>
        <v>0</v>
      </c>
      <c r="D108" s="27"/>
      <c r="E108" s="3"/>
      <c r="F108" s="3" t="s">
        <v>1038</v>
      </c>
      <c r="G108" s="3" t="s">
        <v>39</v>
      </c>
      <c r="H108" s="3" t="s">
        <v>51</v>
      </c>
      <c r="I108" s="3" t="s">
        <v>51</v>
      </c>
      <c r="J108" s="27"/>
      <c r="K108" s="11" t="s">
        <v>1172</v>
      </c>
      <c r="L108" s="16" t="s">
        <v>1124</v>
      </c>
      <c r="M108" s="3" t="s">
        <v>1401</v>
      </c>
      <c r="N108" s="3"/>
      <c r="O108" s="3"/>
      <c r="P108" s="3" t="b">
        <v>1</v>
      </c>
      <c r="Q108" s="3" t="s">
        <v>1497</v>
      </c>
      <c r="R108" s="4" t="b">
        <v>0</v>
      </c>
      <c r="S108" s="4"/>
    </row>
    <row r="109" spans="1:19" x14ac:dyDescent="0.3">
      <c r="A109" s="27" t="s">
        <v>880</v>
      </c>
      <c r="B109" s="27"/>
      <c r="C109" s="27">
        <f>_xlfn.XLOOKUP(STATS[[#This Row],[FinanceCode]],FC[FinanceCode],FC[London Weighting]," ")</f>
        <v>0</v>
      </c>
      <c r="D109" s="27"/>
      <c r="E109" s="3"/>
      <c r="F109" s="3" t="s">
        <v>1054</v>
      </c>
      <c r="G109" s="3" t="s">
        <v>39</v>
      </c>
      <c r="H109" s="3" t="s">
        <v>51</v>
      </c>
      <c r="I109" s="3" t="s">
        <v>51</v>
      </c>
      <c r="J109" s="27"/>
      <c r="K109" s="11"/>
      <c r="L109" s="16" t="s">
        <v>1124</v>
      </c>
      <c r="M109" s="3" t="s">
        <v>2064</v>
      </c>
      <c r="N109" s="3" t="s">
        <v>1685</v>
      </c>
      <c r="O109" s="3"/>
      <c r="P109" s="3" t="b">
        <v>1</v>
      </c>
      <c r="Q109" s="3" t="s">
        <v>1394</v>
      </c>
      <c r="R109" s="4" t="b">
        <v>0</v>
      </c>
      <c r="S109" s="4">
        <v>3</v>
      </c>
    </row>
    <row r="110" spans="1:19" x14ac:dyDescent="0.3">
      <c r="A110" s="27" t="s">
        <v>880</v>
      </c>
      <c r="B110" s="27"/>
      <c r="C110" s="27">
        <f>_xlfn.XLOOKUP(STATS[[#This Row],[FinanceCode]],FC[FinanceCode],FC[London Weighting]," ")</f>
        <v>0</v>
      </c>
      <c r="D110" s="27"/>
      <c r="E110" s="3"/>
      <c r="F110" s="3" t="s">
        <v>1054</v>
      </c>
      <c r="G110" s="3" t="s">
        <v>39</v>
      </c>
      <c r="H110" s="3" t="s">
        <v>51</v>
      </c>
      <c r="I110" s="3" t="s">
        <v>51</v>
      </c>
      <c r="J110" s="27"/>
      <c r="K110" s="11"/>
      <c r="L110" s="16" t="s">
        <v>1124</v>
      </c>
      <c r="M110" s="3" t="s">
        <v>2064</v>
      </c>
      <c r="N110" s="3" t="s">
        <v>1685</v>
      </c>
      <c r="O110" s="3"/>
      <c r="P110" s="3" t="b">
        <v>1</v>
      </c>
      <c r="Q110" s="3" t="s">
        <v>1410</v>
      </c>
      <c r="R110" s="4" t="b">
        <v>0</v>
      </c>
      <c r="S110" s="4">
        <v>3.5</v>
      </c>
    </row>
    <row r="111" spans="1:19" x14ac:dyDescent="0.3">
      <c r="A111" s="27" t="s">
        <v>880</v>
      </c>
      <c r="B111" s="27"/>
      <c r="C111" s="27">
        <f>_xlfn.XLOOKUP(STATS[[#This Row],[FinanceCode]],FC[FinanceCode],FC[London Weighting]," ")</f>
        <v>0</v>
      </c>
      <c r="D111" s="27"/>
      <c r="E111" s="3"/>
      <c r="F111" s="3" t="s">
        <v>1054</v>
      </c>
      <c r="G111" s="3" t="s">
        <v>39</v>
      </c>
      <c r="H111" s="3" t="s">
        <v>51</v>
      </c>
      <c r="I111" s="3" t="s">
        <v>51</v>
      </c>
      <c r="J111" s="27"/>
      <c r="K111" s="11"/>
      <c r="L111" s="16" t="s">
        <v>1124</v>
      </c>
      <c r="M111" s="3" t="s">
        <v>2064</v>
      </c>
      <c r="N111" s="3" t="s">
        <v>1685</v>
      </c>
      <c r="O111" s="3"/>
      <c r="P111" s="3" t="b">
        <v>1</v>
      </c>
      <c r="Q111" s="3" t="s">
        <v>1497</v>
      </c>
      <c r="R111" s="4" t="b">
        <v>0</v>
      </c>
      <c r="S111" s="4">
        <v>2.2999999999999998</v>
      </c>
    </row>
    <row r="112" spans="1:19" x14ac:dyDescent="0.3">
      <c r="A112" s="27" t="s">
        <v>880</v>
      </c>
      <c r="B112" s="27"/>
      <c r="C112" s="27">
        <f>_xlfn.XLOOKUP(STATS[[#This Row],[FinanceCode]],FC[FinanceCode],FC[London Weighting]," ")</f>
        <v>0</v>
      </c>
      <c r="D112" s="27"/>
      <c r="E112" s="3"/>
      <c r="F112" s="3" t="s">
        <v>1054</v>
      </c>
      <c r="G112" s="3" t="s">
        <v>39</v>
      </c>
      <c r="H112" s="3" t="s">
        <v>51</v>
      </c>
      <c r="I112" s="3" t="s">
        <v>51</v>
      </c>
      <c r="J112" s="27"/>
      <c r="K112" s="11"/>
      <c r="L112" s="16" t="s">
        <v>1124</v>
      </c>
      <c r="M112" s="3" t="s">
        <v>2064</v>
      </c>
      <c r="N112" s="3" t="s">
        <v>1685</v>
      </c>
      <c r="O112" s="3"/>
      <c r="P112" s="3" t="b">
        <v>1</v>
      </c>
      <c r="Q112" s="3" t="s">
        <v>1499</v>
      </c>
      <c r="R112" s="4" t="b">
        <v>0</v>
      </c>
      <c r="S112" s="4">
        <v>2.9</v>
      </c>
    </row>
    <row r="113" spans="1:19" x14ac:dyDescent="0.3">
      <c r="A113" s="27" t="s">
        <v>880</v>
      </c>
      <c r="B113" s="27"/>
      <c r="C113" s="27">
        <f>_xlfn.XLOOKUP(STATS[[#This Row],[FinanceCode]],FC[FinanceCode],FC[London Weighting]," ")</f>
        <v>0</v>
      </c>
      <c r="D113" s="27"/>
      <c r="E113" s="3"/>
      <c r="F113" s="3" t="s">
        <v>2059</v>
      </c>
      <c r="G113" s="3" t="s">
        <v>39</v>
      </c>
      <c r="H113" s="3" t="s">
        <v>51</v>
      </c>
      <c r="I113" s="3" t="s">
        <v>51</v>
      </c>
      <c r="J113" s="27"/>
      <c r="K113" s="11" t="s">
        <v>1172</v>
      </c>
      <c r="L113" s="16" t="s">
        <v>1124</v>
      </c>
      <c r="M113" s="3" t="s">
        <v>2063</v>
      </c>
      <c r="N113" s="3"/>
      <c r="O113" s="3"/>
      <c r="P113" s="3" t="b">
        <v>1</v>
      </c>
      <c r="Q113" s="3" t="s">
        <v>1497</v>
      </c>
      <c r="R113" s="4" t="b">
        <v>0</v>
      </c>
      <c r="S113" s="4"/>
    </row>
    <row r="114" spans="1:19" x14ac:dyDescent="0.3">
      <c r="A114" s="27" t="s">
        <v>880</v>
      </c>
      <c r="B114" s="27"/>
      <c r="C114" s="27">
        <f>_xlfn.XLOOKUP(STATS[[#This Row],[FinanceCode]],FC[FinanceCode],FC[London Weighting]," ")</f>
        <v>0</v>
      </c>
      <c r="D114" s="27"/>
      <c r="E114" s="3"/>
      <c r="F114" s="3" t="s">
        <v>2058</v>
      </c>
      <c r="G114" s="3" t="s">
        <v>39</v>
      </c>
      <c r="H114" s="3" t="s">
        <v>51</v>
      </c>
      <c r="I114" s="3" t="s">
        <v>51</v>
      </c>
      <c r="J114" s="27"/>
      <c r="K114" s="11" t="s">
        <v>1172</v>
      </c>
      <c r="L114" s="16" t="s">
        <v>1124</v>
      </c>
      <c r="M114" s="3" t="s">
        <v>2062</v>
      </c>
      <c r="N114" s="3"/>
      <c r="O114" s="3"/>
      <c r="P114" s="3" t="b">
        <v>1</v>
      </c>
      <c r="Q114" s="3" t="s">
        <v>1497</v>
      </c>
      <c r="R114" s="4" t="b">
        <v>0</v>
      </c>
      <c r="S114" s="4"/>
    </row>
    <row r="115" spans="1:19" x14ac:dyDescent="0.3">
      <c r="A115" s="27" t="s">
        <v>858</v>
      </c>
      <c r="B115" s="27" t="s">
        <v>1464</v>
      </c>
      <c r="C115" s="27">
        <f>_xlfn.XLOOKUP(STATS[[#This Row],[FinanceCode]],FC[FinanceCode],FC[London Weighting]," ")</f>
        <v>0</v>
      </c>
      <c r="D115" s="27" t="s">
        <v>1630</v>
      </c>
      <c r="E115" s="3"/>
      <c r="F115" s="1" t="s">
        <v>1758</v>
      </c>
      <c r="G115" s="3" t="s">
        <v>39</v>
      </c>
      <c r="H115" s="3" t="s">
        <v>51</v>
      </c>
      <c r="I115" s="3" t="s">
        <v>51</v>
      </c>
      <c r="J115" s="27"/>
      <c r="K115" s="11" t="s">
        <v>1036</v>
      </c>
      <c r="L115" s="16" t="s">
        <v>1124</v>
      </c>
      <c r="M115" s="3" t="s">
        <v>1545</v>
      </c>
      <c r="N115" s="3" t="s">
        <v>1658</v>
      </c>
      <c r="O115" s="3"/>
      <c r="P115" s="3" t="b">
        <v>1</v>
      </c>
      <c r="Q115" s="3" t="s">
        <v>1497</v>
      </c>
      <c r="R115" s="4" t="b">
        <v>0</v>
      </c>
      <c r="S115" s="4"/>
    </row>
    <row r="116" spans="1:19" x14ac:dyDescent="0.3">
      <c r="A116" s="27" t="s">
        <v>858</v>
      </c>
      <c r="B116" s="27" t="s">
        <v>1466</v>
      </c>
      <c r="C116" s="27">
        <f>_xlfn.XLOOKUP(STATS[[#This Row],[FinanceCode]],FC[FinanceCode],FC[London Weighting]," ")</f>
        <v>0</v>
      </c>
      <c r="D116" s="27" t="s">
        <v>1630</v>
      </c>
      <c r="E116" s="3"/>
      <c r="F116" s="1" t="s">
        <v>1758</v>
      </c>
      <c r="G116" s="3" t="s">
        <v>39</v>
      </c>
      <c r="H116" s="3" t="s">
        <v>51</v>
      </c>
      <c r="I116" s="3" t="s">
        <v>51</v>
      </c>
      <c r="J116" s="27"/>
      <c r="K116" s="11" t="s">
        <v>1036</v>
      </c>
      <c r="L116" s="16" t="s">
        <v>1124</v>
      </c>
      <c r="M116" s="3" t="s">
        <v>1545</v>
      </c>
      <c r="N116" s="3" t="s">
        <v>1658</v>
      </c>
      <c r="O116" s="3"/>
      <c r="P116" s="3" t="b">
        <v>1</v>
      </c>
      <c r="Q116" s="3" t="s">
        <v>1497</v>
      </c>
      <c r="R116" s="4" t="b">
        <v>0</v>
      </c>
      <c r="S116" s="4"/>
    </row>
    <row r="117" spans="1:19" x14ac:dyDescent="0.3">
      <c r="A117" s="27" t="s">
        <v>858</v>
      </c>
      <c r="B117" s="27" t="s">
        <v>1467</v>
      </c>
      <c r="C117" s="27">
        <f>_xlfn.XLOOKUP(STATS[[#This Row],[FinanceCode]],FC[FinanceCode],FC[London Weighting]," ")</f>
        <v>0</v>
      </c>
      <c r="D117" s="27" t="s">
        <v>1630</v>
      </c>
      <c r="E117" s="3"/>
      <c r="F117" s="1" t="s">
        <v>1758</v>
      </c>
      <c r="G117" s="3" t="s">
        <v>39</v>
      </c>
      <c r="H117" s="3" t="s">
        <v>51</v>
      </c>
      <c r="I117" s="3" t="s">
        <v>51</v>
      </c>
      <c r="J117" s="27"/>
      <c r="K117" s="11" t="s">
        <v>1036</v>
      </c>
      <c r="L117" s="16" t="s">
        <v>1124</v>
      </c>
      <c r="M117" s="3" t="s">
        <v>1545</v>
      </c>
      <c r="N117" s="3" t="s">
        <v>1658</v>
      </c>
      <c r="O117" s="3"/>
      <c r="P117" s="3" t="b">
        <v>1</v>
      </c>
      <c r="Q117" s="3" t="s">
        <v>1497</v>
      </c>
      <c r="R117" s="4" t="b">
        <v>0</v>
      </c>
      <c r="S117" s="4"/>
    </row>
    <row r="118" spans="1:19" x14ac:dyDescent="0.3">
      <c r="A118" s="27" t="s">
        <v>858</v>
      </c>
      <c r="B118" s="27" t="s">
        <v>1468</v>
      </c>
      <c r="C118" s="27">
        <f>_xlfn.XLOOKUP(STATS[[#This Row],[FinanceCode]],FC[FinanceCode],FC[London Weighting]," ")</f>
        <v>0</v>
      </c>
      <c r="D118" s="27" t="s">
        <v>1630</v>
      </c>
      <c r="E118" s="3"/>
      <c r="F118" s="1" t="s">
        <v>1758</v>
      </c>
      <c r="G118" s="3" t="s">
        <v>39</v>
      </c>
      <c r="H118" s="3" t="s">
        <v>51</v>
      </c>
      <c r="I118" s="3" t="s">
        <v>51</v>
      </c>
      <c r="J118" s="27"/>
      <c r="K118" s="11" t="s">
        <v>1036</v>
      </c>
      <c r="L118" s="16" t="s">
        <v>1124</v>
      </c>
      <c r="M118" s="3" t="s">
        <v>1545</v>
      </c>
      <c r="N118" s="3" t="s">
        <v>1658</v>
      </c>
      <c r="O118" s="3"/>
      <c r="P118" s="3" t="b">
        <v>1</v>
      </c>
      <c r="Q118" s="3" t="s">
        <v>1497</v>
      </c>
      <c r="R118" s="4" t="b">
        <v>0</v>
      </c>
      <c r="S118" s="4"/>
    </row>
    <row r="119" spans="1:19" x14ac:dyDescent="0.3">
      <c r="A119" s="27" t="s">
        <v>858</v>
      </c>
      <c r="B119" s="27" t="s">
        <v>1469</v>
      </c>
      <c r="C119" s="27">
        <f>_xlfn.XLOOKUP(STATS[[#This Row],[FinanceCode]],FC[FinanceCode],FC[London Weighting]," ")</f>
        <v>0</v>
      </c>
      <c r="D119" s="27" t="s">
        <v>1630</v>
      </c>
      <c r="E119" s="3"/>
      <c r="F119" s="1" t="s">
        <v>1758</v>
      </c>
      <c r="G119" s="3" t="s">
        <v>39</v>
      </c>
      <c r="H119" s="3" t="s">
        <v>51</v>
      </c>
      <c r="I119" s="3" t="s">
        <v>51</v>
      </c>
      <c r="J119" s="27"/>
      <c r="K119" s="11" t="s">
        <v>1036</v>
      </c>
      <c r="L119" s="16" t="s">
        <v>1124</v>
      </c>
      <c r="M119" s="3" t="s">
        <v>1545</v>
      </c>
      <c r="N119" s="3" t="s">
        <v>1658</v>
      </c>
      <c r="O119" s="3"/>
      <c r="P119" s="3" t="b">
        <v>1</v>
      </c>
      <c r="Q119" s="3" t="s">
        <v>1497</v>
      </c>
      <c r="R119" s="4" t="b">
        <v>0</v>
      </c>
      <c r="S119" s="4"/>
    </row>
    <row r="120" spans="1:19" x14ac:dyDescent="0.3">
      <c r="A120" s="27" t="s">
        <v>858</v>
      </c>
      <c r="B120" s="27" t="s">
        <v>1470</v>
      </c>
      <c r="C120" s="27">
        <f>_xlfn.XLOOKUP(STATS[[#This Row],[FinanceCode]],FC[FinanceCode],FC[London Weighting]," ")</f>
        <v>0</v>
      </c>
      <c r="D120" s="27" t="s">
        <v>1630</v>
      </c>
      <c r="E120" s="3"/>
      <c r="F120" s="1" t="s">
        <v>1758</v>
      </c>
      <c r="G120" s="3" t="s">
        <v>39</v>
      </c>
      <c r="H120" s="3" t="s">
        <v>51</v>
      </c>
      <c r="I120" s="3" t="s">
        <v>51</v>
      </c>
      <c r="J120" s="27"/>
      <c r="K120" s="11" t="s">
        <v>1036</v>
      </c>
      <c r="L120" s="16" t="s">
        <v>1124</v>
      </c>
      <c r="M120" s="3" t="s">
        <v>1545</v>
      </c>
      <c r="N120" s="3" t="s">
        <v>1658</v>
      </c>
      <c r="O120" s="3"/>
      <c r="P120" s="3" t="b">
        <v>1</v>
      </c>
      <c r="Q120" s="3" t="s">
        <v>1497</v>
      </c>
      <c r="R120" s="4" t="b">
        <v>0</v>
      </c>
      <c r="S120" s="4"/>
    </row>
    <row r="121" spans="1:19" x14ac:dyDescent="0.3">
      <c r="A121" s="27" t="s">
        <v>858</v>
      </c>
      <c r="B121" s="27" t="s">
        <v>1934</v>
      </c>
      <c r="C121" s="27">
        <v>0</v>
      </c>
      <c r="D121" s="27" t="s">
        <v>1630</v>
      </c>
      <c r="E121" s="3"/>
      <c r="F121" s="1" t="s">
        <v>1758</v>
      </c>
      <c r="G121" s="3" t="s">
        <v>39</v>
      </c>
      <c r="H121" s="3" t="s">
        <v>51</v>
      </c>
      <c r="I121" s="3" t="s">
        <v>51</v>
      </c>
      <c r="J121" s="27"/>
      <c r="K121" s="11" t="s">
        <v>1036</v>
      </c>
      <c r="L121" s="16" t="s">
        <v>1124</v>
      </c>
      <c r="M121" s="3" t="s">
        <v>1545</v>
      </c>
      <c r="N121" s="3" t="s">
        <v>1658</v>
      </c>
      <c r="O121" s="3"/>
      <c r="P121" s="3" t="b">
        <v>1</v>
      </c>
      <c r="Q121" s="3" t="s">
        <v>1497</v>
      </c>
      <c r="R121" s="4" t="b">
        <v>0</v>
      </c>
      <c r="S121" s="4"/>
    </row>
    <row r="122" spans="1:19" x14ac:dyDescent="0.3">
      <c r="A122" s="27" t="s">
        <v>858</v>
      </c>
      <c r="B122" s="27" t="s">
        <v>1935</v>
      </c>
      <c r="C122" s="27">
        <v>0</v>
      </c>
      <c r="D122" s="27" t="s">
        <v>1630</v>
      </c>
      <c r="E122" s="3"/>
      <c r="F122" s="1" t="s">
        <v>1758</v>
      </c>
      <c r="G122" s="3" t="s">
        <v>39</v>
      </c>
      <c r="H122" s="3" t="s">
        <v>51</v>
      </c>
      <c r="I122" s="3" t="s">
        <v>51</v>
      </c>
      <c r="J122" s="27"/>
      <c r="K122" s="11" t="s">
        <v>1036</v>
      </c>
      <c r="L122" s="16" t="s">
        <v>1124</v>
      </c>
      <c r="M122" s="3" t="s">
        <v>1545</v>
      </c>
      <c r="N122" s="3" t="s">
        <v>1658</v>
      </c>
      <c r="O122" s="3"/>
      <c r="P122" s="3" t="b">
        <v>1</v>
      </c>
      <c r="Q122" s="3" t="s">
        <v>1497</v>
      </c>
      <c r="R122" s="4" t="b">
        <v>0</v>
      </c>
      <c r="S122" s="4"/>
    </row>
    <row r="123" spans="1:19" x14ac:dyDescent="0.3">
      <c r="A123" s="27" t="s">
        <v>858</v>
      </c>
      <c r="B123" s="27" t="s">
        <v>1936</v>
      </c>
      <c r="C123" s="27">
        <v>0</v>
      </c>
      <c r="D123" s="27" t="s">
        <v>1630</v>
      </c>
      <c r="E123" s="3"/>
      <c r="F123" s="1" t="s">
        <v>1758</v>
      </c>
      <c r="G123" s="3" t="s">
        <v>39</v>
      </c>
      <c r="H123" s="3" t="s">
        <v>51</v>
      </c>
      <c r="I123" s="3" t="s">
        <v>51</v>
      </c>
      <c r="J123" s="27"/>
      <c r="K123" s="11" t="s">
        <v>1036</v>
      </c>
      <c r="L123" s="16" t="s">
        <v>1124</v>
      </c>
      <c r="M123" s="3" t="s">
        <v>1545</v>
      </c>
      <c r="N123" s="3" t="s">
        <v>1658</v>
      </c>
      <c r="O123" s="3"/>
      <c r="P123" s="3" t="b">
        <v>1</v>
      </c>
      <c r="Q123" s="3" t="s">
        <v>1497</v>
      </c>
      <c r="R123" s="4" t="b">
        <v>0</v>
      </c>
      <c r="S123" s="4"/>
    </row>
    <row r="124" spans="1:19" x14ac:dyDescent="0.3">
      <c r="A124" s="27" t="s">
        <v>858</v>
      </c>
      <c r="B124" s="27" t="s">
        <v>1937</v>
      </c>
      <c r="C124" s="27">
        <v>0</v>
      </c>
      <c r="D124" s="27" t="s">
        <v>1630</v>
      </c>
      <c r="E124" s="3"/>
      <c r="F124" s="1" t="s">
        <v>1758</v>
      </c>
      <c r="G124" s="3" t="s">
        <v>39</v>
      </c>
      <c r="H124" s="3" t="s">
        <v>51</v>
      </c>
      <c r="I124" s="3" t="s">
        <v>51</v>
      </c>
      <c r="J124" s="27"/>
      <c r="K124" s="11" t="s">
        <v>1036</v>
      </c>
      <c r="L124" s="16" t="s">
        <v>1124</v>
      </c>
      <c r="M124" s="3" t="s">
        <v>1545</v>
      </c>
      <c r="N124" s="3" t="s">
        <v>1658</v>
      </c>
      <c r="O124" s="3"/>
      <c r="P124" s="3" t="b">
        <v>1</v>
      </c>
      <c r="Q124" s="3" t="s">
        <v>1497</v>
      </c>
      <c r="R124" s="4" t="b">
        <v>0</v>
      </c>
      <c r="S124" s="4"/>
    </row>
    <row r="125" spans="1:19" x14ac:dyDescent="0.3">
      <c r="A125" s="27" t="s">
        <v>858</v>
      </c>
      <c r="B125" s="27" t="s">
        <v>1938</v>
      </c>
      <c r="C125" s="27">
        <v>0</v>
      </c>
      <c r="D125" s="27" t="s">
        <v>1630</v>
      </c>
      <c r="E125" s="3"/>
      <c r="F125" s="1" t="s">
        <v>1758</v>
      </c>
      <c r="G125" s="3" t="s">
        <v>39</v>
      </c>
      <c r="H125" s="3" t="s">
        <v>51</v>
      </c>
      <c r="I125" s="3" t="s">
        <v>51</v>
      </c>
      <c r="J125" s="27"/>
      <c r="K125" s="11" t="s">
        <v>1036</v>
      </c>
      <c r="L125" s="16" t="s">
        <v>1124</v>
      </c>
      <c r="M125" s="3" t="s">
        <v>1545</v>
      </c>
      <c r="N125" s="3" t="s">
        <v>1658</v>
      </c>
      <c r="O125" s="3"/>
      <c r="P125" s="3" t="b">
        <v>1</v>
      </c>
      <c r="Q125" s="3" t="s">
        <v>1497</v>
      </c>
      <c r="R125" s="4" t="b">
        <v>0</v>
      </c>
      <c r="S125" s="4"/>
    </row>
    <row r="126" spans="1:19" x14ac:dyDescent="0.3">
      <c r="A126" s="27" t="s">
        <v>858</v>
      </c>
      <c r="B126" s="27" t="s">
        <v>1939</v>
      </c>
      <c r="C126" s="27">
        <v>0</v>
      </c>
      <c r="D126" s="27" t="s">
        <v>1630</v>
      </c>
      <c r="E126" s="3"/>
      <c r="F126" s="1" t="s">
        <v>1758</v>
      </c>
      <c r="G126" s="3" t="s">
        <v>39</v>
      </c>
      <c r="H126" s="3" t="s">
        <v>51</v>
      </c>
      <c r="I126" s="3" t="s">
        <v>51</v>
      </c>
      <c r="J126" s="27"/>
      <c r="K126" s="11" t="s">
        <v>1036</v>
      </c>
      <c r="L126" s="16" t="s">
        <v>1124</v>
      </c>
      <c r="M126" s="3" t="s">
        <v>1545</v>
      </c>
      <c r="N126" s="3" t="s">
        <v>1658</v>
      </c>
      <c r="O126" s="3"/>
      <c r="P126" s="3" t="b">
        <v>1</v>
      </c>
      <c r="Q126" s="3" t="s">
        <v>1497</v>
      </c>
      <c r="R126" s="4" t="b">
        <v>0</v>
      </c>
      <c r="S126" s="4"/>
    </row>
    <row r="127" spans="1:19" x14ac:dyDescent="0.3">
      <c r="A127" s="27" t="s">
        <v>2177</v>
      </c>
      <c r="B127" s="27"/>
      <c r="C127" s="27">
        <v>0</v>
      </c>
      <c r="D127" s="27"/>
      <c r="E127" s="3"/>
      <c r="F127" s="3" t="s">
        <v>1003</v>
      </c>
      <c r="G127" s="3" t="s">
        <v>39</v>
      </c>
      <c r="H127" s="3" t="s">
        <v>51</v>
      </c>
      <c r="I127" s="3" t="s">
        <v>51</v>
      </c>
      <c r="J127" s="27"/>
      <c r="K127" s="11" t="s">
        <v>1172</v>
      </c>
      <c r="L127" s="16" t="s">
        <v>1124</v>
      </c>
      <c r="M127" s="3" t="s">
        <v>1004</v>
      </c>
      <c r="N127" s="3" t="s">
        <v>1663</v>
      </c>
      <c r="O127" s="3"/>
      <c r="P127" s="3" t="b">
        <v>1</v>
      </c>
      <c r="Q127" s="3" t="s">
        <v>1394</v>
      </c>
      <c r="R127" s="4" t="b">
        <v>0</v>
      </c>
      <c r="S127" s="4">
        <v>-11.25</v>
      </c>
    </row>
    <row r="128" spans="1:19" x14ac:dyDescent="0.3">
      <c r="A128" s="27" t="s">
        <v>2180</v>
      </c>
      <c r="B128" s="27"/>
      <c r="C128" s="27">
        <v>0</v>
      </c>
      <c r="D128" s="27"/>
      <c r="E128" s="3"/>
      <c r="F128" s="3" t="s">
        <v>1003</v>
      </c>
      <c r="G128" s="3" t="s">
        <v>39</v>
      </c>
      <c r="H128" s="3" t="s">
        <v>51</v>
      </c>
      <c r="I128" s="3" t="s">
        <v>51</v>
      </c>
      <c r="J128" s="27"/>
      <c r="K128" s="11" t="s">
        <v>1172</v>
      </c>
      <c r="L128" s="16" t="s">
        <v>1124</v>
      </c>
      <c r="M128" s="3" t="s">
        <v>1004</v>
      </c>
      <c r="N128" s="3" t="s">
        <v>1663</v>
      </c>
      <c r="O128" s="3"/>
      <c r="P128" s="3" t="b">
        <v>1</v>
      </c>
      <c r="Q128" s="3" t="s">
        <v>1394</v>
      </c>
      <c r="R128" s="4" t="b">
        <v>0</v>
      </c>
      <c r="S128" s="4">
        <v>-11.25</v>
      </c>
    </row>
    <row r="129" spans="1:19" x14ac:dyDescent="0.3">
      <c r="A129" s="27" t="s">
        <v>858</v>
      </c>
      <c r="B129" s="27" t="s">
        <v>1464</v>
      </c>
      <c r="C129" s="27">
        <f>_xlfn.XLOOKUP(STATS[[#This Row],[FinanceCode]],FC[FinanceCode],FC[London Weighting]," ")</f>
        <v>0</v>
      </c>
      <c r="D129" s="27" t="s">
        <v>1630</v>
      </c>
      <c r="E129" s="3"/>
      <c r="F129" s="1" t="s">
        <v>1761</v>
      </c>
      <c r="G129" s="3" t="s">
        <v>39</v>
      </c>
      <c r="H129" s="3" t="s">
        <v>51</v>
      </c>
      <c r="I129" s="3" t="s">
        <v>51</v>
      </c>
      <c r="J129" s="27"/>
      <c r="K129" s="11" t="s">
        <v>1036</v>
      </c>
      <c r="L129" s="16" t="s">
        <v>1124</v>
      </c>
      <c r="M129" s="3" t="s">
        <v>1546</v>
      </c>
      <c r="N129" s="3" t="s">
        <v>1670</v>
      </c>
      <c r="O129" s="3"/>
      <c r="P129" s="3" t="b">
        <v>1</v>
      </c>
      <c r="Q129" s="3" t="s">
        <v>1497</v>
      </c>
      <c r="R129" s="4" t="b">
        <v>0</v>
      </c>
      <c r="S129" s="4"/>
    </row>
    <row r="130" spans="1:19" x14ac:dyDescent="0.3">
      <c r="A130" s="27" t="s">
        <v>858</v>
      </c>
      <c r="B130" s="27" t="s">
        <v>1466</v>
      </c>
      <c r="C130" s="27">
        <f>_xlfn.XLOOKUP(STATS[[#This Row],[FinanceCode]],FC[FinanceCode],FC[London Weighting]," ")</f>
        <v>0</v>
      </c>
      <c r="D130" s="27" t="s">
        <v>1630</v>
      </c>
      <c r="E130" s="3"/>
      <c r="F130" s="1" t="s">
        <v>1761</v>
      </c>
      <c r="G130" s="3" t="s">
        <v>39</v>
      </c>
      <c r="H130" s="3" t="s">
        <v>51</v>
      </c>
      <c r="I130" s="3" t="s">
        <v>51</v>
      </c>
      <c r="J130" s="27"/>
      <c r="K130" s="11" t="s">
        <v>1036</v>
      </c>
      <c r="L130" s="16" t="s">
        <v>1124</v>
      </c>
      <c r="M130" s="3" t="s">
        <v>1546</v>
      </c>
      <c r="N130" s="3" t="s">
        <v>1670</v>
      </c>
      <c r="O130" s="3"/>
      <c r="P130" s="3" t="b">
        <v>1</v>
      </c>
      <c r="Q130" s="3" t="s">
        <v>1497</v>
      </c>
      <c r="R130" s="4" t="b">
        <v>0</v>
      </c>
      <c r="S130" s="4"/>
    </row>
    <row r="131" spans="1:19" x14ac:dyDescent="0.3">
      <c r="A131" s="27" t="s">
        <v>858</v>
      </c>
      <c r="B131" s="27" t="s">
        <v>1467</v>
      </c>
      <c r="C131" s="27">
        <f>_xlfn.XLOOKUP(STATS[[#This Row],[FinanceCode]],FC[FinanceCode],FC[London Weighting]," ")</f>
        <v>0</v>
      </c>
      <c r="D131" s="27" t="s">
        <v>1630</v>
      </c>
      <c r="E131" s="3"/>
      <c r="F131" s="1" t="s">
        <v>1761</v>
      </c>
      <c r="G131" s="3" t="s">
        <v>39</v>
      </c>
      <c r="H131" s="3" t="s">
        <v>51</v>
      </c>
      <c r="I131" s="3" t="s">
        <v>51</v>
      </c>
      <c r="J131" s="27"/>
      <c r="K131" s="11" t="s">
        <v>1036</v>
      </c>
      <c r="L131" s="16" t="s">
        <v>1124</v>
      </c>
      <c r="M131" s="3" t="s">
        <v>1546</v>
      </c>
      <c r="N131" s="3" t="s">
        <v>1670</v>
      </c>
      <c r="O131" s="3"/>
      <c r="P131" s="3" t="b">
        <v>1</v>
      </c>
      <c r="Q131" s="3" t="s">
        <v>1497</v>
      </c>
      <c r="R131" s="4" t="b">
        <v>0</v>
      </c>
      <c r="S131" s="4"/>
    </row>
    <row r="132" spans="1:19" x14ac:dyDescent="0.3">
      <c r="A132" s="27" t="s">
        <v>858</v>
      </c>
      <c r="B132" s="27" t="s">
        <v>1468</v>
      </c>
      <c r="C132" s="27">
        <f>_xlfn.XLOOKUP(STATS[[#This Row],[FinanceCode]],FC[FinanceCode],FC[London Weighting]," ")</f>
        <v>0</v>
      </c>
      <c r="D132" s="27" t="s">
        <v>1630</v>
      </c>
      <c r="E132" s="3"/>
      <c r="F132" s="1" t="s">
        <v>1761</v>
      </c>
      <c r="G132" s="3" t="s">
        <v>39</v>
      </c>
      <c r="H132" s="3" t="s">
        <v>51</v>
      </c>
      <c r="I132" s="3" t="s">
        <v>51</v>
      </c>
      <c r="J132" s="27"/>
      <c r="K132" s="11" t="s">
        <v>1036</v>
      </c>
      <c r="L132" s="16" t="s">
        <v>1124</v>
      </c>
      <c r="M132" s="3" t="s">
        <v>1546</v>
      </c>
      <c r="N132" s="3" t="s">
        <v>1670</v>
      </c>
      <c r="O132" s="3"/>
      <c r="P132" s="3" t="b">
        <v>1</v>
      </c>
      <c r="Q132" s="3" t="s">
        <v>1497</v>
      </c>
      <c r="R132" s="4" t="b">
        <v>0</v>
      </c>
      <c r="S132" s="4"/>
    </row>
    <row r="133" spans="1:19" x14ac:dyDescent="0.3">
      <c r="A133" s="27" t="s">
        <v>858</v>
      </c>
      <c r="B133" s="27" t="s">
        <v>1469</v>
      </c>
      <c r="C133" s="27">
        <f>_xlfn.XLOOKUP(STATS[[#This Row],[FinanceCode]],FC[FinanceCode],FC[London Weighting]," ")</f>
        <v>0</v>
      </c>
      <c r="D133" s="27" t="s">
        <v>1630</v>
      </c>
      <c r="E133" s="3"/>
      <c r="F133" s="1" t="s">
        <v>1761</v>
      </c>
      <c r="G133" s="3" t="s">
        <v>39</v>
      </c>
      <c r="H133" s="3" t="s">
        <v>51</v>
      </c>
      <c r="I133" s="3" t="s">
        <v>51</v>
      </c>
      <c r="J133" s="27"/>
      <c r="K133" s="11" t="s">
        <v>1036</v>
      </c>
      <c r="L133" s="16" t="s">
        <v>1124</v>
      </c>
      <c r="M133" s="3" t="s">
        <v>1546</v>
      </c>
      <c r="N133" s="3" t="s">
        <v>1670</v>
      </c>
      <c r="O133" s="3"/>
      <c r="P133" s="3" t="b">
        <v>1</v>
      </c>
      <c r="Q133" s="3" t="s">
        <v>1497</v>
      </c>
      <c r="R133" s="4" t="b">
        <v>0</v>
      </c>
      <c r="S133" s="4"/>
    </row>
    <row r="134" spans="1:19" x14ac:dyDescent="0.3">
      <c r="A134" s="27" t="s">
        <v>858</v>
      </c>
      <c r="B134" s="27" t="s">
        <v>1470</v>
      </c>
      <c r="C134" s="27">
        <f>_xlfn.XLOOKUP(STATS[[#This Row],[FinanceCode]],FC[FinanceCode],FC[London Weighting]," ")</f>
        <v>0</v>
      </c>
      <c r="D134" s="27" t="s">
        <v>1630</v>
      </c>
      <c r="E134" s="3"/>
      <c r="F134" s="1" t="s">
        <v>1761</v>
      </c>
      <c r="G134" s="3" t="s">
        <v>39</v>
      </c>
      <c r="H134" s="3" t="s">
        <v>51</v>
      </c>
      <c r="I134" s="3" t="s">
        <v>51</v>
      </c>
      <c r="J134" s="27"/>
      <c r="K134" s="11" t="s">
        <v>1036</v>
      </c>
      <c r="L134" s="16" t="s">
        <v>1124</v>
      </c>
      <c r="M134" s="3" t="s">
        <v>1546</v>
      </c>
      <c r="N134" s="3" t="s">
        <v>1670</v>
      </c>
      <c r="O134" s="3"/>
      <c r="P134" s="3" t="b">
        <v>1</v>
      </c>
      <c r="Q134" s="3" t="s">
        <v>1497</v>
      </c>
      <c r="R134" s="4" t="b">
        <v>0</v>
      </c>
      <c r="S134" s="4"/>
    </row>
    <row r="135" spans="1:19" x14ac:dyDescent="0.3">
      <c r="A135" s="27" t="s">
        <v>858</v>
      </c>
      <c r="B135" s="27" t="s">
        <v>1934</v>
      </c>
      <c r="C135" s="27">
        <v>0</v>
      </c>
      <c r="D135" s="27" t="s">
        <v>1630</v>
      </c>
      <c r="E135" s="3"/>
      <c r="F135" s="1" t="s">
        <v>1761</v>
      </c>
      <c r="G135" s="3" t="s">
        <v>39</v>
      </c>
      <c r="H135" s="3" t="s">
        <v>51</v>
      </c>
      <c r="I135" s="3" t="s">
        <v>51</v>
      </c>
      <c r="J135" s="27"/>
      <c r="K135" s="11" t="s">
        <v>1036</v>
      </c>
      <c r="L135" s="16" t="s">
        <v>1124</v>
      </c>
      <c r="M135" s="3" t="s">
        <v>1546</v>
      </c>
      <c r="N135" s="3" t="s">
        <v>1670</v>
      </c>
      <c r="O135" s="3"/>
      <c r="P135" s="3" t="b">
        <v>1</v>
      </c>
      <c r="Q135" s="3" t="s">
        <v>1497</v>
      </c>
      <c r="R135" s="4" t="b">
        <v>0</v>
      </c>
      <c r="S135" s="4"/>
    </row>
    <row r="136" spans="1:19" x14ac:dyDescent="0.3">
      <c r="A136" s="27" t="s">
        <v>858</v>
      </c>
      <c r="B136" s="27" t="s">
        <v>1935</v>
      </c>
      <c r="C136" s="27">
        <v>0</v>
      </c>
      <c r="D136" s="27" t="s">
        <v>1630</v>
      </c>
      <c r="E136" s="3"/>
      <c r="F136" s="1" t="s">
        <v>1761</v>
      </c>
      <c r="G136" s="3" t="s">
        <v>39</v>
      </c>
      <c r="H136" s="3" t="s">
        <v>51</v>
      </c>
      <c r="I136" s="3" t="s">
        <v>51</v>
      </c>
      <c r="J136" s="27"/>
      <c r="K136" s="11" t="s">
        <v>1036</v>
      </c>
      <c r="L136" s="16" t="s">
        <v>1124</v>
      </c>
      <c r="M136" s="3" t="s">
        <v>1546</v>
      </c>
      <c r="N136" s="3" t="s">
        <v>1670</v>
      </c>
      <c r="O136" s="3"/>
      <c r="P136" s="3" t="b">
        <v>1</v>
      </c>
      <c r="Q136" s="3" t="s">
        <v>1497</v>
      </c>
      <c r="R136" s="4" t="b">
        <v>0</v>
      </c>
      <c r="S136" s="4"/>
    </row>
    <row r="137" spans="1:19" x14ac:dyDescent="0.3">
      <c r="A137" s="27" t="s">
        <v>858</v>
      </c>
      <c r="B137" s="27" t="s">
        <v>1936</v>
      </c>
      <c r="C137" s="27">
        <v>0</v>
      </c>
      <c r="D137" s="27" t="s">
        <v>1630</v>
      </c>
      <c r="E137" s="3"/>
      <c r="F137" s="1" t="s">
        <v>1761</v>
      </c>
      <c r="G137" s="3" t="s">
        <v>39</v>
      </c>
      <c r="H137" s="3" t="s">
        <v>51</v>
      </c>
      <c r="I137" s="3" t="s">
        <v>51</v>
      </c>
      <c r="J137" s="27"/>
      <c r="K137" s="11" t="s">
        <v>1036</v>
      </c>
      <c r="L137" s="16" t="s">
        <v>1124</v>
      </c>
      <c r="M137" s="3" t="s">
        <v>1546</v>
      </c>
      <c r="N137" s="3" t="s">
        <v>1670</v>
      </c>
      <c r="O137" s="3"/>
      <c r="P137" s="3" t="b">
        <v>1</v>
      </c>
      <c r="Q137" s="3" t="s">
        <v>1497</v>
      </c>
      <c r="R137" s="4" t="b">
        <v>0</v>
      </c>
      <c r="S137" s="4"/>
    </row>
    <row r="138" spans="1:19" x14ac:dyDescent="0.3">
      <c r="A138" s="27" t="s">
        <v>858</v>
      </c>
      <c r="B138" s="27" t="s">
        <v>1937</v>
      </c>
      <c r="C138" s="27">
        <v>0</v>
      </c>
      <c r="D138" s="27" t="s">
        <v>1630</v>
      </c>
      <c r="E138" s="3"/>
      <c r="F138" s="1" t="s">
        <v>1761</v>
      </c>
      <c r="G138" s="3" t="s">
        <v>39</v>
      </c>
      <c r="H138" s="3" t="s">
        <v>51</v>
      </c>
      <c r="I138" s="3" t="s">
        <v>51</v>
      </c>
      <c r="J138" s="27"/>
      <c r="K138" s="11" t="s">
        <v>1036</v>
      </c>
      <c r="L138" s="16" t="s">
        <v>1124</v>
      </c>
      <c r="M138" s="3" t="s">
        <v>1546</v>
      </c>
      <c r="N138" s="3" t="s">
        <v>1670</v>
      </c>
      <c r="O138" s="3"/>
      <c r="P138" s="3" t="b">
        <v>1</v>
      </c>
      <c r="Q138" s="3" t="s">
        <v>1497</v>
      </c>
      <c r="R138" s="4" t="b">
        <v>0</v>
      </c>
      <c r="S138" s="4"/>
    </row>
    <row r="139" spans="1:19" x14ac:dyDescent="0.3">
      <c r="A139" s="27" t="s">
        <v>858</v>
      </c>
      <c r="B139" s="27" t="s">
        <v>1938</v>
      </c>
      <c r="C139" s="27">
        <v>0</v>
      </c>
      <c r="D139" s="27" t="s">
        <v>1630</v>
      </c>
      <c r="E139" s="3"/>
      <c r="F139" s="1" t="s">
        <v>1761</v>
      </c>
      <c r="G139" s="3" t="s">
        <v>39</v>
      </c>
      <c r="H139" s="3" t="s">
        <v>51</v>
      </c>
      <c r="I139" s="3" t="s">
        <v>51</v>
      </c>
      <c r="J139" s="27"/>
      <c r="K139" s="11" t="s">
        <v>1036</v>
      </c>
      <c r="L139" s="16" t="s">
        <v>1124</v>
      </c>
      <c r="M139" s="3" t="s">
        <v>1546</v>
      </c>
      <c r="N139" s="3" t="s">
        <v>1670</v>
      </c>
      <c r="O139" s="3"/>
      <c r="P139" s="3" t="b">
        <v>1</v>
      </c>
      <c r="Q139" s="3" t="s">
        <v>1497</v>
      </c>
      <c r="R139" s="4" t="b">
        <v>0</v>
      </c>
      <c r="S139" s="4"/>
    </row>
    <row r="140" spans="1:19" x14ac:dyDescent="0.3">
      <c r="A140" s="27" t="s">
        <v>858</v>
      </c>
      <c r="B140" s="27" t="s">
        <v>1939</v>
      </c>
      <c r="C140" s="27">
        <v>0</v>
      </c>
      <c r="D140" s="27" t="s">
        <v>1630</v>
      </c>
      <c r="E140" s="3"/>
      <c r="F140" s="1" t="s">
        <v>1761</v>
      </c>
      <c r="G140" s="3" t="s">
        <v>39</v>
      </c>
      <c r="H140" s="3" t="s">
        <v>51</v>
      </c>
      <c r="I140" s="3" t="s">
        <v>51</v>
      </c>
      <c r="J140" s="27"/>
      <c r="K140" s="11" t="s">
        <v>1036</v>
      </c>
      <c r="L140" s="16" t="s">
        <v>1124</v>
      </c>
      <c r="M140" s="3" t="s">
        <v>1546</v>
      </c>
      <c r="N140" s="3" t="s">
        <v>1670</v>
      </c>
      <c r="O140" s="3"/>
      <c r="P140" s="3" t="b">
        <v>1</v>
      </c>
      <c r="Q140" s="3" t="s">
        <v>1497</v>
      </c>
      <c r="R140" s="4" t="b">
        <v>0</v>
      </c>
      <c r="S140" s="4"/>
    </row>
    <row r="141" spans="1:19" x14ac:dyDescent="0.3">
      <c r="A141" s="27" t="s">
        <v>1548</v>
      </c>
      <c r="B141" s="27"/>
      <c r="C141" s="27">
        <f>_xlfn.XLOOKUP(STATS[[#This Row],[FinanceCode]],FC[FinanceCode],FC[London Weighting]," ")</f>
        <v>0</v>
      </c>
      <c r="D141" s="27"/>
      <c r="E141" s="3"/>
      <c r="F141" s="3" t="s">
        <v>1005</v>
      </c>
      <c r="G141" s="3" t="s">
        <v>39</v>
      </c>
      <c r="H141" s="3" t="s">
        <v>51</v>
      </c>
      <c r="I141" s="3" t="s">
        <v>51</v>
      </c>
      <c r="J141" s="27"/>
      <c r="K141" s="11" t="s">
        <v>1172</v>
      </c>
      <c r="L141" s="16" t="s">
        <v>1124</v>
      </c>
      <c r="M141" s="3" t="s">
        <v>1006</v>
      </c>
      <c r="N141" s="3" t="s">
        <v>1664</v>
      </c>
      <c r="O141" s="3"/>
      <c r="P141" s="3" t="b">
        <v>1</v>
      </c>
      <c r="Q141" s="3" t="s">
        <v>1394</v>
      </c>
      <c r="R141" s="4" t="b">
        <v>0</v>
      </c>
      <c r="S141" s="4">
        <v>-16.88</v>
      </c>
    </row>
    <row r="142" spans="1:19" x14ac:dyDescent="0.3">
      <c r="A142" s="27" t="s">
        <v>859</v>
      </c>
      <c r="B142" s="27"/>
      <c r="C142" s="27">
        <f>_xlfn.XLOOKUP(STATS[[#This Row],[FinanceCode]],FC[FinanceCode],FC[London Weighting]," ")</f>
        <v>0</v>
      </c>
      <c r="D142" s="27"/>
      <c r="E142" s="3"/>
      <c r="F142" s="3" t="s">
        <v>1005</v>
      </c>
      <c r="G142" s="3" t="s">
        <v>39</v>
      </c>
      <c r="H142" s="3" t="s">
        <v>51</v>
      </c>
      <c r="I142" s="3" t="s">
        <v>51</v>
      </c>
      <c r="J142" s="27"/>
      <c r="K142" s="11" t="s">
        <v>1172</v>
      </c>
      <c r="L142" s="16" t="s">
        <v>1124</v>
      </c>
      <c r="M142" s="3" t="s">
        <v>1006</v>
      </c>
      <c r="N142" s="3" t="s">
        <v>1664</v>
      </c>
      <c r="O142" s="3"/>
      <c r="P142" s="3" t="b">
        <v>1</v>
      </c>
      <c r="Q142" s="3" t="s">
        <v>1394</v>
      </c>
      <c r="R142" s="4" t="b">
        <v>0</v>
      </c>
      <c r="S142" s="4">
        <v>-16.88</v>
      </c>
    </row>
    <row r="143" spans="1:19" x14ac:dyDescent="0.3">
      <c r="A143" s="27" t="s">
        <v>858</v>
      </c>
      <c r="B143" s="27"/>
      <c r="C143" s="27">
        <v>0</v>
      </c>
      <c r="D143" s="27"/>
      <c r="E143" s="3"/>
      <c r="F143" s="3" t="s">
        <v>1023</v>
      </c>
      <c r="G143" s="3" t="s">
        <v>39</v>
      </c>
      <c r="H143" s="3" t="s">
        <v>51</v>
      </c>
      <c r="I143" s="3" t="s">
        <v>51</v>
      </c>
      <c r="J143" s="27"/>
      <c r="K143" s="11" t="s">
        <v>1172</v>
      </c>
      <c r="L143" s="16" t="s">
        <v>1124</v>
      </c>
      <c r="M143" s="3" t="s">
        <v>1024</v>
      </c>
      <c r="N143" s="3" t="s">
        <v>1673</v>
      </c>
      <c r="O143" s="3"/>
      <c r="P143" s="3" t="b">
        <v>1</v>
      </c>
      <c r="Q143" s="3" t="s">
        <v>1394</v>
      </c>
      <c r="R143" s="4" t="b">
        <v>0</v>
      </c>
      <c r="S143" s="4">
        <v>-1480</v>
      </c>
    </row>
    <row r="144" spans="1:19" x14ac:dyDescent="0.3">
      <c r="A144" s="27" t="s">
        <v>2178</v>
      </c>
      <c r="B144" s="27"/>
      <c r="C144" s="27">
        <v>0</v>
      </c>
      <c r="D144" s="27"/>
      <c r="E144" s="3"/>
      <c r="F144" s="3" t="s">
        <v>1023</v>
      </c>
      <c r="G144" s="3" t="s">
        <v>39</v>
      </c>
      <c r="H144" s="3" t="s">
        <v>51</v>
      </c>
      <c r="I144" s="3" t="s">
        <v>51</v>
      </c>
      <c r="J144" s="27"/>
      <c r="K144" s="11" t="s">
        <v>1172</v>
      </c>
      <c r="L144" s="16" t="s">
        <v>1124</v>
      </c>
      <c r="M144" s="3" t="s">
        <v>1024</v>
      </c>
      <c r="N144" s="3" t="s">
        <v>1673</v>
      </c>
      <c r="O144" s="3"/>
      <c r="P144" s="3" t="b">
        <v>1</v>
      </c>
      <c r="Q144" s="3" t="s">
        <v>1410</v>
      </c>
      <c r="R144" s="4" t="b">
        <v>0</v>
      </c>
      <c r="S144" s="4">
        <v>-1515</v>
      </c>
    </row>
    <row r="145" spans="1:19" x14ac:dyDescent="0.3">
      <c r="A145" s="27" t="s">
        <v>858</v>
      </c>
      <c r="B145" s="27"/>
      <c r="C145" s="27">
        <v>0</v>
      </c>
      <c r="D145" s="27"/>
      <c r="E145" s="3"/>
      <c r="F145" s="3" t="s">
        <v>1575</v>
      </c>
      <c r="G145" s="3" t="s">
        <v>39</v>
      </c>
      <c r="H145" s="3" t="s">
        <v>51</v>
      </c>
      <c r="I145" s="3" t="s">
        <v>51</v>
      </c>
      <c r="J145" s="27"/>
      <c r="K145" s="11" t="s">
        <v>1172</v>
      </c>
      <c r="L145" s="16" t="s">
        <v>1124</v>
      </c>
      <c r="M145" s="3" t="s">
        <v>1576</v>
      </c>
      <c r="N145" s="3"/>
      <c r="O145" s="3"/>
      <c r="P145" s="3" t="b">
        <v>1</v>
      </c>
      <c r="Q145" s="3" t="s">
        <v>1394</v>
      </c>
      <c r="R145" s="4" t="b">
        <v>0</v>
      </c>
      <c r="S145" s="4">
        <v>-480.7</v>
      </c>
    </row>
    <row r="146" spans="1:19" x14ac:dyDescent="0.3">
      <c r="A146" s="27" t="s">
        <v>858</v>
      </c>
      <c r="B146" s="27"/>
      <c r="C146" s="27">
        <v>0</v>
      </c>
      <c r="D146" s="27"/>
      <c r="E146" s="3"/>
      <c r="F146" s="3" t="s">
        <v>1575</v>
      </c>
      <c r="G146" s="3" t="s">
        <v>39</v>
      </c>
      <c r="H146" s="3" t="s">
        <v>51</v>
      </c>
      <c r="I146" s="3" t="s">
        <v>51</v>
      </c>
      <c r="J146" s="27"/>
      <c r="K146" s="11" t="s">
        <v>1172</v>
      </c>
      <c r="L146" s="16" t="s">
        <v>1124</v>
      </c>
      <c r="M146" s="3" t="s">
        <v>1576</v>
      </c>
      <c r="N146" s="3"/>
      <c r="O146" s="3"/>
      <c r="P146" s="3" t="b">
        <v>1</v>
      </c>
      <c r="Q146" s="3" t="s">
        <v>1410</v>
      </c>
      <c r="R146" s="4" t="b">
        <v>0</v>
      </c>
      <c r="S146" s="4">
        <v>-490.2</v>
      </c>
    </row>
    <row r="147" spans="1:19" x14ac:dyDescent="0.3">
      <c r="A147" s="27" t="s">
        <v>858</v>
      </c>
      <c r="B147" s="27"/>
      <c r="C147" s="27">
        <v>0</v>
      </c>
      <c r="D147" s="27"/>
      <c r="E147" s="3"/>
      <c r="F147" s="3" t="s">
        <v>1575</v>
      </c>
      <c r="G147" s="3" t="s">
        <v>39</v>
      </c>
      <c r="H147" s="3" t="s">
        <v>51</v>
      </c>
      <c r="I147" s="3" t="s">
        <v>51</v>
      </c>
      <c r="J147" s="27"/>
      <c r="K147" s="11" t="s">
        <v>1172</v>
      </c>
      <c r="L147" s="16" t="s">
        <v>1124</v>
      </c>
      <c r="M147" s="3" t="s">
        <v>1576</v>
      </c>
      <c r="N147" s="3"/>
      <c r="O147" s="3"/>
      <c r="P147" s="3" t="b">
        <v>1</v>
      </c>
      <c r="Q147" s="3" t="s">
        <v>1497</v>
      </c>
      <c r="R147" s="4" t="b">
        <v>0</v>
      </c>
      <c r="S147" s="4">
        <v>-495.9</v>
      </c>
    </row>
    <row r="148" spans="1:19" x14ac:dyDescent="0.3">
      <c r="A148" s="27" t="s">
        <v>858</v>
      </c>
      <c r="B148" s="27"/>
      <c r="C148" s="27">
        <v>0</v>
      </c>
      <c r="D148" s="27"/>
      <c r="E148" s="3"/>
      <c r="F148" s="3" t="s">
        <v>1573</v>
      </c>
      <c r="G148" s="3" t="s">
        <v>39</v>
      </c>
      <c r="H148" s="3" t="s">
        <v>51</v>
      </c>
      <c r="I148" s="3" t="s">
        <v>51</v>
      </c>
      <c r="J148" s="27"/>
      <c r="K148" s="3" t="s">
        <v>2036</v>
      </c>
      <c r="L148" s="16" t="s">
        <v>1124</v>
      </c>
      <c r="M148" s="3" t="s">
        <v>1577</v>
      </c>
      <c r="N148" s="3" t="s">
        <v>1677</v>
      </c>
      <c r="O148" s="3"/>
      <c r="P148" s="3" t="b">
        <v>1</v>
      </c>
      <c r="Q148" s="3" t="s">
        <v>1497</v>
      </c>
      <c r="R148" s="4" t="b">
        <v>1</v>
      </c>
      <c r="S148" s="4"/>
    </row>
    <row r="149" spans="1:19" x14ac:dyDescent="0.3">
      <c r="A149" s="27" t="s">
        <v>858</v>
      </c>
      <c r="B149" s="27"/>
      <c r="C149" s="27">
        <f>_xlfn.XLOOKUP(STATS[[#This Row],[FinanceCode]],FC[FinanceCode],FC[London Weighting]," ")</f>
        <v>0</v>
      </c>
      <c r="D149" s="27"/>
      <c r="E149" s="3"/>
      <c r="F149" s="3" t="s">
        <v>1050</v>
      </c>
      <c r="G149" s="3"/>
      <c r="H149" s="3" t="s">
        <v>51</v>
      </c>
      <c r="I149" s="3" t="s">
        <v>51</v>
      </c>
      <c r="J149" s="27"/>
      <c r="K149" s="11" t="s">
        <v>1242</v>
      </c>
      <c r="L149" s="16" t="s">
        <v>1124</v>
      </c>
      <c r="M149" s="3" t="s">
        <v>1400</v>
      </c>
      <c r="N149" s="3" t="s">
        <v>1679</v>
      </c>
      <c r="O149" s="3"/>
      <c r="P149" s="3" t="b">
        <v>1</v>
      </c>
      <c r="Q149" s="3" t="s">
        <v>1497</v>
      </c>
      <c r="R149" s="4" t="b">
        <v>1</v>
      </c>
      <c r="S149" s="4"/>
    </row>
    <row r="150" spans="1:19" x14ac:dyDescent="0.3">
      <c r="A150" s="27" t="s">
        <v>858</v>
      </c>
      <c r="B150" s="27"/>
      <c r="C150" s="27">
        <f>_xlfn.XLOOKUP(STATS[[#This Row],[FinanceCode]],FC[FinanceCode],FC[London Weighting]," ")</f>
        <v>0</v>
      </c>
      <c r="D150" s="27"/>
      <c r="E150" s="3"/>
      <c r="F150" s="3" t="s">
        <v>1048</v>
      </c>
      <c r="G150" s="3"/>
      <c r="H150" s="3" t="s">
        <v>51</v>
      </c>
      <c r="I150" s="3" t="s">
        <v>51</v>
      </c>
      <c r="J150" s="27"/>
      <c r="K150" s="11" t="s">
        <v>1244</v>
      </c>
      <c r="L150" s="16" t="s">
        <v>1124</v>
      </c>
      <c r="M150" s="3" t="s">
        <v>1399</v>
      </c>
      <c r="N150" s="3" t="s">
        <v>1680</v>
      </c>
      <c r="O150" s="3"/>
      <c r="P150" s="3" t="b">
        <v>1</v>
      </c>
      <c r="Q150" s="3" t="s">
        <v>1497</v>
      </c>
      <c r="R150" s="4" t="b">
        <v>1</v>
      </c>
      <c r="S150" s="4"/>
    </row>
    <row r="151" spans="1:19" x14ac:dyDescent="0.3">
      <c r="A151" s="27" t="s">
        <v>858</v>
      </c>
      <c r="B151" s="27"/>
      <c r="C151" s="27">
        <f>_xlfn.XLOOKUP(STATS[[#This Row],[FinanceCode]],FC[FinanceCode],FC[London Weighting]," ")</f>
        <v>0</v>
      </c>
      <c r="D151" s="27"/>
      <c r="E151" s="3"/>
      <c r="F151" s="3" t="s">
        <v>1042</v>
      </c>
      <c r="G151" s="3"/>
      <c r="H151" s="3" t="s">
        <v>51</v>
      </c>
      <c r="I151" s="3" t="s">
        <v>51</v>
      </c>
      <c r="J151" s="27"/>
      <c r="K151" s="11" t="s">
        <v>1248</v>
      </c>
      <c r="L151" s="16" t="s">
        <v>1124</v>
      </c>
      <c r="M151" s="3" t="s">
        <v>1397</v>
      </c>
      <c r="N151" s="3" t="s">
        <v>1681</v>
      </c>
      <c r="O151" s="3"/>
      <c r="P151" s="3" t="b">
        <v>1</v>
      </c>
      <c r="Q151" s="3" t="s">
        <v>1497</v>
      </c>
      <c r="R151" s="4" t="b">
        <v>1</v>
      </c>
      <c r="S151" s="4"/>
    </row>
    <row r="152" spans="1:19" x14ac:dyDescent="0.3">
      <c r="A152" s="27" t="s">
        <v>858</v>
      </c>
      <c r="B152" s="27"/>
      <c r="C152" s="27">
        <f>_xlfn.XLOOKUP(STATS[[#This Row],[FinanceCode]],FC[FinanceCode],FC[London Weighting]," ")</f>
        <v>0</v>
      </c>
      <c r="D152" s="27"/>
      <c r="E152" s="3"/>
      <c r="F152" s="3" t="s">
        <v>1044</v>
      </c>
      <c r="G152" s="3"/>
      <c r="H152" s="3" t="s">
        <v>51</v>
      </c>
      <c r="I152" s="3" t="s">
        <v>51</v>
      </c>
      <c r="J152" s="27"/>
      <c r="K152" s="11" t="s">
        <v>1250</v>
      </c>
      <c r="L152" s="16" t="s">
        <v>1124</v>
      </c>
      <c r="M152" s="3" t="s">
        <v>1403</v>
      </c>
      <c r="N152" s="3" t="s">
        <v>1682</v>
      </c>
      <c r="O152" s="3"/>
      <c r="P152" s="3" t="b">
        <v>1</v>
      </c>
      <c r="Q152" s="3" t="s">
        <v>1497</v>
      </c>
      <c r="R152" s="4" t="b">
        <v>1</v>
      </c>
      <c r="S152" s="4"/>
    </row>
    <row r="153" spans="1:19" x14ac:dyDescent="0.3">
      <c r="A153" s="27" t="s">
        <v>858</v>
      </c>
      <c r="B153" s="27"/>
      <c r="C153" s="27">
        <f>_xlfn.XLOOKUP(STATS[[#This Row],[FinanceCode]],FC[FinanceCode],FC[London Weighting]," ")</f>
        <v>0</v>
      </c>
      <c r="D153" s="27"/>
      <c r="E153" s="3"/>
      <c r="F153" s="3" t="s">
        <v>1046</v>
      </c>
      <c r="G153" s="3"/>
      <c r="H153" s="3" t="s">
        <v>51</v>
      </c>
      <c r="I153" s="3" t="s">
        <v>51</v>
      </c>
      <c r="J153" s="27"/>
      <c r="K153" s="11" t="s">
        <v>1252</v>
      </c>
      <c r="L153" s="16" t="s">
        <v>1124</v>
      </c>
      <c r="M153" s="3" t="s">
        <v>1398</v>
      </c>
      <c r="N153" s="3" t="s">
        <v>1684</v>
      </c>
      <c r="O153" s="3"/>
      <c r="P153" s="3" t="b">
        <v>1</v>
      </c>
      <c r="Q153" s="3" t="s">
        <v>1497</v>
      </c>
      <c r="R153" s="4" t="b">
        <v>1</v>
      </c>
      <c r="S153" s="4"/>
    </row>
    <row r="154" spans="1:19" x14ac:dyDescent="0.3">
      <c r="A154" s="27" t="s">
        <v>859</v>
      </c>
      <c r="B154" s="27" t="s">
        <v>1464</v>
      </c>
      <c r="C154" s="27">
        <f>_xlfn.XLOOKUP(STATS[[#This Row],[FinanceCode]],FC[FinanceCode],FC[London Weighting]," ")</f>
        <v>0</v>
      </c>
      <c r="D154" s="27" t="s">
        <v>1481</v>
      </c>
      <c r="E154" s="3"/>
      <c r="F154" s="1" t="s">
        <v>1759</v>
      </c>
      <c r="G154" s="3" t="s">
        <v>39</v>
      </c>
      <c r="H154" s="3" t="s">
        <v>51</v>
      </c>
      <c r="I154" s="3" t="s">
        <v>51</v>
      </c>
      <c r="J154" s="27"/>
      <c r="K154" s="11" t="s">
        <v>1036</v>
      </c>
      <c r="L154" s="16" t="s">
        <v>1124</v>
      </c>
      <c r="M154" s="3" t="s">
        <v>1543</v>
      </c>
      <c r="N154" s="3" t="s">
        <v>1656</v>
      </c>
      <c r="O154" s="3"/>
      <c r="P154" s="3" t="b">
        <v>1</v>
      </c>
      <c r="Q154" s="3" t="s">
        <v>1497</v>
      </c>
      <c r="R154" s="4" t="b">
        <v>0</v>
      </c>
      <c r="S154" s="4"/>
    </row>
    <row r="155" spans="1:19" x14ac:dyDescent="0.3">
      <c r="A155" s="27" t="s">
        <v>859</v>
      </c>
      <c r="B155" s="27" t="s">
        <v>1466</v>
      </c>
      <c r="C155" s="27">
        <f>_xlfn.XLOOKUP(STATS[[#This Row],[FinanceCode]],FC[FinanceCode],FC[London Weighting]," ")</f>
        <v>0</v>
      </c>
      <c r="D155" s="27" t="s">
        <v>1481</v>
      </c>
      <c r="E155" s="3"/>
      <c r="F155" s="1" t="s">
        <v>1759</v>
      </c>
      <c r="G155" s="3" t="s">
        <v>39</v>
      </c>
      <c r="H155" s="3" t="s">
        <v>51</v>
      </c>
      <c r="I155" s="3" t="s">
        <v>51</v>
      </c>
      <c r="J155" s="27"/>
      <c r="K155" s="11" t="s">
        <v>1036</v>
      </c>
      <c r="L155" s="16" t="s">
        <v>1124</v>
      </c>
      <c r="M155" s="3" t="s">
        <v>1543</v>
      </c>
      <c r="N155" s="3" t="s">
        <v>1656</v>
      </c>
      <c r="O155" s="3"/>
      <c r="P155" s="3" t="b">
        <v>1</v>
      </c>
      <c r="Q155" s="3" t="s">
        <v>1497</v>
      </c>
      <c r="R155" s="4" t="b">
        <v>0</v>
      </c>
      <c r="S155" s="4"/>
    </row>
    <row r="156" spans="1:19" x14ac:dyDescent="0.3">
      <c r="A156" s="27" t="s">
        <v>859</v>
      </c>
      <c r="B156" s="27" t="s">
        <v>1467</v>
      </c>
      <c r="C156" s="27">
        <f>_xlfn.XLOOKUP(STATS[[#This Row],[FinanceCode]],FC[FinanceCode],FC[London Weighting]," ")</f>
        <v>0</v>
      </c>
      <c r="D156" s="27" t="s">
        <v>1481</v>
      </c>
      <c r="E156" s="3"/>
      <c r="F156" s="1" t="s">
        <v>1759</v>
      </c>
      <c r="G156" s="3" t="s">
        <v>39</v>
      </c>
      <c r="H156" s="3" t="s">
        <v>51</v>
      </c>
      <c r="I156" s="3" t="s">
        <v>51</v>
      </c>
      <c r="J156" s="27"/>
      <c r="K156" s="11" t="s">
        <v>1036</v>
      </c>
      <c r="L156" s="16" t="s">
        <v>1124</v>
      </c>
      <c r="M156" s="3" t="s">
        <v>1543</v>
      </c>
      <c r="N156" s="3" t="s">
        <v>1656</v>
      </c>
      <c r="O156" s="3"/>
      <c r="P156" s="3" t="b">
        <v>1</v>
      </c>
      <c r="Q156" s="3" t="s">
        <v>1497</v>
      </c>
      <c r="R156" s="4" t="b">
        <v>0</v>
      </c>
      <c r="S156" s="4"/>
    </row>
    <row r="157" spans="1:19" x14ac:dyDescent="0.3">
      <c r="A157" s="27" t="s">
        <v>859</v>
      </c>
      <c r="B157" s="27" t="s">
        <v>1468</v>
      </c>
      <c r="C157" s="27">
        <f>_xlfn.XLOOKUP(STATS[[#This Row],[FinanceCode]],FC[FinanceCode],FC[London Weighting]," ")</f>
        <v>0</v>
      </c>
      <c r="D157" s="27" t="s">
        <v>1481</v>
      </c>
      <c r="E157" s="3"/>
      <c r="F157" s="1" t="s">
        <v>1759</v>
      </c>
      <c r="G157" s="3" t="s">
        <v>39</v>
      </c>
      <c r="H157" s="3" t="s">
        <v>51</v>
      </c>
      <c r="I157" s="3" t="s">
        <v>51</v>
      </c>
      <c r="J157" s="27"/>
      <c r="K157" s="11" t="s">
        <v>1036</v>
      </c>
      <c r="L157" s="16" t="s">
        <v>1124</v>
      </c>
      <c r="M157" s="3" t="s">
        <v>1543</v>
      </c>
      <c r="N157" s="3" t="s">
        <v>1656</v>
      </c>
      <c r="O157" s="3"/>
      <c r="P157" s="3" t="b">
        <v>1</v>
      </c>
      <c r="Q157" s="3" t="s">
        <v>1497</v>
      </c>
      <c r="R157" s="4" t="b">
        <v>0</v>
      </c>
      <c r="S157" s="4"/>
    </row>
    <row r="158" spans="1:19" x14ac:dyDescent="0.3">
      <c r="A158" s="27" t="s">
        <v>859</v>
      </c>
      <c r="B158" s="27" t="s">
        <v>1469</v>
      </c>
      <c r="C158" s="27">
        <f>_xlfn.XLOOKUP(STATS[[#This Row],[FinanceCode]],FC[FinanceCode],FC[London Weighting]," ")</f>
        <v>0</v>
      </c>
      <c r="D158" s="27" t="s">
        <v>1481</v>
      </c>
      <c r="E158" s="3"/>
      <c r="F158" s="1" t="s">
        <v>1759</v>
      </c>
      <c r="G158" s="3" t="s">
        <v>39</v>
      </c>
      <c r="H158" s="3" t="s">
        <v>51</v>
      </c>
      <c r="I158" s="3" t="s">
        <v>51</v>
      </c>
      <c r="J158" s="27"/>
      <c r="K158" s="11" t="s">
        <v>1036</v>
      </c>
      <c r="L158" s="16" t="s">
        <v>1124</v>
      </c>
      <c r="M158" s="3" t="s">
        <v>1543</v>
      </c>
      <c r="N158" s="3" t="s">
        <v>1656</v>
      </c>
      <c r="O158" s="3"/>
      <c r="P158" s="3" t="b">
        <v>1</v>
      </c>
      <c r="Q158" s="3" t="s">
        <v>1497</v>
      </c>
      <c r="R158" s="4" t="b">
        <v>0</v>
      </c>
      <c r="S158" s="4"/>
    </row>
    <row r="159" spans="1:19" x14ac:dyDescent="0.3">
      <c r="A159" s="27" t="s">
        <v>859</v>
      </c>
      <c r="B159" s="27" t="s">
        <v>1470</v>
      </c>
      <c r="C159" s="27">
        <f>_xlfn.XLOOKUP(STATS[[#This Row],[FinanceCode]],FC[FinanceCode],FC[London Weighting]," ")</f>
        <v>0</v>
      </c>
      <c r="D159" s="27" t="s">
        <v>1481</v>
      </c>
      <c r="E159" s="3"/>
      <c r="F159" s="1" t="s">
        <v>1759</v>
      </c>
      <c r="G159" s="3" t="s">
        <v>39</v>
      </c>
      <c r="H159" s="3" t="s">
        <v>51</v>
      </c>
      <c r="I159" s="3" t="s">
        <v>51</v>
      </c>
      <c r="J159" s="27"/>
      <c r="K159" s="11" t="s">
        <v>1036</v>
      </c>
      <c r="L159" s="16" t="s">
        <v>1124</v>
      </c>
      <c r="M159" s="3" t="s">
        <v>1543</v>
      </c>
      <c r="N159" s="3" t="s">
        <v>1656</v>
      </c>
      <c r="O159" s="3"/>
      <c r="P159" s="3" t="b">
        <v>1</v>
      </c>
      <c r="Q159" s="3" t="s">
        <v>1497</v>
      </c>
      <c r="R159" s="4" t="b">
        <v>0</v>
      </c>
      <c r="S159" s="4"/>
    </row>
    <row r="160" spans="1:19" x14ac:dyDescent="0.3">
      <c r="A160" s="27" t="s">
        <v>859</v>
      </c>
      <c r="B160" s="27" t="s">
        <v>1934</v>
      </c>
      <c r="C160" s="27">
        <v>0</v>
      </c>
      <c r="D160" s="27" t="s">
        <v>1481</v>
      </c>
      <c r="E160" s="3"/>
      <c r="F160" s="1" t="s">
        <v>1759</v>
      </c>
      <c r="G160" s="3" t="s">
        <v>39</v>
      </c>
      <c r="H160" s="3" t="s">
        <v>51</v>
      </c>
      <c r="I160" s="3" t="s">
        <v>51</v>
      </c>
      <c r="J160" s="27"/>
      <c r="K160" s="11" t="s">
        <v>1036</v>
      </c>
      <c r="L160" s="16" t="s">
        <v>1124</v>
      </c>
      <c r="M160" s="3" t="s">
        <v>1543</v>
      </c>
      <c r="N160" s="3" t="s">
        <v>1656</v>
      </c>
      <c r="O160" s="3"/>
      <c r="P160" s="3" t="b">
        <v>1</v>
      </c>
      <c r="Q160" s="3" t="s">
        <v>1497</v>
      </c>
      <c r="R160" s="4" t="b">
        <v>0</v>
      </c>
      <c r="S160" s="4"/>
    </row>
    <row r="161" spans="1:19" x14ac:dyDescent="0.3">
      <c r="A161" s="27" t="s">
        <v>859</v>
      </c>
      <c r="B161" s="27" t="s">
        <v>1935</v>
      </c>
      <c r="C161" s="27">
        <v>0</v>
      </c>
      <c r="D161" s="27" t="s">
        <v>1481</v>
      </c>
      <c r="E161" s="3"/>
      <c r="F161" s="1" t="s">
        <v>1759</v>
      </c>
      <c r="G161" s="3" t="s">
        <v>39</v>
      </c>
      <c r="H161" s="3" t="s">
        <v>51</v>
      </c>
      <c r="I161" s="3" t="s">
        <v>51</v>
      </c>
      <c r="J161" s="27"/>
      <c r="K161" s="11" t="s">
        <v>1036</v>
      </c>
      <c r="L161" s="16" t="s">
        <v>1124</v>
      </c>
      <c r="M161" s="3" t="s">
        <v>1543</v>
      </c>
      <c r="N161" s="3" t="s">
        <v>1656</v>
      </c>
      <c r="O161" s="3"/>
      <c r="P161" s="3" t="b">
        <v>1</v>
      </c>
      <c r="Q161" s="3" t="s">
        <v>1497</v>
      </c>
      <c r="R161" s="4" t="b">
        <v>0</v>
      </c>
      <c r="S161" s="4"/>
    </row>
    <row r="162" spans="1:19" x14ac:dyDescent="0.3">
      <c r="A162" s="27" t="s">
        <v>859</v>
      </c>
      <c r="B162" s="27" t="s">
        <v>1936</v>
      </c>
      <c r="C162" s="27">
        <v>0</v>
      </c>
      <c r="D162" s="27" t="s">
        <v>1481</v>
      </c>
      <c r="E162" s="3"/>
      <c r="F162" s="1" t="s">
        <v>1759</v>
      </c>
      <c r="G162" s="3" t="s">
        <v>39</v>
      </c>
      <c r="H162" s="3" t="s">
        <v>51</v>
      </c>
      <c r="I162" s="3" t="s">
        <v>51</v>
      </c>
      <c r="J162" s="27"/>
      <c r="K162" s="11" t="s">
        <v>1036</v>
      </c>
      <c r="L162" s="16" t="s">
        <v>1124</v>
      </c>
      <c r="M162" s="3" t="s">
        <v>1543</v>
      </c>
      <c r="N162" s="3" t="s">
        <v>1656</v>
      </c>
      <c r="O162" s="3"/>
      <c r="P162" s="3" t="b">
        <v>1</v>
      </c>
      <c r="Q162" s="3" t="s">
        <v>1497</v>
      </c>
      <c r="R162" s="4" t="b">
        <v>0</v>
      </c>
      <c r="S162" s="4"/>
    </row>
    <row r="163" spans="1:19" x14ac:dyDescent="0.3">
      <c r="A163" s="27" t="s">
        <v>859</v>
      </c>
      <c r="B163" s="27" t="s">
        <v>1937</v>
      </c>
      <c r="C163" s="27">
        <v>0</v>
      </c>
      <c r="D163" s="27" t="s">
        <v>1481</v>
      </c>
      <c r="E163" s="3"/>
      <c r="F163" s="1" t="s">
        <v>1759</v>
      </c>
      <c r="G163" s="3" t="s">
        <v>39</v>
      </c>
      <c r="H163" s="3" t="s">
        <v>51</v>
      </c>
      <c r="I163" s="3" t="s">
        <v>51</v>
      </c>
      <c r="J163" s="27"/>
      <c r="K163" s="11" t="s">
        <v>1036</v>
      </c>
      <c r="L163" s="16" t="s">
        <v>1124</v>
      </c>
      <c r="M163" s="3" t="s">
        <v>1543</v>
      </c>
      <c r="N163" s="3" t="s">
        <v>1656</v>
      </c>
      <c r="O163" s="3"/>
      <c r="P163" s="3" t="b">
        <v>1</v>
      </c>
      <c r="Q163" s="3" t="s">
        <v>1497</v>
      </c>
      <c r="R163" s="4" t="b">
        <v>0</v>
      </c>
      <c r="S163" s="4"/>
    </row>
    <row r="164" spans="1:19" x14ac:dyDescent="0.3">
      <c r="A164" s="27" t="s">
        <v>859</v>
      </c>
      <c r="B164" s="27" t="s">
        <v>1938</v>
      </c>
      <c r="C164" s="27">
        <v>0</v>
      </c>
      <c r="D164" s="27" t="s">
        <v>1481</v>
      </c>
      <c r="E164" s="3"/>
      <c r="F164" s="1" t="s">
        <v>1759</v>
      </c>
      <c r="G164" s="3" t="s">
        <v>39</v>
      </c>
      <c r="H164" s="3" t="s">
        <v>51</v>
      </c>
      <c r="I164" s="3" t="s">
        <v>51</v>
      </c>
      <c r="J164" s="27"/>
      <c r="K164" s="11" t="s">
        <v>1036</v>
      </c>
      <c r="L164" s="16" t="s">
        <v>1124</v>
      </c>
      <c r="M164" s="3" t="s">
        <v>1543</v>
      </c>
      <c r="N164" s="3" t="s">
        <v>1656</v>
      </c>
      <c r="O164" s="3"/>
      <c r="P164" s="3" t="b">
        <v>1</v>
      </c>
      <c r="Q164" s="3" t="s">
        <v>1497</v>
      </c>
      <c r="R164" s="4" t="b">
        <v>0</v>
      </c>
      <c r="S164" s="4"/>
    </row>
    <row r="165" spans="1:19" x14ac:dyDescent="0.3">
      <c r="A165" s="27" t="s">
        <v>859</v>
      </c>
      <c r="B165" s="27" t="s">
        <v>1939</v>
      </c>
      <c r="C165" s="27">
        <v>0</v>
      </c>
      <c r="D165" s="27" t="s">
        <v>1481</v>
      </c>
      <c r="E165" s="3"/>
      <c r="F165" s="1" t="s">
        <v>1759</v>
      </c>
      <c r="G165" s="3" t="s">
        <v>39</v>
      </c>
      <c r="H165" s="3" t="s">
        <v>51</v>
      </c>
      <c r="I165" s="3" t="s">
        <v>51</v>
      </c>
      <c r="J165" s="27"/>
      <c r="K165" s="11" t="s">
        <v>1036</v>
      </c>
      <c r="L165" s="16" t="s">
        <v>1124</v>
      </c>
      <c r="M165" s="3" t="s">
        <v>1543</v>
      </c>
      <c r="N165" s="3" t="s">
        <v>1656</v>
      </c>
      <c r="O165" s="3"/>
      <c r="P165" s="3" t="b">
        <v>1</v>
      </c>
      <c r="Q165" s="3" t="s">
        <v>1497</v>
      </c>
      <c r="R165" s="4" t="b">
        <v>0</v>
      </c>
      <c r="S165" s="4"/>
    </row>
    <row r="166" spans="1:19" x14ac:dyDescent="0.3">
      <c r="A166" s="27" t="s">
        <v>859</v>
      </c>
      <c r="B166" s="27" t="s">
        <v>1464</v>
      </c>
      <c r="C166" s="27">
        <f>_xlfn.XLOOKUP(STATS[[#This Row],[FinanceCode]],FC[FinanceCode],FC[London Weighting]," ")</f>
        <v>0</v>
      </c>
      <c r="D166" s="27" t="s">
        <v>1594</v>
      </c>
      <c r="E166" s="3"/>
      <c r="F166" s="1" t="s">
        <v>1760</v>
      </c>
      <c r="G166" s="3" t="s">
        <v>39</v>
      </c>
      <c r="H166" s="3" t="s">
        <v>51</v>
      </c>
      <c r="I166" s="3" t="s">
        <v>51</v>
      </c>
      <c r="J166" s="27"/>
      <c r="K166" s="11" t="s">
        <v>1036</v>
      </c>
      <c r="L166" s="16" t="s">
        <v>1124</v>
      </c>
      <c r="M166" s="3" t="s">
        <v>1544</v>
      </c>
      <c r="N166" s="3" t="s">
        <v>1657</v>
      </c>
      <c r="O166" s="3"/>
      <c r="P166" s="3" t="b">
        <v>1</v>
      </c>
      <c r="Q166" s="3" t="s">
        <v>1497</v>
      </c>
      <c r="R166" s="4" t="b">
        <v>0</v>
      </c>
      <c r="S166" s="4"/>
    </row>
    <row r="167" spans="1:19" x14ac:dyDescent="0.3">
      <c r="A167" s="27" t="s">
        <v>859</v>
      </c>
      <c r="B167" s="27" t="s">
        <v>1466</v>
      </c>
      <c r="C167" s="27">
        <f>_xlfn.XLOOKUP(STATS[[#This Row],[FinanceCode]],FC[FinanceCode],FC[London Weighting]," ")</f>
        <v>0</v>
      </c>
      <c r="D167" s="27" t="s">
        <v>1594</v>
      </c>
      <c r="E167" s="3"/>
      <c r="F167" s="1" t="s">
        <v>1760</v>
      </c>
      <c r="G167" s="3" t="s">
        <v>39</v>
      </c>
      <c r="H167" s="3" t="s">
        <v>51</v>
      </c>
      <c r="I167" s="3" t="s">
        <v>51</v>
      </c>
      <c r="J167" s="27"/>
      <c r="K167" s="11" t="s">
        <v>1036</v>
      </c>
      <c r="L167" s="16" t="s">
        <v>1124</v>
      </c>
      <c r="M167" s="3" t="s">
        <v>1544</v>
      </c>
      <c r="N167" s="3" t="s">
        <v>1657</v>
      </c>
      <c r="O167" s="3"/>
      <c r="P167" s="3" t="b">
        <v>1</v>
      </c>
      <c r="Q167" s="3" t="s">
        <v>1497</v>
      </c>
      <c r="R167" s="4" t="b">
        <v>0</v>
      </c>
      <c r="S167" s="4"/>
    </row>
    <row r="168" spans="1:19" x14ac:dyDescent="0.3">
      <c r="A168" s="27" t="s">
        <v>859</v>
      </c>
      <c r="B168" s="27" t="s">
        <v>1467</v>
      </c>
      <c r="C168" s="27">
        <f>_xlfn.XLOOKUP(STATS[[#This Row],[FinanceCode]],FC[FinanceCode],FC[London Weighting]," ")</f>
        <v>0</v>
      </c>
      <c r="D168" s="27" t="s">
        <v>1594</v>
      </c>
      <c r="E168" s="3"/>
      <c r="F168" s="1" t="s">
        <v>1760</v>
      </c>
      <c r="G168" s="3" t="s">
        <v>39</v>
      </c>
      <c r="H168" s="3" t="s">
        <v>51</v>
      </c>
      <c r="I168" s="3" t="s">
        <v>51</v>
      </c>
      <c r="J168" s="27"/>
      <c r="K168" s="11" t="s">
        <v>1036</v>
      </c>
      <c r="L168" s="16" t="s">
        <v>1124</v>
      </c>
      <c r="M168" s="3" t="s">
        <v>1544</v>
      </c>
      <c r="N168" s="3" t="s">
        <v>1657</v>
      </c>
      <c r="O168" s="3"/>
      <c r="P168" s="3" t="b">
        <v>1</v>
      </c>
      <c r="Q168" s="3" t="s">
        <v>1497</v>
      </c>
      <c r="R168" s="4" t="b">
        <v>0</v>
      </c>
      <c r="S168" s="4"/>
    </row>
    <row r="169" spans="1:19" x14ac:dyDescent="0.3">
      <c r="A169" s="27" t="s">
        <v>859</v>
      </c>
      <c r="B169" s="27" t="s">
        <v>1468</v>
      </c>
      <c r="C169" s="27">
        <f>_xlfn.XLOOKUP(STATS[[#This Row],[FinanceCode]],FC[FinanceCode],FC[London Weighting]," ")</f>
        <v>0</v>
      </c>
      <c r="D169" s="27" t="s">
        <v>1594</v>
      </c>
      <c r="E169" s="3"/>
      <c r="F169" s="1" t="s">
        <v>1760</v>
      </c>
      <c r="G169" s="3" t="s">
        <v>39</v>
      </c>
      <c r="H169" s="3" t="s">
        <v>51</v>
      </c>
      <c r="I169" s="3" t="s">
        <v>51</v>
      </c>
      <c r="J169" s="27"/>
      <c r="K169" s="11" t="s">
        <v>1036</v>
      </c>
      <c r="L169" s="16" t="s">
        <v>1124</v>
      </c>
      <c r="M169" s="3" t="s">
        <v>1544</v>
      </c>
      <c r="N169" s="3" t="s">
        <v>1657</v>
      </c>
      <c r="O169" s="3"/>
      <c r="P169" s="3" t="b">
        <v>1</v>
      </c>
      <c r="Q169" s="3" t="s">
        <v>1497</v>
      </c>
      <c r="R169" s="4" t="b">
        <v>0</v>
      </c>
      <c r="S169" s="4"/>
    </row>
    <row r="170" spans="1:19" x14ac:dyDescent="0.3">
      <c r="A170" s="27" t="s">
        <v>859</v>
      </c>
      <c r="B170" s="27" t="s">
        <v>1469</v>
      </c>
      <c r="C170" s="27">
        <f>_xlfn.XLOOKUP(STATS[[#This Row],[FinanceCode]],FC[FinanceCode],FC[London Weighting]," ")</f>
        <v>0</v>
      </c>
      <c r="D170" s="27" t="s">
        <v>1594</v>
      </c>
      <c r="E170" s="3"/>
      <c r="F170" s="1" t="s">
        <v>1760</v>
      </c>
      <c r="G170" s="3" t="s">
        <v>39</v>
      </c>
      <c r="H170" s="3" t="s">
        <v>51</v>
      </c>
      <c r="I170" s="3" t="s">
        <v>51</v>
      </c>
      <c r="J170" s="27"/>
      <c r="K170" s="11" t="s">
        <v>1036</v>
      </c>
      <c r="L170" s="16" t="s">
        <v>1124</v>
      </c>
      <c r="M170" s="3" t="s">
        <v>1544</v>
      </c>
      <c r="N170" s="3" t="s">
        <v>1657</v>
      </c>
      <c r="O170" s="3"/>
      <c r="P170" s="3" t="b">
        <v>1</v>
      </c>
      <c r="Q170" s="3" t="s">
        <v>1497</v>
      </c>
      <c r="R170" s="4" t="b">
        <v>0</v>
      </c>
      <c r="S170" s="4"/>
    </row>
    <row r="171" spans="1:19" x14ac:dyDescent="0.3">
      <c r="A171" s="27" t="s">
        <v>859</v>
      </c>
      <c r="B171" s="27" t="s">
        <v>1470</v>
      </c>
      <c r="C171" s="27">
        <f>_xlfn.XLOOKUP(STATS[[#This Row],[FinanceCode]],FC[FinanceCode],FC[London Weighting]," ")</f>
        <v>0</v>
      </c>
      <c r="D171" s="27" t="s">
        <v>1594</v>
      </c>
      <c r="E171" s="3"/>
      <c r="F171" s="1" t="s">
        <v>1760</v>
      </c>
      <c r="G171" s="3" t="s">
        <v>39</v>
      </c>
      <c r="H171" s="3" t="s">
        <v>51</v>
      </c>
      <c r="I171" s="3" t="s">
        <v>51</v>
      </c>
      <c r="J171" s="27"/>
      <c r="K171" s="11" t="s">
        <v>1036</v>
      </c>
      <c r="L171" s="16" t="s">
        <v>1124</v>
      </c>
      <c r="M171" s="3" t="s">
        <v>1544</v>
      </c>
      <c r="N171" s="3" t="s">
        <v>1657</v>
      </c>
      <c r="O171" s="3"/>
      <c r="P171" s="3" t="b">
        <v>1</v>
      </c>
      <c r="Q171" s="3" t="s">
        <v>1497</v>
      </c>
      <c r="R171" s="4" t="b">
        <v>0</v>
      </c>
      <c r="S171" s="4"/>
    </row>
    <row r="172" spans="1:19" x14ac:dyDescent="0.3">
      <c r="A172" s="27" t="s">
        <v>859</v>
      </c>
      <c r="B172" s="27" t="s">
        <v>1934</v>
      </c>
      <c r="C172" s="27">
        <v>0</v>
      </c>
      <c r="D172" s="27" t="s">
        <v>1594</v>
      </c>
      <c r="E172" s="3"/>
      <c r="F172" s="1" t="s">
        <v>1760</v>
      </c>
      <c r="G172" s="3" t="s">
        <v>39</v>
      </c>
      <c r="H172" s="3" t="s">
        <v>51</v>
      </c>
      <c r="I172" s="3" t="s">
        <v>51</v>
      </c>
      <c r="J172" s="27"/>
      <c r="K172" s="11" t="s">
        <v>1036</v>
      </c>
      <c r="L172" s="16" t="s">
        <v>1124</v>
      </c>
      <c r="M172" s="3" t="s">
        <v>1544</v>
      </c>
      <c r="N172" s="3" t="s">
        <v>1657</v>
      </c>
      <c r="O172" s="3"/>
      <c r="P172" s="3" t="b">
        <v>1</v>
      </c>
      <c r="Q172" s="3" t="s">
        <v>1497</v>
      </c>
      <c r="R172" s="4" t="b">
        <v>0</v>
      </c>
      <c r="S172" s="4"/>
    </row>
    <row r="173" spans="1:19" x14ac:dyDescent="0.3">
      <c r="A173" s="27" t="s">
        <v>859</v>
      </c>
      <c r="B173" s="27" t="s">
        <v>1935</v>
      </c>
      <c r="C173" s="27">
        <v>0</v>
      </c>
      <c r="D173" s="27" t="s">
        <v>1594</v>
      </c>
      <c r="E173" s="3"/>
      <c r="F173" s="1" t="s">
        <v>1760</v>
      </c>
      <c r="G173" s="3" t="s">
        <v>39</v>
      </c>
      <c r="H173" s="3" t="s">
        <v>51</v>
      </c>
      <c r="I173" s="3" t="s">
        <v>51</v>
      </c>
      <c r="J173" s="27"/>
      <c r="K173" s="11" t="s">
        <v>1036</v>
      </c>
      <c r="L173" s="16" t="s">
        <v>1124</v>
      </c>
      <c r="M173" s="3" t="s">
        <v>1544</v>
      </c>
      <c r="N173" s="3" t="s">
        <v>1657</v>
      </c>
      <c r="O173" s="3"/>
      <c r="P173" s="3" t="b">
        <v>1</v>
      </c>
      <c r="Q173" s="3" t="s">
        <v>1497</v>
      </c>
      <c r="R173" s="4" t="b">
        <v>0</v>
      </c>
      <c r="S173" s="4"/>
    </row>
    <row r="174" spans="1:19" x14ac:dyDescent="0.3">
      <c r="A174" s="27" t="s">
        <v>859</v>
      </c>
      <c r="B174" s="27" t="s">
        <v>1936</v>
      </c>
      <c r="C174" s="27">
        <v>0</v>
      </c>
      <c r="D174" s="27" t="s">
        <v>1594</v>
      </c>
      <c r="E174" s="3"/>
      <c r="F174" s="1" t="s">
        <v>1760</v>
      </c>
      <c r="G174" s="3" t="s">
        <v>39</v>
      </c>
      <c r="H174" s="3" t="s">
        <v>51</v>
      </c>
      <c r="I174" s="3" t="s">
        <v>51</v>
      </c>
      <c r="J174" s="27"/>
      <c r="K174" s="11" t="s">
        <v>1036</v>
      </c>
      <c r="L174" s="16" t="s">
        <v>1124</v>
      </c>
      <c r="M174" s="3" t="s">
        <v>1544</v>
      </c>
      <c r="N174" s="3" t="s">
        <v>1657</v>
      </c>
      <c r="O174" s="3"/>
      <c r="P174" s="3" t="b">
        <v>1</v>
      </c>
      <c r="Q174" s="3" t="s">
        <v>1497</v>
      </c>
      <c r="R174" s="4" t="b">
        <v>0</v>
      </c>
      <c r="S174" s="4"/>
    </row>
    <row r="175" spans="1:19" x14ac:dyDescent="0.3">
      <c r="A175" s="27" t="s">
        <v>859</v>
      </c>
      <c r="B175" s="27" t="s">
        <v>1937</v>
      </c>
      <c r="C175" s="27">
        <v>0</v>
      </c>
      <c r="D175" s="27" t="s">
        <v>1594</v>
      </c>
      <c r="E175" s="3"/>
      <c r="F175" s="1" t="s">
        <v>1760</v>
      </c>
      <c r="G175" s="3" t="s">
        <v>39</v>
      </c>
      <c r="H175" s="3" t="s">
        <v>51</v>
      </c>
      <c r="I175" s="3" t="s">
        <v>51</v>
      </c>
      <c r="J175" s="27"/>
      <c r="K175" s="11" t="s">
        <v>1036</v>
      </c>
      <c r="L175" s="16" t="s">
        <v>1124</v>
      </c>
      <c r="M175" s="3" t="s">
        <v>1544</v>
      </c>
      <c r="N175" s="3" t="s">
        <v>1657</v>
      </c>
      <c r="O175" s="3"/>
      <c r="P175" s="3" t="b">
        <v>1</v>
      </c>
      <c r="Q175" s="3" t="s">
        <v>1497</v>
      </c>
      <c r="R175" s="4" t="b">
        <v>0</v>
      </c>
      <c r="S175" s="4"/>
    </row>
    <row r="176" spans="1:19" x14ac:dyDescent="0.3">
      <c r="A176" s="27" t="s">
        <v>859</v>
      </c>
      <c r="B176" s="27" t="s">
        <v>1938</v>
      </c>
      <c r="C176" s="27">
        <v>0</v>
      </c>
      <c r="D176" s="27" t="s">
        <v>1594</v>
      </c>
      <c r="E176" s="3"/>
      <c r="F176" s="1" t="s">
        <v>1760</v>
      </c>
      <c r="G176" s="3" t="s">
        <v>39</v>
      </c>
      <c r="H176" s="3" t="s">
        <v>51</v>
      </c>
      <c r="I176" s="3" t="s">
        <v>51</v>
      </c>
      <c r="J176" s="27"/>
      <c r="K176" s="11" t="s">
        <v>1036</v>
      </c>
      <c r="L176" s="16" t="s">
        <v>1124</v>
      </c>
      <c r="M176" s="3" t="s">
        <v>1544</v>
      </c>
      <c r="N176" s="3" t="s">
        <v>1657</v>
      </c>
      <c r="O176" s="3"/>
      <c r="P176" s="3" t="b">
        <v>1</v>
      </c>
      <c r="Q176" s="3" t="s">
        <v>1497</v>
      </c>
      <c r="R176" s="4" t="b">
        <v>0</v>
      </c>
      <c r="S176" s="4"/>
    </row>
    <row r="177" spans="1:19" x14ac:dyDescent="0.3">
      <c r="A177" s="27" t="s">
        <v>859</v>
      </c>
      <c r="B177" s="27" t="s">
        <v>1939</v>
      </c>
      <c r="C177" s="27">
        <v>0</v>
      </c>
      <c r="D177" s="27" t="s">
        <v>1594</v>
      </c>
      <c r="E177" s="3"/>
      <c r="F177" s="1" t="s">
        <v>1760</v>
      </c>
      <c r="G177" s="3" t="s">
        <v>39</v>
      </c>
      <c r="H177" s="3" t="s">
        <v>51</v>
      </c>
      <c r="I177" s="3" t="s">
        <v>51</v>
      </c>
      <c r="J177" s="27"/>
      <c r="K177" s="11" t="s">
        <v>1036</v>
      </c>
      <c r="L177" s="16" t="s">
        <v>1124</v>
      </c>
      <c r="M177" s="3" t="s">
        <v>1544</v>
      </c>
      <c r="N177" s="3" t="s">
        <v>1657</v>
      </c>
      <c r="O177" s="3"/>
      <c r="P177" s="3" t="b">
        <v>1</v>
      </c>
      <c r="Q177" s="3" t="s">
        <v>1497</v>
      </c>
      <c r="R177" s="4" t="b">
        <v>0</v>
      </c>
      <c r="S177" s="4"/>
    </row>
    <row r="178" spans="1:19" x14ac:dyDescent="0.3">
      <c r="A178" s="27" t="s">
        <v>2180</v>
      </c>
      <c r="B178" s="27"/>
      <c r="C178" s="27">
        <v>0</v>
      </c>
      <c r="D178" s="27"/>
      <c r="E178" s="3"/>
      <c r="F178" s="3" t="s">
        <v>1005</v>
      </c>
      <c r="G178" s="3" t="s">
        <v>39</v>
      </c>
      <c r="H178" s="3" t="s">
        <v>51</v>
      </c>
      <c r="I178" s="3" t="s">
        <v>51</v>
      </c>
      <c r="J178" s="27"/>
      <c r="K178" s="11" t="s">
        <v>1172</v>
      </c>
      <c r="L178" s="16" t="s">
        <v>1124</v>
      </c>
      <c r="M178" s="3" t="s">
        <v>1006</v>
      </c>
      <c r="N178" s="3" t="s">
        <v>1664</v>
      </c>
      <c r="O178" s="3"/>
      <c r="P178" s="3" t="b">
        <v>1</v>
      </c>
      <c r="Q178" s="3" t="s">
        <v>1394</v>
      </c>
      <c r="R178" s="4" t="b">
        <v>0</v>
      </c>
      <c r="S178" s="4">
        <v>-16.88</v>
      </c>
    </row>
    <row r="179" spans="1:19" x14ac:dyDescent="0.3">
      <c r="A179" s="27" t="s">
        <v>859</v>
      </c>
      <c r="B179" s="27" t="s">
        <v>1464</v>
      </c>
      <c r="C179" s="27">
        <f>_xlfn.XLOOKUP(STATS[[#This Row],[FinanceCode]],FC[FinanceCode],FC[London Weighting]," ")</f>
        <v>0</v>
      </c>
      <c r="D179" s="27" t="s">
        <v>1631</v>
      </c>
      <c r="E179" s="3"/>
      <c r="F179" s="1" t="s">
        <v>1761</v>
      </c>
      <c r="G179" s="3" t="s">
        <v>39</v>
      </c>
      <c r="H179" s="3" t="s">
        <v>51</v>
      </c>
      <c r="I179" s="3" t="s">
        <v>51</v>
      </c>
      <c r="J179" s="27"/>
      <c r="K179" s="11" t="s">
        <v>1036</v>
      </c>
      <c r="L179" s="16" t="s">
        <v>1124</v>
      </c>
      <c r="M179" s="3" t="s">
        <v>1547</v>
      </c>
      <c r="N179" s="3" t="s">
        <v>1671</v>
      </c>
      <c r="O179" s="3"/>
      <c r="P179" s="3" t="b">
        <v>1</v>
      </c>
      <c r="Q179" s="3" t="s">
        <v>1497</v>
      </c>
      <c r="R179" s="4" t="b">
        <v>0</v>
      </c>
      <c r="S179" s="4"/>
    </row>
    <row r="180" spans="1:19" x14ac:dyDescent="0.3">
      <c r="A180" s="27" t="s">
        <v>859</v>
      </c>
      <c r="B180" s="27" t="s">
        <v>1466</v>
      </c>
      <c r="C180" s="27">
        <f>_xlfn.XLOOKUP(STATS[[#This Row],[FinanceCode]],FC[FinanceCode],FC[London Weighting]," ")</f>
        <v>0</v>
      </c>
      <c r="D180" s="27" t="s">
        <v>1631</v>
      </c>
      <c r="E180" s="3"/>
      <c r="F180" s="1" t="s">
        <v>1761</v>
      </c>
      <c r="G180" s="3" t="s">
        <v>39</v>
      </c>
      <c r="H180" s="3" t="s">
        <v>51</v>
      </c>
      <c r="I180" s="3" t="s">
        <v>51</v>
      </c>
      <c r="J180" s="27"/>
      <c r="K180" s="11" t="s">
        <v>1036</v>
      </c>
      <c r="L180" s="16" t="s">
        <v>1124</v>
      </c>
      <c r="M180" s="3" t="s">
        <v>1547</v>
      </c>
      <c r="N180" s="3" t="s">
        <v>1671</v>
      </c>
      <c r="O180" s="3"/>
      <c r="P180" s="3" t="b">
        <v>1</v>
      </c>
      <c r="Q180" s="3" t="s">
        <v>1497</v>
      </c>
      <c r="R180" s="4" t="b">
        <v>0</v>
      </c>
      <c r="S180" s="4"/>
    </row>
    <row r="181" spans="1:19" x14ac:dyDescent="0.3">
      <c r="A181" s="27" t="s">
        <v>859</v>
      </c>
      <c r="B181" s="27" t="s">
        <v>1467</v>
      </c>
      <c r="C181" s="27">
        <f>_xlfn.XLOOKUP(STATS[[#This Row],[FinanceCode]],FC[FinanceCode],FC[London Weighting]," ")</f>
        <v>0</v>
      </c>
      <c r="D181" s="27" t="s">
        <v>1631</v>
      </c>
      <c r="E181" s="3"/>
      <c r="F181" s="1" t="s">
        <v>1761</v>
      </c>
      <c r="G181" s="3" t="s">
        <v>39</v>
      </c>
      <c r="H181" s="3" t="s">
        <v>51</v>
      </c>
      <c r="I181" s="3" t="s">
        <v>51</v>
      </c>
      <c r="J181" s="27"/>
      <c r="K181" s="11" t="s">
        <v>1036</v>
      </c>
      <c r="L181" s="16" t="s">
        <v>1124</v>
      </c>
      <c r="M181" s="3" t="s">
        <v>1547</v>
      </c>
      <c r="N181" s="3" t="s">
        <v>1671</v>
      </c>
      <c r="O181" s="3"/>
      <c r="P181" s="3" t="b">
        <v>1</v>
      </c>
      <c r="Q181" s="3" t="s">
        <v>1497</v>
      </c>
      <c r="R181" s="4" t="b">
        <v>0</v>
      </c>
      <c r="S181" s="4"/>
    </row>
    <row r="182" spans="1:19" x14ac:dyDescent="0.3">
      <c r="A182" s="27" t="s">
        <v>859</v>
      </c>
      <c r="B182" s="27" t="s">
        <v>1468</v>
      </c>
      <c r="C182" s="27">
        <f>_xlfn.XLOOKUP(STATS[[#This Row],[FinanceCode]],FC[FinanceCode],FC[London Weighting]," ")</f>
        <v>0</v>
      </c>
      <c r="D182" s="27" t="s">
        <v>1631</v>
      </c>
      <c r="E182" s="3"/>
      <c r="F182" s="1" t="s">
        <v>1761</v>
      </c>
      <c r="G182" s="3" t="s">
        <v>39</v>
      </c>
      <c r="H182" s="3" t="s">
        <v>51</v>
      </c>
      <c r="I182" s="3" t="s">
        <v>51</v>
      </c>
      <c r="J182" s="27"/>
      <c r="K182" s="11" t="s">
        <v>1036</v>
      </c>
      <c r="L182" s="16" t="s">
        <v>1124</v>
      </c>
      <c r="M182" s="3" t="s">
        <v>1547</v>
      </c>
      <c r="N182" s="3" t="s">
        <v>1671</v>
      </c>
      <c r="O182" s="3"/>
      <c r="P182" s="3" t="b">
        <v>1</v>
      </c>
      <c r="Q182" s="3" t="s">
        <v>1497</v>
      </c>
      <c r="R182" s="4" t="b">
        <v>0</v>
      </c>
      <c r="S182" s="4"/>
    </row>
    <row r="183" spans="1:19" x14ac:dyDescent="0.3">
      <c r="A183" s="27" t="s">
        <v>859</v>
      </c>
      <c r="B183" s="27" t="s">
        <v>1469</v>
      </c>
      <c r="C183" s="27">
        <f>_xlfn.XLOOKUP(STATS[[#This Row],[FinanceCode]],FC[FinanceCode],FC[London Weighting]," ")</f>
        <v>0</v>
      </c>
      <c r="D183" s="27" t="s">
        <v>1631</v>
      </c>
      <c r="E183" s="3"/>
      <c r="F183" s="1" t="s">
        <v>1761</v>
      </c>
      <c r="G183" s="3" t="s">
        <v>39</v>
      </c>
      <c r="H183" s="3" t="s">
        <v>51</v>
      </c>
      <c r="I183" s="3" t="s">
        <v>51</v>
      </c>
      <c r="J183" s="27"/>
      <c r="K183" s="11" t="s">
        <v>1036</v>
      </c>
      <c r="L183" s="16" t="s">
        <v>1124</v>
      </c>
      <c r="M183" s="3" t="s">
        <v>1547</v>
      </c>
      <c r="N183" s="3" t="s">
        <v>1671</v>
      </c>
      <c r="O183" s="3"/>
      <c r="P183" s="3" t="b">
        <v>1</v>
      </c>
      <c r="Q183" s="3" t="s">
        <v>1497</v>
      </c>
      <c r="R183" s="4" t="b">
        <v>0</v>
      </c>
      <c r="S183" s="4"/>
    </row>
    <row r="184" spans="1:19" x14ac:dyDescent="0.3">
      <c r="A184" s="27" t="s">
        <v>859</v>
      </c>
      <c r="B184" s="27" t="s">
        <v>1470</v>
      </c>
      <c r="C184" s="27">
        <f>_xlfn.XLOOKUP(STATS[[#This Row],[FinanceCode]],FC[FinanceCode],FC[London Weighting]," ")</f>
        <v>0</v>
      </c>
      <c r="D184" s="27" t="s">
        <v>1631</v>
      </c>
      <c r="E184" s="3"/>
      <c r="F184" s="1" t="s">
        <v>1761</v>
      </c>
      <c r="G184" s="3" t="s">
        <v>39</v>
      </c>
      <c r="H184" s="3" t="s">
        <v>51</v>
      </c>
      <c r="I184" s="3" t="s">
        <v>51</v>
      </c>
      <c r="J184" s="27"/>
      <c r="K184" s="11" t="s">
        <v>1036</v>
      </c>
      <c r="L184" s="16" t="s">
        <v>1124</v>
      </c>
      <c r="M184" s="3" t="s">
        <v>1547</v>
      </c>
      <c r="N184" s="3" t="s">
        <v>1671</v>
      </c>
      <c r="O184" s="3"/>
      <c r="P184" s="3" t="b">
        <v>1</v>
      </c>
      <c r="Q184" s="3" t="s">
        <v>1497</v>
      </c>
      <c r="R184" s="4" t="b">
        <v>0</v>
      </c>
      <c r="S184" s="4"/>
    </row>
    <row r="185" spans="1:19" x14ac:dyDescent="0.3">
      <c r="A185" s="27" t="s">
        <v>859</v>
      </c>
      <c r="B185" s="27" t="s">
        <v>1934</v>
      </c>
      <c r="C185" s="27">
        <v>0</v>
      </c>
      <c r="D185" s="27" t="s">
        <v>1631</v>
      </c>
      <c r="E185" s="3"/>
      <c r="F185" s="1" t="s">
        <v>1761</v>
      </c>
      <c r="G185" s="3" t="s">
        <v>39</v>
      </c>
      <c r="H185" s="3" t="s">
        <v>51</v>
      </c>
      <c r="I185" s="3" t="s">
        <v>51</v>
      </c>
      <c r="J185" s="27"/>
      <c r="K185" s="11" t="s">
        <v>1036</v>
      </c>
      <c r="L185" s="16" t="s">
        <v>1124</v>
      </c>
      <c r="M185" s="3" t="s">
        <v>1547</v>
      </c>
      <c r="N185" s="3" t="s">
        <v>1671</v>
      </c>
      <c r="O185" s="3"/>
      <c r="P185" s="3" t="b">
        <v>1</v>
      </c>
      <c r="Q185" s="3" t="s">
        <v>1497</v>
      </c>
      <c r="R185" s="4" t="b">
        <v>0</v>
      </c>
      <c r="S185" s="4"/>
    </row>
    <row r="186" spans="1:19" x14ac:dyDescent="0.3">
      <c r="A186" s="27" t="s">
        <v>859</v>
      </c>
      <c r="B186" s="27" t="s">
        <v>1935</v>
      </c>
      <c r="C186" s="27">
        <v>0</v>
      </c>
      <c r="D186" s="27" t="s">
        <v>1631</v>
      </c>
      <c r="E186" s="3"/>
      <c r="F186" s="1" t="s">
        <v>1761</v>
      </c>
      <c r="G186" s="3" t="s">
        <v>39</v>
      </c>
      <c r="H186" s="3" t="s">
        <v>51</v>
      </c>
      <c r="I186" s="3" t="s">
        <v>51</v>
      </c>
      <c r="J186" s="27"/>
      <c r="K186" s="11" t="s">
        <v>1036</v>
      </c>
      <c r="L186" s="16" t="s">
        <v>1124</v>
      </c>
      <c r="M186" s="3" t="s">
        <v>1547</v>
      </c>
      <c r="N186" s="3" t="s">
        <v>1671</v>
      </c>
      <c r="O186" s="3"/>
      <c r="P186" s="3" t="b">
        <v>1</v>
      </c>
      <c r="Q186" s="3" t="s">
        <v>1497</v>
      </c>
      <c r="R186" s="4" t="b">
        <v>0</v>
      </c>
      <c r="S186" s="4"/>
    </row>
    <row r="187" spans="1:19" x14ac:dyDescent="0.3">
      <c r="A187" s="27" t="s">
        <v>859</v>
      </c>
      <c r="B187" s="27" t="s">
        <v>1936</v>
      </c>
      <c r="C187" s="27">
        <v>0</v>
      </c>
      <c r="D187" s="27" t="s">
        <v>1631</v>
      </c>
      <c r="E187" s="3"/>
      <c r="F187" s="1" t="s">
        <v>1761</v>
      </c>
      <c r="G187" s="3" t="s">
        <v>39</v>
      </c>
      <c r="H187" s="3" t="s">
        <v>51</v>
      </c>
      <c r="I187" s="3" t="s">
        <v>51</v>
      </c>
      <c r="J187" s="27"/>
      <c r="K187" s="11" t="s">
        <v>1036</v>
      </c>
      <c r="L187" s="16" t="s">
        <v>1124</v>
      </c>
      <c r="M187" s="3" t="s">
        <v>1547</v>
      </c>
      <c r="N187" s="3" t="s">
        <v>1671</v>
      </c>
      <c r="O187" s="3"/>
      <c r="P187" s="3" t="b">
        <v>1</v>
      </c>
      <c r="Q187" s="3" t="s">
        <v>1497</v>
      </c>
      <c r="R187" s="4" t="b">
        <v>0</v>
      </c>
      <c r="S187" s="4"/>
    </row>
    <row r="188" spans="1:19" x14ac:dyDescent="0.3">
      <c r="A188" s="27" t="s">
        <v>859</v>
      </c>
      <c r="B188" s="27" t="s">
        <v>1937</v>
      </c>
      <c r="C188" s="27">
        <v>0</v>
      </c>
      <c r="D188" s="27" t="s">
        <v>1631</v>
      </c>
      <c r="E188" s="3"/>
      <c r="F188" s="1" t="s">
        <v>1761</v>
      </c>
      <c r="G188" s="3" t="s">
        <v>39</v>
      </c>
      <c r="H188" s="3" t="s">
        <v>51</v>
      </c>
      <c r="I188" s="3" t="s">
        <v>51</v>
      </c>
      <c r="J188" s="27"/>
      <c r="K188" s="11" t="s">
        <v>1036</v>
      </c>
      <c r="L188" s="16" t="s">
        <v>1124</v>
      </c>
      <c r="M188" s="3" t="s">
        <v>1547</v>
      </c>
      <c r="N188" s="3" t="s">
        <v>1671</v>
      </c>
      <c r="O188" s="3"/>
      <c r="P188" s="3" t="b">
        <v>1</v>
      </c>
      <c r="Q188" s="3" t="s">
        <v>1497</v>
      </c>
      <c r="R188" s="4" t="b">
        <v>0</v>
      </c>
      <c r="S188" s="4"/>
    </row>
    <row r="189" spans="1:19" x14ac:dyDescent="0.3">
      <c r="A189" s="27" t="s">
        <v>859</v>
      </c>
      <c r="B189" s="27" t="s">
        <v>1938</v>
      </c>
      <c r="C189" s="27">
        <v>0</v>
      </c>
      <c r="D189" s="27" t="s">
        <v>1631</v>
      </c>
      <c r="E189" s="3"/>
      <c r="F189" s="1" t="s">
        <v>1761</v>
      </c>
      <c r="G189" s="3" t="s">
        <v>39</v>
      </c>
      <c r="H189" s="3" t="s">
        <v>51</v>
      </c>
      <c r="I189" s="3" t="s">
        <v>51</v>
      </c>
      <c r="J189" s="27"/>
      <c r="K189" s="11" t="s">
        <v>1036</v>
      </c>
      <c r="L189" s="16" t="s">
        <v>1124</v>
      </c>
      <c r="M189" s="3" t="s">
        <v>1547</v>
      </c>
      <c r="N189" s="3" t="s">
        <v>1671</v>
      </c>
      <c r="O189" s="3"/>
      <c r="P189" s="3" t="b">
        <v>1</v>
      </c>
      <c r="Q189" s="3" t="s">
        <v>1497</v>
      </c>
      <c r="R189" s="4" t="b">
        <v>0</v>
      </c>
      <c r="S189" s="4"/>
    </row>
    <row r="190" spans="1:19" x14ac:dyDescent="0.3">
      <c r="A190" s="27" t="s">
        <v>859</v>
      </c>
      <c r="B190" s="27" t="s">
        <v>1939</v>
      </c>
      <c r="C190" s="27">
        <v>0</v>
      </c>
      <c r="D190" s="27" t="s">
        <v>1631</v>
      </c>
      <c r="E190" s="3"/>
      <c r="F190" s="1" t="s">
        <v>1761</v>
      </c>
      <c r="G190" s="3" t="s">
        <v>39</v>
      </c>
      <c r="H190" s="3" t="s">
        <v>51</v>
      </c>
      <c r="I190" s="3" t="s">
        <v>51</v>
      </c>
      <c r="J190" s="27"/>
      <c r="K190" s="11" t="s">
        <v>1036</v>
      </c>
      <c r="L190" s="16" t="s">
        <v>1124</v>
      </c>
      <c r="M190" s="3" t="s">
        <v>1547</v>
      </c>
      <c r="N190" s="3" t="s">
        <v>1671</v>
      </c>
      <c r="O190" s="3"/>
      <c r="P190" s="3" t="b">
        <v>1</v>
      </c>
      <c r="Q190" s="3" t="s">
        <v>1497</v>
      </c>
      <c r="R190" s="4" t="b">
        <v>0</v>
      </c>
      <c r="S190" s="4"/>
    </row>
    <row r="191" spans="1:19" x14ac:dyDescent="0.3">
      <c r="A191" s="27" t="s">
        <v>859</v>
      </c>
      <c r="B191" s="27"/>
      <c r="C191" s="27" t="str">
        <f>_xlfn.XLOOKUP(STATS[[#This Row],[FinanceCode]],FC[FinanceCode],FC[London Weighting]," ")</f>
        <v>England &amp; Wales</v>
      </c>
      <c r="D191" s="27"/>
      <c r="E191" s="3"/>
      <c r="F191" s="3" t="s">
        <v>2017</v>
      </c>
      <c r="G191" s="3" t="s">
        <v>39</v>
      </c>
      <c r="H191" s="3" t="s">
        <v>51</v>
      </c>
      <c r="I191" s="3" t="s">
        <v>51</v>
      </c>
      <c r="J191" s="27"/>
      <c r="K191" s="11" t="s">
        <v>1172</v>
      </c>
      <c r="L191" s="16" t="s">
        <v>1124</v>
      </c>
      <c r="M191" s="3" t="s">
        <v>2003</v>
      </c>
      <c r="N191" s="3"/>
      <c r="O191" s="3"/>
      <c r="P191" s="3" t="b">
        <v>1</v>
      </c>
      <c r="Q191" s="3" t="s">
        <v>1394</v>
      </c>
      <c r="R191" s="4" t="b">
        <v>0</v>
      </c>
      <c r="S191" s="4">
        <v>-135.55000000000001</v>
      </c>
    </row>
    <row r="192" spans="1:19" x14ac:dyDescent="0.3">
      <c r="A192" s="27" t="s">
        <v>859</v>
      </c>
      <c r="B192" s="27"/>
      <c r="C192" s="27" t="str">
        <f>_xlfn.XLOOKUP(STATS[[#This Row],[FinanceCode]],FC[FinanceCode],FC[London Weighting]," ")</f>
        <v>Fringe</v>
      </c>
      <c r="D192" s="27"/>
      <c r="E192" s="3"/>
      <c r="F192" s="3" t="s">
        <v>2004</v>
      </c>
      <c r="G192" s="3" t="s">
        <v>39</v>
      </c>
      <c r="H192" s="3" t="s">
        <v>51</v>
      </c>
      <c r="I192" s="3" t="s">
        <v>51</v>
      </c>
      <c r="J192" s="27"/>
      <c r="K192" s="11" t="s">
        <v>1172</v>
      </c>
      <c r="L192" s="16" t="s">
        <v>1124</v>
      </c>
      <c r="M192" s="3" t="s">
        <v>2005</v>
      </c>
      <c r="N192" s="3"/>
      <c r="O192" s="3"/>
      <c r="P192" s="3" t="b">
        <v>1</v>
      </c>
      <c r="Q192" s="3" t="s">
        <v>1394</v>
      </c>
      <c r="R192" s="4" t="b">
        <v>0</v>
      </c>
      <c r="S192" s="4">
        <v>-139.65</v>
      </c>
    </row>
    <row r="193" spans="1:19" x14ac:dyDescent="0.3">
      <c r="A193" s="27" t="s">
        <v>859</v>
      </c>
      <c r="B193" s="27"/>
      <c r="C193" s="27" t="str">
        <f>_xlfn.XLOOKUP(STATS[[#This Row],[FinanceCode]],FC[FinanceCode],FC[London Weighting]," ")</f>
        <v>Inner</v>
      </c>
      <c r="D193" s="27"/>
      <c r="E193" s="3"/>
      <c r="F193" s="3" t="s">
        <v>2006</v>
      </c>
      <c r="G193" s="3" t="s">
        <v>39</v>
      </c>
      <c r="H193" s="3" t="s">
        <v>51</v>
      </c>
      <c r="I193" s="3" t="s">
        <v>51</v>
      </c>
      <c r="J193" s="27"/>
      <c r="K193" s="11" t="s">
        <v>1172</v>
      </c>
      <c r="L193" s="16" t="s">
        <v>1124</v>
      </c>
      <c r="M193" s="3" t="s">
        <v>2007</v>
      </c>
      <c r="N193" s="3"/>
      <c r="O193" s="3"/>
      <c r="P193" s="3" t="b">
        <v>1</v>
      </c>
      <c r="Q193" s="3" t="s">
        <v>1394</v>
      </c>
      <c r="R193" s="4" t="b">
        <v>0</v>
      </c>
      <c r="S193" s="4">
        <v>-161.25</v>
      </c>
    </row>
    <row r="194" spans="1:19" x14ac:dyDescent="0.3">
      <c r="A194" s="27" t="s">
        <v>859</v>
      </c>
      <c r="B194" s="27"/>
      <c r="C194" s="27" t="str">
        <f>_xlfn.XLOOKUP(STATS[[#This Row],[FinanceCode]],FC[FinanceCode],FC[London Weighting]," ")</f>
        <v>Outer</v>
      </c>
      <c r="D194" s="27"/>
      <c r="E194" s="3"/>
      <c r="F194" s="3" t="s">
        <v>2008</v>
      </c>
      <c r="G194" s="3" t="s">
        <v>39</v>
      </c>
      <c r="H194" s="3" t="s">
        <v>51</v>
      </c>
      <c r="I194" s="3" t="s">
        <v>51</v>
      </c>
      <c r="J194" s="27"/>
      <c r="K194" s="11" t="s">
        <v>1172</v>
      </c>
      <c r="L194" s="16" t="s">
        <v>1124</v>
      </c>
      <c r="M194" s="3" t="s">
        <v>2009</v>
      </c>
      <c r="N194" s="3"/>
      <c r="O194" s="3"/>
      <c r="P194" s="3" t="b">
        <v>1</v>
      </c>
      <c r="Q194" s="3" t="s">
        <v>1394</v>
      </c>
      <c r="R194" s="4" t="b">
        <v>0</v>
      </c>
      <c r="S194" s="4">
        <v>-149.18</v>
      </c>
    </row>
    <row r="195" spans="1:19" x14ac:dyDescent="0.3">
      <c r="A195" s="27" t="s">
        <v>859</v>
      </c>
      <c r="B195" s="27"/>
      <c r="C195" s="27" t="str">
        <f>_xlfn.XLOOKUP(STATS[[#This Row],[FinanceCode]],FC[FinanceCode],FC[London Weighting]," ")</f>
        <v>England &amp; Wales</v>
      </c>
      <c r="D195" s="27"/>
      <c r="E195" s="3"/>
      <c r="F195" s="3" t="s">
        <v>2018</v>
      </c>
      <c r="G195" s="3" t="s">
        <v>39</v>
      </c>
      <c r="H195" s="3" t="s">
        <v>51</v>
      </c>
      <c r="I195" s="3" t="s">
        <v>51</v>
      </c>
      <c r="J195" s="27"/>
      <c r="K195" s="11" t="s">
        <v>1172</v>
      </c>
      <c r="L195" s="16" t="s">
        <v>1124</v>
      </c>
      <c r="M195" s="3" t="s">
        <v>2010</v>
      </c>
      <c r="N195" s="3"/>
      <c r="O195" s="3"/>
      <c r="P195" s="3" t="b">
        <v>1</v>
      </c>
      <c r="Q195" s="3" t="s">
        <v>1410</v>
      </c>
      <c r="R195" s="4" t="b">
        <v>0</v>
      </c>
      <c r="S195" s="4">
        <v>-189.77</v>
      </c>
    </row>
    <row r="196" spans="1:19" x14ac:dyDescent="0.3">
      <c r="A196" s="27" t="s">
        <v>859</v>
      </c>
      <c r="B196" s="27"/>
      <c r="C196" s="27" t="str">
        <f>_xlfn.XLOOKUP(STATS[[#This Row],[FinanceCode]],FC[FinanceCode],FC[London Weighting]," ")</f>
        <v>Fringe</v>
      </c>
      <c r="D196" s="27"/>
      <c r="E196" s="3"/>
      <c r="F196" s="3" t="s">
        <v>2011</v>
      </c>
      <c r="G196" s="3" t="s">
        <v>39</v>
      </c>
      <c r="H196" s="3" t="s">
        <v>51</v>
      </c>
      <c r="I196" s="3" t="s">
        <v>51</v>
      </c>
      <c r="J196" s="27"/>
      <c r="K196" s="11" t="s">
        <v>1172</v>
      </c>
      <c r="L196" s="16" t="s">
        <v>1124</v>
      </c>
      <c r="M196" s="3" t="s">
        <v>2012</v>
      </c>
      <c r="N196" s="3"/>
      <c r="O196" s="3"/>
      <c r="P196" s="3" t="b">
        <v>1</v>
      </c>
      <c r="Q196" s="3" t="s">
        <v>1410</v>
      </c>
      <c r="R196" s="4" t="b">
        <v>0</v>
      </c>
      <c r="S196" s="4">
        <v>-195.5</v>
      </c>
    </row>
    <row r="197" spans="1:19" x14ac:dyDescent="0.3">
      <c r="A197" s="27" t="s">
        <v>859</v>
      </c>
      <c r="B197" s="27"/>
      <c r="C197" s="27" t="str">
        <f>_xlfn.XLOOKUP(STATS[[#This Row],[FinanceCode]],FC[FinanceCode],FC[London Weighting]," ")</f>
        <v>Inner</v>
      </c>
      <c r="D197" s="27"/>
      <c r="E197" s="3"/>
      <c r="F197" s="3" t="s">
        <v>2013</v>
      </c>
      <c r="G197" s="3" t="s">
        <v>39</v>
      </c>
      <c r="H197" s="3" t="s">
        <v>51</v>
      </c>
      <c r="I197" s="3" t="s">
        <v>51</v>
      </c>
      <c r="J197" s="27"/>
      <c r="K197" s="11" t="s">
        <v>1172</v>
      </c>
      <c r="L197" s="16" t="s">
        <v>1124</v>
      </c>
      <c r="M197" s="3" t="s">
        <v>2014</v>
      </c>
      <c r="N197" s="3"/>
      <c r="O197" s="3"/>
      <c r="P197" s="3" t="b">
        <v>1</v>
      </c>
      <c r="Q197" s="3" t="s">
        <v>1410</v>
      </c>
      <c r="R197" s="4" t="b">
        <v>0</v>
      </c>
      <c r="S197" s="4">
        <v>-225.75</v>
      </c>
    </row>
    <row r="198" spans="1:19" x14ac:dyDescent="0.3">
      <c r="A198" s="27" t="s">
        <v>859</v>
      </c>
      <c r="B198" s="27"/>
      <c r="C198" s="27" t="str">
        <f>_xlfn.XLOOKUP(STATS[[#This Row],[FinanceCode]],FC[FinanceCode],FC[London Weighting]," ")</f>
        <v>Outer</v>
      </c>
      <c r="D198" s="27"/>
      <c r="E198" s="3"/>
      <c r="F198" s="3" t="s">
        <v>2015</v>
      </c>
      <c r="G198" s="3" t="s">
        <v>39</v>
      </c>
      <c r="H198" s="3" t="s">
        <v>51</v>
      </c>
      <c r="I198" s="3" t="s">
        <v>51</v>
      </c>
      <c r="J198" s="27"/>
      <c r="K198" s="11" t="s">
        <v>1172</v>
      </c>
      <c r="L198" s="16" t="s">
        <v>1124</v>
      </c>
      <c r="M198" s="3" t="s">
        <v>2016</v>
      </c>
      <c r="N198" s="3"/>
      <c r="O198" s="3"/>
      <c r="P198" s="3" t="b">
        <v>1</v>
      </c>
      <c r="Q198" s="3" t="s">
        <v>1410</v>
      </c>
      <c r="R198" s="4" t="b">
        <v>0</v>
      </c>
      <c r="S198" s="4">
        <v>-208.85</v>
      </c>
    </row>
    <row r="199" spans="1:19" x14ac:dyDescent="0.3">
      <c r="A199" s="27" t="s">
        <v>859</v>
      </c>
      <c r="B199" s="27"/>
      <c r="C199" s="27">
        <v>0</v>
      </c>
      <c r="D199" s="27"/>
      <c r="E199" s="3"/>
      <c r="F199" s="3" t="s">
        <v>1025</v>
      </c>
      <c r="G199" s="3" t="s">
        <v>39</v>
      </c>
      <c r="H199" s="3" t="s">
        <v>51</v>
      </c>
      <c r="I199" s="3" t="s">
        <v>51</v>
      </c>
      <c r="J199" s="27"/>
      <c r="K199" s="11" t="s">
        <v>1172</v>
      </c>
      <c r="L199" s="16" t="s">
        <v>1124</v>
      </c>
      <c r="M199" s="3" t="s">
        <v>1026</v>
      </c>
      <c r="N199" s="3" t="s">
        <v>1674</v>
      </c>
      <c r="O199" s="3"/>
      <c r="P199" s="3" t="b">
        <v>1</v>
      </c>
      <c r="Q199" s="3" t="s">
        <v>1394</v>
      </c>
      <c r="R199" s="4" t="b">
        <v>0</v>
      </c>
      <c r="S199" s="4">
        <v>-1050</v>
      </c>
    </row>
    <row r="200" spans="1:19" x14ac:dyDescent="0.3">
      <c r="A200" s="27" t="s">
        <v>2177</v>
      </c>
      <c r="B200" s="27"/>
      <c r="C200" s="27">
        <v>0</v>
      </c>
      <c r="D200" s="27"/>
      <c r="E200" s="3"/>
      <c r="F200" s="3" t="s">
        <v>1023</v>
      </c>
      <c r="G200" s="3" t="s">
        <v>39</v>
      </c>
      <c r="H200" s="3" t="s">
        <v>51</v>
      </c>
      <c r="I200" s="3" t="s">
        <v>51</v>
      </c>
      <c r="J200" s="27"/>
      <c r="K200" s="11" t="s">
        <v>1172</v>
      </c>
      <c r="L200" s="16" t="s">
        <v>1124</v>
      </c>
      <c r="M200" s="3" t="s">
        <v>1024</v>
      </c>
      <c r="N200" s="3" t="s">
        <v>1673</v>
      </c>
      <c r="O200" s="3"/>
      <c r="P200" s="3" t="b">
        <v>1</v>
      </c>
      <c r="Q200" s="3" t="s">
        <v>1410</v>
      </c>
      <c r="R200" s="4" t="b">
        <v>0</v>
      </c>
      <c r="S200" s="4">
        <v>-1515</v>
      </c>
    </row>
    <row r="201" spans="1:19" x14ac:dyDescent="0.3">
      <c r="A201" s="27" t="s">
        <v>859</v>
      </c>
      <c r="B201" s="27"/>
      <c r="C201" s="27">
        <f>_xlfn.XLOOKUP(STATS[[#This Row],[FinanceCode]],FC[FinanceCode],FC[London Weighting]," ")</f>
        <v>0</v>
      </c>
      <c r="D201" s="27"/>
      <c r="E201" s="3"/>
      <c r="F201" s="3" t="s">
        <v>1034</v>
      </c>
      <c r="G201" s="3" t="s">
        <v>39</v>
      </c>
      <c r="H201" s="3" t="s">
        <v>51</v>
      </c>
      <c r="I201" s="3" t="s">
        <v>51</v>
      </c>
      <c r="J201" s="27"/>
      <c r="K201" s="11" t="s">
        <v>1172</v>
      </c>
      <c r="L201" s="16" t="s">
        <v>1124</v>
      </c>
      <c r="M201" s="3" t="s">
        <v>1311</v>
      </c>
      <c r="N201" s="3"/>
      <c r="O201" s="3"/>
      <c r="P201" s="3" t="b">
        <v>1</v>
      </c>
      <c r="Q201" s="3" t="s">
        <v>1497</v>
      </c>
      <c r="R201" s="4" t="b">
        <v>0</v>
      </c>
      <c r="S201" s="4"/>
    </row>
    <row r="202" spans="1:19" x14ac:dyDescent="0.3">
      <c r="A202" s="27" t="s">
        <v>859</v>
      </c>
      <c r="B202" s="27"/>
      <c r="C202" s="27">
        <f>_xlfn.XLOOKUP(STATS[[#This Row],[FinanceCode]],FC[FinanceCode],FC[London Weighting]," ")</f>
        <v>0</v>
      </c>
      <c r="D202" s="27"/>
      <c r="E202" s="3"/>
      <c r="F202" s="3" t="s">
        <v>1050</v>
      </c>
      <c r="G202" s="3"/>
      <c r="H202" s="3" t="s">
        <v>51</v>
      </c>
      <c r="I202" s="3" t="s">
        <v>51</v>
      </c>
      <c r="J202" s="27"/>
      <c r="K202" s="11" t="s">
        <v>1242</v>
      </c>
      <c r="L202" s="16" t="s">
        <v>1124</v>
      </c>
      <c r="M202" s="3" t="s">
        <v>1400</v>
      </c>
      <c r="N202" s="3" t="s">
        <v>1679</v>
      </c>
      <c r="O202" s="3"/>
      <c r="P202" s="3" t="b">
        <v>1</v>
      </c>
      <c r="Q202" s="3" t="s">
        <v>1497</v>
      </c>
      <c r="R202" s="4" t="b">
        <v>1</v>
      </c>
      <c r="S202" s="4"/>
    </row>
    <row r="203" spans="1:19" x14ac:dyDescent="0.3">
      <c r="A203" s="27" t="s">
        <v>859</v>
      </c>
      <c r="B203" s="27"/>
      <c r="C203" s="27">
        <f>_xlfn.XLOOKUP(STATS[[#This Row],[FinanceCode]],FC[FinanceCode],FC[London Weighting]," ")</f>
        <v>0</v>
      </c>
      <c r="D203" s="27"/>
      <c r="E203" s="3"/>
      <c r="F203" s="3" t="s">
        <v>1048</v>
      </c>
      <c r="G203" s="3"/>
      <c r="H203" s="3" t="s">
        <v>51</v>
      </c>
      <c r="I203" s="3" t="s">
        <v>51</v>
      </c>
      <c r="J203" s="27"/>
      <c r="K203" s="11" t="s">
        <v>1244</v>
      </c>
      <c r="L203" s="16" t="s">
        <v>1124</v>
      </c>
      <c r="M203" s="3" t="s">
        <v>1399</v>
      </c>
      <c r="N203" s="3" t="s">
        <v>1680</v>
      </c>
      <c r="O203" s="3"/>
      <c r="P203" s="3" t="b">
        <v>1</v>
      </c>
      <c r="Q203" s="3" t="s">
        <v>1497</v>
      </c>
      <c r="R203" s="4" t="b">
        <v>1</v>
      </c>
      <c r="S203" s="4"/>
    </row>
    <row r="204" spans="1:19" x14ac:dyDescent="0.3">
      <c r="A204" s="27" t="s">
        <v>859</v>
      </c>
      <c r="B204" s="27"/>
      <c r="C204" s="27">
        <f>_xlfn.XLOOKUP(STATS[[#This Row],[FinanceCode]],FC[FinanceCode],FC[London Weighting]," ")</f>
        <v>0</v>
      </c>
      <c r="D204" s="27"/>
      <c r="E204" s="3"/>
      <c r="F204" s="3" t="s">
        <v>1042</v>
      </c>
      <c r="G204" s="3"/>
      <c r="H204" s="3" t="s">
        <v>51</v>
      </c>
      <c r="I204" s="3" t="s">
        <v>51</v>
      </c>
      <c r="J204" s="27"/>
      <c r="K204" s="11" t="s">
        <v>1248</v>
      </c>
      <c r="L204" s="16" t="s">
        <v>1124</v>
      </c>
      <c r="M204" s="3" t="s">
        <v>1397</v>
      </c>
      <c r="N204" s="3" t="s">
        <v>1681</v>
      </c>
      <c r="O204" s="3"/>
      <c r="P204" s="3" t="b">
        <v>1</v>
      </c>
      <c r="Q204" s="3" t="s">
        <v>1497</v>
      </c>
      <c r="R204" s="4" t="b">
        <v>1</v>
      </c>
      <c r="S204" s="4"/>
    </row>
    <row r="205" spans="1:19" x14ac:dyDescent="0.3">
      <c r="A205" s="27" t="s">
        <v>859</v>
      </c>
      <c r="B205" s="27"/>
      <c r="C205" s="27">
        <f>_xlfn.XLOOKUP(STATS[[#This Row],[FinanceCode]],FC[FinanceCode],FC[London Weighting]," ")</f>
        <v>0</v>
      </c>
      <c r="D205" s="27"/>
      <c r="E205" s="3"/>
      <c r="F205" s="3" t="s">
        <v>1044</v>
      </c>
      <c r="G205" s="3"/>
      <c r="H205" s="3" t="s">
        <v>51</v>
      </c>
      <c r="I205" s="3" t="s">
        <v>51</v>
      </c>
      <c r="J205" s="27"/>
      <c r="K205" s="11" t="s">
        <v>1250</v>
      </c>
      <c r="L205" s="16" t="s">
        <v>1124</v>
      </c>
      <c r="M205" s="3" t="s">
        <v>1403</v>
      </c>
      <c r="N205" s="3" t="s">
        <v>1682</v>
      </c>
      <c r="O205" s="3"/>
      <c r="P205" s="3" t="b">
        <v>1</v>
      </c>
      <c r="Q205" s="3" t="s">
        <v>1497</v>
      </c>
      <c r="R205" s="4" t="b">
        <v>1</v>
      </c>
      <c r="S205" s="4"/>
    </row>
    <row r="206" spans="1:19" x14ac:dyDescent="0.3">
      <c r="A206" s="27" t="s">
        <v>859</v>
      </c>
      <c r="B206" s="27"/>
      <c r="C206" s="27">
        <f>_xlfn.XLOOKUP(STATS[[#This Row],[FinanceCode]],FC[FinanceCode],FC[London Weighting]," ")</f>
        <v>0</v>
      </c>
      <c r="D206" s="27"/>
      <c r="E206" s="3"/>
      <c r="F206" s="3" t="s">
        <v>1040</v>
      </c>
      <c r="G206" s="3"/>
      <c r="H206" s="3" t="s">
        <v>51</v>
      </c>
      <c r="I206" s="3" t="s">
        <v>51</v>
      </c>
      <c r="J206" s="27"/>
      <c r="K206" s="11" t="s">
        <v>1246</v>
      </c>
      <c r="L206" s="16" t="s">
        <v>1124</v>
      </c>
      <c r="M206" s="3" t="s">
        <v>1396</v>
      </c>
      <c r="N206" s="3" t="s">
        <v>1683</v>
      </c>
      <c r="O206" s="3"/>
      <c r="P206" s="3" t="b">
        <v>1</v>
      </c>
      <c r="Q206" s="3" t="s">
        <v>1497</v>
      </c>
      <c r="R206" s="4" t="b">
        <v>1</v>
      </c>
      <c r="S206" s="4"/>
    </row>
    <row r="207" spans="1:19" x14ac:dyDescent="0.3">
      <c r="A207" s="27" t="s">
        <v>859</v>
      </c>
      <c r="B207" s="27"/>
      <c r="C207" s="27">
        <f>_xlfn.XLOOKUP(STATS[[#This Row],[FinanceCode]],FC[FinanceCode],FC[London Weighting]," ")</f>
        <v>0</v>
      </c>
      <c r="D207" s="27"/>
      <c r="E207" s="3"/>
      <c r="F207" s="3" t="s">
        <v>1046</v>
      </c>
      <c r="G207" s="3"/>
      <c r="H207" s="3" t="s">
        <v>51</v>
      </c>
      <c r="I207" s="3" t="s">
        <v>51</v>
      </c>
      <c r="J207" s="27"/>
      <c r="K207" s="11" t="s">
        <v>1252</v>
      </c>
      <c r="L207" s="16" t="s">
        <v>1124</v>
      </c>
      <c r="M207" s="3" t="s">
        <v>1398</v>
      </c>
      <c r="N207" s="3" t="s">
        <v>1684</v>
      </c>
      <c r="O207" s="3"/>
      <c r="P207" s="3" t="b">
        <v>1</v>
      </c>
      <c r="Q207" s="3" t="s">
        <v>1497</v>
      </c>
      <c r="R207" s="4" t="b">
        <v>1</v>
      </c>
      <c r="S207" s="4"/>
    </row>
    <row r="208" spans="1:19" x14ac:dyDescent="0.3">
      <c r="A208" s="27" t="s">
        <v>860</v>
      </c>
      <c r="B208" s="27"/>
      <c r="C208" s="27">
        <f>_xlfn.XLOOKUP(STATS[[#This Row],[FinanceCode]],FC[FinanceCode],FC[London Weighting]," ")</f>
        <v>0</v>
      </c>
      <c r="D208" s="27"/>
      <c r="E208" s="3"/>
      <c r="F208" s="3" t="s">
        <v>1007</v>
      </c>
      <c r="G208" s="3" t="s">
        <v>39</v>
      </c>
      <c r="H208" s="3" t="s">
        <v>51</v>
      </c>
      <c r="I208" s="3" t="s">
        <v>51</v>
      </c>
      <c r="J208" s="27"/>
      <c r="K208" s="11" t="s">
        <v>1172</v>
      </c>
      <c r="L208" s="16" t="s">
        <v>1124</v>
      </c>
      <c r="M208" s="3" t="s">
        <v>1008</v>
      </c>
      <c r="N208" s="3" t="s">
        <v>1665</v>
      </c>
      <c r="O208" s="3"/>
      <c r="P208" s="3" t="b">
        <v>1</v>
      </c>
      <c r="Q208" s="3" t="s">
        <v>1394</v>
      </c>
      <c r="R208" s="4" t="b">
        <v>0</v>
      </c>
      <c r="S208" s="4">
        <v>-50.625</v>
      </c>
    </row>
    <row r="209" spans="1:19" x14ac:dyDescent="0.3">
      <c r="A209" s="27" t="s">
        <v>880</v>
      </c>
      <c r="B209" s="27"/>
      <c r="C209" s="27">
        <f>_xlfn.XLOOKUP(STATS[[#This Row],[FinanceCode]],FC[FinanceCode],FC[London Weighting]," ")</f>
        <v>0</v>
      </c>
      <c r="D209" s="27"/>
      <c r="E209" s="3"/>
      <c r="F209" s="3" t="s">
        <v>1011</v>
      </c>
      <c r="G209" s="3" t="s">
        <v>39</v>
      </c>
      <c r="H209" s="3" t="s">
        <v>51</v>
      </c>
      <c r="I209" s="3" t="s">
        <v>51</v>
      </c>
      <c r="J209" s="27"/>
      <c r="K209" s="11" t="s">
        <v>1172</v>
      </c>
      <c r="L209" s="16" t="s">
        <v>1124</v>
      </c>
      <c r="M209" s="3" t="s">
        <v>1389</v>
      </c>
      <c r="N209" s="3" t="s">
        <v>1666</v>
      </c>
      <c r="O209" s="3"/>
      <c r="P209" s="3" t="b">
        <v>1</v>
      </c>
      <c r="Q209" s="3" t="s">
        <v>1497</v>
      </c>
      <c r="R209" s="4" t="b">
        <v>0</v>
      </c>
      <c r="S209" s="4">
        <v>-10000</v>
      </c>
    </row>
    <row r="210" spans="1:19" x14ac:dyDescent="0.3">
      <c r="A210" s="27" t="s">
        <v>880</v>
      </c>
      <c r="B210" s="27"/>
      <c r="C210" s="27">
        <f>_xlfn.XLOOKUP(STATS[[#This Row],[FinanceCode]],FC[FinanceCode],FC[London Weighting]," ")</f>
        <v>0</v>
      </c>
      <c r="D210" s="27"/>
      <c r="E210" s="3"/>
      <c r="F210" s="3" t="s">
        <v>1009</v>
      </c>
      <c r="G210" s="3" t="s">
        <v>39</v>
      </c>
      <c r="H210" s="3" t="s">
        <v>51</v>
      </c>
      <c r="I210" s="3" t="s">
        <v>51</v>
      </c>
      <c r="J210" s="27"/>
      <c r="K210" s="11" t="s">
        <v>1172</v>
      </c>
      <c r="L210" s="16" t="s">
        <v>1124</v>
      </c>
      <c r="M210" s="3" t="s">
        <v>1010</v>
      </c>
      <c r="N210" s="3" t="s">
        <v>1667</v>
      </c>
      <c r="O210" s="3"/>
      <c r="P210" s="3" t="b">
        <v>1</v>
      </c>
      <c r="Q210" s="3" t="s">
        <v>1497</v>
      </c>
      <c r="R210" s="4" t="b">
        <v>0</v>
      </c>
      <c r="S210" s="4">
        <v>-6000</v>
      </c>
    </row>
    <row r="211" spans="1:19" x14ac:dyDescent="0.3">
      <c r="A211" s="27" t="s">
        <v>880</v>
      </c>
      <c r="B211" s="27"/>
      <c r="C211" s="27">
        <f>_xlfn.XLOOKUP(STATS[[#This Row],[FinanceCode]],FC[FinanceCode],FC[London Weighting]," ")</f>
        <v>0</v>
      </c>
      <c r="D211" s="27"/>
      <c r="E211" s="3"/>
      <c r="F211" s="3" t="s">
        <v>2342</v>
      </c>
      <c r="G211" s="3" t="s">
        <v>39</v>
      </c>
      <c r="H211" s="3" t="s">
        <v>51</v>
      </c>
      <c r="I211" s="3" t="s">
        <v>51</v>
      </c>
      <c r="J211" s="27"/>
      <c r="K211" s="11" t="s">
        <v>1172</v>
      </c>
      <c r="L211" s="16" t="s">
        <v>1124</v>
      </c>
      <c r="M211" s="3" t="s">
        <v>2344</v>
      </c>
      <c r="N211" s="3" t="s">
        <v>1668</v>
      </c>
      <c r="O211" s="3"/>
      <c r="P211" s="3" t="b">
        <v>1</v>
      </c>
      <c r="Q211" s="3" t="s">
        <v>1497</v>
      </c>
      <c r="R211" s="4" t="b">
        <v>0</v>
      </c>
      <c r="S211" s="4">
        <v>0.5</v>
      </c>
    </row>
    <row r="212" spans="1:19" x14ac:dyDescent="0.3">
      <c r="A212" s="27" t="s">
        <v>860</v>
      </c>
      <c r="B212" s="27"/>
      <c r="C212" s="27">
        <v>0</v>
      </c>
      <c r="D212" s="27"/>
      <c r="E212" s="3"/>
      <c r="F212" s="3" t="s">
        <v>1023</v>
      </c>
      <c r="G212" s="3" t="s">
        <v>39</v>
      </c>
      <c r="H212" s="3" t="s">
        <v>51</v>
      </c>
      <c r="I212" s="3" t="s">
        <v>51</v>
      </c>
      <c r="J212" s="27"/>
      <c r="K212" s="11" t="s">
        <v>1172</v>
      </c>
      <c r="L212" s="16" t="s">
        <v>1124</v>
      </c>
      <c r="M212" s="3" t="s">
        <v>1024</v>
      </c>
      <c r="N212" s="3" t="s">
        <v>1673</v>
      </c>
      <c r="O212" s="3"/>
      <c r="P212" s="3" t="b">
        <v>1</v>
      </c>
      <c r="Q212" s="3" t="s">
        <v>1394</v>
      </c>
      <c r="R212" s="4" t="b">
        <v>0</v>
      </c>
      <c r="S212" s="4">
        <v>-1480</v>
      </c>
    </row>
    <row r="213" spans="1:19" x14ac:dyDescent="0.3">
      <c r="A213" s="27" t="s">
        <v>2180</v>
      </c>
      <c r="B213" s="27"/>
      <c r="C213" s="27">
        <v>0</v>
      </c>
      <c r="D213" s="27"/>
      <c r="E213" s="3"/>
      <c r="F213" s="3" t="s">
        <v>1023</v>
      </c>
      <c r="G213" s="3" t="s">
        <v>39</v>
      </c>
      <c r="H213" s="3" t="s">
        <v>51</v>
      </c>
      <c r="I213" s="3" t="s">
        <v>51</v>
      </c>
      <c r="J213" s="27"/>
      <c r="K213" s="11" t="s">
        <v>1172</v>
      </c>
      <c r="L213" s="16" t="s">
        <v>1124</v>
      </c>
      <c r="M213" s="3" t="s">
        <v>1024</v>
      </c>
      <c r="N213" s="3" t="s">
        <v>1673</v>
      </c>
      <c r="O213" s="3"/>
      <c r="P213" s="3" t="b">
        <v>1</v>
      </c>
      <c r="Q213" s="3" t="s">
        <v>1410</v>
      </c>
      <c r="R213" s="4" t="b">
        <v>0</v>
      </c>
      <c r="S213" s="4">
        <v>-1515</v>
      </c>
    </row>
    <row r="214" spans="1:19" x14ac:dyDescent="0.3">
      <c r="A214" s="27" t="s">
        <v>860</v>
      </c>
      <c r="B214" s="27"/>
      <c r="C214" s="27">
        <v>0</v>
      </c>
      <c r="D214" s="27"/>
      <c r="E214" s="3"/>
      <c r="F214" s="3" t="s">
        <v>1025</v>
      </c>
      <c r="G214" s="3" t="s">
        <v>39</v>
      </c>
      <c r="H214" s="3" t="s">
        <v>51</v>
      </c>
      <c r="I214" s="3" t="s">
        <v>51</v>
      </c>
      <c r="J214" s="27"/>
      <c r="K214" s="11" t="s">
        <v>1172</v>
      </c>
      <c r="L214" s="16" t="s">
        <v>1124</v>
      </c>
      <c r="M214" s="3" t="s">
        <v>1026</v>
      </c>
      <c r="N214" s="3" t="s">
        <v>1674</v>
      </c>
      <c r="O214" s="3"/>
      <c r="P214" s="3" t="b">
        <v>1</v>
      </c>
      <c r="Q214" s="3" t="s">
        <v>1394</v>
      </c>
      <c r="R214" s="4" t="b">
        <v>0</v>
      </c>
      <c r="S214" s="4">
        <v>-1050</v>
      </c>
    </row>
    <row r="215" spans="1:19" x14ac:dyDescent="0.3">
      <c r="A215" s="27" t="s">
        <v>2422</v>
      </c>
      <c r="B215" s="27"/>
      <c r="C215" s="27">
        <v>0</v>
      </c>
      <c r="D215" s="27"/>
      <c r="E215" s="3"/>
      <c r="F215" s="3" t="s">
        <v>1023</v>
      </c>
      <c r="G215" s="3" t="s">
        <v>39</v>
      </c>
      <c r="H215" s="3" t="s">
        <v>51</v>
      </c>
      <c r="I215" s="3" t="s">
        <v>51</v>
      </c>
      <c r="J215" s="27"/>
      <c r="K215" s="11" t="s">
        <v>1172</v>
      </c>
      <c r="L215" s="16" t="s">
        <v>1124</v>
      </c>
      <c r="M215" s="3" t="s">
        <v>1024</v>
      </c>
      <c r="N215" s="3" t="s">
        <v>1673</v>
      </c>
      <c r="O215" s="3"/>
      <c r="P215" s="3" t="b">
        <v>1</v>
      </c>
      <c r="Q215" s="3" t="s">
        <v>1410</v>
      </c>
      <c r="R215" s="4" t="b">
        <v>0</v>
      </c>
      <c r="S215" s="4">
        <v>-1515</v>
      </c>
    </row>
    <row r="216" spans="1:19" x14ac:dyDescent="0.3">
      <c r="A216" s="27" t="s">
        <v>860</v>
      </c>
      <c r="B216" s="27"/>
      <c r="C216" s="27">
        <v>0</v>
      </c>
      <c r="D216" s="27"/>
      <c r="E216" s="3"/>
      <c r="F216" s="3" t="s">
        <v>1575</v>
      </c>
      <c r="G216" s="3" t="s">
        <v>39</v>
      </c>
      <c r="H216" s="3" t="s">
        <v>51</v>
      </c>
      <c r="I216" s="3" t="s">
        <v>51</v>
      </c>
      <c r="J216" s="27"/>
      <c r="K216" s="11" t="s">
        <v>1172</v>
      </c>
      <c r="L216" s="16" t="s">
        <v>1124</v>
      </c>
      <c r="M216" s="3" t="s">
        <v>1576</v>
      </c>
      <c r="N216" s="3"/>
      <c r="O216" s="3"/>
      <c r="P216" s="3" t="b">
        <v>1</v>
      </c>
      <c r="Q216" s="3" t="s">
        <v>1394</v>
      </c>
      <c r="R216" s="4" t="b">
        <v>0</v>
      </c>
      <c r="S216" s="4">
        <v>-480.7</v>
      </c>
    </row>
    <row r="217" spans="1:19" x14ac:dyDescent="0.3">
      <c r="A217" s="27" t="s">
        <v>860</v>
      </c>
      <c r="B217" s="27"/>
      <c r="C217" s="27">
        <v>0</v>
      </c>
      <c r="D217" s="27"/>
      <c r="E217" s="3"/>
      <c r="F217" s="3" t="s">
        <v>1575</v>
      </c>
      <c r="G217" s="3" t="s">
        <v>39</v>
      </c>
      <c r="H217" s="3" t="s">
        <v>51</v>
      </c>
      <c r="I217" s="3" t="s">
        <v>51</v>
      </c>
      <c r="J217" s="27"/>
      <c r="K217" s="11" t="s">
        <v>1172</v>
      </c>
      <c r="L217" s="16" t="s">
        <v>1124</v>
      </c>
      <c r="M217" s="3" t="s">
        <v>1576</v>
      </c>
      <c r="N217" s="3"/>
      <c r="O217" s="3"/>
      <c r="P217" s="3" t="b">
        <v>1</v>
      </c>
      <c r="Q217" s="3" t="s">
        <v>1410</v>
      </c>
      <c r="R217" s="4" t="b">
        <v>0</v>
      </c>
      <c r="S217" s="4">
        <v>-490.2</v>
      </c>
    </row>
    <row r="218" spans="1:19" x14ac:dyDescent="0.3">
      <c r="A218" s="27" t="s">
        <v>860</v>
      </c>
      <c r="B218" s="27"/>
      <c r="C218" s="27">
        <v>0</v>
      </c>
      <c r="D218" s="27"/>
      <c r="E218" s="3"/>
      <c r="F218" s="3" t="s">
        <v>1575</v>
      </c>
      <c r="G218" s="3" t="s">
        <v>39</v>
      </c>
      <c r="H218" s="3" t="s">
        <v>51</v>
      </c>
      <c r="I218" s="3" t="s">
        <v>51</v>
      </c>
      <c r="J218" s="27"/>
      <c r="K218" s="11" t="s">
        <v>1172</v>
      </c>
      <c r="L218" s="16" t="s">
        <v>1124</v>
      </c>
      <c r="M218" s="3" t="s">
        <v>1576</v>
      </c>
      <c r="N218" s="3"/>
      <c r="O218" s="3"/>
      <c r="P218" s="3" t="b">
        <v>1</v>
      </c>
      <c r="Q218" s="3" t="s">
        <v>1497</v>
      </c>
      <c r="R218" s="4" t="b">
        <v>0</v>
      </c>
      <c r="S218" s="4">
        <v>-495.9</v>
      </c>
    </row>
    <row r="219" spans="1:19" x14ac:dyDescent="0.3">
      <c r="A219" s="27" t="s">
        <v>860</v>
      </c>
      <c r="B219" s="27"/>
      <c r="C219" s="27">
        <v>0</v>
      </c>
      <c r="D219" s="27"/>
      <c r="E219" s="3"/>
      <c r="F219" s="3" t="s">
        <v>1573</v>
      </c>
      <c r="G219" s="3" t="s">
        <v>39</v>
      </c>
      <c r="H219" s="3" t="s">
        <v>51</v>
      </c>
      <c r="I219" s="3" t="s">
        <v>51</v>
      </c>
      <c r="J219" s="27"/>
      <c r="K219" s="3" t="s">
        <v>2036</v>
      </c>
      <c r="L219" s="16" t="s">
        <v>1124</v>
      </c>
      <c r="M219" s="3" t="s">
        <v>1577</v>
      </c>
      <c r="N219" s="3" t="s">
        <v>1677</v>
      </c>
      <c r="O219" s="3"/>
      <c r="P219" s="3" t="b">
        <v>1</v>
      </c>
      <c r="Q219" s="3" t="s">
        <v>1497</v>
      </c>
      <c r="R219" s="4" t="b">
        <v>1</v>
      </c>
      <c r="S219" s="4"/>
    </row>
    <row r="220" spans="1:19" x14ac:dyDescent="0.3">
      <c r="A220" s="27" t="s">
        <v>860</v>
      </c>
      <c r="B220" s="27"/>
      <c r="C220" s="27">
        <f>_xlfn.XLOOKUP(STATS[[#This Row],[FinanceCode]],FC[FinanceCode],FC[London Weighting]," ")</f>
        <v>0</v>
      </c>
      <c r="D220" s="27"/>
      <c r="E220" s="3"/>
      <c r="F220" s="3" t="s">
        <v>1050</v>
      </c>
      <c r="G220" s="3"/>
      <c r="H220" s="3" t="s">
        <v>51</v>
      </c>
      <c r="I220" s="3" t="s">
        <v>51</v>
      </c>
      <c r="J220" s="27"/>
      <c r="K220" s="11" t="s">
        <v>1242</v>
      </c>
      <c r="L220" s="16" t="s">
        <v>1124</v>
      </c>
      <c r="M220" s="3" t="s">
        <v>1400</v>
      </c>
      <c r="N220" s="3" t="s">
        <v>1679</v>
      </c>
      <c r="O220" s="3"/>
      <c r="P220" s="3" t="b">
        <v>1</v>
      </c>
      <c r="Q220" s="3" t="s">
        <v>1497</v>
      </c>
      <c r="R220" s="4" t="b">
        <v>1</v>
      </c>
      <c r="S220" s="4"/>
    </row>
    <row r="221" spans="1:19" x14ac:dyDescent="0.3">
      <c r="A221" s="27" t="s">
        <v>860</v>
      </c>
      <c r="B221" s="27"/>
      <c r="C221" s="27">
        <f>_xlfn.XLOOKUP(STATS[[#This Row],[FinanceCode]],FC[FinanceCode],FC[London Weighting]," ")</f>
        <v>0</v>
      </c>
      <c r="D221" s="27"/>
      <c r="E221" s="3"/>
      <c r="F221" s="3" t="s">
        <v>1048</v>
      </c>
      <c r="G221" s="3"/>
      <c r="H221" s="3" t="s">
        <v>51</v>
      </c>
      <c r="I221" s="3" t="s">
        <v>51</v>
      </c>
      <c r="J221" s="27"/>
      <c r="K221" s="11" t="s">
        <v>1244</v>
      </c>
      <c r="L221" s="16" t="s">
        <v>1124</v>
      </c>
      <c r="M221" s="3" t="s">
        <v>1399</v>
      </c>
      <c r="N221" s="3" t="s">
        <v>1680</v>
      </c>
      <c r="O221" s="3"/>
      <c r="P221" s="3" t="b">
        <v>1</v>
      </c>
      <c r="Q221" s="3" t="s">
        <v>1497</v>
      </c>
      <c r="R221" s="4" t="b">
        <v>1</v>
      </c>
      <c r="S221" s="4"/>
    </row>
    <row r="222" spans="1:19" x14ac:dyDescent="0.3">
      <c r="A222" s="27" t="s">
        <v>860</v>
      </c>
      <c r="B222" s="27"/>
      <c r="C222" s="27">
        <f>_xlfn.XLOOKUP(STATS[[#This Row],[FinanceCode]],FC[FinanceCode],FC[London Weighting]," ")</f>
        <v>0</v>
      </c>
      <c r="D222" s="27"/>
      <c r="E222" s="3"/>
      <c r="F222" s="3" t="s">
        <v>1042</v>
      </c>
      <c r="G222" s="3"/>
      <c r="H222" s="3" t="s">
        <v>51</v>
      </c>
      <c r="I222" s="3" t="s">
        <v>51</v>
      </c>
      <c r="J222" s="27"/>
      <c r="K222" s="11" t="s">
        <v>1248</v>
      </c>
      <c r="L222" s="16" t="s">
        <v>1124</v>
      </c>
      <c r="M222" s="3" t="s">
        <v>1397</v>
      </c>
      <c r="N222" s="3" t="s">
        <v>1681</v>
      </c>
      <c r="O222" s="3"/>
      <c r="P222" s="3" t="b">
        <v>1</v>
      </c>
      <c r="Q222" s="3" t="s">
        <v>1497</v>
      </c>
      <c r="R222" s="4" t="b">
        <v>1</v>
      </c>
      <c r="S222" s="4"/>
    </row>
    <row r="223" spans="1:19" x14ac:dyDescent="0.3">
      <c r="A223" s="27" t="s">
        <v>860</v>
      </c>
      <c r="B223" s="27"/>
      <c r="C223" s="27">
        <f>_xlfn.XLOOKUP(STATS[[#This Row],[FinanceCode]],FC[FinanceCode],FC[London Weighting]," ")</f>
        <v>0</v>
      </c>
      <c r="D223" s="27"/>
      <c r="E223" s="3"/>
      <c r="F223" s="3" t="s">
        <v>1044</v>
      </c>
      <c r="G223" s="3"/>
      <c r="H223" s="3" t="s">
        <v>51</v>
      </c>
      <c r="I223" s="3" t="s">
        <v>51</v>
      </c>
      <c r="J223" s="27"/>
      <c r="K223" s="11" t="s">
        <v>1250</v>
      </c>
      <c r="L223" s="16" t="s">
        <v>1124</v>
      </c>
      <c r="M223" s="3" t="s">
        <v>1403</v>
      </c>
      <c r="N223" s="3" t="s">
        <v>1682</v>
      </c>
      <c r="O223" s="3"/>
      <c r="P223" s="3" t="b">
        <v>1</v>
      </c>
      <c r="Q223" s="3" t="s">
        <v>1497</v>
      </c>
      <c r="R223" s="4" t="b">
        <v>1</v>
      </c>
      <c r="S223" s="4"/>
    </row>
    <row r="224" spans="1:19" x14ac:dyDescent="0.3">
      <c r="A224" s="27" t="s">
        <v>860</v>
      </c>
      <c r="B224" s="27"/>
      <c r="C224" s="27">
        <f>_xlfn.XLOOKUP(STATS[[#This Row],[FinanceCode]],FC[FinanceCode],FC[London Weighting]," ")</f>
        <v>0</v>
      </c>
      <c r="D224" s="27"/>
      <c r="E224" s="3"/>
      <c r="F224" s="3" t="s">
        <v>1046</v>
      </c>
      <c r="G224" s="3"/>
      <c r="H224" s="3" t="s">
        <v>51</v>
      </c>
      <c r="I224" s="3" t="s">
        <v>51</v>
      </c>
      <c r="J224" s="27"/>
      <c r="K224" s="11" t="s">
        <v>1252</v>
      </c>
      <c r="L224" s="16" t="s">
        <v>1124</v>
      </c>
      <c r="M224" s="3" t="s">
        <v>1398</v>
      </c>
      <c r="N224" s="3" t="s">
        <v>1684</v>
      </c>
      <c r="O224" s="3"/>
      <c r="P224" s="3" t="b">
        <v>1</v>
      </c>
      <c r="Q224" s="3" t="s">
        <v>1497</v>
      </c>
      <c r="R224" s="4" t="b">
        <v>1</v>
      </c>
      <c r="S224" s="4"/>
    </row>
    <row r="225" spans="1:19" x14ac:dyDescent="0.3">
      <c r="A225" s="27" t="s">
        <v>880</v>
      </c>
      <c r="B225" s="27"/>
      <c r="C225" s="27">
        <f>_xlfn.XLOOKUP(STATS[[#This Row],[FinanceCode]],FC[FinanceCode],FC[London Weighting]," ")</f>
        <v>0</v>
      </c>
      <c r="D225" s="27"/>
      <c r="E225" s="3"/>
      <c r="F225" s="3" t="s">
        <v>1502</v>
      </c>
      <c r="G225" s="3" t="s">
        <v>39</v>
      </c>
      <c r="H225" s="3" t="s">
        <v>51</v>
      </c>
      <c r="I225" s="3" t="s">
        <v>51</v>
      </c>
      <c r="J225" s="27"/>
      <c r="K225" s="11" t="s">
        <v>1172</v>
      </c>
      <c r="L225" s="16" t="s">
        <v>1124</v>
      </c>
      <c r="M225" s="3" t="s">
        <v>1542</v>
      </c>
      <c r="N225" s="3" t="s">
        <v>1669</v>
      </c>
      <c r="O225" s="3"/>
      <c r="P225" s="3" t="b">
        <v>1</v>
      </c>
      <c r="Q225" s="3" t="s">
        <v>1497</v>
      </c>
      <c r="R225" s="4" t="b">
        <v>0</v>
      </c>
      <c r="S225" s="4">
        <v>-15000</v>
      </c>
    </row>
    <row r="226" spans="1:19" x14ac:dyDescent="0.3">
      <c r="A226" s="27" t="s">
        <v>2179</v>
      </c>
      <c r="B226" s="27"/>
      <c r="C226" s="27" t="s">
        <v>878</v>
      </c>
      <c r="D226" s="27"/>
      <c r="E226" s="3"/>
      <c r="F226" s="3" t="s">
        <v>2017</v>
      </c>
      <c r="G226" s="3" t="s">
        <v>39</v>
      </c>
      <c r="H226" s="3" t="s">
        <v>51</v>
      </c>
      <c r="I226" s="3" t="s">
        <v>51</v>
      </c>
      <c r="J226" s="27"/>
      <c r="K226" s="11" t="s">
        <v>1172</v>
      </c>
      <c r="L226" s="16" t="s">
        <v>1124</v>
      </c>
      <c r="M226" s="3" t="s">
        <v>2003</v>
      </c>
      <c r="N226" s="3"/>
      <c r="O226" s="3"/>
      <c r="P226" s="3" t="b">
        <v>1</v>
      </c>
      <c r="Q226" s="3" t="s">
        <v>1394</v>
      </c>
      <c r="R226" s="4" t="b">
        <v>0</v>
      </c>
      <c r="S226" s="4">
        <v>-135.55000000000001</v>
      </c>
    </row>
    <row r="227" spans="1:19" x14ac:dyDescent="0.3">
      <c r="A227" s="27" t="s">
        <v>2179</v>
      </c>
      <c r="B227" s="27"/>
      <c r="C227" s="27" t="s">
        <v>1014</v>
      </c>
      <c r="D227" s="27"/>
      <c r="E227" s="3"/>
      <c r="F227" s="3" t="s">
        <v>2004</v>
      </c>
      <c r="G227" s="3" t="s">
        <v>39</v>
      </c>
      <c r="H227" s="3" t="s">
        <v>51</v>
      </c>
      <c r="I227" s="3" t="s">
        <v>51</v>
      </c>
      <c r="J227" s="27"/>
      <c r="K227" s="11" t="s">
        <v>1172</v>
      </c>
      <c r="L227" s="16" t="s">
        <v>1124</v>
      </c>
      <c r="M227" s="3" t="s">
        <v>2005</v>
      </c>
      <c r="N227" s="3"/>
      <c r="O227" s="3"/>
      <c r="P227" s="3" t="b">
        <v>1</v>
      </c>
      <c r="Q227" s="3" t="s">
        <v>1394</v>
      </c>
      <c r="R227" s="4" t="b">
        <v>0</v>
      </c>
      <c r="S227" s="4">
        <v>-139.65</v>
      </c>
    </row>
    <row r="228" spans="1:19" x14ac:dyDescent="0.3">
      <c r="A228" s="27" t="s">
        <v>2179</v>
      </c>
      <c r="B228" s="27"/>
      <c r="C228" s="27" t="s">
        <v>1015</v>
      </c>
      <c r="D228" s="27"/>
      <c r="E228" s="3"/>
      <c r="F228" s="3" t="s">
        <v>2006</v>
      </c>
      <c r="G228" s="3" t="s">
        <v>39</v>
      </c>
      <c r="H228" s="3" t="s">
        <v>51</v>
      </c>
      <c r="I228" s="3" t="s">
        <v>51</v>
      </c>
      <c r="J228" s="27"/>
      <c r="K228" s="11" t="s">
        <v>1172</v>
      </c>
      <c r="L228" s="16" t="s">
        <v>1124</v>
      </c>
      <c r="M228" s="3" t="s">
        <v>2007</v>
      </c>
      <c r="N228" s="3"/>
      <c r="O228" s="3"/>
      <c r="P228" s="3" t="b">
        <v>1</v>
      </c>
      <c r="Q228" s="3" t="s">
        <v>1394</v>
      </c>
      <c r="R228" s="4" t="b">
        <v>0</v>
      </c>
      <c r="S228" s="4">
        <v>-161.25</v>
      </c>
    </row>
    <row r="229" spans="1:19" x14ac:dyDescent="0.3">
      <c r="A229" s="27" t="s">
        <v>2179</v>
      </c>
      <c r="B229" s="27"/>
      <c r="C229" s="27" t="s">
        <v>1016</v>
      </c>
      <c r="D229" s="27"/>
      <c r="E229" s="3"/>
      <c r="F229" s="3" t="s">
        <v>2008</v>
      </c>
      <c r="G229" s="3" t="s">
        <v>39</v>
      </c>
      <c r="H229" s="3" t="s">
        <v>51</v>
      </c>
      <c r="I229" s="3" t="s">
        <v>51</v>
      </c>
      <c r="J229" s="27"/>
      <c r="K229" s="11" t="s">
        <v>1172</v>
      </c>
      <c r="L229" s="16" t="s">
        <v>1124</v>
      </c>
      <c r="M229" s="3" t="s">
        <v>2009</v>
      </c>
      <c r="N229" s="3"/>
      <c r="O229" s="3"/>
      <c r="P229" s="3" t="b">
        <v>1</v>
      </c>
      <c r="Q229" s="3" t="s">
        <v>1394</v>
      </c>
      <c r="R229" s="4" t="b">
        <v>0</v>
      </c>
      <c r="S229" s="4">
        <v>-149.18</v>
      </c>
    </row>
    <row r="230" spans="1:19" x14ac:dyDescent="0.3">
      <c r="A230" s="27" t="s">
        <v>2179</v>
      </c>
      <c r="B230" s="27"/>
      <c r="C230" s="27" t="s">
        <v>878</v>
      </c>
      <c r="D230" s="27"/>
      <c r="E230" s="3"/>
      <c r="F230" s="3" t="s">
        <v>2018</v>
      </c>
      <c r="G230" s="3" t="s">
        <v>39</v>
      </c>
      <c r="H230" s="3" t="s">
        <v>51</v>
      </c>
      <c r="I230" s="3" t="s">
        <v>51</v>
      </c>
      <c r="J230" s="27"/>
      <c r="K230" s="11" t="s">
        <v>1172</v>
      </c>
      <c r="L230" s="16" t="s">
        <v>1124</v>
      </c>
      <c r="M230" s="3" t="s">
        <v>2010</v>
      </c>
      <c r="N230" s="3"/>
      <c r="O230" s="3"/>
      <c r="P230" s="3" t="b">
        <v>1</v>
      </c>
      <c r="Q230" s="3" t="s">
        <v>1410</v>
      </c>
      <c r="R230" s="4" t="b">
        <v>0</v>
      </c>
      <c r="S230" s="4">
        <v>-189.77</v>
      </c>
    </row>
    <row r="231" spans="1:19" x14ac:dyDescent="0.3">
      <c r="A231" s="27" t="s">
        <v>2179</v>
      </c>
      <c r="B231" s="27"/>
      <c r="C231" s="27" t="s">
        <v>1014</v>
      </c>
      <c r="D231" s="27"/>
      <c r="E231" s="3"/>
      <c r="F231" s="3" t="s">
        <v>2011</v>
      </c>
      <c r="G231" s="3" t="s">
        <v>39</v>
      </c>
      <c r="H231" s="3" t="s">
        <v>51</v>
      </c>
      <c r="I231" s="3" t="s">
        <v>51</v>
      </c>
      <c r="J231" s="27"/>
      <c r="K231" s="11" t="s">
        <v>1172</v>
      </c>
      <c r="L231" s="16" t="s">
        <v>1124</v>
      </c>
      <c r="M231" s="3" t="s">
        <v>2012</v>
      </c>
      <c r="N231" s="3"/>
      <c r="O231" s="3"/>
      <c r="P231" s="3" t="b">
        <v>1</v>
      </c>
      <c r="Q231" s="3" t="s">
        <v>1410</v>
      </c>
      <c r="R231" s="4" t="b">
        <v>0</v>
      </c>
      <c r="S231" s="4">
        <v>-195.5</v>
      </c>
    </row>
    <row r="232" spans="1:19" x14ac:dyDescent="0.3">
      <c r="A232" s="27" t="s">
        <v>2179</v>
      </c>
      <c r="B232" s="27"/>
      <c r="C232" s="27" t="s">
        <v>1015</v>
      </c>
      <c r="D232" s="27"/>
      <c r="E232" s="3"/>
      <c r="F232" s="3" t="s">
        <v>2013</v>
      </c>
      <c r="G232" s="3" t="s">
        <v>39</v>
      </c>
      <c r="H232" s="3" t="s">
        <v>51</v>
      </c>
      <c r="I232" s="3" t="s">
        <v>51</v>
      </c>
      <c r="J232" s="27"/>
      <c r="K232" s="11" t="s">
        <v>1172</v>
      </c>
      <c r="L232" s="16" t="s">
        <v>1124</v>
      </c>
      <c r="M232" s="3" t="s">
        <v>2014</v>
      </c>
      <c r="N232" s="3"/>
      <c r="O232" s="3"/>
      <c r="P232" s="3" t="b">
        <v>1</v>
      </c>
      <c r="Q232" s="3" t="s">
        <v>1410</v>
      </c>
      <c r="R232" s="4" t="b">
        <v>0</v>
      </c>
      <c r="S232" s="4">
        <v>-225.75</v>
      </c>
    </row>
    <row r="233" spans="1:19" x14ac:dyDescent="0.3">
      <c r="A233" s="27" t="s">
        <v>2179</v>
      </c>
      <c r="B233" s="27"/>
      <c r="C233" s="27" t="s">
        <v>1016</v>
      </c>
      <c r="D233" s="27"/>
      <c r="E233" s="3"/>
      <c r="F233" s="3" t="s">
        <v>2015</v>
      </c>
      <c r="G233" s="3" t="s">
        <v>39</v>
      </c>
      <c r="H233" s="3" t="s">
        <v>51</v>
      </c>
      <c r="I233" s="3" t="s">
        <v>51</v>
      </c>
      <c r="J233" s="27"/>
      <c r="K233" s="11" t="s">
        <v>1172</v>
      </c>
      <c r="L233" s="16" t="s">
        <v>1124</v>
      </c>
      <c r="M233" s="3" t="s">
        <v>2016</v>
      </c>
      <c r="N233" s="3"/>
      <c r="O233" s="3"/>
      <c r="P233" s="3" t="b">
        <v>1</v>
      </c>
      <c r="Q233" s="3" t="s">
        <v>1410</v>
      </c>
      <c r="R233" s="4" t="b">
        <v>0</v>
      </c>
      <c r="S233" s="4">
        <v>-208.85</v>
      </c>
    </row>
    <row r="234" spans="1:19" x14ac:dyDescent="0.3">
      <c r="A234" s="27" t="s">
        <v>2179</v>
      </c>
      <c r="B234" s="27"/>
      <c r="C234" s="27">
        <v>0</v>
      </c>
      <c r="D234" s="27"/>
      <c r="E234" s="3"/>
      <c r="F234" s="3" t="s">
        <v>1034</v>
      </c>
      <c r="G234" s="3" t="s">
        <v>39</v>
      </c>
      <c r="H234" s="3" t="s">
        <v>51</v>
      </c>
      <c r="I234" s="3" t="s">
        <v>51</v>
      </c>
      <c r="J234" s="27"/>
      <c r="K234" s="11" t="s">
        <v>1172</v>
      </c>
      <c r="L234" s="16" t="s">
        <v>1124</v>
      </c>
      <c r="M234" s="3" t="s">
        <v>1311</v>
      </c>
      <c r="N234" s="3"/>
      <c r="O234" s="3"/>
      <c r="P234" s="3" t="b">
        <v>1</v>
      </c>
      <c r="Q234" s="3" t="s">
        <v>1497</v>
      </c>
      <c r="R234" s="4" t="b">
        <v>0</v>
      </c>
      <c r="S234" s="4"/>
    </row>
    <row r="235" spans="1:19" x14ac:dyDescent="0.3">
      <c r="A235" s="27" t="s">
        <v>2179</v>
      </c>
      <c r="B235" s="27"/>
      <c r="C235" s="27">
        <v>0</v>
      </c>
      <c r="D235" s="27"/>
      <c r="E235" s="3"/>
      <c r="F235" s="3" t="s">
        <v>1050</v>
      </c>
      <c r="G235" s="3"/>
      <c r="H235" s="3" t="s">
        <v>51</v>
      </c>
      <c r="I235" s="3" t="s">
        <v>51</v>
      </c>
      <c r="J235" s="27"/>
      <c r="K235" s="11" t="s">
        <v>1242</v>
      </c>
      <c r="L235" s="16" t="s">
        <v>1124</v>
      </c>
      <c r="M235" s="3" t="s">
        <v>1400</v>
      </c>
      <c r="N235" s="3" t="s">
        <v>1679</v>
      </c>
      <c r="O235" s="3"/>
      <c r="P235" s="3" t="b">
        <v>1</v>
      </c>
      <c r="Q235" s="3" t="s">
        <v>1497</v>
      </c>
      <c r="R235" s="4" t="b">
        <v>1</v>
      </c>
      <c r="S235" s="4"/>
    </row>
    <row r="236" spans="1:19" x14ac:dyDescent="0.3">
      <c r="A236" s="27" t="s">
        <v>2179</v>
      </c>
      <c r="B236" s="27"/>
      <c r="C236" s="27">
        <v>0</v>
      </c>
      <c r="D236" s="27"/>
      <c r="E236" s="3"/>
      <c r="F236" s="3" t="s">
        <v>1048</v>
      </c>
      <c r="G236" s="3"/>
      <c r="H236" s="3" t="s">
        <v>51</v>
      </c>
      <c r="I236" s="3" t="s">
        <v>51</v>
      </c>
      <c r="J236" s="27"/>
      <c r="K236" s="11" t="s">
        <v>1244</v>
      </c>
      <c r="L236" s="16" t="s">
        <v>1124</v>
      </c>
      <c r="M236" s="3" t="s">
        <v>1399</v>
      </c>
      <c r="N236" s="3" t="s">
        <v>1680</v>
      </c>
      <c r="O236" s="3"/>
      <c r="P236" s="3" t="b">
        <v>1</v>
      </c>
      <c r="Q236" s="3" t="s">
        <v>1497</v>
      </c>
      <c r="R236" s="4" t="b">
        <v>1</v>
      </c>
      <c r="S236" s="4"/>
    </row>
    <row r="237" spans="1:19" x14ac:dyDescent="0.3">
      <c r="A237" s="27" t="s">
        <v>2179</v>
      </c>
      <c r="B237" s="27"/>
      <c r="C237" s="27">
        <v>0</v>
      </c>
      <c r="D237" s="27"/>
      <c r="E237" s="3"/>
      <c r="F237" s="3" t="s">
        <v>1042</v>
      </c>
      <c r="G237" s="3"/>
      <c r="H237" s="3" t="s">
        <v>51</v>
      </c>
      <c r="I237" s="3" t="s">
        <v>51</v>
      </c>
      <c r="J237" s="27"/>
      <c r="K237" s="11" t="s">
        <v>1248</v>
      </c>
      <c r="L237" s="16" t="s">
        <v>1124</v>
      </c>
      <c r="M237" s="3" t="s">
        <v>1397</v>
      </c>
      <c r="N237" s="3" t="s">
        <v>1681</v>
      </c>
      <c r="O237" s="3"/>
      <c r="P237" s="3" t="b">
        <v>1</v>
      </c>
      <c r="Q237" s="3" t="s">
        <v>1497</v>
      </c>
      <c r="R237" s="4" t="b">
        <v>1</v>
      </c>
      <c r="S237" s="4"/>
    </row>
    <row r="238" spans="1:19" x14ac:dyDescent="0.3">
      <c r="A238" s="27" t="s">
        <v>2179</v>
      </c>
      <c r="B238" s="27"/>
      <c r="C238" s="27">
        <v>0</v>
      </c>
      <c r="D238" s="27"/>
      <c r="E238" s="3"/>
      <c r="F238" s="3" t="s">
        <v>1044</v>
      </c>
      <c r="G238" s="3"/>
      <c r="H238" s="3" t="s">
        <v>51</v>
      </c>
      <c r="I238" s="3" t="s">
        <v>51</v>
      </c>
      <c r="J238" s="27"/>
      <c r="K238" s="11" t="s">
        <v>1250</v>
      </c>
      <c r="L238" s="16" t="s">
        <v>1124</v>
      </c>
      <c r="M238" s="3" t="s">
        <v>1403</v>
      </c>
      <c r="N238" s="3" t="s">
        <v>1682</v>
      </c>
      <c r="O238" s="3"/>
      <c r="P238" s="3" t="b">
        <v>1</v>
      </c>
      <c r="Q238" s="3" t="s">
        <v>1497</v>
      </c>
      <c r="R238" s="4" t="b">
        <v>1</v>
      </c>
      <c r="S238" s="4"/>
    </row>
    <row r="239" spans="1:19" x14ac:dyDescent="0.3">
      <c r="A239" s="27" t="s">
        <v>2179</v>
      </c>
      <c r="B239" s="27"/>
      <c r="C239" s="27">
        <v>0</v>
      </c>
      <c r="D239" s="27"/>
      <c r="E239" s="3"/>
      <c r="F239" s="3" t="s">
        <v>1040</v>
      </c>
      <c r="G239" s="3"/>
      <c r="H239" s="3" t="s">
        <v>51</v>
      </c>
      <c r="I239" s="3" t="s">
        <v>51</v>
      </c>
      <c r="J239" s="27"/>
      <c r="K239" s="11" t="s">
        <v>1246</v>
      </c>
      <c r="L239" s="16" t="s">
        <v>1124</v>
      </c>
      <c r="M239" s="3" t="s">
        <v>1396</v>
      </c>
      <c r="N239" s="3" t="s">
        <v>1683</v>
      </c>
      <c r="O239" s="3"/>
      <c r="P239" s="3" t="b">
        <v>1</v>
      </c>
      <c r="Q239" s="3" t="s">
        <v>1497</v>
      </c>
      <c r="R239" s="4" t="b">
        <v>1</v>
      </c>
      <c r="S239" s="4"/>
    </row>
    <row r="240" spans="1:19" x14ac:dyDescent="0.3">
      <c r="A240" s="27" t="s">
        <v>2179</v>
      </c>
      <c r="B240" s="27"/>
      <c r="C240" s="27">
        <v>0</v>
      </c>
      <c r="D240" s="27"/>
      <c r="E240" s="3"/>
      <c r="F240" s="3" t="s">
        <v>1046</v>
      </c>
      <c r="G240" s="3"/>
      <c r="H240" s="3" t="s">
        <v>51</v>
      </c>
      <c r="I240" s="3" t="s">
        <v>51</v>
      </c>
      <c r="J240" s="27"/>
      <c r="K240" s="11" t="s">
        <v>1252</v>
      </c>
      <c r="L240" s="16" t="s">
        <v>1124</v>
      </c>
      <c r="M240" s="3" t="s">
        <v>1398</v>
      </c>
      <c r="N240" s="3" t="s">
        <v>1684</v>
      </c>
      <c r="O240" s="3"/>
      <c r="P240" s="3" t="b">
        <v>1</v>
      </c>
      <c r="Q240" s="3" t="s">
        <v>1497</v>
      </c>
      <c r="R240" s="4" t="b">
        <v>1</v>
      </c>
      <c r="S240" s="4"/>
    </row>
    <row r="241" spans="1:19" x14ac:dyDescent="0.3">
      <c r="A241" s="27" t="s">
        <v>2178</v>
      </c>
      <c r="B241" s="27" t="s">
        <v>1464</v>
      </c>
      <c r="C241" s="27">
        <v>0</v>
      </c>
      <c r="D241" s="27" t="s">
        <v>1630</v>
      </c>
      <c r="E241" s="3"/>
      <c r="F241" s="3" t="s">
        <v>1758</v>
      </c>
      <c r="G241" s="3" t="s">
        <v>39</v>
      </c>
      <c r="H241" s="3" t="s">
        <v>51</v>
      </c>
      <c r="I241" s="3" t="s">
        <v>51</v>
      </c>
      <c r="J241" s="27"/>
      <c r="K241" s="11" t="s">
        <v>1036</v>
      </c>
      <c r="L241" s="16" t="s">
        <v>1124</v>
      </c>
      <c r="M241" s="3" t="s">
        <v>1545</v>
      </c>
      <c r="N241" s="3" t="s">
        <v>1658</v>
      </c>
      <c r="O241" s="3"/>
      <c r="P241" s="3" t="b">
        <v>1</v>
      </c>
      <c r="Q241" s="3" t="s">
        <v>1497</v>
      </c>
      <c r="R241" s="4" t="b">
        <v>0</v>
      </c>
      <c r="S241" s="4"/>
    </row>
    <row r="242" spans="1:19" x14ac:dyDescent="0.3">
      <c r="A242" s="27" t="s">
        <v>2178</v>
      </c>
      <c r="B242" s="27" t="s">
        <v>1466</v>
      </c>
      <c r="C242" s="27">
        <v>0</v>
      </c>
      <c r="D242" s="27" t="s">
        <v>1630</v>
      </c>
      <c r="E242" s="3"/>
      <c r="F242" s="3" t="s">
        <v>1758</v>
      </c>
      <c r="G242" s="3" t="s">
        <v>39</v>
      </c>
      <c r="H242" s="3" t="s">
        <v>51</v>
      </c>
      <c r="I242" s="3" t="s">
        <v>51</v>
      </c>
      <c r="J242" s="27"/>
      <c r="K242" s="11" t="s">
        <v>1036</v>
      </c>
      <c r="L242" s="16" t="s">
        <v>1124</v>
      </c>
      <c r="M242" s="3" t="s">
        <v>1545</v>
      </c>
      <c r="N242" s="3" t="s">
        <v>1658</v>
      </c>
      <c r="O242" s="3"/>
      <c r="P242" s="3" t="b">
        <v>1</v>
      </c>
      <c r="Q242" s="3" t="s">
        <v>1497</v>
      </c>
      <c r="R242" s="4" t="b">
        <v>0</v>
      </c>
      <c r="S242" s="4"/>
    </row>
    <row r="243" spans="1:19" x14ac:dyDescent="0.3">
      <c r="A243" s="27" t="s">
        <v>2178</v>
      </c>
      <c r="B243" s="27" t="s">
        <v>1467</v>
      </c>
      <c r="C243" s="27">
        <v>0</v>
      </c>
      <c r="D243" s="27" t="s">
        <v>1630</v>
      </c>
      <c r="E243" s="3"/>
      <c r="F243" s="3" t="s">
        <v>1758</v>
      </c>
      <c r="G243" s="3" t="s">
        <v>39</v>
      </c>
      <c r="H243" s="3" t="s">
        <v>51</v>
      </c>
      <c r="I243" s="3" t="s">
        <v>51</v>
      </c>
      <c r="J243" s="27"/>
      <c r="K243" s="11" t="s">
        <v>1036</v>
      </c>
      <c r="L243" s="16" t="s">
        <v>1124</v>
      </c>
      <c r="M243" s="3" t="s">
        <v>1545</v>
      </c>
      <c r="N243" s="3" t="s">
        <v>1658</v>
      </c>
      <c r="O243" s="3"/>
      <c r="P243" s="3" t="b">
        <v>1</v>
      </c>
      <c r="Q243" s="3" t="s">
        <v>1497</v>
      </c>
      <c r="R243" s="4" t="b">
        <v>0</v>
      </c>
      <c r="S243" s="4"/>
    </row>
    <row r="244" spans="1:19" x14ac:dyDescent="0.3">
      <c r="A244" s="27" t="s">
        <v>2178</v>
      </c>
      <c r="B244" s="27" t="s">
        <v>1468</v>
      </c>
      <c r="C244" s="27">
        <v>0</v>
      </c>
      <c r="D244" s="27" t="s">
        <v>1630</v>
      </c>
      <c r="E244" s="3"/>
      <c r="F244" s="3" t="s">
        <v>1758</v>
      </c>
      <c r="G244" s="3" t="s">
        <v>39</v>
      </c>
      <c r="H244" s="3" t="s">
        <v>51</v>
      </c>
      <c r="I244" s="3" t="s">
        <v>51</v>
      </c>
      <c r="J244" s="27"/>
      <c r="K244" s="11" t="s">
        <v>1036</v>
      </c>
      <c r="L244" s="16" t="s">
        <v>1124</v>
      </c>
      <c r="M244" s="3" t="s">
        <v>1545</v>
      </c>
      <c r="N244" s="3" t="s">
        <v>1658</v>
      </c>
      <c r="O244" s="3"/>
      <c r="P244" s="3" t="b">
        <v>1</v>
      </c>
      <c r="Q244" s="3" t="s">
        <v>1497</v>
      </c>
      <c r="R244" s="4" t="b">
        <v>0</v>
      </c>
      <c r="S244" s="4"/>
    </row>
    <row r="245" spans="1:19" x14ac:dyDescent="0.3">
      <c r="A245" s="27" t="s">
        <v>2178</v>
      </c>
      <c r="B245" s="27" t="s">
        <v>1469</v>
      </c>
      <c r="C245" s="27">
        <v>0</v>
      </c>
      <c r="D245" s="27" t="s">
        <v>1630</v>
      </c>
      <c r="E245" s="3"/>
      <c r="F245" s="3" t="s">
        <v>1758</v>
      </c>
      <c r="G245" s="3" t="s">
        <v>39</v>
      </c>
      <c r="H245" s="3" t="s">
        <v>51</v>
      </c>
      <c r="I245" s="3" t="s">
        <v>51</v>
      </c>
      <c r="J245" s="27"/>
      <c r="K245" s="11" t="s">
        <v>1036</v>
      </c>
      <c r="L245" s="16" t="s">
        <v>1124</v>
      </c>
      <c r="M245" s="3" t="s">
        <v>1545</v>
      </c>
      <c r="N245" s="3" t="s">
        <v>1658</v>
      </c>
      <c r="O245" s="3"/>
      <c r="P245" s="3" t="b">
        <v>1</v>
      </c>
      <c r="Q245" s="3" t="s">
        <v>1497</v>
      </c>
      <c r="R245" s="4" t="b">
        <v>0</v>
      </c>
      <c r="S245" s="4"/>
    </row>
    <row r="246" spans="1:19" x14ac:dyDescent="0.3">
      <c r="A246" s="27" t="s">
        <v>2178</v>
      </c>
      <c r="B246" s="27" t="s">
        <v>1470</v>
      </c>
      <c r="C246" s="27">
        <v>0</v>
      </c>
      <c r="D246" s="27" t="s">
        <v>1630</v>
      </c>
      <c r="E246" s="3"/>
      <c r="F246" s="3" t="s">
        <v>1758</v>
      </c>
      <c r="G246" s="3" t="s">
        <v>39</v>
      </c>
      <c r="H246" s="3" t="s">
        <v>51</v>
      </c>
      <c r="I246" s="3" t="s">
        <v>51</v>
      </c>
      <c r="J246" s="27"/>
      <c r="K246" s="11" t="s">
        <v>1036</v>
      </c>
      <c r="L246" s="16" t="s">
        <v>1124</v>
      </c>
      <c r="M246" s="3" t="s">
        <v>1545</v>
      </c>
      <c r="N246" s="3" t="s">
        <v>1658</v>
      </c>
      <c r="O246" s="3"/>
      <c r="P246" s="3" t="b">
        <v>1</v>
      </c>
      <c r="Q246" s="3" t="s">
        <v>1497</v>
      </c>
      <c r="R246" s="4" t="b">
        <v>0</v>
      </c>
      <c r="S246" s="4"/>
    </row>
    <row r="247" spans="1:19" x14ac:dyDescent="0.3">
      <c r="A247" s="27" t="s">
        <v>2178</v>
      </c>
      <c r="B247" s="27" t="s">
        <v>1934</v>
      </c>
      <c r="C247" s="27">
        <v>0</v>
      </c>
      <c r="D247" s="27" t="s">
        <v>1630</v>
      </c>
      <c r="E247" s="3"/>
      <c r="F247" s="3" t="s">
        <v>1758</v>
      </c>
      <c r="G247" s="3" t="s">
        <v>39</v>
      </c>
      <c r="H247" s="3" t="s">
        <v>51</v>
      </c>
      <c r="I247" s="3" t="s">
        <v>51</v>
      </c>
      <c r="J247" s="27"/>
      <c r="K247" s="11" t="s">
        <v>1036</v>
      </c>
      <c r="L247" s="16" t="s">
        <v>1124</v>
      </c>
      <c r="M247" s="3" t="s">
        <v>1545</v>
      </c>
      <c r="N247" s="3" t="s">
        <v>1658</v>
      </c>
      <c r="O247" s="3"/>
      <c r="P247" s="3" t="b">
        <v>1</v>
      </c>
      <c r="Q247" s="3" t="s">
        <v>1497</v>
      </c>
      <c r="R247" s="4" t="b">
        <v>0</v>
      </c>
      <c r="S247" s="4"/>
    </row>
    <row r="248" spans="1:19" x14ac:dyDescent="0.3">
      <c r="A248" s="27" t="s">
        <v>2178</v>
      </c>
      <c r="B248" s="27" t="s">
        <v>1935</v>
      </c>
      <c r="C248" s="27">
        <v>0</v>
      </c>
      <c r="D248" s="27" t="s">
        <v>1630</v>
      </c>
      <c r="E248" s="3"/>
      <c r="F248" s="3" t="s">
        <v>1758</v>
      </c>
      <c r="G248" s="3" t="s">
        <v>39</v>
      </c>
      <c r="H248" s="3" t="s">
        <v>51</v>
      </c>
      <c r="I248" s="3" t="s">
        <v>51</v>
      </c>
      <c r="J248" s="27"/>
      <c r="K248" s="11" t="s">
        <v>1036</v>
      </c>
      <c r="L248" s="16" t="s">
        <v>1124</v>
      </c>
      <c r="M248" s="3" t="s">
        <v>1545</v>
      </c>
      <c r="N248" s="3" t="s">
        <v>1658</v>
      </c>
      <c r="O248" s="3"/>
      <c r="P248" s="3" t="b">
        <v>1</v>
      </c>
      <c r="Q248" s="3" t="s">
        <v>1497</v>
      </c>
      <c r="R248" s="4" t="b">
        <v>0</v>
      </c>
      <c r="S248" s="4"/>
    </row>
    <row r="249" spans="1:19" x14ac:dyDescent="0.3">
      <c r="A249" s="27" t="s">
        <v>2178</v>
      </c>
      <c r="B249" s="27" t="s">
        <v>1936</v>
      </c>
      <c r="C249" s="27">
        <v>0</v>
      </c>
      <c r="D249" s="27" t="s">
        <v>1630</v>
      </c>
      <c r="E249" s="3"/>
      <c r="F249" s="3" t="s">
        <v>1758</v>
      </c>
      <c r="G249" s="3" t="s">
        <v>39</v>
      </c>
      <c r="H249" s="3" t="s">
        <v>51</v>
      </c>
      <c r="I249" s="3" t="s">
        <v>51</v>
      </c>
      <c r="J249" s="27"/>
      <c r="K249" s="11" t="s">
        <v>1036</v>
      </c>
      <c r="L249" s="16" t="s">
        <v>1124</v>
      </c>
      <c r="M249" s="3" t="s">
        <v>1545</v>
      </c>
      <c r="N249" s="3" t="s">
        <v>1658</v>
      </c>
      <c r="O249" s="3"/>
      <c r="P249" s="3" t="b">
        <v>1</v>
      </c>
      <c r="Q249" s="3" t="s">
        <v>1497</v>
      </c>
      <c r="R249" s="4" t="b">
        <v>0</v>
      </c>
      <c r="S249" s="4"/>
    </row>
    <row r="250" spans="1:19" x14ac:dyDescent="0.3">
      <c r="A250" s="27" t="s">
        <v>2178</v>
      </c>
      <c r="B250" s="27" t="s">
        <v>1937</v>
      </c>
      <c r="C250" s="27">
        <v>0</v>
      </c>
      <c r="D250" s="27" t="s">
        <v>1630</v>
      </c>
      <c r="E250" s="3"/>
      <c r="F250" s="3" t="s">
        <v>1758</v>
      </c>
      <c r="G250" s="3" t="s">
        <v>39</v>
      </c>
      <c r="H250" s="3" t="s">
        <v>51</v>
      </c>
      <c r="I250" s="3" t="s">
        <v>51</v>
      </c>
      <c r="J250" s="27"/>
      <c r="K250" s="11" t="s">
        <v>1036</v>
      </c>
      <c r="L250" s="16" t="s">
        <v>1124</v>
      </c>
      <c r="M250" s="3" t="s">
        <v>1545</v>
      </c>
      <c r="N250" s="3" t="s">
        <v>1658</v>
      </c>
      <c r="O250" s="3"/>
      <c r="P250" s="3" t="b">
        <v>1</v>
      </c>
      <c r="Q250" s="3" t="s">
        <v>1497</v>
      </c>
      <c r="R250" s="4" t="b">
        <v>0</v>
      </c>
      <c r="S250" s="4"/>
    </row>
    <row r="251" spans="1:19" x14ac:dyDescent="0.3">
      <c r="A251" s="27" t="s">
        <v>2178</v>
      </c>
      <c r="B251" s="27" t="s">
        <v>1938</v>
      </c>
      <c r="C251" s="27">
        <v>0</v>
      </c>
      <c r="D251" s="27" t="s">
        <v>1630</v>
      </c>
      <c r="E251" s="3"/>
      <c r="F251" s="3" t="s">
        <v>1758</v>
      </c>
      <c r="G251" s="3" t="s">
        <v>39</v>
      </c>
      <c r="H251" s="3" t="s">
        <v>51</v>
      </c>
      <c r="I251" s="3" t="s">
        <v>51</v>
      </c>
      <c r="J251" s="27"/>
      <c r="K251" s="11" t="s">
        <v>1036</v>
      </c>
      <c r="L251" s="16" t="s">
        <v>1124</v>
      </c>
      <c r="M251" s="3" t="s">
        <v>1545</v>
      </c>
      <c r="N251" s="3" t="s">
        <v>1658</v>
      </c>
      <c r="O251" s="3"/>
      <c r="P251" s="3" t="b">
        <v>1</v>
      </c>
      <c r="Q251" s="3" t="s">
        <v>1497</v>
      </c>
      <c r="R251" s="4" t="b">
        <v>0</v>
      </c>
      <c r="S251" s="4"/>
    </row>
    <row r="252" spans="1:19" x14ac:dyDescent="0.3">
      <c r="A252" s="27" t="s">
        <v>2178</v>
      </c>
      <c r="B252" s="27" t="s">
        <v>1939</v>
      </c>
      <c r="C252" s="27">
        <v>0</v>
      </c>
      <c r="D252" s="27" t="s">
        <v>1630</v>
      </c>
      <c r="E252" s="3"/>
      <c r="F252" s="3" t="s">
        <v>1758</v>
      </c>
      <c r="G252" s="3" t="s">
        <v>39</v>
      </c>
      <c r="H252" s="3" t="s">
        <v>51</v>
      </c>
      <c r="I252" s="3" t="s">
        <v>51</v>
      </c>
      <c r="J252" s="27"/>
      <c r="K252" s="11" t="s">
        <v>1036</v>
      </c>
      <c r="L252" s="16" t="s">
        <v>1124</v>
      </c>
      <c r="M252" s="3" t="s">
        <v>1545</v>
      </c>
      <c r="N252" s="3" t="s">
        <v>1658</v>
      </c>
      <c r="O252" s="3"/>
      <c r="P252" s="3" t="b">
        <v>1</v>
      </c>
      <c r="Q252" s="3" t="s">
        <v>1497</v>
      </c>
      <c r="R252" s="4" t="b">
        <v>0</v>
      </c>
      <c r="S252" s="4"/>
    </row>
    <row r="253" spans="1:19" x14ac:dyDescent="0.3">
      <c r="A253" s="27" t="s">
        <v>1548</v>
      </c>
      <c r="B253" s="27"/>
      <c r="C253" s="27">
        <f>_xlfn.XLOOKUP(STATS[[#This Row],[FinanceCode]],FC[FinanceCode],FC[London Weighting]," ")</f>
        <v>0</v>
      </c>
      <c r="D253" s="27"/>
      <c r="E253" s="3"/>
      <c r="F253" s="3" t="s">
        <v>1017</v>
      </c>
      <c r="G253" s="3" t="s">
        <v>39</v>
      </c>
      <c r="H253" s="3" t="s">
        <v>51</v>
      </c>
      <c r="I253" s="3" t="s">
        <v>51</v>
      </c>
      <c r="J253" s="27"/>
      <c r="K253" s="11" t="s">
        <v>1172</v>
      </c>
      <c r="L253" s="16" t="s">
        <v>1124</v>
      </c>
      <c r="M253" s="3" t="s">
        <v>1391</v>
      </c>
      <c r="N253" s="3" t="s">
        <v>1672</v>
      </c>
      <c r="O253" s="3"/>
      <c r="P253" s="3" t="b">
        <v>1</v>
      </c>
      <c r="Q253" s="3" t="s">
        <v>1497</v>
      </c>
      <c r="R253" s="4" t="b">
        <v>0</v>
      </c>
      <c r="S253" s="4">
        <v>-16000</v>
      </c>
    </row>
    <row r="254" spans="1:19" x14ac:dyDescent="0.3">
      <c r="A254" s="27" t="s">
        <v>858</v>
      </c>
      <c r="B254" s="27"/>
      <c r="C254" s="27">
        <f>_xlfn.XLOOKUP(STATS[[#This Row],[FinanceCode]],FC[FinanceCode],FC[London Weighting]," ")</f>
        <v>0</v>
      </c>
      <c r="D254" s="27"/>
      <c r="E254" s="3"/>
      <c r="F254" s="3" t="s">
        <v>1017</v>
      </c>
      <c r="G254" s="3" t="s">
        <v>39</v>
      </c>
      <c r="H254" s="3" t="s">
        <v>51</v>
      </c>
      <c r="I254" s="3" t="s">
        <v>51</v>
      </c>
      <c r="J254" s="27"/>
      <c r="K254" s="11" t="s">
        <v>1172</v>
      </c>
      <c r="L254" s="16" t="s">
        <v>1124</v>
      </c>
      <c r="M254" s="3" t="s">
        <v>1391</v>
      </c>
      <c r="N254" s="3" t="s">
        <v>1672</v>
      </c>
      <c r="O254" s="3"/>
      <c r="P254" s="3" t="b">
        <v>1</v>
      </c>
      <c r="Q254" s="3" t="s">
        <v>1497</v>
      </c>
      <c r="R254" s="4" t="b">
        <v>0</v>
      </c>
      <c r="S254" s="4">
        <v>-16000</v>
      </c>
    </row>
    <row r="255" spans="1:19" x14ac:dyDescent="0.3">
      <c r="A255" s="27" t="s">
        <v>2178</v>
      </c>
      <c r="B255" s="27" t="s">
        <v>1464</v>
      </c>
      <c r="C255" s="27">
        <v>0</v>
      </c>
      <c r="D255" s="27" t="s">
        <v>1630</v>
      </c>
      <c r="E255" s="3"/>
      <c r="F255" s="3" t="s">
        <v>1761</v>
      </c>
      <c r="G255" s="3" t="s">
        <v>39</v>
      </c>
      <c r="H255" s="3" t="s">
        <v>51</v>
      </c>
      <c r="I255" s="3" t="s">
        <v>51</v>
      </c>
      <c r="J255" s="27"/>
      <c r="K255" s="11" t="s">
        <v>1036</v>
      </c>
      <c r="L255" s="16" t="s">
        <v>1124</v>
      </c>
      <c r="M255" s="3" t="s">
        <v>1546</v>
      </c>
      <c r="N255" s="3" t="s">
        <v>1670</v>
      </c>
      <c r="O255" s="3"/>
      <c r="P255" s="3" t="b">
        <v>1</v>
      </c>
      <c r="Q255" s="3" t="s">
        <v>1497</v>
      </c>
      <c r="R255" s="4" t="b">
        <v>0</v>
      </c>
      <c r="S255" s="4"/>
    </row>
    <row r="256" spans="1:19" x14ac:dyDescent="0.3">
      <c r="A256" s="27" t="s">
        <v>2178</v>
      </c>
      <c r="B256" s="27" t="s">
        <v>1466</v>
      </c>
      <c r="C256" s="27">
        <v>0</v>
      </c>
      <c r="D256" s="27" t="s">
        <v>1630</v>
      </c>
      <c r="E256" s="3"/>
      <c r="F256" s="3" t="s">
        <v>1761</v>
      </c>
      <c r="G256" s="3" t="s">
        <v>39</v>
      </c>
      <c r="H256" s="3" t="s">
        <v>51</v>
      </c>
      <c r="I256" s="3" t="s">
        <v>51</v>
      </c>
      <c r="J256" s="27"/>
      <c r="K256" s="11" t="s">
        <v>1036</v>
      </c>
      <c r="L256" s="16" t="s">
        <v>1124</v>
      </c>
      <c r="M256" s="3" t="s">
        <v>1546</v>
      </c>
      <c r="N256" s="3" t="s">
        <v>1670</v>
      </c>
      <c r="O256" s="3"/>
      <c r="P256" s="3" t="b">
        <v>1</v>
      </c>
      <c r="Q256" s="3" t="s">
        <v>1497</v>
      </c>
      <c r="R256" s="4" t="b">
        <v>0</v>
      </c>
      <c r="S256" s="4"/>
    </row>
    <row r="257" spans="1:19" x14ac:dyDescent="0.3">
      <c r="A257" s="27" t="s">
        <v>2178</v>
      </c>
      <c r="B257" s="27" t="s">
        <v>1467</v>
      </c>
      <c r="C257" s="27">
        <v>0</v>
      </c>
      <c r="D257" s="27" t="s">
        <v>1630</v>
      </c>
      <c r="E257" s="3"/>
      <c r="F257" s="3" t="s">
        <v>1761</v>
      </c>
      <c r="G257" s="3" t="s">
        <v>39</v>
      </c>
      <c r="H257" s="3" t="s">
        <v>51</v>
      </c>
      <c r="I257" s="3" t="s">
        <v>51</v>
      </c>
      <c r="J257" s="27"/>
      <c r="K257" s="11" t="s">
        <v>1036</v>
      </c>
      <c r="L257" s="16" t="s">
        <v>1124</v>
      </c>
      <c r="M257" s="3" t="s">
        <v>1546</v>
      </c>
      <c r="N257" s="3" t="s">
        <v>1670</v>
      </c>
      <c r="O257" s="3"/>
      <c r="P257" s="3" t="b">
        <v>1</v>
      </c>
      <c r="Q257" s="3" t="s">
        <v>1497</v>
      </c>
      <c r="R257" s="4" t="b">
        <v>0</v>
      </c>
      <c r="S257" s="4"/>
    </row>
    <row r="258" spans="1:19" x14ac:dyDescent="0.3">
      <c r="A258" s="27" t="s">
        <v>2178</v>
      </c>
      <c r="B258" s="27" t="s">
        <v>1468</v>
      </c>
      <c r="C258" s="27">
        <v>0</v>
      </c>
      <c r="D258" s="27" t="s">
        <v>1630</v>
      </c>
      <c r="E258" s="3"/>
      <c r="F258" s="3" t="s">
        <v>1761</v>
      </c>
      <c r="G258" s="3" t="s">
        <v>39</v>
      </c>
      <c r="H258" s="3" t="s">
        <v>51</v>
      </c>
      <c r="I258" s="3" t="s">
        <v>51</v>
      </c>
      <c r="J258" s="27"/>
      <c r="K258" s="11" t="s">
        <v>1036</v>
      </c>
      <c r="L258" s="16" t="s">
        <v>1124</v>
      </c>
      <c r="M258" s="3" t="s">
        <v>1546</v>
      </c>
      <c r="N258" s="3" t="s">
        <v>1670</v>
      </c>
      <c r="O258" s="3"/>
      <c r="P258" s="3" t="b">
        <v>1</v>
      </c>
      <c r="Q258" s="3" t="s">
        <v>1497</v>
      </c>
      <c r="R258" s="4" t="b">
        <v>0</v>
      </c>
      <c r="S258" s="4"/>
    </row>
    <row r="259" spans="1:19" x14ac:dyDescent="0.3">
      <c r="A259" s="27" t="s">
        <v>2178</v>
      </c>
      <c r="B259" s="27" t="s">
        <v>1469</v>
      </c>
      <c r="C259" s="27">
        <v>0</v>
      </c>
      <c r="D259" s="27" t="s">
        <v>1630</v>
      </c>
      <c r="E259" s="3"/>
      <c r="F259" s="3" t="s">
        <v>1761</v>
      </c>
      <c r="G259" s="3" t="s">
        <v>39</v>
      </c>
      <c r="H259" s="3" t="s">
        <v>51</v>
      </c>
      <c r="I259" s="3" t="s">
        <v>51</v>
      </c>
      <c r="J259" s="27"/>
      <c r="K259" s="11" t="s">
        <v>1036</v>
      </c>
      <c r="L259" s="16" t="s">
        <v>1124</v>
      </c>
      <c r="M259" s="3" t="s">
        <v>1546</v>
      </c>
      <c r="N259" s="3" t="s">
        <v>1670</v>
      </c>
      <c r="O259" s="3"/>
      <c r="P259" s="3" t="b">
        <v>1</v>
      </c>
      <c r="Q259" s="3" t="s">
        <v>1497</v>
      </c>
      <c r="R259" s="4" t="b">
        <v>0</v>
      </c>
      <c r="S259" s="4"/>
    </row>
    <row r="260" spans="1:19" x14ac:dyDescent="0.3">
      <c r="A260" s="27" t="s">
        <v>2178</v>
      </c>
      <c r="B260" s="27" t="s">
        <v>1470</v>
      </c>
      <c r="C260" s="27">
        <v>0</v>
      </c>
      <c r="D260" s="27" t="s">
        <v>1630</v>
      </c>
      <c r="E260" s="3"/>
      <c r="F260" s="3" t="s">
        <v>1761</v>
      </c>
      <c r="G260" s="3" t="s">
        <v>39</v>
      </c>
      <c r="H260" s="3" t="s">
        <v>51</v>
      </c>
      <c r="I260" s="3" t="s">
        <v>51</v>
      </c>
      <c r="J260" s="27"/>
      <c r="K260" s="11" t="s">
        <v>1036</v>
      </c>
      <c r="L260" s="16" t="s">
        <v>1124</v>
      </c>
      <c r="M260" s="3" t="s">
        <v>1546</v>
      </c>
      <c r="N260" s="3" t="s">
        <v>1670</v>
      </c>
      <c r="O260" s="3"/>
      <c r="P260" s="3" t="b">
        <v>1</v>
      </c>
      <c r="Q260" s="3" t="s">
        <v>1497</v>
      </c>
      <c r="R260" s="4" t="b">
        <v>0</v>
      </c>
      <c r="S260" s="4"/>
    </row>
    <row r="261" spans="1:19" x14ac:dyDescent="0.3">
      <c r="A261" s="27" t="s">
        <v>2178</v>
      </c>
      <c r="B261" s="27" t="s">
        <v>1934</v>
      </c>
      <c r="C261" s="27">
        <v>0</v>
      </c>
      <c r="D261" s="27" t="s">
        <v>1630</v>
      </c>
      <c r="E261" s="3"/>
      <c r="F261" s="3" t="s">
        <v>1761</v>
      </c>
      <c r="G261" s="3" t="s">
        <v>39</v>
      </c>
      <c r="H261" s="3" t="s">
        <v>51</v>
      </c>
      <c r="I261" s="3" t="s">
        <v>51</v>
      </c>
      <c r="J261" s="27"/>
      <c r="K261" s="11" t="s">
        <v>1036</v>
      </c>
      <c r="L261" s="16" t="s">
        <v>1124</v>
      </c>
      <c r="M261" s="3" t="s">
        <v>1546</v>
      </c>
      <c r="N261" s="3" t="s">
        <v>1670</v>
      </c>
      <c r="O261" s="3"/>
      <c r="P261" s="3" t="b">
        <v>1</v>
      </c>
      <c r="Q261" s="3" t="s">
        <v>1497</v>
      </c>
      <c r="R261" s="4" t="b">
        <v>0</v>
      </c>
      <c r="S261" s="4"/>
    </row>
    <row r="262" spans="1:19" x14ac:dyDescent="0.3">
      <c r="A262" s="27" t="s">
        <v>2178</v>
      </c>
      <c r="B262" s="27" t="s">
        <v>1935</v>
      </c>
      <c r="C262" s="27">
        <v>0</v>
      </c>
      <c r="D262" s="27" t="s">
        <v>1630</v>
      </c>
      <c r="E262" s="3"/>
      <c r="F262" s="3" t="s">
        <v>1761</v>
      </c>
      <c r="G262" s="3" t="s">
        <v>39</v>
      </c>
      <c r="H262" s="3" t="s">
        <v>51</v>
      </c>
      <c r="I262" s="3" t="s">
        <v>51</v>
      </c>
      <c r="J262" s="27"/>
      <c r="K262" s="11" t="s">
        <v>1036</v>
      </c>
      <c r="L262" s="16" t="s">
        <v>1124</v>
      </c>
      <c r="M262" s="3" t="s">
        <v>1546</v>
      </c>
      <c r="N262" s="3" t="s">
        <v>1670</v>
      </c>
      <c r="O262" s="3"/>
      <c r="P262" s="3" t="b">
        <v>1</v>
      </c>
      <c r="Q262" s="3" t="s">
        <v>1497</v>
      </c>
      <c r="R262" s="4" t="b">
        <v>0</v>
      </c>
      <c r="S262" s="4"/>
    </row>
    <row r="263" spans="1:19" x14ac:dyDescent="0.3">
      <c r="A263" s="27" t="s">
        <v>2178</v>
      </c>
      <c r="B263" s="27" t="s">
        <v>1936</v>
      </c>
      <c r="C263" s="27">
        <v>0</v>
      </c>
      <c r="D263" s="27" t="s">
        <v>1630</v>
      </c>
      <c r="E263" s="3"/>
      <c r="F263" s="3" t="s">
        <v>1761</v>
      </c>
      <c r="G263" s="3" t="s">
        <v>39</v>
      </c>
      <c r="H263" s="3" t="s">
        <v>51</v>
      </c>
      <c r="I263" s="3" t="s">
        <v>51</v>
      </c>
      <c r="J263" s="27"/>
      <c r="K263" s="11" t="s">
        <v>1036</v>
      </c>
      <c r="L263" s="16" t="s">
        <v>1124</v>
      </c>
      <c r="M263" s="3" t="s">
        <v>1546</v>
      </c>
      <c r="N263" s="3" t="s">
        <v>1670</v>
      </c>
      <c r="O263" s="3"/>
      <c r="P263" s="3" t="b">
        <v>1</v>
      </c>
      <c r="Q263" s="3" t="s">
        <v>1497</v>
      </c>
      <c r="R263" s="4" t="b">
        <v>0</v>
      </c>
      <c r="S263" s="4"/>
    </row>
    <row r="264" spans="1:19" x14ac:dyDescent="0.3">
      <c r="A264" s="27" t="s">
        <v>2178</v>
      </c>
      <c r="B264" s="27" t="s">
        <v>1937</v>
      </c>
      <c r="C264" s="27">
        <v>0</v>
      </c>
      <c r="D264" s="27" t="s">
        <v>1630</v>
      </c>
      <c r="E264" s="3"/>
      <c r="F264" s="3" t="s">
        <v>1761</v>
      </c>
      <c r="G264" s="3" t="s">
        <v>39</v>
      </c>
      <c r="H264" s="3" t="s">
        <v>51</v>
      </c>
      <c r="I264" s="3" t="s">
        <v>51</v>
      </c>
      <c r="J264" s="27"/>
      <c r="K264" s="11" t="s">
        <v>1036</v>
      </c>
      <c r="L264" s="16" t="s">
        <v>1124</v>
      </c>
      <c r="M264" s="3" t="s">
        <v>1546</v>
      </c>
      <c r="N264" s="3" t="s">
        <v>1670</v>
      </c>
      <c r="O264" s="3"/>
      <c r="P264" s="3" t="b">
        <v>1</v>
      </c>
      <c r="Q264" s="3" t="s">
        <v>1497</v>
      </c>
      <c r="R264" s="4" t="b">
        <v>0</v>
      </c>
      <c r="S264" s="4"/>
    </row>
    <row r="265" spans="1:19" x14ac:dyDescent="0.3">
      <c r="A265" s="27" t="s">
        <v>2178</v>
      </c>
      <c r="B265" s="27" t="s">
        <v>1938</v>
      </c>
      <c r="C265" s="27">
        <v>0</v>
      </c>
      <c r="D265" s="27" t="s">
        <v>1630</v>
      </c>
      <c r="E265" s="3"/>
      <c r="F265" s="3" t="s">
        <v>1761</v>
      </c>
      <c r="G265" s="3" t="s">
        <v>39</v>
      </c>
      <c r="H265" s="3" t="s">
        <v>51</v>
      </c>
      <c r="I265" s="3" t="s">
        <v>51</v>
      </c>
      <c r="J265" s="27"/>
      <c r="K265" s="11" t="s">
        <v>1036</v>
      </c>
      <c r="L265" s="16" t="s">
        <v>1124</v>
      </c>
      <c r="M265" s="3" t="s">
        <v>1546</v>
      </c>
      <c r="N265" s="3" t="s">
        <v>1670</v>
      </c>
      <c r="O265" s="3"/>
      <c r="P265" s="3" t="b">
        <v>1</v>
      </c>
      <c r="Q265" s="3" t="s">
        <v>1497</v>
      </c>
      <c r="R265" s="4" t="b">
        <v>0</v>
      </c>
      <c r="S265" s="4"/>
    </row>
    <row r="266" spans="1:19" x14ac:dyDescent="0.3">
      <c r="A266" s="27" t="s">
        <v>2178</v>
      </c>
      <c r="B266" s="27" t="s">
        <v>1939</v>
      </c>
      <c r="C266" s="27">
        <v>0</v>
      </c>
      <c r="D266" s="27" t="s">
        <v>1630</v>
      </c>
      <c r="E266" s="3"/>
      <c r="F266" s="3" t="s">
        <v>1761</v>
      </c>
      <c r="G266" s="3" t="s">
        <v>39</v>
      </c>
      <c r="H266" s="3" t="s">
        <v>51</v>
      </c>
      <c r="I266" s="3" t="s">
        <v>51</v>
      </c>
      <c r="J266" s="27"/>
      <c r="K266" s="11" t="s">
        <v>1036</v>
      </c>
      <c r="L266" s="16" t="s">
        <v>1124</v>
      </c>
      <c r="M266" s="3" t="s">
        <v>1546</v>
      </c>
      <c r="N266" s="3" t="s">
        <v>1670</v>
      </c>
      <c r="O266" s="3"/>
      <c r="P266" s="3" t="b">
        <v>1</v>
      </c>
      <c r="Q266" s="3" t="s">
        <v>1497</v>
      </c>
      <c r="R266" s="4" t="b">
        <v>0</v>
      </c>
      <c r="S266" s="4"/>
    </row>
    <row r="267" spans="1:19" x14ac:dyDescent="0.3">
      <c r="A267" s="27" t="s">
        <v>860</v>
      </c>
      <c r="B267" s="27"/>
      <c r="C267" s="27">
        <f>_xlfn.XLOOKUP(STATS[[#This Row],[FinanceCode]],FC[FinanceCode],FC[London Weighting]," ")</f>
        <v>0</v>
      </c>
      <c r="D267" s="27"/>
      <c r="E267" s="3"/>
      <c r="F267" s="3" t="s">
        <v>1017</v>
      </c>
      <c r="G267" s="3" t="s">
        <v>39</v>
      </c>
      <c r="H267" s="3" t="s">
        <v>51</v>
      </c>
      <c r="I267" s="3" t="s">
        <v>51</v>
      </c>
      <c r="J267" s="27"/>
      <c r="K267" s="11" t="s">
        <v>1172</v>
      </c>
      <c r="L267" s="16" t="s">
        <v>1124</v>
      </c>
      <c r="M267" s="3" t="s">
        <v>1391</v>
      </c>
      <c r="N267" s="3" t="s">
        <v>1672</v>
      </c>
      <c r="O267" s="3"/>
      <c r="P267" s="3" t="b">
        <v>1</v>
      </c>
      <c r="Q267" s="3" t="s">
        <v>1497</v>
      </c>
      <c r="R267" s="4" t="b">
        <v>0</v>
      </c>
      <c r="S267" s="4">
        <v>-16000</v>
      </c>
    </row>
    <row r="268" spans="1:19" x14ac:dyDescent="0.3">
      <c r="A268" s="27" t="s">
        <v>2178</v>
      </c>
      <c r="B268" s="27"/>
      <c r="C268" s="27">
        <v>0</v>
      </c>
      <c r="D268" s="27"/>
      <c r="E268" s="3"/>
      <c r="F268" s="3" t="s">
        <v>1017</v>
      </c>
      <c r="G268" s="3" t="s">
        <v>39</v>
      </c>
      <c r="H268" s="3" t="s">
        <v>51</v>
      </c>
      <c r="I268" s="3" t="s">
        <v>51</v>
      </c>
      <c r="J268" s="27"/>
      <c r="K268" s="11" t="s">
        <v>1172</v>
      </c>
      <c r="L268" s="16" t="s">
        <v>1124</v>
      </c>
      <c r="M268" s="3" t="s">
        <v>1391</v>
      </c>
      <c r="N268" s="3" t="s">
        <v>1672</v>
      </c>
      <c r="O268" s="3"/>
      <c r="P268" s="3" t="b">
        <v>1</v>
      </c>
      <c r="Q268" s="3" t="s">
        <v>1497</v>
      </c>
      <c r="R268" s="4" t="b">
        <v>0</v>
      </c>
      <c r="S268" s="4">
        <v>-16000</v>
      </c>
    </row>
    <row r="269" spans="1:19" x14ac:dyDescent="0.3">
      <c r="A269" s="27" t="s">
        <v>2178</v>
      </c>
      <c r="B269" s="27"/>
      <c r="C269" s="27">
        <v>0</v>
      </c>
      <c r="D269" s="27"/>
      <c r="E269" s="3"/>
      <c r="F269" s="3" t="s">
        <v>1023</v>
      </c>
      <c r="G269" s="3" t="s">
        <v>39</v>
      </c>
      <c r="H269" s="3" t="s">
        <v>51</v>
      </c>
      <c r="I269" s="3" t="s">
        <v>51</v>
      </c>
      <c r="J269" s="27"/>
      <c r="K269" s="11" t="s">
        <v>1172</v>
      </c>
      <c r="L269" s="16" t="s">
        <v>1124</v>
      </c>
      <c r="M269" s="3" t="s">
        <v>1024</v>
      </c>
      <c r="N269" s="3" t="s">
        <v>1673</v>
      </c>
      <c r="O269" s="3"/>
      <c r="P269" s="3" t="b">
        <v>1</v>
      </c>
      <c r="Q269" s="3" t="s">
        <v>1394</v>
      </c>
      <c r="R269" s="4" t="b">
        <v>0</v>
      </c>
      <c r="S269" s="4">
        <v>-1480</v>
      </c>
    </row>
    <row r="270" spans="1:19" x14ac:dyDescent="0.3">
      <c r="A270" s="27" t="s">
        <v>1548</v>
      </c>
      <c r="B270" s="27"/>
      <c r="C270" s="27">
        <v>0</v>
      </c>
      <c r="D270" s="27"/>
      <c r="E270" s="3"/>
      <c r="F270" s="3" t="s">
        <v>1025</v>
      </c>
      <c r="G270" s="3" t="s">
        <v>39</v>
      </c>
      <c r="H270" s="3" t="s">
        <v>51</v>
      </c>
      <c r="I270" s="3" t="s">
        <v>51</v>
      </c>
      <c r="J270" s="27"/>
      <c r="K270" s="11" t="s">
        <v>1172</v>
      </c>
      <c r="L270" s="16" t="s">
        <v>1124</v>
      </c>
      <c r="M270" s="3" t="s">
        <v>1026</v>
      </c>
      <c r="N270" s="3" t="s">
        <v>1674</v>
      </c>
      <c r="O270" s="3"/>
      <c r="P270" s="3" t="b">
        <v>1</v>
      </c>
      <c r="Q270" s="3" t="s">
        <v>1410</v>
      </c>
      <c r="R270" s="4" t="b">
        <v>0</v>
      </c>
      <c r="S270" s="4">
        <v>-1075</v>
      </c>
    </row>
    <row r="271" spans="1:19" x14ac:dyDescent="0.3">
      <c r="A271" s="27" t="s">
        <v>2178</v>
      </c>
      <c r="B271" s="27"/>
      <c r="C271" s="27">
        <v>0</v>
      </c>
      <c r="D271" s="27"/>
      <c r="E271" s="3"/>
      <c r="F271" s="3" t="s">
        <v>1575</v>
      </c>
      <c r="G271" s="3" t="s">
        <v>39</v>
      </c>
      <c r="H271" s="3" t="s">
        <v>51</v>
      </c>
      <c r="I271" s="3" t="s">
        <v>51</v>
      </c>
      <c r="J271" s="27"/>
      <c r="K271" s="11" t="s">
        <v>1172</v>
      </c>
      <c r="L271" s="16" t="s">
        <v>1124</v>
      </c>
      <c r="M271" s="3" t="s">
        <v>1576</v>
      </c>
      <c r="N271" s="3"/>
      <c r="O271" s="3"/>
      <c r="P271" s="3" t="b">
        <v>1</v>
      </c>
      <c r="Q271" s="3" t="s">
        <v>1394</v>
      </c>
      <c r="R271" s="4" t="b">
        <v>0</v>
      </c>
      <c r="S271" s="4">
        <v>-480.7</v>
      </c>
    </row>
    <row r="272" spans="1:19" x14ac:dyDescent="0.3">
      <c r="A272" s="27" t="s">
        <v>2178</v>
      </c>
      <c r="B272" s="27"/>
      <c r="C272" s="27">
        <v>0</v>
      </c>
      <c r="D272" s="27"/>
      <c r="E272" s="3"/>
      <c r="F272" s="3" t="s">
        <v>1575</v>
      </c>
      <c r="G272" s="3" t="s">
        <v>39</v>
      </c>
      <c r="H272" s="3" t="s">
        <v>51</v>
      </c>
      <c r="I272" s="3" t="s">
        <v>51</v>
      </c>
      <c r="J272" s="27"/>
      <c r="K272" s="11" t="s">
        <v>1172</v>
      </c>
      <c r="L272" s="16" t="s">
        <v>1124</v>
      </c>
      <c r="M272" s="3" t="s">
        <v>1576</v>
      </c>
      <c r="N272" s="3"/>
      <c r="O272" s="3"/>
      <c r="P272" s="3" t="b">
        <v>1</v>
      </c>
      <c r="Q272" s="3" t="s">
        <v>1410</v>
      </c>
      <c r="R272" s="4" t="b">
        <v>0</v>
      </c>
      <c r="S272" s="4">
        <v>-490.2</v>
      </c>
    </row>
    <row r="273" spans="1:19" x14ac:dyDescent="0.3">
      <c r="A273" s="27" t="s">
        <v>2178</v>
      </c>
      <c r="B273" s="27"/>
      <c r="C273" s="27">
        <v>0</v>
      </c>
      <c r="D273" s="27"/>
      <c r="E273" s="3"/>
      <c r="F273" s="3" t="s">
        <v>1575</v>
      </c>
      <c r="G273" s="3" t="s">
        <v>39</v>
      </c>
      <c r="H273" s="3" t="s">
        <v>51</v>
      </c>
      <c r="I273" s="3" t="s">
        <v>51</v>
      </c>
      <c r="J273" s="27"/>
      <c r="K273" s="11" t="s">
        <v>1172</v>
      </c>
      <c r="L273" s="16" t="s">
        <v>1124</v>
      </c>
      <c r="M273" s="3" t="s">
        <v>1576</v>
      </c>
      <c r="N273" s="3"/>
      <c r="O273" s="3"/>
      <c r="P273" s="3" t="b">
        <v>1</v>
      </c>
      <c r="Q273" s="3" t="s">
        <v>1497</v>
      </c>
      <c r="R273" s="4" t="b">
        <v>0</v>
      </c>
      <c r="S273" s="4">
        <v>-495.9</v>
      </c>
    </row>
    <row r="274" spans="1:19" x14ac:dyDescent="0.3">
      <c r="A274" s="27" t="s">
        <v>2178</v>
      </c>
      <c r="B274" s="27"/>
      <c r="C274" s="27">
        <v>0</v>
      </c>
      <c r="D274" s="27"/>
      <c r="E274" s="3"/>
      <c r="F274" s="3" t="s">
        <v>1573</v>
      </c>
      <c r="G274" s="3" t="s">
        <v>39</v>
      </c>
      <c r="H274" s="3" t="s">
        <v>51</v>
      </c>
      <c r="I274" s="3" t="s">
        <v>51</v>
      </c>
      <c r="J274" s="27"/>
      <c r="K274" s="11" t="s">
        <v>2036</v>
      </c>
      <c r="L274" s="16" t="s">
        <v>1124</v>
      </c>
      <c r="M274" s="3" t="s">
        <v>1577</v>
      </c>
      <c r="N274" s="3" t="s">
        <v>1677</v>
      </c>
      <c r="O274" s="3"/>
      <c r="P274" s="3" t="b">
        <v>1</v>
      </c>
      <c r="Q274" s="3" t="s">
        <v>1497</v>
      </c>
      <c r="R274" s="4" t="b">
        <v>1</v>
      </c>
      <c r="S274" s="4"/>
    </row>
    <row r="275" spans="1:19" x14ac:dyDescent="0.3">
      <c r="A275" s="27" t="s">
        <v>2178</v>
      </c>
      <c r="B275" s="27"/>
      <c r="C275" s="27">
        <v>0</v>
      </c>
      <c r="D275" s="27"/>
      <c r="E275" s="3"/>
      <c r="F275" s="3" t="s">
        <v>1050</v>
      </c>
      <c r="G275" s="3"/>
      <c r="H275" s="3" t="s">
        <v>51</v>
      </c>
      <c r="I275" s="3" t="s">
        <v>51</v>
      </c>
      <c r="J275" s="27"/>
      <c r="K275" s="11" t="s">
        <v>1242</v>
      </c>
      <c r="L275" s="16" t="s">
        <v>1124</v>
      </c>
      <c r="M275" s="3" t="s">
        <v>1400</v>
      </c>
      <c r="N275" s="3" t="s">
        <v>1679</v>
      </c>
      <c r="O275" s="3"/>
      <c r="P275" s="3" t="b">
        <v>1</v>
      </c>
      <c r="Q275" s="3" t="s">
        <v>1497</v>
      </c>
      <c r="R275" s="4" t="b">
        <v>1</v>
      </c>
      <c r="S275" s="4"/>
    </row>
    <row r="276" spans="1:19" x14ac:dyDescent="0.3">
      <c r="A276" s="27" t="s">
        <v>2178</v>
      </c>
      <c r="B276" s="27"/>
      <c r="C276" s="27">
        <v>0</v>
      </c>
      <c r="D276" s="27"/>
      <c r="E276" s="3"/>
      <c r="F276" s="3" t="s">
        <v>1048</v>
      </c>
      <c r="G276" s="3"/>
      <c r="H276" s="3" t="s">
        <v>51</v>
      </c>
      <c r="I276" s="3" t="s">
        <v>51</v>
      </c>
      <c r="J276" s="27"/>
      <c r="K276" s="11" t="s">
        <v>1244</v>
      </c>
      <c r="L276" s="16" t="s">
        <v>1124</v>
      </c>
      <c r="M276" s="3" t="s">
        <v>1399</v>
      </c>
      <c r="N276" s="3" t="s">
        <v>1680</v>
      </c>
      <c r="O276" s="3"/>
      <c r="P276" s="3" t="b">
        <v>1</v>
      </c>
      <c r="Q276" s="3" t="s">
        <v>1497</v>
      </c>
      <c r="R276" s="4" t="b">
        <v>1</v>
      </c>
      <c r="S276" s="4"/>
    </row>
    <row r="277" spans="1:19" x14ac:dyDescent="0.3">
      <c r="A277" s="27" t="s">
        <v>2178</v>
      </c>
      <c r="B277" s="27"/>
      <c r="C277" s="27">
        <v>0</v>
      </c>
      <c r="D277" s="27"/>
      <c r="E277" s="3"/>
      <c r="F277" s="3" t="s">
        <v>1042</v>
      </c>
      <c r="G277" s="3"/>
      <c r="H277" s="3" t="s">
        <v>51</v>
      </c>
      <c r="I277" s="3" t="s">
        <v>51</v>
      </c>
      <c r="J277" s="27"/>
      <c r="K277" s="11" t="s">
        <v>1248</v>
      </c>
      <c r="L277" s="16" t="s">
        <v>1124</v>
      </c>
      <c r="M277" s="3" t="s">
        <v>1397</v>
      </c>
      <c r="N277" s="3" t="s">
        <v>1681</v>
      </c>
      <c r="O277" s="3"/>
      <c r="P277" s="3" t="b">
        <v>1</v>
      </c>
      <c r="Q277" s="3" t="s">
        <v>1497</v>
      </c>
      <c r="R277" s="4" t="b">
        <v>1</v>
      </c>
      <c r="S277" s="4"/>
    </row>
    <row r="278" spans="1:19" x14ac:dyDescent="0.3">
      <c r="A278" s="27" t="s">
        <v>2178</v>
      </c>
      <c r="B278" s="27"/>
      <c r="C278" s="27">
        <v>0</v>
      </c>
      <c r="D278" s="27"/>
      <c r="E278" s="3"/>
      <c r="F278" s="3" t="s">
        <v>1044</v>
      </c>
      <c r="G278" s="3"/>
      <c r="H278" s="3" t="s">
        <v>51</v>
      </c>
      <c r="I278" s="3" t="s">
        <v>51</v>
      </c>
      <c r="J278" s="27"/>
      <c r="K278" s="11" t="s">
        <v>1250</v>
      </c>
      <c r="L278" s="16" t="s">
        <v>1124</v>
      </c>
      <c r="M278" s="3" t="s">
        <v>1403</v>
      </c>
      <c r="N278" s="3" t="s">
        <v>1682</v>
      </c>
      <c r="O278" s="3"/>
      <c r="P278" s="3" t="b">
        <v>1</v>
      </c>
      <c r="Q278" s="3" t="s">
        <v>1497</v>
      </c>
      <c r="R278" s="4" t="b">
        <v>1</v>
      </c>
      <c r="S278" s="4"/>
    </row>
    <row r="279" spans="1:19" x14ac:dyDescent="0.3">
      <c r="A279" s="27" t="s">
        <v>2178</v>
      </c>
      <c r="B279" s="27"/>
      <c r="C279" s="27">
        <v>0</v>
      </c>
      <c r="D279" s="27"/>
      <c r="E279" s="3"/>
      <c r="F279" s="3" t="s">
        <v>1046</v>
      </c>
      <c r="G279" s="3"/>
      <c r="H279" s="3" t="s">
        <v>51</v>
      </c>
      <c r="I279" s="3" t="s">
        <v>51</v>
      </c>
      <c r="J279" s="27"/>
      <c r="K279" s="11" t="s">
        <v>1252</v>
      </c>
      <c r="L279" s="16" t="s">
        <v>1124</v>
      </c>
      <c r="M279" s="3" t="s">
        <v>1398</v>
      </c>
      <c r="N279" s="3" t="s">
        <v>1684</v>
      </c>
      <c r="O279" s="3"/>
      <c r="P279" s="3" t="b">
        <v>1</v>
      </c>
      <c r="Q279" s="3" t="s">
        <v>1497</v>
      </c>
      <c r="R279" s="4" t="b">
        <v>1</v>
      </c>
      <c r="S279" s="4"/>
    </row>
    <row r="280" spans="1:19" x14ac:dyDescent="0.3">
      <c r="A280" s="27" t="s">
        <v>2177</v>
      </c>
      <c r="B280" s="27" t="s">
        <v>1464</v>
      </c>
      <c r="C280" s="27">
        <v>0</v>
      </c>
      <c r="D280" s="27" t="s">
        <v>1630</v>
      </c>
      <c r="E280" s="3"/>
      <c r="F280" s="3" t="s">
        <v>1758</v>
      </c>
      <c r="G280" s="3" t="s">
        <v>39</v>
      </c>
      <c r="H280" s="3" t="s">
        <v>51</v>
      </c>
      <c r="I280" s="3" t="s">
        <v>51</v>
      </c>
      <c r="J280" s="27"/>
      <c r="K280" s="11" t="s">
        <v>1036</v>
      </c>
      <c r="L280" s="16" t="s">
        <v>1124</v>
      </c>
      <c r="M280" s="3" t="s">
        <v>1545</v>
      </c>
      <c r="N280" s="3" t="s">
        <v>1658</v>
      </c>
      <c r="O280" s="3"/>
      <c r="P280" s="3" t="b">
        <v>1</v>
      </c>
      <c r="Q280" s="3" t="s">
        <v>1497</v>
      </c>
      <c r="R280" s="4" t="b">
        <v>0</v>
      </c>
      <c r="S280" s="4"/>
    </row>
    <row r="281" spans="1:19" x14ac:dyDescent="0.3">
      <c r="A281" s="27" t="s">
        <v>2177</v>
      </c>
      <c r="B281" s="27" t="s">
        <v>1466</v>
      </c>
      <c r="C281" s="27">
        <v>0</v>
      </c>
      <c r="D281" s="27" t="s">
        <v>1630</v>
      </c>
      <c r="E281" s="3"/>
      <c r="F281" s="3" t="s">
        <v>1758</v>
      </c>
      <c r="G281" s="3" t="s">
        <v>39</v>
      </c>
      <c r="H281" s="3" t="s">
        <v>51</v>
      </c>
      <c r="I281" s="3" t="s">
        <v>51</v>
      </c>
      <c r="J281" s="27"/>
      <c r="K281" s="11" t="s">
        <v>1036</v>
      </c>
      <c r="L281" s="16" t="s">
        <v>1124</v>
      </c>
      <c r="M281" s="3" t="s">
        <v>1545</v>
      </c>
      <c r="N281" s="3" t="s">
        <v>1658</v>
      </c>
      <c r="O281" s="3"/>
      <c r="P281" s="3" t="b">
        <v>1</v>
      </c>
      <c r="Q281" s="3" t="s">
        <v>1497</v>
      </c>
      <c r="R281" s="4" t="b">
        <v>0</v>
      </c>
      <c r="S281" s="4"/>
    </row>
    <row r="282" spans="1:19" x14ac:dyDescent="0.3">
      <c r="A282" s="27" t="s">
        <v>2177</v>
      </c>
      <c r="B282" s="27" t="s">
        <v>1467</v>
      </c>
      <c r="C282" s="27">
        <v>0</v>
      </c>
      <c r="D282" s="27" t="s">
        <v>1630</v>
      </c>
      <c r="E282" s="3"/>
      <c r="F282" s="3" t="s">
        <v>1758</v>
      </c>
      <c r="G282" s="3" t="s">
        <v>39</v>
      </c>
      <c r="H282" s="3" t="s">
        <v>51</v>
      </c>
      <c r="I282" s="3" t="s">
        <v>51</v>
      </c>
      <c r="J282" s="27"/>
      <c r="K282" s="11" t="s">
        <v>1036</v>
      </c>
      <c r="L282" s="16" t="s">
        <v>1124</v>
      </c>
      <c r="M282" s="3" t="s">
        <v>1545</v>
      </c>
      <c r="N282" s="3" t="s">
        <v>1658</v>
      </c>
      <c r="O282" s="3"/>
      <c r="P282" s="3" t="b">
        <v>1</v>
      </c>
      <c r="Q282" s="3" t="s">
        <v>1497</v>
      </c>
      <c r="R282" s="4" t="b">
        <v>0</v>
      </c>
      <c r="S282" s="4"/>
    </row>
    <row r="283" spans="1:19" x14ac:dyDescent="0.3">
      <c r="A283" s="27" t="s">
        <v>2177</v>
      </c>
      <c r="B283" s="27" t="s">
        <v>1468</v>
      </c>
      <c r="C283" s="27">
        <v>0</v>
      </c>
      <c r="D283" s="27" t="s">
        <v>1630</v>
      </c>
      <c r="E283" s="3"/>
      <c r="F283" s="3" t="s">
        <v>1758</v>
      </c>
      <c r="G283" s="3" t="s">
        <v>39</v>
      </c>
      <c r="H283" s="3" t="s">
        <v>51</v>
      </c>
      <c r="I283" s="3" t="s">
        <v>51</v>
      </c>
      <c r="J283" s="27"/>
      <c r="K283" s="11" t="s">
        <v>1036</v>
      </c>
      <c r="L283" s="16" t="s">
        <v>1124</v>
      </c>
      <c r="M283" s="3" t="s">
        <v>1545</v>
      </c>
      <c r="N283" s="3" t="s">
        <v>1658</v>
      </c>
      <c r="O283" s="3"/>
      <c r="P283" s="3" t="b">
        <v>1</v>
      </c>
      <c r="Q283" s="3" t="s">
        <v>1497</v>
      </c>
      <c r="R283" s="4" t="b">
        <v>0</v>
      </c>
      <c r="S283" s="4"/>
    </row>
    <row r="284" spans="1:19" x14ac:dyDescent="0.3">
      <c r="A284" s="27" t="s">
        <v>2177</v>
      </c>
      <c r="B284" s="27" t="s">
        <v>1469</v>
      </c>
      <c r="C284" s="27">
        <v>0</v>
      </c>
      <c r="D284" s="27" t="s">
        <v>1630</v>
      </c>
      <c r="E284" s="3"/>
      <c r="F284" s="3" t="s">
        <v>1758</v>
      </c>
      <c r="G284" s="3" t="s">
        <v>39</v>
      </c>
      <c r="H284" s="3" t="s">
        <v>51</v>
      </c>
      <c r="I284" s="3" t="s">
        <v>51</v>
      </c>
      <c r="J284" s="27"/>
      <c r="K284" s="11" t="s">
        <v>1036</v>
      </c>
      <c r="L284" s="16" t="s">
        <v>1124</v>
      </c>
      <c r="M284" s="3" t="s">
        <v>1545</v>
      </c>
      <c r="N284" s="3" t="s">
        <v>1658</v>
      </c>
      <c r="O284" s="3"/>
      <c r="P284" s="3" t="b">
        <v>1</v>
      </c>
      <c r="Q284" s="3" t="s">
        <v>1497</v>
      </c>
      <c r="R284" s="4" t="b">
        <v>0</v>
      </c>
      <c r="S284" s="4"/>
    </row>
    <row r="285" spans="1:19" x14ac:dyDescent="0.3">
      <c r="A285" s="27" t="s">
        <v>2177</v>
      </c>
      <c r="B285" s="27" t="s">
        <v>1470</v>
      </c>
      <c r="C285" s="27">
        <v>0</v>
      </c>
      <c r="D285" s="27" t="s">
        <v>1630</v>
      </c>
      <c r="E285" s="3"/>
      <c r="F285" s="3" t="s">
        <v>1758</v>
      </c>
      <c r="G285" s="3" t="s">
        <v>39</v>
      </c>
      <c r="H285" s="3" t="s">
        <v>51</v>
      </c>
      <c r="I285" s="3" t="s">
        <v>51</v>
      </c>
      <c r="J285" s="27"/>
      <c r="K285" s="11" t="s">
        <v>1036</v>
      </c>
      <c r="L285" s="16" t="s">
        <v>1124</v>
      </c>
      <c r="M285" s="3" t="s">
        <v>1545</v>
      </c>
      <c r="N285" s="3" t="s">
        <v>1658</v>
      </c>
      <c r="O285" s="3"/>
      <c r="P285" s="3" t="b">
        <v>1</v>
      </c>
      <c r="Q285" s="3" t="s">
        <v>1497</v>
      </c>
      <c r="R285" s="4" t="b">
        <v>0</v>
      </c>
      <c r="S285" s="4"/>
    </row>
    <row r="286" spans="1:19" x14ac:dyDescent="0.3">
      <c r="A286" s="27" t="s">
        <v>2177</v>
      </c>
      <c r="B286" s="27" t="s">
        <v>1934</v>
      </c>
      <c r="C286" s="27">
        <v>0</v>
      </c>
      <c r="D286" s="27" t="s">
        <v>1630</v>
      </c>
      <c r="E286" s="3"/>
      <c r="F286" s="3" t="s">
        <v>1758</v>
      </c>
      <c r="G286" s="3" t="s">
        <v>39</v>
      </c>
      <c r="H286" s="3" t="s">
        <v>51</v>
      </c>
      <c r="I286" s="3" t="s">
        <v>51</v>
      </c>
      <c r="J286" s="27"/>
      <c r="K286" s="11" t="s">
        <v>1036</v>
      </c>
      <c r="L286" s="16" t="s">
        <v>1124</v>
      </c>
      <c r="M286" s="3" t="s">
        <v>1545</v>
      </c>
      <c r="N286" s="3" t="s">
        <v>1658</v>
      </c>
      <c r="O286" s="3"/>
      <c r="P286" s="3" t="b">
        <v>1</v>
      </c>
      <c r="Q286" s="3" t="s">
        <v>1497</v>
      </c>
      <c r="R286" s="4" t="b">
        <v>0</v>
      </c>
      <c r="S286" s="4"/>
    </row>
    <row r="287" spans="1:19" x14ac:dyDescent="0.3">
      <c r="A287" s="27" t="s">
        <v>2177</v>
      </c>
      <c r="B287" s="27" t="s">
        <v>1935</v>
      </c>
      <c r="C287" s="27">
        <v>0</v>
      </c>
      <c r="D287" s="27" t="s">
        <v>1630</v>
      </c>
      <c r="E287" s="3"/>
      <c r="F287" s="3" t="s">
        <v>1758</v>
      </c>
      <c r="G287" s="3" t="s">
        <v>39</v>
      </c>
      <c r="H287" s="3" t="s">
        <v>51</v>
      </c>
      <c r="I287" s="3" t="s">
        <v>51</v>
      </c>
      <c r="J287" s="27"/>
      <c r="K287" s="11" t="s">
        <v>1036</v>
      </c>
      <c r="L287" s="16" t="s">
        <v>1124</v>
      </c>
      <c r="M287" s="3" t="s">
        <v>1545</v>
      </c>
      <c r="N287" s="3" t="s">
        <v>1658</v>
      </c>
      <c r="O287" s="3"/>
      <c r="P287" s="3" t="b">
        <v>1</v>
      </c>
      <c r="Q287" s="3" t="s">
        <v>1497</v>
      </c>
      <c r="R287" s="4" t="b">
        <v>0</v>
      </c>
      <c r="S287" s="4"/>
    </row>
    <row r="288" spans="1:19" x14ac:dyDescent="0.3">
      <c r="A288" s="27" t="s">
        <v>2177</v>
      </c>
      <c r="B288" s="27" t="s">
        <v>1936</v>
      </c>
      <c r="C288" s="27">
        <v>0</v>
      </c>
      <c r="D288" s="27" t="s">
        <v>1630</v>
      </c>
      <c r="E288" s="3"/>
      <c r="F288" s="3" t="s">
        <v>1758</v>
      </c>
      <c r="G288" s="3" t="s">
        <v>39</v>
      </c>
      <c r="H288" s="3" t="s">
        <v>51</v>
      </c>
      <c r="I288" s="3" t="s">
        <v>51</v>
      </c>
      <c r="J288" s="27"/>
      <c r="K288" s="11" t="s">
        <v>1036</v>
      </c>
      <c r="L288" s="16" t="s">
        <v>1124</v>
      </c>
      <c r="M288" s="3" t="s">
        <v>1545</v>
      </c>
      <c r="N288" s="3" t="s">
        <v>1658</v>
      </c>
      <c r="O288" s="3"/>
      <c r="P288" s="3" t="b">
        <v>1</v>
      </c>
      <c r="Q288" s="3" t="s">
        <v>1497</v>
      </c>
      <c r="R288" s="4" t="b">
        <v>0</v>
      </c>
      <c r="S288" s="4"/>
    </row>
    <row r="289" spans="1:19" x14ac:dyDescent="0.3">
      <c r="A289" s="27" t="s">
        <v>2177</v>
      </c>
      <c r="B289" s="27" t="s">
        <v>1937</v>
      </c>
      <c r="C289" s="27">
        <v>0</v>
      </c>
      <c r="D289" s="27" t="s">
        <v>1630</v>
      </c>
      <c r="E289" s="3"/>
      <c r="F289" s="3" t="s">
        <v>1758</v>
      </c>
      <c r="G289" s="3" t="s">
        <v>39</v>
      </c>
      <c r="H289" s="3" t="s">
        <v>51</v>
      </c>
      <c r="I289" s="3" t="s">
        <v>51</v>
      </c>
      <c r="J289" s="27"/>
      <c r="K289" s="11" t="s">
        <v>1036</v>
      </c>
      <c r="L289" s="16" t="s">
        <v>1124</v>
      </c>
      <c r="M289" s="3" t="s">
        <v>1545</v>
      </c>
      <c r="N289" s="3" t="s">
        <v>1658</v>
      </c>
      <c r="O289" s="3"/>
      <c r="P289" s="3" t="b">
        <v>1</v>
      </c>
      <c r="Q289" s="3" t="s">
        <v>1497</v>
      </c>
      <c r="R289" s="4" t="b">
        <v>0</v>
      </c>
      <c r="S289" s="4"/>
    </row>
    <row r="290" spans="1:19" x14ac:dyDescent="0.3">
      <c r="A290" s="27" t="s">
        <v>2177</v>
      </c>
      <c r="B290" s="27" t="s">
        <v>1938</v>
      </c>
      <c r="C290" s="27">
        <v>0</v>
      </c>
      <c r="D290" s="27" t="s">
        <v>1630</v>
      </c>
      <c r="E290" s="3"/>
      <c r="F290" s="3" t="s">
        <v>1758</v>
      </c>
      <c r="G290" s="3" t="s">
        <v>39</v>
      </c>
      <c r="H290" s="3" t="s">
        <v>51</v>
      </c>
      <c r="I290" s="3" t="s">
        <v>51</v>
      </c>
      <c r="J290" s="27"/>
      <c r="K290" s="11" t="s">
        <v>1036</v>
      </c>
      <c r="L290" s="16" t="s">
        <v>1124</v>
      </c>
      <c r="M290" s="3" t="s">
        <v>1545</v>
      </c>
      <c r="N290" s="3" t="s">
        <v>1658</v>
      </c>
      <c r="O290" s="3"/>
      <c r="P290" s="3" t="b">
        <v>1</v>
      </c>
      <c r="Q290" s="3" t="s">
        <v>1497</v>
      </c>
      <c r="R290" s="4" t="b">
        <v>0</v>
      </c>
      <c r="S290" s="4"/>
    </row>
    <row r="291" spans="1:19" x14ac:dyDescent="0.3">
      <c r="A291" s="27" t="s">
        <v>2177</v>
      </c>
      <c r="B291" s="27" t="s">
        <v>1939</v>
      </c>
      <c r="C291" s="27">
        <v>0</v>
      </c>
      <c r="D291" s="27" t="s">
        <v>1630</v>
      </c>
      <c r="E291" s="3"/>
      <c r="F291" s="3" t="s">
        <v>1758</v>
      </c>
      <c r="G291" s="3" t="s">
        <v>39</v>
      </c>
      <c r="H291" s="3" t="s">
        <v>51</v>
      </c>
      <c r="I291" s="3" t="s">
        <v>51</v>
      </c>
      <c r="J291" s="27"/>
      <c r="K291" s="11" t="s">
        <v>1036</v>
      </c>
      <c r="L291" s="16" t="s">
        <v>1124</v>
      </c>
      <c r="M291" s="3" t="s">
        <v>1545</v>
      </c>
      <c r="N291" s="3" t="s">
        <v>1658</v>
      </c>
      <c r="O291" s="3"/>
      <c r="P291" s="3" t="b">
        <v>1</v>
      </c>
      <c r="Q291" s="3" t="s">
        <v>1497</v>
      </c>
      <c r="R291" s="4" t="b">
        <v>0</v>
      </c>
      <c r="S291" s="4"/>
    </row>
    <row r="292" spans="1:19" x14ac:dyDescent="0.3">
      <c r="A292" s="27" t="s">
        <v>2177</v>
      </c>
      <c r="B292" s="27"/>
      <c r="C292" s="27">
        <v>0</v>
      </c>
      <c r="D292" s="27"/>
      <c r="E292" s="3"/>
      <c r="F292" s="3" t="s">
        <v>1017</v>
      </c>
      <c r="G292" s="3" t="s">
        <v>39</v>
      </c>
      <c r="H292" s="3" t="s">
        <v>51</v>
      </c>
      <c r="I292" s="3" t="s">
        <v>51</v>
      </c>
      <c r="J292" s="27"/>
      <c r="K292" s="11" t="s">
        <v>1172</v>
      </c>
      <c r="L292" s="16" t="s">
        <v>1124</v>
      </c>
      <c r="M292" s="3" t="s">
        <v>1391</v>
      </c>
      <c r="N292" s="3" t="s">
        <v>1672</v>
      </c>
      <c r="O292" s="3"/>
      <c r="P292" s="3" t="b">
        <v>1</v>
      </c>
      <c r="Q292" s="3" t="s">
        <v>1497</v>
      </c>
      <c r="R292" s="4" t="b">
        <v>0</v>
      </c>
      <c r="S292" s="4">
        <v>-16000</v>
      </c>
    </row>
    <row r="293" spans="1:19" x14ac:dyDescent="0.3">
      <c r="A293" s="27" t="s">
        <v>2177</v>
      </c>
      <c r="B293" s="27" t="s">
        <v>1464</v>
      </c>
      <c r="C293" s="27">
        <v>0</v>
      </c>
      <c r="D293" s="27" t="s">
        <v>1630</v>
      </c>
      <c r="E293" s="3"/>
      <c r="F293" s="3" t="s">
        <v>1761</v>
      </c>
      <c r="G293" s="3" t="s">
        <v>39</v>
      </c>
      <c r="H293" s="3" t="s">
        <v>51</v>
      </c>
      <c r="I293" s="3" t="s">
        <v>51</v>
      </c>
      <c r="J293" s="27"/>
      <c r="K293" s="11" t="s">
        <v>1036</v>
      </c>
      <c r="L293" s="16" t="s">
        <v>1124</v>
      </c>
      <c r="M293" s="3" t="s">
        <v>1546</v>
      </c>
      <c r="N293" s="3" t="s">
        <v>1670</v>
      </c>
      <c r="O293" s="3"/>
      <c r="P293" s="3" t="b">
        <v>1</v>
      </c>
      <c r="Q293" s="3" t="s">
        <v>1497</v>
      </c>
      <c r="R293" s="4" t="b">
        <v>0</v>
      </c>
      <c r="S293" s="4"/>
    </row>
    <row r="294" spans="1:19" x14ac:dyDescent="0.3">
      <c r="A294" s="27" t="s">
        <v>2177</v>
      </c>
      <c r="B294" s="27" t="s">
        <v>1466</v>
      </c>
      <c r="C294" s="27">
        <v>0</v>
      </c>
      <c r="D294" s="27" t="s">
        <v>1630</v>
      </c>
      <c r="E294" s="3"/>
      <c r="F294" s="3" t="s">
        <v>1761</v>
      </c>
      <c r="G294" s="3" t="s">
        <v>39</v>
      </c>
      <c r="H294" s="3" t="s">
        <v>51</v>
      </c>
      <c r="I294" s="3" t="s">
        <v>51</v>
      </c>
      <c r="J294" s="27"/>
      <c r="K294" s="11" t="s">
        <v>1036</v>
      </c>
      <c r="L294" s="16" t="s">
        <v>1124</v>
      </c>
      <c r="M294" s="3" t="s">
        <v>1546</v>
      </c>
      <c r="N294" s="3" t="s">
        <v>1670</v>
      </c>
      <c r="O294" s="3"/>
      <c r="P294" s="3" t="b">
        <v>1</v>
      </c>
      <c r="Q294" s="3" t="s">
        <v>1497</v>
      </c>
      <c r="R294" s="4" t="b">
        <v>0</v>
      </c>
      <c r="S294" s="4"/>
    </row>
    <row r="295" spans="1:19" x14ac:dyDescent="0.3">
      <c r="A295" s="27" t="s">
        <v>2177</v>
      </c>
      <c r="B295" s="27" t="s">
        <v>1467</v>
      </c>
      <c r="C295" s="27">
        <v>0</v>
      </c>
      <c r="D295" s="27" t="s">
        <v>1630</v>
      </c>
      <c r="E295" s="3"/>
      <c r="F295" s="3" t="s">
        <v>1761</v>
      </c>
      <c r="G295" s="3" t="s">
        <v>39</v>
      </c>
      <c r="H295" s="3" t="s">
        <v>51</v>
      </c>
      <c r="I295" s="3" t="s">
        <v>51</v>
      </c>
      <c r="J295" s="27"/>
      <c r="K295" s="11" t="s">
        <v>1036</v>
      </c>
      <c r="L295" s="16" t="s">
        <v>1124</v>
      </c>
      <c r="M295" s="3" t="s">
        <v>1546</v>
      </c>
      <c r="N295" s="3" t="s">
        <v>1670</v>
      </c>
      <c r="O295" s="3"/>
      <c r="P295" s="3" t="b">
        <v>1</v>
      </c>
      <c r="Q295" s="3" t="s">
        <v>1497</v>
      </c>
      <c r="R295" s="4" t="b">
        <v>0</v>
      </c>
      <c r="S295" s="4"/>
    </row>
    <row r="296" spans="1:19" x14ac:dyDescent="0.3">
      <c r="A296" s="27" t="s">
        <v>2177</v>
      </c>
      <c r="B296" s="27" t="s">
        <v>1468</v>
      </c>
      <c r="C296" s="27">
        <v>0</v>
      </c>
      <c r="D296" s="27" t="s">
        <v>1630</v>
      </c>
      <c r="E296" s="3"/>
      <c r="F296" s="3" t="s">
        <v>1761</v>
      </c>
      <c r="G296" s="3" t="s">
        <v>39</v>
      </c>
      <c r="H296" s="3" t="s">
        <v>51</v>
      </c>
      <c r="I296" s="3" t="s">
        <v>51</v>
      </c>
      <c r="J296" s="27"/>
      <c r="K296" s="11" t="s">
        <v>1036</v>
      </c>
      <c r="L296" s="16" t="s">
        <v>1124</v>
      </c>
      <c r="M296" s="3" t="s">
        <v>1546</v>
      </c>
      <c r="N296" s="3" t="s">
        <v>1670</v>
      </c>
      <c r="O296" s="3"/>
      <c r="P296" s="3" t="b">
        <v>1</v>
      </c>
      <c r="Q296" s="3" t="s">
        <v>1497</v>
      </c>
      <c r="R296" s="4" t="b">
        <v>0</v>
      </c>
      <c r="S296" s="4"/>
    </row>
    <row r="297" spans="1:19" x14ac:dyDescent="0.3">
      <c r="A297" s="27" t="s">
        <v>2177</v>
      </c>
      <c r="B297" s="27" t="s">
        <v>1469</v>
      </c>
      <c r="C297" s="27">
        <v>0</v>
      </c>
      <c r="D297" s="27" t="s">
        <v>1630</v>
      </c>
      <c r="E297" s="3"/>
      <c r="F297" s="3" t="s">
        <v>1761</v>
      </c>
      <c r="G297" s="3" t="s">
        <v>39</v>
      </c>
      <c r="H297" s="3" t="s">
        <v>51</v>
      </c>
      <c r="I297" s="3" t="s">
        <v>51</v>
      </c>
      <c r="J297" s="27"/>
      <c r="K297" s="11" t="s">
        <v>1036</v>
      </c>
      <c r="L297" s="16" t="s">
        <v>1124</v>
      </c>
      <c r="M297" s="3" t="s">
        <v>1546</v>
      </c>
      <c r="N297" s="3" t="s">
        <v>1670</v>
      </c>
      <c r="O297" s="3"/>
      <c r="P297" s="3" t="b">
        <v>1</v>
      </c>
      <c r="Q297" s="3" t="s">
        <v>1497</v>
      </c>
      <c r="R297" s="4" t="b">
        <v>0</v>
      </c>
      <c r="S297" s="4"/>
    </row>
    <row r="298" spans="1:19" x14ac:dyDescent="0.3">
      <c r="A298" s="27" t="s">
        <v>2177</v>
      </c>
      <c r="B298" s="27" t="s">
        <v>1470</v>
      </c>
      <c r="C298" s="27">
        <v>0</v>
      </c>
      <c r="D298" s="27" t="s">
        <v>1630</v>
      </c>
      <c r="E298" s="3"/>
      <c r="F298" s="3" t="s">
        <v>1761</v>
      </c>
      <c r="G298" s="3" t="s">
        <v>39</v>
      </c>
      <c r="H298" s="3" t="s">
        <v>51</v>
      </c>
      <c r="I298" s="3" t="s">
        <v>51</v>
      </c>
      <c r="J298" s="27"/>
      <c r="K298" s="11" t="s">
        <v>1036</v>
      </c>
      <c r="L298" s="16" t="s">
        <v>1124</v>
      </c>
      <c r="M298" s="3" t="s">
        <v>1546</v>
      </c>
      <c r="N298" s="3" t="s">
        <v>1670</v>
      </c>
      <c r="O298" s="3"/>
      <c r="P298" s="3" t="b">
        <v>1</v>
      </c>
      <c r="Q298" s="3" t="s">
        <v>1497</v>
      </c>
      <c r="R298" s="4" t="b">
        <v>0</v>
      </c>
      <c r="S298" s="4"/>
    </row>
    <row r="299" spans="1:19" x14ac:dyDescent="0.3">
      <c r="A299" s="27" t="s">
        <v>2177</v>
      </c>
      <c r="B299" s="27" t="s">
        <v>1934</v>
      </c>
      <c r="C299" s="27">
        <v>0</v>
      </c>
      <c r="D299" s="27" t="s">
        <v>1630</v>
      </c>
      <c r="E299" s="3"/>
      <c r="F299" s="3" t="s">
        <v>1761</v>
      </c>
      <c r="G299" s="3" t="s">
        <v>39</v>
      </c>
      <c r="H299" s="3" t="s">
        <v>51</v>
      </c>
      <c r="I299" s="3" t="s">
        <v>51</v>
      </c>
      <c r="J299" s="27"/>
      <c r="K299" s="11" t="s">
        <v>1036</v>
      </c>
      <c r="L299" s="16" t="s">
        <v>1124</v>
      </c>
      <c r="M299" s="3" t="s">
        <v>1546</v>
      </c>
      <c r="N299" s="3" t="s">
        <v>1670</v>
      </c>
      <c r="O299" s="3"/>
      <c r="P299" s="3" t="b">
        <v>1</v>
      </c>
      <c r="Q299" s="3" t="s">
        <v>1497</v>
      </c>
      <c r="R299" s="4" t="b">
        <v>0</v>
      </c>
      <c r="S299" s="4"/>
    </row>
    <row r="300" spans="1:19" x14ac:dyDescent="0.3">
      <c r="A300" s="27" t="s">
        <v>2177</v>
      </c>
      <c r="B300" s="27" t="s">
        <v>1935</v>
      </c>
      <c r="C300" s="27">
        <v>0</v>
      </c>
      <c r="D300" s="27" t="s">
        <v>1630</v>
      </c>
      <c r="E300" s="3"/>
      <c r="F300" s="3" t="s">
        <v>1761</v>
      </c>
      <c r="G300" s="3" t="s">
        <v>39</v>
      </c>
      <c r="H300" s="3" t="s">
        <v>51</v>
      </c>
      <c r="I300" s="3" t="s">
        <v>51</v>
      </c>
      <c r="J300" s="27"/>
      <c r="K300" s="11" t="s">
        <v>1036</v>
      </c>
      <c r="L300" s="16" t="s">
        <v>1124</v>
      </c>
      <c r="M300" s="3" t="s">
        <v>1546</v>
      </c>
      <c r="N300" s="3" t="s">
        <v>1670</v>
      </c>
      <c r="O300" s="3"/>
      <c r="P300" s="3" t="b">
        <v>1</v>
      </c>
      <c r="Q300" s="3" t="s">
        <v>1497</v>
      </c>
      <c r="R300" s="4" t="b">
        <v>0</v>
      </c>
      <c r="S300" s="4"/>
    </row>
    <row r="301" spans="1:19" x14ac:dyDescent="0.3">
      <c r="A301" s="27" t="s">
        <v>2177</v>
      </c>
      <c r="B301" s="27" t="s">
        <v>1936</v>
      </c>
      <c r="C301" s="27">
        <v>0</v>
      </c>
      <c r="D301" s="27" t="s">
        <v>1630</v>
      </c>
      <c r="E301" s="3"/>
      <c r="F301" s="3" t="s">
        <v>1761</v>
      </c>
      <c r="G301" s="3" t="s">
        <v>39</v>
      </c>
      <c r="H301" s="3" t="s">
        <v>51</v>
      </c>
      <c r="I301" s="3" t="s">
        <v>51</v>
      </c>
      <c r="J301" s="27"/>
      <c r="K301" s="11" t="s">
        <v>1036</v>
      </c>
      <c r="L301" s="16" t="s">
        <v>1124</v>
      </c>
      <c r="M301" s="3" t="s">
        <v>1546</v>
      </c>
      <c r="N301" s="3" t="s">
        <v>1670</v>
      </c>
      <c r="O301" s="3"/>
      <c r="P301" s="3" t="b">
        <v>1</v>
      </c>
      <c r="Q301" s="3" t="s">
        <v>1497</v>
      </c>
      <c r="R301" s="4" t="b">
        <v>0</v>
      </c>
      <c r="S301" s="4"/>
    </row>
    <row r="302" spans="1:19" x14ac:dyDescent="0.3">
      <c r="A302" s="27" t="s">
        <v>2177</v>
      </c>
      <c r="B302" s="27" t="s">
        <v>1937</v>
      </c>
      <c r="C302" s="27">
        <v>0</v>
      </c>
      <c r="D302" s="27" t="s">
        <v>1630</v>
      </c>
      <c r="E302" s="3"/>
      <c r="F302" s="3" t="s">
        <v>1761</v>
      </c>
      <c r="G302" s="3" t="s">
        <v>39</v>
      </c>
      <c r="H302" s="3" t="s">
        <v>51</v>
      </c>
      <c r="I302" s="3" t="s">
        <v>51</v>
      </c>
      <c r="J302" s="27"/>
      <c r="K302" s="11" t="s">
        <v>1036</v>
      </c>
      <c r="L302" s="16" t="s">
        <v>1124</v>
      </c>
      <c r="M302" s="3" t="s">
        <v>1546</v>
      </c>
      <c r="N302" s="3" t="s">
        <v>1670</v>
      </c>
      <c r="O302" s="3"/>
      <c r="P302" s="3" t="b">
        <v>1</v>
      </c>
      <c r="Q302" s="3" t="s">
        <v>1497</v>
      </c>
      <c r="R302" s="4" t="b">
        <v>0</v>
      </c>
      <c r="S302" s="4"/>
    </row>
    <row r="303" spans="1:19" x14ac:dyDescent="0.3">
      <c r="A303" s="27" t="s">
        <v>2177</v>
      </c>
      <c r="B303" s="27" t="s">
        <v>1938</v>
      </c>
      <c r="C303" s="27">
        <v>0</v>
      </c>
      <c r="D303" s="27" t="s">
        <v>1630</v>
      </c>
      <c r="E303" s="3"/>
      <c r="F303" s="3" t="s">
        <v>1761</v>
      </c>
      <c r="G303" s="3" t="s">
        <v>39</v>
      </c>
      <c r="H303" s="3" t="s">
        <v>51</v>
      </c>
      <c r="I303" s="3" t="s">
        <v>51</v>
      </c>
      <c r="J303" s="27"/>
      <c r="K303" s="11" t="s">
        <v>1036</v>
      </c>
      <c r="L303" s="16" t="s">
        <v>1124</v>
      </c>
      <c r="M303" s="3" t="s">
        <v>1546</v>
      </c>
      <c r="N303" s="3" t="s">
        <v>1670</v>
      </c>
      <c r="O303" s="3"/>
      <c r="P303" s="3" t="b">
        <v>1</v>
      </c>
      <c r="Q303" s="3" t="s">
        <v>1497</v>
      </c>
      <c r="R303" s="4" t="b">
        <v>0</v>
      </c>
      <c r="S303" s="4"/>
    </row>
    <row r="304" spans="1:19" x14ac:dyDescent="0.3">
      <c r="A304" s="27" t="s">
        <v>2177</v>
      </c>
      <c r="B304" s="27" t="s">
        <v>1939</v>
      </c>
      <c r="C304" s="27">
        <v>0</v>
      </c>
      <c r="D304" s="27" t="s">
        <v>1630</v>
      </c>
      <c r="E304" s="3"/>
      <c r="F304" s="3" t="s">
        <v>1761</v>
      </c>
      <c r="G304" s="3" t="s">
        <v>39</v>
      </c>
      <c r="H304" s="3" t="s">
        <v>51</v>
      </c>
      <c r="I304" s="3" t="s">
        <v>51</v>
      </c>
      <c r="J304" s="27"/>
      <c r="K304" s="11" t="s">
        <v>1036</v>
      </c>
      <c r="L304" s="16" t="s">
        <v>1124</v>
      </c>
      <c r="M304" s="3" t="s">
        <v>1546</v>
      </c>
      <c r="N304" s="3" t="s">
        <v>1670</v>
      </c>
      <c r="O304" s="3"/>
      <c r="P304" s="3" t="b">
        <v>1</v>
      </c>
      <c r="Q304" s="3" t="s">
        <v>1497</v>
      </c>
      <c r="R304" s="4" t="b">
        <v>0</v>
      </c>
      <c r="S304" s="4"/>
    </row>
    <row r="305" spans="1:19" x14ac:dyDescent="0.3">
      <c r="A305" s="27" t="s">
        <v>2180</v>
      </c>
      <c r="B305" s="27"/>
      <c r="C305" s="27">
        <v>0</v>
      </c>
      <c r="D305" s="27"/>
      <c r="E305" s="3"/>
      <c r="F305" s="3" t="s">
        <v>1017</v>
      </c>
      <c r="G305" s="3" t="s">
        <v>39</v>
      </c>
      <c r="H305" s="3" t="s">
        <v>51</v>
      </c>
      <c r="I305" s="3" t="s">
        <v>51</v>
      </c>
      <c r="J305" s="27"/>
      <c r="K305" s="11" t="s">
        <v>1172</v>
      </c>
      <c r="L305" s="16" t="s">
        <v>1124</v>
      </c>
      <c r="M305" s="3" t="s">
        <v>1391</v>
      </c>
      <c r="N305" s="3" t="s">
        <v>1672</v>
      </c>
      <c r="O305" s="3"/>
      <c r="P305" s="3" t="b">
        <v>1</v>
      </c>
      <c r="Q305" s="3" t="s">
        <v>1497</v>
      </c>
      <c r="R305" s="4" t="b">
        <v>0</v>
      </c>
      <c r="S305" s="4">
        <v>-16000</v>
      </c>
    </row>
    <row r="306" spans="1:19" x14ac:dyDescent="0.3">
      <c r="A306" s="27" t="s">
        <v>1548</v>
      </c>
      <c r="B306" s="27"/>
      <c r="C306" s="27">
        <f>_xlfn.XLOOKUP(STATS[[#This Row],[FinanceCode]],FC[FinanceCode],FC[London Weighting]," ")</f>
        <v>0</v>
      </c>
      <c r="D306" s="27"/>
      <c r="E306" s="3"/>
      <c r="F306" s="3" t="s">
        <v>1019</v>
      </c>
      <c r="G306" s="3" t="s">
        <v>39</v>
      </c>
      <c r="H306" s="3" t="s">
        <v>51</v>
      </c>
      <c r="I306" s="3" t="s">
        <v>51</v>
      </c>
      <c r="J306" s="27"/>
      <c r="K306" s="11" t="s">
        <v>1172</v>
      </c>
      <c r="L306" s="16" t="s">
        <v>1124</v>
      </c>
      <c r="M306" s="3" t="s">
        <v>1392</v>
      </c>
      <c r="N306" s="3"/>
      <c r="O306" s="3"/>
      <c r="P306" s="3" t="b">
        <v>1</v>
      </c>
      <c r="Q306" s="3" t="s">
        <v>1497</v>
      </c>
      <c r="R306" s="4" t="b">
        <v>0</v>
      </c>
      <c r="S306" s="4">
        <v>-10</v>
      </c>
    </row>
    <row r="307" spans="1:19" x14ac:dyDescent="0.3">
      <c r="A307" s="27" t="s">
        <v>2177</v>
      </c>
      <c r="B307" s="27"/>
      <c r="C307" s="27">
        <v>0</v>
      </c>
      <c r="D307" s="27"/>
      <c r="E307" s="3"/>
      <c r="F307" s="3" t="s">
        <v>1023</v>
      </c>
      <c r="G307" s="3" t="s">
        <v>39</v>
      </c>
      <c r="H307" s="3" t="s">
        <v>51</v>
      </c>
      <c r="I307" s="3" t="s">
        <v>51</v>
      </c>
      <c r="J307" s="27"/>
      <c r="K307" s="11" t="s">
        <v>1172</v>
      </c>
      <c r="L307" s="16" t="s">
        <v>1124</v>
      </c>
      <c r="M307" s="3" t="s">
        <v>1024</v>
      </c>
      <c r="N307" s="3" t="s">
        <v>1673</v>
      </c>
      <c r="O307" s="3"/>
      <c r="P307" s="3" t="b">
        <v>1</v>
      </c>
      <c r="Q307" s="3" t="s">
        <v>1394</v>
      </c>
      <c r="R307" s="4" t="b">
        <v>0</v>
      </c>
      <c r="S307" s="4">
        <v>-1480</v>
      </c>
    </row>
    <row r="308" spans="1:19" x14ac:dyDescent="0.3">
      <c r="A308" s="27" t="s">
        <v>859</v>
      </c>
      <c r="B308" s="27"/>
      <c r="C308" s="27">
        <v>0</v>
      </c>
      <c r="D308" s="27"/>
      <c r="E308" s="3"/>
      <c r="F308" s="3" t="s">
        <v>1025</v>
      </c>
      <c r="G308" s="3" t="s">
        <v>39</v>
      </c>
      <c r="H308" s="3" t="s">
        <v>51</v>
      </c>
      <c r="I308" s="3" t="s">
        <v>51</v>
      </c>
      <c r="J308" s="27"/>
      <c r="K308" s="11" t="s">
        <v>1172</v>
      </c>
      <c r="L308" s="16" t="s">
        <v>1124</v>
      </c>
      <c r="M308" s="3" t="s">
        <v>1026</v>
      </c>
      <c r="N308" s="3" t="s">
        <v>1674</v>
      </c>
      <c r="O308" s="3"/>
      <c r="P308" s="3" t="b">
        <v>1</v>
      </c>
      <c r="Q308" s="3" t="s">
        <v>1410</v>
      </c>
      <c r="R308" s="4" t="b">
        <v>0</v>
      </c>
      <c r="S308" s="4">
        <v>-1075</v>
      </c>
    </row>
    <row r="309" spans="1:19" x14ac:dyDescent="0.3">
      <c r="A309" s="27" t="s">
        <v>2177</v>
      </c>
      <c r="B309" s="27"/>
      <c r="C309" s="27">
        <v>0</v>
      </c>
      <c r="D309" s="27"/>
      <c r="E309" s="3"/>
      <c r="F309" s="3" t="s">
        <v>1050</v>
      </c>
      <c r="G309" s="3"/>
      <c r="H309" s="3" t="s">
        <v>51</v>
      </c>
      <c r="I309" s="3" t="s">
        <v>51</v>
      </c>
      <c r="J309" s="27"/>
      <c r="K309" s="11" t="s">
        <v>1242</v>
      </c>
      <c r="L309" s="16" t="s">
        <v>1124</v>
      </c>
      <c r="M309" s="3" t="s">
        <v>1400</v>
      </c>
      <c r="N309" s="3" t="s">
        <v>1679</v>
      </c>
      <c r="O309" s="3"/>
      <c r="P309" s="3" t="b">
        <v>1</v>
      </c>
      <c r="Q309" s="3" t="s">
        <v>1497</v>
      </c>
      <c r="R309" s="4" t="b">
        <v>1</v>
      </c>
      <c r="S309" s="4"/>
    </row>
    <row r="310" spans="1:19" x14ac:dyDescent="0.3">
      <c r="A310" s="27" t="s">
        <v>2177</v>
      </c>
      <c r="B310" s="27"/>
      <c r="C310" s="27">
        <v>0</v>
      </c>
      <c r="D310" s="27"/>
      <c r="E310" s="3"/>
      <c r="F310" s="3" t="s">
        <v>1048</v>
      </c>
      <c r="G310" s="3"/>
      <c r="H310" s="3" t="s">
        <v>51</v>
      </c>
      <c r="I310" s="3" t="s">
        <v>51</v>
      </c>
      <c r="J310" s="27"/>
      <c r="K310" s="11" t="s">
        <v>1244</v>
      </c>
      <c r="L310" s="16" t="s">
        <v>1124</v>
      </c>
      <c r="M310" s="3" t="s">
        <v>1399</v>
      </c>
      <c r="N310" s="3" t="s">
        <v>1680</v>
      </c>
      <c r="O310" s="3"/>
      <c r="P310" s="3" t="b">
        <v>1</v>
      </c>
      <c r="Q310" s="3" t="s">
        <v>1497</v>
      </c>
      <c r="R310" s="4" t="b">
        <v>1</v>
      </c>
      <c r="S310" s="4"/>
    </row>
    <row r="311" spans="1:19" x14ac:dyDescent="0.3">
      <c r="A311" s="27" t="s">
        <v>2177</v>
      </c>
      <c r="B311" s="27"/>
      <c r="C311" s="27">
        <v>0</v>
      </c>
      <c r="D311" s="27"/>
      <c r="E311" s="3"/>
      <c r="F311" s="3" t="s">
        <v>1042</v>
      </c>
      <c r="G311" s="3"/>
      <c r="H311" s="3" t="s">
        <v>51</v>
      </c>
      <c r="I311" s="3" t="s">
        <v>51</v>
      </c>
      <c r="J311" s="27"/>
      <c r="K311" s="11" t="s">
        <v>1248</v>
      </c>
      <c r="L311" s="16" t="s">
        <v>1124</v>
      </c>
      <c r="M311" s="3" t="s">
        <v>1397</v>
      </c>
      <c r="N311" s="3" t="s">
        <v>1681</v>
      </c>
      <c r="O311" s="3"/>
      <c r="P311" s="3" t="b">
        <v>1</v>
      </c>
      <c r="Q311" s="3" t="s">
        <v>1497</v>
      </c>
      <c r="R311" s="4" t="b">
        <v>1</v>
      </c>
      <c r="S311" s="4"/>
    </row>
    <row r="312" spans="1:19" x14ac:dyDescent="0.3">
      <c r="A312" s="27" t="s">
        <v>2177</v>
      </c>
      <c r="B312" s="27"/>
      <c r="C312" s="27">
        <v>0</v>
      </c>
      <c r="D312" s="27"/>
      <c r="E312" s="3"/>
      <c r="F312" s="3" t="s">
        <v>1044</v>
      </c>
      <c r="G312" s="3"/>
      <c r="H312" s="3" t="s">
        <v>51</v>
      </c>
      <c r="I312" s="3" t="s">
        <v>51</v>
      </c>
      <c r="J312" s="27"/>
      <c r="K312" s="11" t="s">
        <v>1250</v>
      </c>
      <c r="L312" s="16" t="s">
        <v>1124</v>
      </c>
      <c r="M312" s="3" t="s">
        <v>1403</v>
      </c>
      <c r="N312" s="3" t="s">
        <v>1682</v>
      </c>
      <c r="O312" s="3"/>
      <c r="P312" s="3" t="b">
        <v>1</v>
      </c>
      <c r="Q312" s="3" t="s">
        <v>1497</v>
      </c>
      <c r="R312" s="4" t="b">
        <v>1</v>
      </c>
      <c r="S312" s="4"/>
    </row>
    <row r="313" spans="1:19" x14ac:dyDescent="0.3">
      <c r="A313" s="27" t="s">
        <v>2177</v>
      </c>
      <c r="B313" s="27"/>
      <c r="C313" s="27">
        <v>0</v>
      </c>
      <c r="D313" s="27"/>
      <c r="E313" s="3"/>
      <c r="F313" s="3" t="s">
        <v>1046</v>
      </c>
      <c r="G313" s="3"/>
      <c r="H313" s="3" t="s">
        <v>51</v>
      </c>
      <c r="I313" s="3" t="s">
        <v>51</v>
      </c>
      <c r="J313" s="27"/>
      <c r="K313" s="11" t="s">
        <v>1252</v>
      </c>
      <c r="L313" s="16" t="s">
        <v>1124</v>
      </c>
      <c r="M313" s="3" t="s">
        <v>1398</v>
      </c>
      <c r="N313" s="3" t="s">
        <v>1684</v>
      </c>
      <c r="O313" s="3"/>
      <c r="P313" s="3" t="b">
        <v>1</v>
      </c>
      <c r="Q313" s="3" t="s">
        <v>1497</v>
      </c>
      <c r="R313" s="4" t="b">
        <v>1</v>
      </c>
      <c r="S313" s="4"/>
    </row>
    <row r="314" spans="1:19" x14ac:dyDescent="0.3">
      <c r="A314" s="27" t="s">
        <v>2180</v>
      </c>
      <c r="B314" s="27" t="s">
        <v>1464</v>
      </c>
      <c r="C314" s="27">
        <v>0</v>
      </c>
      <c r="D314" s="27" t="s">
        <v>1630</v>
      </c>
      <c r="E314" s="3"/>
      <c r="F314" s="3" t="s">
        <v>1758</v>
      </c>
      <c r="G314" s="3" t="s">
        <v>39</v>
      </c>
      <c r="H314" s="3" t="s">
        <v>51</v>
      </c>
      <c r="I314" s="3" t="s">
        <v>51</v>
      </c>
      <c r="J314" s="27"/>
      <c r="K314" s="11" t="s">
        <v>1036</v>
      </c>
      <c r="L314" s="16" t="s">
        <v>1124</v>
      </c>
      <c r="M314" s="3" t="s">
        <v>1545</v>
      </c>
      <c r="N314" s="3" t="s">
        <v>1658</v>
      </c>
      <c r="O314" s="3"/>
      <c r="P314" s="3" t="b">
        <v>1</v>
      </c>
      <c r="Q314" s="3" t="s">
        <v>1497</v>
      </c>
      <c r="R314" s="4" t="b">
        <v>0</v>
      </c>
      <c r="S314" s="4"/>
    </row>
    <row r="315" spans="1:19" x14ac:dyDescent="0.3">
      <c r="A315" s="27" t="s">
        <v>2180</v>
      </c>
      <c r="B315" s="27" t="s">
        <v>1466</v>
      </c>
      <c r="C315" s="27">
        <v>0</v>
      </c>
      <c r="D315" s="27" t="s">
        <v>1630</v>
      </c>
      <c r="E315" s="3"/>
      <c r="F315" s="3" t="s">
        <v>1758</v>
      </c>
      <c r="G315" s="3" t="s">
        <v>39</v>
      </c>
      <c r="H315" s="3" t="s">
        <v>51</v>
      </c>
      <c r="I315" s="3" t="s">
        <v>51</v>
      </c>
      <c r="J315" s="27"/>
      <c r="K315" s="11" t="s">
        <v>1036</v>
      </c>
      <c r="L315" s="16" t="s">
        <v>1124</v>
      </c>
      <c r="M315" s="3" t="s">
        <v>1545</v>
      </c>
      <c r="N315" s="3" t="s">
        <v>1658</v>
      </c>
      <c r="O315" s="3"/>
      <c r="P315" s="3" t="b">
        <v>1</v>
      </c>
      <c r="Q315" s="3" t="s">
        <v>1497</v>
      </c>
      <c r="R315" s="4" t="b">
        <v>0</v>
      </c>
      <c r="S315" s="4"/>
    </row>
    <row r="316" spans="1:19" x14ac:dyDescent="0.3">
      <c r="A316" s="27" t="s">
        <v>2180</v>
      </c>
      <c r="B316" s="27" t="s">
        <v>1467</v>
      </c>
      <c r="C316" s="27">
        <v>0</v>
      </c>
      <c r="D316" s="27" t="s">
        <v>1630</v>
      </c>
      <c r="E316" s="3"/>
      <c r="F316" s="3" t="s">
        <v>1758</v>
      </c>
      <c r="G316" s="3" t="s">
        <v>39</v>
      </c>
      <c r="H316" s="3" t="s">
        <v>51</v>
      </c>
      <c r="I316" s="3" t="s">
        <v>51</v>
      </c>
      <c r="J316" s="27"/>
      <c r="K316" s="11" t="s">
        <v>1036</v>
      </c>
      <c r="L316" s="16" t="s">
        <v>1124</v>
      </c>
      <c r="M316" s="3" t="s">
        <v>1545</v>
      </c>
      <c r="N316" s="3" t="s">
        <v>1658</v>
      </c>
      <c r="O316" s="3"/>
      <c r="P316" s="3" t="b">
        <v>1</v>
      </c>
      <c r="Q316" s="3" t="s">
        <v>1497</v>
      </c>
      <c r="R316" s="4" t="b">
        <v>0</v>
      </c>
      <c r="S316" s="4"/>
    </row>
    <row r="317" spans="1:19" x14ac:dyDescent="0.3">
      <c r="A317" s="27" t="s">
        <v>2180</v>
      </c>
      <c r="B317" s="27" t="s">
        <v>1468</v>
      </c>
      <c r="C317" s="27">
        <v>0</v>
      </c>
      <c r="D317" s="27" t="s">
        <v>1630</v>
      </c>
      <c r="E317" s="3"/>
      <c r="F317" s="3" t="s">
        <v>1758</v>
      </c>
      <c r="G317" s="3" t="s">
        <v>39</v>
      </c>
      <c r="H317" s="3" t="s">
        <v>51</v>
      </c>
      <c r="I317" s="3" t="s">
        <v>51</v>
      </c>
      <c r="J317" s="27"/>
      <c r="K317" s="11" t="s">
        <v>1036</v>
      </c>
      <c r="L317" s="16" t="s">
        <v>1124</v>
      </c>
      <c r="M317" s="3" t="s">
        <v>1545</v>
      </c>
      <c r="N317" s="3" t="s">
        <v>1658</v>
      </c>
      <c r="O317" s="3"/>
      <c r="P317" s="3" t="b">
        <v>1</v>
      </c>
      <c r="Q317" s="3" t="s">
        <v>1497</v>
      </c>
      <c r="R317" s="4" t="b">
        <v>0</v>
      </c>
      <c r="S317" s="4"/>
    </row>
    <row r="318" spans="1:19" x14ac:dyDescent="0.3">
      <c r="A318" s="27" t="s">
        <v>2180</v>
      </c>
      <c r="B318" s="27" t="s">
        <v>1469</v>
      </c>
      <c r="C318" s="27">
        <v>0</v>
      </c>
      <c r="D318" s="27" t="s">
        <v>1630</v>
      </c>
      <c r="E318" s="3"/>
      <c r="F318" s="3" t="s">
        <v>1758</v>
      </c>
      <c r="G318" s="3" t="s">
        <v>39</v>
      </c>
      <c r="H318" s="3" t="s">
        <v>51</v>
      </c>
      <c r="I318" s="3" t="s">
        <v>51</v>
      </c>
      <c r="J318" s="27"/>
      <c r="K318" s="11" t="s">
        <v>1036</v>
      </c>
      <c r="L318" s="16" t="s">
        <v>1124</v>
      </c>
      <c r="M318" s="3" t="s">
        <v>1545</v>
      </c>
      <c r="N318" s="3" t="s">
        <v>1658</v>
      </c>
      <c r="O318" s="3"/>
      <c r="P318" s="3" t="b">
        <v>1</v>
      </c>
      <c r="Q318" s="3" t="s">
        <v>1497</v>
      </c>
      <c r="R318" s="4" t="b">
        <v>0</v>
      </c>
      <c r="S318" s="4"/>
    </row>
    <row r="319" spans="1:19" x14ac:dyDescent="0.3">
      <c r="A319" s="27" t="s">
        <v>2180</v>
      </c>
      <c r="B319" s="27" t="s">
        <v>1470</v>
      </c>
      <c r="C319" s="27">
        <v>0</v>
      </c>
      <c r="D319" s="27" t="s">
        <v>1630</v>
      </c>
      <c r="E319" s="3"/>
      <c r="F319" s="3" t="s">
        <v>1758</v>
      </c>
      <c r="G319" s="3" t="s">
        <v>39</v>
      </c>
      <c r="H319" s="3" t="s">
        <v>51</v>
      </c>
      <c r="I319" s="3" t="s">
        <v>51</v>
      </c>
      <c r="J319" s="27"/>
      <c r="K319" s="11" t="s">
        <v>1036</v>
      </c>
      <c r="L319" s="16" t="s">
        <v>1124</v>
      </c>
      <c r="M319" s="3" t="s">
        <v>1545</v>
      </c>
      <c r="N319" s="3" t="s">
        <v>1658</v>
      </c>
      <c r="O319" s="3"/>
      <c r="P319" s="3" t="b">
        <v>1</v>
      </c>
      <c r="Q319" s="3" t="s">
        <v>1497</v>
      </c>
      <c r="R319" s="4" t="b">
        <v>0</v>
      </c>
      <c r="S319" s="4"/>
    </row>
    <row r="320" spans="1:19" x14ac:dyDescent="0.3">
      <c r="A320" s="27" t="s">
        <v>2180</v>
      </c>
      <c r="B320" s="27" t="s">
        <v>1934</v>
      </c>
      <c r="C320" s="27">
        <v>0</v>
      </c>
      <c r="D320" s="27" t="s">
        <v>1630</v>
      </c>
      <c r="E320" s="3"/>
      <c r="F320" s="3" t="s">
        <v>1758</v>
      </c>
      <c r="G320" s="3" t="s">
        <v>39</v>
      </c>
      <c r="H320" s="3" t="s">
        <v>51</v>
      </c>
      <c r="I320" s="3" t="s">
        <v>51</v>
      </c>
      <c r="J320" s="27"/>
      <c r="K320" s="11" t="s">
        <v>1036</v>
      </c>
      <c r="L320" s="16" t="s">
        <v>1124</v>
      </c>
      <c r="M320" s="3" t="s">
        <v>1545</v>
      </c>
      <c r="N320" s="3" t="s">
        <v>1658</v>
      </c>
      <c r="O320" s="3"/>
      <c r="P320" s="3" t="b">
        <v>1</v>
      </c>
      <c r="Q320" s="3" t="s">
        <v>1497</v>
      </c>
      <c r="R320" s="4" t="b">
        <v>0</v>
      </c>
      <c r="S320" s="4"/>
    </row>
    <row r="321" spans="1:19" x14ac:dyDescent="0.3">
      <c r="A321" s="27" t="s">
        <v>2180</v>
      </c>
      <c r="B321" s="27" t="s">
        <v>1935</v>
      </c>
      <c r="C321" s="27">
        <v>0</v>
      </c>
      <c r="D321" s="27" t="s">
        <v>1630</v>
      </c>
      <c r="E321" s="3"/>
      <c r="F321" s="3" t="s">
        <v>1758</v>
      </c>
      <c r="G321" s="3" t="s">
        <v>39</v>
      </c>
      <c r="H321" s="3" t="s">
        <v>51</v>
      </c>
      <c r="I321" s="3" t="s">
        <v>51</v>
      </c>
      <c r="J321" s="27"/>
      <c r="K321" s="11" t="s">
        <v>1036</v>
      </c>
      <c r="L321" s="16" t="s">
        <v>1124</v>
      </c>
      <c r="M321" s="3" t="s">
        <v>1545</v>
      </c>
      <c r="N321" s="3" t="s">
        <v>1658</v>
      </c>
      <c r="O321" s="3"/>
      <c r="P321" s="3" t="b">
        <v>1</v>
      </c>
      <c r="Q321" s="3" t="s">
        <v>1497</v>
      </c>
      <c r="R321" s="4" t="b">
        <v>0</v>
      </c>
      <c r="S321" s="4"/>
    </row>
    <row r="322" spans="1:19" x14ac:dyDescent="0.3">
      <c r="A322" s="27" t="s">
        <v>2180</v>
      </c>
      <c r="B322" s="27" t="s">
        <v>1936</v>
      </c>
      <c r="C322" s="27">
        <v>0</v>
      </c>
      <c r="D322" s="27" t="s">
        <v>1630</v>
      </c>
      <c r="E322" s="3"/>
      <c r="F322" s="3" t="s">
        <v>1758</v>
      </c>
      <c r="G322" s="3" t="s">
        <v>39</v>
      </c>
      <c r="H322" s="3" t="s">
        <v>51</v>
      </c>
      <c r="I322" s="3" t="s">
        <v>51</v>
      </c>
      <c r="J322" s="27"/>
      <c r="K322" s="11" t="s">
        <v>1036</v>
      </c>
      <c r="L322" s="16" t="s">
        <v>1124</v>
      </c>
      <c r="M322" s="3" t="s">
        <v>1545</v>
      </c>
      <c r="N322" s="3" t="s">
        <v>1658</v>
      </c>
      <c r="O322" s="3"/>
      <c r="P322" s="3" t="b">
        <v>1</v>
      </c>
      <c r="Q322" s="3" t="s">
        <v>1497</v>
      </c>
      <c r="R322" s="4" t="b">
        <v>0</v>
      </c>
      <c r="S322" s="4"/>
    </row>
    <row r="323" spans="1:19" x14ac:dyDescent="0.3">
      <c r="A323" s="27" t="s">
        <v>2180</v>
      </c>
      <c r="B323" s="27" t="s">
        <v>1937</v>
      </c>
      <c r="C323" s="27">
        <v>0</v>
      </c>
      <c r="D323" s="27" t="s">
        <v>1630</v>
      </c>
      <c r="E323" s="3"/>
      <c r="F323" s="3" t="s">
        <v>1758</v>
      </c>
      <c r="G323" s="3" t="s">
        <v>39</v>
      </c>
      <c r="H323" s="3" t="s">
        <v>51</v>
      </c>
      <c r="I323" s="3" t="s">
        <v>51</v>
      </c>
      <c r="J323" s="27"/>
      <c r="K323" s="11" t="s">
        <v>1036</v>
      </c>
      <c r="L323" s="16" t="s">
        <v>1124</v>
      </c>
      <c r="M323" s="3" t="s">
        <v>1545</v>
      </c>
      <c r="N323" s="3" t="s">
        <v>1658</v>
      </c>
      <c r="O323" s="3"/>
      <c r="P323" s="3" t="b">
        <v>1</v>
      </c>
      <c r="Q323" s="3" t="s">
        <v>1497</v>
      </c>
      <c r="R323" s="4" t="b">
        <v>0</v>
      </c>
      <c r="S323" s="4"/>
    </row>
    <row r="324" spans="1:19" x14ac:dyDescent="0.3">
      <c r="A324" s="27" t="s">
        <v>2180</v>
      </c>
      <c r="B324" s="27" t="s">
        <v>1938</v>
      </c>
      <c r="C324" s="27">
        <v>0</v>
      </c>
      <c r="D324" s="27" t="s">
        <v>1630</v>
      </c>
      <c r="E324" s="3"/>
      <c r="F324" s="3" t="s">
        <v>1758</v>
      </c>
      <c r="G324" s="3" t="s">
        <v>39</v>
      </c>
      <c r="H324" s="3" t="s">
        <v>51</v>
      </c>
      <c r="I324" s="3" t="s">
        <v>51</v>
      </c>
      <c r="J324" s="27"/>
      <c r="K324" s="11" t="s">
        <v>1036</v>
      </c>
      <c r="L324" s="16" t="s">
        <v>1124</v>
      </c>
      <c r="M324" s="3" t="s">
        <v>1545</v>
      </c>
      <c r="N324" s="3" t="s">
        <v>1658</v>
      </c>
      <c r="O324" s="3"/>
      <c r="P324" s="3" t="b">
        <v>1</v>
      </c>
      <c r="Q324" s="3" t="s">
        <v>1497</v>
      </c>
      <c r="R324" s="4" t="b">
        <v>0</v>
      </c>
      <c r="S324" s="4"/>
    </row>
    <row r="325" spans="1:19" x14ac:dyDescent="0.3">
      <c r="A325" s="27" t="s">
        <v>2180</v>
      </c>
      <c r="B325" s="27" t="s">
        <v>1939</v>
      </c>
      <c r="C325" s="27">
        <v>0</v>
      </c>
      <c r="D325" s="27" t="s">
        <v>1630</v>
      </c>
      <c r="E325" s="3"/>
      <c r="F325" s="3" t="s">
        <v>1758</v>
      </c>
      <c r="G325" s="3" t="s">
        <v>39</v>
      </c>
      <c r="H325" s="3" t="s">
        <v>51</v>
      </c>
      <c r="I325" s="3" t="s">
        <v>51</v>
      </c>
      <c r="J325" s="27"/>
      <c r="K325" s="11" t="s">
        <v>1036</v>
      </c>
      <c r="L325" s="16" t="s">
        <v>1124</v>
      </c>
      <c r="M325" s="3" t="s">
        <v>1545</v>
      </c>
      <c r="N325" s="3" t="s">
        <v>1658</v>
      </c>
      <c r="O325" s="3"/>
      <c r="P325" s="3" t="b">
        <v>1</v>
      </c>
      <c r="Q325" s="3" t="s">
        <v>1497</v>
      </c>
      <c r="R325" s="4" t="b">
        <v>0</v>
      </c>
      <c r="S325" s="4"/>
    </row>
    <row r="326" spans="1:19" x14ac:dyDescent="0.3">
      <c r="A326" s="27" t="s">
        <v>2180</v>
      </c>
      <c r="B326" s="27" t="s">
        <v>1464</v>
      </c>
      <c r="C326" s="27">
        <v>0</v>
      </c>
      <c r="D326" s="27" t="s">
        <v>1481</v>
      </c>
      <c r="E326" s="3"/>
      <c r="F326" s="3" t="s">
        <v>1759</v>
      </c>
      <c r="G326" s="3" t="s">
        <v>39</v>
      </c>
      <c r="H326" s="3" t="s">
        <v>51</v>
      </c>
      <c r="I326" s="3" t="s">
        <v>51</v>
      </c>
      <c r="J326" s="27"/>
      <c r="K326" s="11" t="s">
        <v>1036</v>
      </c>
      <c r="L326" s="16" t="s">
        <v>1124</v>
      </c>
      <c r="M326" s="3" t="s">
        <v>1543</v>
      </c>
      <c r="N326" s="3" t="s">
        <v>1656</v>
      </c>
      <c r="O326" s="3"/>
      <c r="P326" s="3" t="b">
        <v>1</v>
      </c>
      <c r="Q326" s="3" t="s">
        <v>1497</v>
      </c>
      <c r="R326" s="4" t="b">
        <v>0</v>
      </c>
      <c r="S326" s="4"/>
    </row>
    <row r="327" spans="1:19" x14ac:dyDescent="0.3">
      <c r="A327" s="27" t="s">
        <v>2180</v>
      </c>
      <c r="B327" s="27" t="s">
        <v>1466</v>
      </c>
      <c r="C327" s="27">
        <v>0</v>
      </c>
      <c r="D327" s="27" t="s">
        <v>1481</v>
      </c>
      <c r="E327" s="3"/>
      <c r="F327" s="3" t="s">
        <v>1759</v>
      </c>
      <c r="G327" s="3" t="s">
        <v>39</v>
      </c>
      <c r="H327" s="3" t="s">
        <v>51</v>
      </c>
      <c r="I327" s="3" t="s">
        <v>51</v>
      </c>
      <c r="J327" s="27"/>
      <c r="K327" s="11" t="s">
        <v>1036</v>
      </c>
      <c r="L327" s="16" t="s">
        <v>1124</v>
      </c>
      <c r="M327" s="3" t="s">
        <v>1543</v>
      </c>
      <c r="N327" s="3" t="s">
        <v>1656</v>
      </c>
      <c r="O327" s="3"/>
      <c r="P327" s="3" t="b">
        <v>1</v>
      </c>
      <c r="Q327" s="3" t="s">
        <v>1497</v>
      </c>
      <c r="R327" s="4" t="b">
        <v>0</v>
      </c>
      <c r="S327" s="4"/>
    </row>
    <row r="328" spans="1:19" x14ac:dyDescent="0.3">
      <c r="A328" s="27" t="s">
        <v>2180</v>
      </c>
      <c r="B328" s="27" t="s">
        <v>1467</v>
      </c>
      <c r="C328" s="27">
        <v>0</v>
      </c>
      <c r="D328" s="27" t="s">
        <v>1481</v>
      </c>
      <c r="E328" s="3"/>
      <c r="F328" s="3" t="s">
        <v>1759</v>
      </c>
      <c r="G328" s="3" t="s">
        <v>39</v>
      </c>
      <c r="H328" s="3" t="s">
        <v>51</v>
      </c>
      <c r="I328" s="3" t="s">
        <v>51</v>
      </c>
      <c r="J328" s="27"/>
      <c r="K328" s="11" t="s">
        <v>1036</v>
      </c>
      <c r="L328" s="16" t="s">
        <v>1124</v>
      </c>
      <c r="M328" s="3" t="s">
        <v>1543</v>
      </c>
      <c r="N328" s="3" t="s">
        <v>1656</v>
      </c>
      <c r="O328" s="3"/>
      <c r="P328" s="3" t="b">
        <v>1</v>
      </c>
      <c r="Q328" s="3" t="s">
        <v>1497</v>
      </c>
      <c r="R328" s="4" t="b">
        <v>0</v>
      </c>
      <c r="S328" s="4"/>
    </row>
    <row r="329" spans="1:19" x14ac:dyDescent="0.3">
      <c r="A329" s="27" t="s">
        <v>2180</v>
      </c>
      <c r="B329" s="27" t="s">
        <v>1468</v>
      </c>
      <c r="C329" s="27">
        <v>0</v>
      </c>
      <c r="D329" s="27" t="s">
        <v>1481</v>
      </c>
      <c r="E329" s="3"/>
      <c r="F329" s="3" t="s">
        <v>1759</v>
      </c>
      <c r="G329" s="3" t="s">
        <v>39</v>
      </c>
      <c r="H329" s="3" t="s">
        <v>51</v>
      </c>
      <c r="I329" s="3" t="s">
        <v>51</v>
      </c>
      <c r="J329" s="27"/>
      <c r="K329" s="11" t="s">
        <v>1036</v>
      </c>
      <c r="L329" s="16" t="s">
        <v>1124</v>
      </c>
      <c r="M329" s="3" t="s">
        <v>1543</v>
      </c>
      <c r="N329" s="3" t="s">
        <v>1656</v>
      </c>
      <c r="O329" s="3"/>
      <c r="P329" s="3" t="b">
        <v>1</v>
      </c>
      <c r="Q329" s="3" t="s">
        <v>1497</v>
      </c>
      <c r="R329" s="4" t="b">
        <v>0</v>
      </c>
      <c r="S329" s="4"/>
    </row>
    <row r="330" spans="1:19" x14ac:dyDescent="0.3">
      <c r="A330" s="27" t="s">
        <v>2180</v>
      </c>
      <c r="B330" s="27" t="s">
        <v>1469</v>
      </c>
      <c r="C330" s="27">
        <v>0</v>
      </c>
      <c r="D330" s="27" t="s">
        <v>1481</v>
      </c>
      <c r="E330" s="3"/>
      <c r="F330" s="3" t="s">
        <v>1759</v>
      </c>
      <c r="G330" s="3" t="s">
        <v>39</v>
      </c>
      <c r="H330" s="3" t="s">
        <v>51</v>
      </c>
      <c r="I330" s="3" t="s">
        <v>51</v>
      </c>
      <c r="J330" s="27"/>
      <c r="K330" s="11" t="s">
        <v>1036</v>
      </c>
      <c r="L330" s="16" t="s">
        <v>1124</v>
      </c>
      <c r="M330" s="3" t="s">
        <v>1543</v>
      </c>
      <c r="N330" s="3" t="s">
        <v>1656</v>
      </c>
      <c r="O330" s="3"/>
      <c r="P330" s="3" t="b">
        <v>1</v>
      </c>
      <c r="Q330" s="3" t="s">
        <v>1497</v>
      </c>
      <c r="R330" s="4" t="b">
        <v>0</v>
      </c>
      <c r="S330" s="4"/>
    </row>
    <row r="331" spans="1:19" x14ac:dyDescent="0.3">
      <c r="A331" s="27" t="s">
        <v>2180</v>
      </c>
      <c r="B331" s="27" t="s">
        <v>1470</v>
      </c>
      <c r="C331" s="27">
        <v>0</v>
      </c>
      <c r="D331" s="27" t="s">
        <v>1481</v>
      </c>
      <c r="E331" s="3"/>
      <c r="F331" s="3" t="s">
        <v>1759</v>
      </c>
      <c r="G331" s="3" t="s">
        <v>39</v>
      </c>
      <c r="H331" s="3" t="s">
        <v>51</v>
      </c>
      <c r="I331" s="3" t="s">
        <v>51</v>
      </c>
      <c r="J331" s="27"/>
      <c r="K331" s="11" t="s">
        <v>1036</v>
      </c>
      <c r="L331" s="16" t="s">
        <v>1124</v>
      </c>
      <c r="M331" s="3" t="s">
        <v>1543</v>
      </c>
      <c r="N331" s="3" t="s">
        <v>1656</v>
      </c>
      <c r="O331" s="3"/>
      <c r="P331" s="3" t="b">
        <v>1</v>
      </c>
      <c r="Q331" s="3" t="s">
        <v>1497</v>
      </c>
      <c r="R331" s="4" t="b">
        <v>0</v>
      </c>
      <c r="S331" s="4"/>
    </row>
    <row r="332" spans="1:19" x14ac:dyDescent="0.3">
      <c r="A332" s="27" t="s">
        <v>2180</v>
      </c>
      <c r="B332" s="27" t="s">
        <v>1934</v>
      </c>
      <c r="C332" s="27">
        <v>0</v>
      </c>
      <c r="D332" s="27" t="s">
        <v>1481</v>
      </c>
      <c r="E332" s="3"/>
      <c r="F332" s="3" t="s">
        <v>1759</v>
      </c>
      <c r="G332" s="3" t="s">
        <v>39</v>
      </c>
      <c r="H332" s="3" t="s">
        <v>51</v>
      </c>
      <c r="I332" s="3" t="s">
        <v>51</v>
      </c>
      <c r="J332" s="27"/>
      <c r="K332" s="11" t="s">
        <v>1036</v>
      </c>
      <c r="L332" s="16" t="s">
        <v>1124</v>
      </c>
      <c r="M332" s="3" t="s">
        <v>1543</v>
      </c>
      <c r="N332" s="3" t="s">
        <v>1656</v>
      </c>
      <c r="O332" s="3"/>
      <c r="P332" s="3" t="b">
        <v>1</v>
      </c>
      <c r="Q332" s="3" t="s">
        <v>1497</v>
      </c>
      <c r="R332" s="4" t="b">
        <v>0</v>
      </c>
      <c r="S332" s="4"/>
    </row>
    <row r="333" spans="1:19" x14ac:dyDescent="0.3">
      <c r="A333" s="27" t="s">
        <v>2180</v>
      </c>
      <c r="B333" s="27" t="s">
        <v>1935</v>
      </c>
      <c r="C333" s="27">
        <v>0</v>
      </c>
      <c r="D333" s="27" t="s">
        <v>1481</v>
      </c>
      <c r="E333" s="3"/>
      <c r="F333" s="3" t="s">
        <v>1759</v>
      </c>
      <c r="G333" s="3" t="s">
        <v>39</v>
      </c>
      <c r="H333" s="3" t="s">
        <v>51</v>
      </c>
      <c r="I333" s="3" t="s">
        <v>51</v>
      </c>
      <c r="J333" s="27"/>
      <c r="K333" s="11" t="s">
        <v>1036</v>
      </c>
      <c r="L333" s="16" t="s">
        <v>1124</v>
      </c>
      <c r="M333" s="3" t="s">
        <v>1543</v>
      </c>
      <c r="N333" s="3" t="s">
        <v>1656</v>
      </c>
      <c r="O333" s="3"/>
      <c r="P333" s="3" t="b">
        <v>1</v>
      </c>
      <c r="Q333" s="3" t="s">
        <v>1497</v>
      </c>
      <c r="R333" s="4" t="b">
        <v>0</v>
      </c>
      <c r="S333" s="4"/>
    </row>
    <row r="334" spans="1:19" x14ac:dyDescent="0.3">
      <c r="A334" s="27" t="s">
        <v>2180</v>
      </c>
      <c r="B334" s="27" t="s">
        <v>1936</v>
      </c>
      <c r="C334" s="27">
        <v>0</v>
      </c>
      <c r="D334" s="27" t="s">
        <v>1481</v>
      </c>
      <c r="E334" s="3"/>
      <c r="F334" s="3" t="s">
        <v>1759</v>
      </c>
      <c r="G334" s="3" t="s">
        <v>39</v>
      </c>
      <c r="H334" s="3" t="s">
        <v>51</v>
      </c>
      <c r="I334" s="3" t="s">
        <v>51</v>
      </c>
      <c r="J334" s="27"/>
      <c r="K334" s="11" t="s">
        <v>1036</v>
      </c>
      <c r="L334" s="16" t="s">
        <v>1124</v>
      </c>
      <c r="M334" s="3" t="s">
        <v>1543</v>
      </c>
      <c r="N334" s="3" t="s">
        <v>1656</v>
      </c>
      <c r="O334" s="3"/>
      <c r="P334" s="3" t="b">
        <v>1</v>
      </c>
      <c r="Q334" s="3" t="s">
        <v>1497</v>
      </c>
      <c r="R334" s="4" t="b">
        <v>0</v>
      </c>
      <c r="S334" s="4"/>
    </row>
    <row r="335" spans="1:19" x14ac:dyDescent="0.3">
      <c r="A335" s="27" t="s">
        <v>2180</v>
      </c>
      <c r="B335" s="27" t="s">
        <v>1937</v>
      </c>
      <c r="C335" s="27">
        <v>0</v>
      </c>
      <c r="D335" s="27" t="s">
        <v>1481</v>
      </c>
      <c r="E335" s="3"/>
      <c r="F335" s="3" t="s">
        <v>1759</v>
      </c>
      <c r="G335" s="3" t="s">
        <v>39</v>
      </c>
      <c r="H335" s="3" t="s">
        <v>51</v>
      </c>
      <c r="I335" s="3" t="s">
        <v>51</v>
      </c>
      <c r="J335" s="27"/>
      <c r="K335" s="11" t="s">
        <v>1036</v>
      </c>
      <c r="L335" s="16" t="s">
        <v>1124</v>
      </c>
      <c r="M335" s="3" t="s">
        <v>1543</v>
      </c>
      <c r="N335" s="3" t="s">
        <v>1656</v>
      </c>
      <c r="O335" s="3"/>
      <c r="P335" s="3" t="b">
        <v>1</v>
      </c>
      <c r="Q335" s="3" t="s">
        <v>1497</v>
      </c>
      <c r="R335" s="4" t="b">
        <v>0</v>
      </c>
      <c r="S335" s="4"/>
    </row>
    <row r="336" spans="1:19" x14ac:dyDescent="0.3">
      <c r="A336" s="27" t="s">
        <v>2180</v>
      </c>
      <c r="B336" s="27" t="s">
        <v>1938</v>
      </c>
      <c r="C336" s="27">
        <v>0</v>
      </c>
      <c r="D336" s="27" t="s">
        <v>1481</v>
      </c>
      <c r="E336" s="3"/>
      <c r="F336" s="3" t="s">
        <v>1759</v>
      </c>
      <c r="G336" s="3" t="s">
        <v>39</v>
      </c>
      <c r="H336" s="3" t="s">
        <v>51</v>
      </c>
      <c r="I336" s="3" t="s">
        <v>51</v>
      </c>
      <c r="J336" s="27"/>
      <c r="K336" s="11" t="s">
        <v>1036</v>
      </c>
      <c r="L336" s="16" t="s">
        <v>1124</v>
      </c>
      <c r="M336" s="3" t="s">
        <v>1543</v>
      </c>
      <c r="N336" s="3" t="s">
        <v>1656</v>
      </c>
      <c r="O336" s="3"/>
      <c r="P336" s="3" t="b">
        <v>1</v>
      </c>
      <c r="Q336" s="3" t="s">
        <v>1497</v>
      </c>
      <c r="R336" s="4" t="b">
        <v>0</v>
      </c>
      <c r="S336" s="4"/>
    </row>
    <row r="337" spans="1:19" x14ac:dyDescent="0.3">
      <c r="A337" s="27" t="s">
        <v>2180</v>
      </c>
      <c r="B337" s="27" t="s">
        <v>1939</v>
      </c>
      <c r="C337" s="27">
        <v>0</v>
      </c>
      <c r="D337" s="27" t="s">
        <v>1481</v>
      </c>
      <c r="E337" s="3"/>
      <c r="F337" s="3" t="s">
        <v>1759</v>
      </c>
      <c r="G337" s="3" t="s">
        <v>39</v>
      </c>
      <c r="H337" s="3" t="s">
        <v>51</v>
      </c>
      <c r="I337" s="3" t="s">
        <v>51</v>
      </c>
      <c r="J337" s="27"/>
      <c r="K337" s="11" t="s">
        <v>1036</v>
      </c>
      <c r="L337" s="16" t="s">
        <v>1124</v>
      </c>
      <c r="M337" s="3" t="s">
        <v>1543</v>
      </c>
      <c r="N337" s="3" t="s">
        <v>1656</v>
      </c>
      <c r="O337" s="3"/>
      <c r="P337" s="3" t="b">
        <v>1</v>
      </c>
      <c r="Q337" s="3" t="s">
        <v>1497</v>
      </c>
      <c r="R337" s="4" t="b">
        <v>0</v>
      </c>
      <c r="S337" s="4"/>
    </row>
    <row r="338" spans="1:19" x14ac:dyDescent="0.3">
      <c r="A338" s="27" t="s">
        <v>858</v>
      </c>
      <c r="B338" s="27"/>
      <c r="C338" s="27">
        <f>_xlfn.XLOOKUP(STATS[[#This Row],[FinanceCode]],FC[FinanceCode],FC[London Weighting]," ")</f>
        <v>0</v>
      </c>
      <c r="D338" s="27"/>
      <c r="E338" s="3"/>
      <c r="F338" s="3" t="s">
        <v>1019</v>
      </c>
      <c r="G338" s="3" t="s">
        <v>39</v>
      </c>
      <c r="H338" s="3" t="s">
        <v>51</v>
      </c>
      <c r="I338" s="3" t="s">
        <v>51</v>
      </c>
      <c r="J338" s="27"/>
      <c r="K338" s="11" t="s">
        <v>1172</v>
      </c>
      <c r="L338" s="16" t="s">
        <v>1124</v>
      </c>
      <c r="M338" s="3" t="s">
        <v>1392</v>
      </c>
      <c r="N338" s="3"/>
      <c r="O338" s="3"/>
      <c r="P338" s="3" t="b">
        <v>1</v>
      </c>
      <c r="Q338" s="3" t="s">
        <v>1497</v>
      </c>
      <c r="R338" s="4" t="b">
        <v>0</v>
      </c>
      <c r="S338" s="4">
        <v>-10</v>
      </c>
    </row>
    <row r="339" spans="1:19" x14ac:dyDescent="0.3">
      <c r="A339" s="27" t="s">
        <v>860</v>
      </c>
      <c r="B339" s="27"/>
      <c r="C339" s="27">
        <f>_xlfn.XLOOKUP(STATS[[#This Row],[FinanceCode]],FC[FinanceCode],FC[London Weighting]," ")</f>
        <v>0</v>
      </c>
      <c r="D339" s="27"/>
      <c r="E339" s="3"/>
      <c r="F339" s="3" t="s">
        <v>1019</v>
      </c>
      <c r="G339" s="3" t="s">
        <v>39</v>
      </c>
      <c r="H339" s="3" t="s">
        <v>51</v>
      </c>
      <c r="I339" s="3" t="s">
        <v>51</v>
      </c>
      <c r="J339" s="27"/>
      <c r="K339" s="11" t="s">
        <v>1172</v>
      </c>
      <c r="L339" s="16" t="s">
        <v>1124</v>
      </c>
      <c r="M339" s="3" t="s">
        <v>1392</v>
      </c>
      <c r="N339" s="3"/>
      <c r="O339" s="3"/>
      <c r="P339" s="3" t="b">
        <v>1</v>
      </c>
      <c r="Q339" s="3" t="s">
        <v>1497</v>
      </c>
      <c r="R339" s="4" t="b">
        <v>0</v>
      </c>
      <c r="S339" s="4">
        <v>-10</v>
      </c>
    </row>
    <row r="340" spans="1:19" x14ac:dyDescent="0.3">
      <c r="A340" s="27" t="s">
        <v>2180</v>
      </c>
      <c r="B340" s="27" t="s">
        <v>1464</v>
      </c>
      <c r="C340" s="27">
        <v>0</v>
      </c>
      <c r="D340" s="27" t="s">
        <v>1630</v>
      </c>
      <c r="E340" s="3"/>
      <c r="F340" s="3" t="s">
        <v>1761</v>
      </c>
      <c r="G340" s="3" t="s">
        <v>39</v>
      </c>
      <c r="H340" s="3" t="s">
        <v>51</v>
      </c>
      <c r="I340" s="3" t="s">
        <v>51</v>
      </c>
      <c r="J340" s="27"/>
      <c r="K340" s="11" t="s">
        <v>1036</v>
      </c>
      <c r="L340" s="16" t="s">
        <v>1124</v>
      </c>
      <c r="M340" s="3" t="s">
        <v>1546</v>
      </c>
      <c r="N340" s="3" t="s">
        <v>1670</v>
      </c>
      <c r="O340" s="3"/>
      <c r="P340" s="3" t="b">
        <v>1</v>
      </c>
      <c r="Q340" s="3" t="s">
        <v>1497</v>
      </c>
      <c r="R340" s="4" t="b">
        <v>0</v>
      </c>
      <c r="S340" s="4"/>
    </row>
    <row r="341" spans="1:19" x14ac:dyDescent="0.3">
      <c r="A341" s="27" t="s">
        <v>2180</v>
      </c>
      <c r="B341" s="27" t="s">
        <v>1466</v>
      </c>
      <c r="C341" s="27">
        <v>0</v>
      </c>
      <c r="D341" s="27" t="s">
        <v>1630</v>
      </c>
      <c r="E341" s="3"/>
      <c r="F341" s="3" t="s">
        <v>1761</v>
      </c>
      <c r="G341" s="3" t="s">
        <v>39</v>
      </c>
      <c r="H341" s="3" t="s">
        <v>51</v>
      </c>
      <c r="I341" s="3" t="s">
        <v>51</v>
      </c>
      <c r="J341" s="27"/>
      <c r="K341" s="11" t="s">
        <v>1036</v>
      </c>
      <c r="L341" s="16" t="s">
        <v>1124</v>
      </c>
      <c r="M341" s="3" t="s">
        <v>1546</v>
      </c>
      <c r="N341" s="3" t="s">
        <v>1670</v>
      </c>
      <c r="O341" s="3"/>
      <c r="P341" s="3" t="b">
        <v>1</v>
      </c>
      <c r="Q341" s="3" t="s">
        <v>1497</v>
      </c>
      <c r="R341" s="4" t="b">
        <v>0</v>
      </c>
      <c r="S341" s="4"/>
    </row>
    <row r="342" spans="1:19" x14ac:dyDescent="0.3">
      <c r="A342" s="27" t="s">
        <v>2180</v>
      </c>
      <c r="B342" s="27" t="s">
        <v>1467</v>
      </c>
      <c r="C342" s="27">
        <v>0</v>
      </c>
      <c r="D342" s="27" t="s">
        <v>1630</v>
      </c>
      <c r="E342" s="3"/>
      <c r="F342" s="3" t="s">
        <v>1761</v>
      </c>
      <c r="G342" s="3" t="s">
        <v>39</v>
      </c>
      <c r="H342" s="3" t="s">
        <v>51</v>
      </c>
      <c r="I342" s="3" t="s">
        <v>51</v>
      </c>
      <c r="J342" s="27"/>
      <c r="K342" s="11" t="s">
        <v>1036</v>
      </c>
      <c r="L342" s="16" t="s">
        <v>1124</v>
      </c>
      <c r="M342" s="3" t="s">
        <v>1546</v>
      </c>
      <c r="N342" s="3" t="s">
        <v>1670</v>
      </c>
      <c r="O342" s="3"/>
      <c r="P342" s="3" t="b">
        <v>1</v>
      </c>
      <c r="Q342" s="3" t="s">
        <v>1497</v>
      </c>
      <c r="R342" s="4" t="b">
        <v>0</v>
      </c>
      <c r="S342" s="4"/>
    </row>
    <row r="343" spans="1:19" x14ac:dyDescent="0.3">
      <c r="A343" s="27" t="s">
        <v>2180</v>
      </c>
      <c r="B343" s="27" t="s">
        <v>1468</v>
      </c>
      <c r="C343" s="27">
        <v>0</v>
      </c>
      <c r="D343" s="27" t="s">
        <v>1630</v>
      </c>
      <c r="E343" s="3"/>
      <c r="F343" s="3" t="s">
        <v>1761</v>
      </c>
      <c r="G343" s="3" t="s">
        <v>39</v>
      </c>
      <c r="H343" s="3" t="s">
        <v>51</v>
      </c>
      <c r="I343" s="3" t="s">
        <v>51</v>
      </c>
      <c r="J343" s="27"/>
      <c r="K343" s="11" t="s">
        <v>1036</v>
      </c>
      <c r="L343" s="16" t="s">
        <v>1124</v>
      </c>
      <c r="M343" s="3" t="s">
        <v>1546</v>
      </c>
      <c r="N343" s="3" t="s">
        <v>1670</v>
      </c>
      <c r="O343" s="3"/>
      <c r="P343" s="3" t="b">
        <v>1</v>
      </c>
      <c r="Q343" s="3" t="s">
        <v>1497</v>
      </c>
      <c r="R343" s="4" t="b">
        <v>0</v>
      </c>
      <c r="S343" s="4"/>
    </row>
    <row r="344" spans="1:19" x14ac:dyDescent="0.3">
      <c r="A344" s="27" t="s">
        <v>2180</v>
      </c>
      <c r="B344" s="27" t="s">
        <v>1469</v>
      </c>
      <c r="C344" s="27">
        <v>0</v>
      </c>
      <c r="D344" s="27" t="s">
        <v>1630</v>
      </c>
      <c r="E344" s="3"/>
      <c r="F344" s="3" t="s">
        <v>1761</v>
      </c>
      <c r="G344" s="3" t="s">
        <v>39</v>
      </c>
      <c r="H344" s="3" t="s">
        <v>51</v>
      </c>
      <c r="I344" s="3" t="s">
        <v>51</v>
      </c>
      <c r="J344" s="27"/>
      <c r="K344" s="11" t="s">
        <v>1036</v>
      </c>
      <c r="L344" s="16" t="s">
        <v>1124</v>
      </c>
      <c r="M344" s="3" t="s">
        <v>1546</v>
      </c>
      <c r="N344" s="3" t="s">
        <v>1670</v>
      </c>
      <c r="O344" s="3"/>
      <c r="P344" s="3" t="b">
        <v>1</v>
      </c>
      <c r="Q344" s="3" t="s">
        <v>1497</v>
      </c>
      <c r="R344" s="4" t="b">
        <v>0</v>
      </c>
      <c r="S344" s="4"/>
    </row>
    <row r="345" spans="1:19" x14ac:dyDescent="0.3">
      <c r="A345" s="27" t="s">
        <v>2180</v>
      </c>
      <c r="B345" s="27" t="s">
        <v>1470</v>
      </c>
      <c r="C345" s="27">
        <v>0</v>
      </c>
      <c r="D345" s="27" t="s">
        <v>1630</v>
      </c>
      <c r="E345" s="3"/>
      <c r="F345" s="3" t="s">
        <v>1761</v>
      </c>
      <c r="G345" s="3" t="s">
        <v>39</v>
      </c>
      <c r="H345" s="3" t="s">
        <v>51</v>
      </c>
      <c r="I345" s="3" t="s">
        <v>51</v>
      </c>
      <c r="J345" s="27"/>
      <c r="K345" s="11" t="s">
        <v>1036</v>
      </c>
      <c r="L345" s="16" t="s">
        <v>1124</v>
      </c>
      <c r="M345" s="3" t="s">
        <v>1546</v>
      </c>
      <c r="N345" s="3" t="s">
        <v>1670</v>
      </c>
      <c r="O345" s="3"/>
      <c r="P345" s="3" t="b">
        <v>1</v>
      </c>
      <c r="Q345" s="3" t="s">
        <v>1497</v>
      </c>
      <c r="R345" s="4" t="b">
        <v>0</v>
      </c>
      <c r="S345" s="4"/>
    </row>
    <row r="346" spans="1:19" x14ac:dyDescent="0.3">
      <c r="A346" s="27" t="s">
        <v>2180</v>
      </c>
      <c r="B346" s="27" t="s">
        <v>1464</v>
      </c>
      <c r="C346" s="27">
        <v>0</v>
      </c>
      <c r="D346" s="27" t="s">
        <v>1631</v>
      </c>
      <c r="E346" s="3"/>
      <c r="F346" s="3" t="s">
        <v>1761</v>
      </c>
      <c r="G346" s="3" t="s">
        <v>39</v>
      </c>
      <c r="H346" s="3" t="s">
        <v>51</v>
      </c>
      <c r="I346" s="3" t="s">
        <v>51</v>
      </c>
      <c r="J346" s="27"/>
      <c r="K346" s="11" t="s">
        <v>1036</v>
      </c>
      <c r="L346" s="16" t="s">
        <v>1124</v>
      </c>
      <c r="M346" s="3" t="s">
        <v>1547</v>
      </c>
      <c r="N346" s="3" t="s">
        <v>1671</v>
      </c>
      <c r="O346" s="3"/>
      <c r="P346" s="3" t="b">
        <v>1</v>
      </c>
      <c r="Q346" s="3" t="s">
        <v>1497</v>
      </c>
      <c r="R346" s="4" t="b">
        <v>0</v>
      </c>
      <c r="S346" s="4"/>
    </row>
    <row r="347" spans="1:19" x14ac:dyDescent="0.3">
      <c r="A347" s="27" t="s">
        <v>2180</v>
      </c>
      <c r="B347" s="27" t="s">
        <v>1466</v>
      </c>
      <c r="C347" s="27">
        <v>0</v>
      </c>
      <c r="D347" s="27" t="s">
        <v>1631</v>
      </c>
      <c r="E347" s="3"/>
      <c r="F347" s="3" t="s">
        <v>1761</v>
      </c>
      <c r="G347" s="3" t="s">
        <v>39</v>
      </c>
      <c r="H347" s="3" t="s">
        <v>51</v>
      </c>
      <c r="I347" s="3" t="s">
        <v>51</v>
      </c>
      <c r="J347" s="27"/>
      <c r="K347" s="11" t="s">
        <v>1036</v>
      </c>
      <c r="L347" s="16" t="s">
        <v>1124</v>
      </c>
      <c r="M347" s="3" t="s">
        <v>1547</v>
      </c>
      <c r="N347" s="3" t="s">
        <v>1671</v>
      </c>
      <c r="O347" s="3"/>
      <c r="P347" s="3" t="b">
        <v>1</v>
      </c>
      <c r="Q347" s="3" t="s">
        <v>1497</v>
      </c>
      <c r="R347" s="4" t="b">
        <v>0</v>
      </c>
      <c r="S347" s="4"/>
    </row>
    <row r="348" spans="1:19" x14ac:dyDescent="0.3">
      <c r="A348" s="27" t="s">
        <v>2180</v>
      </c>
      <c r="B348" s="27" t="s">
        <v>1467</v>
      </c>
      <c r="C348" s="27">
        <v>0</v>
      </c>
      <c r="D348" s="27" t="s">
        <v>1631</v>
      </c>
      <c r="E348" s="3"/>
      <c r="F348" s="3" t="s">
        <v>1761</v>
      </c>
      <c r="G348" s="3" t="s">
        <v>39</v>
      </c>
      <c r="H348" s="3" t="s">
        <v>51</v>
      </c>
      <c r="I348" s="3" t="s">
        <v>51</v>
      </c>
      <c r="J348" s="27"/>
      <c r="K348" s="11" t="s">
        <v>1036</v>
      </c>
      <c r="L348" s="16" t="s">
        <v>1124</v>
      </c>
      <c r="M348" s="3" t="s">
        <v>1547</v>
      </c>
      <c r="N348" s="3" t="s">
        <v>1671</v>
      </c>
      <c r="O348" s="3"/>
      <c r="P348" s="3" t="b">
        <v>1</v>
      </c>
      <c r="Q348" s="3" t="s">
        <v>1497</v>
      </c>
      <c r="R348" s="4" t="b">
        <v>0</v>
      </c>
      <c r="S348" s="4"/>
    </row>
    <row r="349" spans="1:19" x14ac:dyDescent="0.3">
      <c r="A349" s="27" t="s">
        <v>2180</v>
      </c>
      <c r="B349" s="27" t="s">
        <v>1468</v>
      </c>
      <c r="C349" s="27">
        <v>0</v>
      </c>
      <c r="D349" s="27" t="s">
        <v>1631</v>
      </c>
      <c r="E349" s="3"/>
      <c r="F349" s="3" t="s">
        <v>1761</v>
      </c>
      <c r="G349" s="3" t="s">
        <v>39</v>
      </c>
      <c r="H349" s="3" t="s">
        <v>51</v>
      </c>
      <c r="I349" s="3" t="s">
        <v>51</v>
      </c>
      <c r="J349" s="27"/>
      <c r="K349" s="11" t="s">
        <v>1036</v>
      </c>
      <c r="L349" s="16" t="s">
        <v>1124</v>
      </c>
      <c r="M349" s="3" t="s">
        <v>1547</v>
      </c>
      <c r="N349" s="3" t="s">
        <v>1671</v>
      </c>
      <c r="O349" s="3"/>
      <c r="P349" s="3" t="b">
        <v>1</v>
      </c>
      <c r="Q349" s="3" t="s">
        <v>1497</v>
      </c>
      <c r="R349" s="4" t="b">
        <v>0</v>
      </c>
      <c r="S349" s="4"/>
    </row>
    <row r="350" spans="1:19" x14ac:dyDescent="0.3">
      <c r="A350" s="27" t="s">
        <v>2180</v>
      </c>
      <c r="B350" s="27" t="s">
        <v>1469</v>
      </c>
      <c r="C350" s="27">
        <v>0</v>
      </c>
      <c r="D350" s="27" t="s">
        <v>1631</v>
      </c>
      <c r="E350" s="3"/>
      <c r="F350" s="3" t="s">
        <v>1761</v>
      </c>
      <c r="G350" s="3" t="s">
        <v>39</v>
      </c>
      <c r="H350" s="3" t="s">
        <v>51</v>
      </c>
      <c r="I350" s="3" t="s">
        <v>51</v>
      </c>
      <c r="J350" s="27"/>
      <c r="K350" s="11" t="s">
        <v>1036</v>
      </c>
      <c r="L350" s="16" t="s">
        <v>1124</v>
      </c>
      <c r="M350" s="3" t="s">
        <v>1547</v>
      </c>
      <c r="N350" s="3" t="s">
        <v>1671</v>
      </c>
      <c r="O350" s="3"/>
      <c r="P350" s="3" t="b">
        <v>1</v>
      </c>
      <c r="Q350" s="3" t="s">
        <v>1497</v>
      </c>
      <c r="R350" s="4" t="b">
        <v>0</v>
      </c>
      <c r="S350" s="4"/>
    </row>
    <row r="351" spans="1:19" x14ac:dyDescent="0.3">
      <c r="A351" s="27" t="s">
        <v>2180</v>
      </c>
      <c r="B351" s="27" t="s">
        <v>1470</v>
      </c>
      <c r="C351" s="27">
        <v>0</v>
      </c>
      <c r="D351" s="27" t="s">
        <v>1631</v>
      </c>
      <c r="E351" s="3"/>
      <c r="F351" s="3" t="s">
        <v>1761</v>
      </c>
      <c r="G351" s="3" t="s">
        <v>39</v>
      </c>
      <c r="H351" s="3" t="s">
        <v>51</v>
      </c>
      <c r="I351" s="3" t="s">
        <v>51</v>
      </c>
      <c r="J351" s="27"/>
      <c r="K351" s="11" t="s">
        <v>1036</v>
      </c>
      <c r="L351" s="16" t="s">
        <v>1124</v>
      </c>
      <c r="M351" s="3" t="s">
        <v>1547</v>
      </c>
      <c r="N351" s="3" t="s">
        <v>1671</v>
      </c>
      <c r="O351" s="3"/>
      <c r="P351" s="3" t="b">
        <v>1</v>
      </c>
      <c r="Q351" s="3" t="s">
        <v>1497</v>
      </c>
      <c r="R351" s="4" t="b">
        <v>0</v>
      </c>
      <c r="S351" s="4"/>
    </row>
    <row r="352" spans="1:19" x14ac:dyDescent="0.3">
      <c r="A352" s="27" t="s">
        <v>2180</v>
      </c>
      <c r="B352" s="27" t="s">
        <v>1934</v>
      </c>
      <c r="C352" s="27">
        <v>0</v>
      </c>
      <c r="D352" s="27" t="s">
        <v>1630</v>
      </c>
      <c r="E352" s="3"/>
      <c r="F352" s="3" t="s">
        <v>1761</v>
      </c>
      <c r="G352" s="3" t="s">
        <v>39</v>
      </c>
      <c r="H352" s="3" t="s">
        <v>51</v>
      </c>
      <c r="I352" s="3" t="s">
        <v>51</v>
      </c>
      <c r="J352" s="27"/>
      <c r="K352" s="11" t="s">
        <v>1036</v>
      </c>
      <c r="L352" s="16" t="s">
        <v>1124</v>
      </c>
      <c r="M352" s="3" t="s">
        <v>1546</v>
      </c>
      <c r="N352" s="3" t="s">
        <v>1670</v>
      </c>
      <c r="O352" s="3"/>
      <c r="P352" s="3" t="b">
        <v>1</v>
      </c>
      <c r="Q352" s="3" t="s">
        <v>1497</v>
      </c>
      <c r="R352" s="4" t="b">
        <v>0</v>
      </c>
      <c r="S352" s="4"/>
    </row>
    <row r="353" spans="1:19" x14ac:dyDescent="0.3">
      <c r="A353" s="27" t="s">
        <v>2180</v>
      </c>
      <c r="B353" s="27" t="s">
        <v>1935</v>
      </c>
      <c r="C353" s="27">
        <v>0</v>
      </c>
      <c r="D353" s="27" t="s">
        <v>1630</v>
      </c>
      <c r="E353" s="3"/>
      <c r="F353" s="3" t="s">
        <v>1761</v>
      </c>
      <c r="G353" s="3" t="s">
        <v>39</v>
      </c>
      <c r="H353" s="3" t="s">
        <v>51</v>
      </c>
      <c r="I353" s="3" t="s">
        <v>51</v>
      </c>
      <c r="J353" s="27"/>
      <c r="K353" s="11" t="s">
        <v>1036</v>
      </c>
      <c r="L353" s="16" t="s">
        <v>1124</v>
      </c>
      <c r="M353" s="3" t="s">
        <v>1546</v>
      </c>
      <c r="N353" s="3" t="s">
        <v>1670</v>
      </c>
      <c r="O353" s="3"/>
      <c r="P353" s="3" t="b">
        <v>1</v>
      </c>
      <c r="Q353" s="3" t="s">
        <v>1497</v>
      </c>
      <c r="R353" s="4" t="b">
        <v>0</v>
      </c>
      <c r="S353" s="4"/>
    </row>
    <row r="354" spans="1:19" x14ac:dyDescent="0.3">
      <c r="A354" s="27" t="s">
        <v>2180</v>
      </c>
      <c r="B354" s="27" t="s">
        <v>1936</v>
      </c>
      <c r="C354" s="27">
        <v>0</v>
      </c>
      <c r="D354" s="27" t="s">
        <v>1630</v>
      </c>
      <c r="E354" s="3"/>
      <c r="F354" s="3" t="s">
        <v>1761</v>
      </c>
      <c r="G354" s="3" t="s">
        <v>39</v>
      </c>
      <c r="H354" s="3" t="s">
        <v>51</v>
      </c>
      <c r="I354" s="3" t="s">
        <v>51</v>
      </c>
      <c r="J354" s="27"/>
      <c r="K354" s="11" t="s">
        <v>1036</v>
      </c>
      <c r="L354" s="16" t="s">
        <v>1124</v>
      </c>
      <c r="M354" s="3" t="s">
        <v>1546</v>
      </c>
      <c r="N354" s="3" t="s">
        <v>1670</v>
      </c>
      <c r="O354" s="3"/>
      <c r="P354" s="3" t="b">
        <v>1</v>
      </c>
      <c r="Q354" s="3" t="s">
        <v>1497</v>
      </c>
      <c r="R354" s="4" t="b">
        <v>0</v>
      </c>
      <c r="S354" s="4"/>
    </row>
    <row r="355" spans="1:19" x14ac:dyDescent="0.3">
      <c r="A355" s="27" t="s">
        <v>2180</v>
      </c>
      <c r="B355" s="27" t="s">
        <v>1937</v>
      </c>
      <c r="C355" s="27">
        <v>0</v>
      </c>
      <c r="D355" s="27" t="s">
        <v>1630</v>
      </c>
      <c r="E355" s="3"/>
      <c r="F355" s="3" t="s">
        <v>1761</v>
      </c>
      <c r="G355" s="3" t="s">
        <v>39</v>
      </c>
      <c r="H355" s="3" t="s">
        <v>51</v>
      </c>
      <c r="I355" s="3" t="s">
        <v>51</v>
      </c>
      <c r="J355" s="27"/>
      <c r="K355" s="11" t="s">
        <v>1036</v>
      </c>
      <c r="L355" s="16" t="s">
        <v>1124</v>
      </c>
      <c r="M355" s="3" t="s">
        <v>1546</v>
      </c>
      <c r="N355" s="3" t="s">
        <v>1670</v>
      </c>
      <c r="O355" s="3"/>
      <c r="P355" s="3" t="b">
        <v>1</v>
      </c>
      <c r="Q355" s="3" t="s">
        <v>1497</v>
      </c>
      <c r="R355" s="4" t="b">
        <v>0</v>
      </c>
      <c r="S355" s="4"/>
    </row>
    <row r="356" spans="1:19" x14ac:dyDescent="0.3">
      <c r="A356" s="27" t="s">
        <v>2180</v>
      </c>
      <c r="B356" s="27" t="s">
        <v>1938</v>
      </c>
      <c r="C356" s="27">
        <v>0</v>
      </c>
      <c r="D356" s="27" t="s">
        <v>1630</v>
      </c>
      <c r="E356" s="3"/>
      <c r="F356" s="3" t="s">
        <v>1761</v>
      </c>
      <c r="G356" s="3" t="s">
        <v>39</v>
      </c>
      <c r="H356" s="3" t="s">
        <v>51</v>
      </c>
      <c r="I356" s="3" t="s">
        <v>51</v>
      </c>
      <c r="J356" s="27"/>
      <c r="K356" s="11" t="s">
        <v>1036</v>
      </c>
      <c r="L356" s="16" t="s">
        <v>1124</v>
      </c>
      <c r="M356" s="3" t="s">
        <v>1546</v>
      </c>
      <c r="N356" s="3" t="s">
        <v>1670</v>
      </c>
      <c r="O356" s="3"/>
      <c r="P356" s="3" t="b">
        <v>1</v>
      </c>
      <c r="Q356" s="3" t="s">
        <v>1497</v>
      </c>
      <c r="R356" s="4" t="b">
        <v>0</v>
      </c>
      <c r="S356" s="4"/>
    </row>
    <row r="357" spans="1:19" x14ac:dyDescent="0.3">
      <c r="A357" s="27" t="s">
        <v>2180</v>
      </c>
      <c r="B357" s="27" t="s">
        <v>1939</v>
      </c>
      <c r="C357" s="27">
        <v>0</v>
      </c>
      <c r="D357" s="27" t="s">
        <v>1630</v>
      </c>
      <c r="E357" s="3"/>
      <c r="F357" s="3" t="s">
        <v>1761</v>
      </c>
      <c r="G357" s="3" t="s">
        <v>39</v>
      </c>
      <c r="H357" s="3" t="s">
        <v>51</v>
      </c>
      <c r="I357" s="3" t="s">
        <v>51</v>
      </c>
      <c r="J357" s="27"/>
      <c r="K357" s="11" t="s">
        <v>1036</v>
      </c>
      <c r="L357" s="16" t="s">
        <v>1124</v>
      </c>
      <c r="M357" s="3" t="s">
        <v>1546</v>
      </c>
      <c r="N357" s="3" t="s">
        <v>1670</v>
      </c>
      <c r="O357" s="3"/>
      <c r="P357" s="3" t="b">
        <v>1</v>
      </c>
      <c r="Q357" s="3" t="s">
        <v>1497</v>
      </c>
      <c r="R357" s="4" t="b">
        <v>0</v>
      </c>
      <c r="S357" s="4"/>
    </row>
    <row r="358" spans="1:19" x14ac:dyDescent="0.3">
      <c r="A358" s="27" t="s">
        <v>2180</v>
      </c>
      <c r="B358" s="27" t="s">
        <v>1934</v>
      </c>
      <c r="C358" s="27">
        <v>0</v>
      </c>
      <c r="D358" s="27" t="s">
        <v>1631</v>
      </c>
      <c r="E358" s="3"/>
      <c r="F358" s="3" t="s">
        <v>1761</v>
      </c>
      <c r="G358" s="3" t="s">
        <v>39</v>
      </c>
      <c r="H358" s="3" t="s">
        <v>51</v>
      </c>
      <c r="I358" s="3" t="s">
        <v>51</v>
      </c>
      <c r="J358" s="27"/>
      <c r="K358" s="11" t="s">
        <v>1036</v>
      </c>
      <c r="L358" s="16" t="s">
        <v>1124</v>
      </c>
      <c r="M358" s="3" t="s">
        <v>1547</v>
      </c>
      <c r="N358" s="3" t="s">
        <v>1671</v>
      </c>
      <c r="O358" s="3"/>
      <c r="P358" s="3" t="b">
        <v>1</v>
      </c>
      <c r="Q358" s="3" t="s">
        <v>1497</v>
      </c>
      <c r="R358" s="4" t="b">
        <v>0</v>
      </c>
      <c r="S358" s="4"/>
    </row>
    <row r="359" spans="1:19" x14ac:dyDescent="0.3">
      <c r="A359" s="27" t="s">
        <v>2180</v>
      </c>
      <c r="B359" s="27" t="s">
        <v>1935</v>
      </c>
      <c r="C359" s="27">
        <v>0</v>
      </c>
      <c r="D359" s="27" t="s">
        <v>1631</v>
      </c>
      <c r="E359" s="3"/>
      <c r="F359" s="3" t="s">
        <v>1761</v>
      </c>
      <c r="G359" s="3" t="s">
        <v>39</v>
      </c>
      <c r="H359" s="3" t="s">
        <v>51</v>
      </c>
      <c r="I359" s="3" t="s">
        <v>51</v>
      </c>
      <c r="J359" s="27"/>
      <c r="K359" s="11" t="s">
        <v>1036</v>
      </c>
      <c r="L359" s="16" t="s">
        <v>1124</v>
      </c>
      <c r="M359" s="3" t="s">
        <v>1547</v>
      </c>
      <c r="N359" s="3" t="s">
        <v>1671</v>
      </c>
      <c r="O359" s="3"/>
      <c r="P359" s="3" t="b">
        <v>1</v>
      </c>
      <c r="Q359" s="3" t="s">
        <v>1497</v>
      </c>
      <c r="R359" s="4" t="b">
        <v>0</v>
      </c>
      <c r="S359" s="4"/>
    </row>
    <row r="360" spans="1:19" x14ac:dyDescent="0.3">
      <c r="A360" s="27" t="s">
        <v>2180</v>
      </c>
      <c r="B360" s="27" t="s">
        <v>1936</v>
      </c>
      <c r="C360" s="27">
        <v>0</v>
      </c>
      <c r="D360" s="27" t="s">
        <v>1631</v>
      </c>
      <c r="E360" s="3"/>
      <c r="F360" s="3" t="s">
        <v>1761</v>
      </c>
      <c r="G360" s="3" t="s">
        <v>39</v>
      </c>
      <c r="H360" s="3" t="s">
        <v>51</v>
      </c>
      <c r="I360" s="3" t="s">
        <v>51</v>
      </c>
      <c r="J360" s="27"/>
      <c r="K360" s="11" t="s">
        <v>1036</v>
      </c>
      <c r="L360" s="16" t="s">
        <v>1124</v>
      </c>
      <c r="M360" s="3" t="s">
        <v>1547</v>
      </c>
      <c r="N360" s="3" t="s">
        <v>1671</v>
      </c>
      <c r="O360" s="3"/>
      <c r="P360" s="3" t="b">
        <v>1</v>
      </c>
      <c r="Q360" s="3" t="s">
        <v>1497</v>
      </c>
      <c r="R360" s="4" t="b">
        <v>0</v>
      </c>
      <c r="S360" s="4"/>
    </row>
    <row r="361" spans="1:19" x14ac:dyDescent="0.3">
      <c r="A361" s="27" t="s">
        <v>2180</v>
      </c>
      <c r="B361" s="27" t="s">
        <v>1937</v>
      </c>
      <c r="C361" s="27">
        <v>0</v>
      </c>
      <c r="D361" s="27" t="s">
        <v>1631</v>
      </c>
      <c r="E361" s="3"/>
      <c r="F361" s="3" t="s">
        <v>1761</v>
      </c>
      <c r="G361" s="3" t="s">
        <v>39</v>
      </c>
      <c r="H361" s="3" t="s">
        <v>51</v>
      </c>
      <c r="I361" s="3" t="s">
        <v>51</v>
      </c>
      <c r="J361" s="27"/>
      <c r="K361" s="11" t="s">
        <v>1036</v>
      </c>
      <c r="L361" s="16" t="s">
        <v>1124</v>
      </c>
      <c r="M361" s="3" t="s">
        <v>1547</v>
      </c>
      <c r="N361" s="3" t="s">
        <v>1671</v>
      </c>
      <c r="O361" s="3"/>
      <c r="P361" s="3" t="b">
        <v>1</v>
      </c>
      <c r="Q361" s="3" t="s">
        <v>1497</v>
      </c>
      <c r="R361" s="4" t="b">
        <v>0</v>
      </c>
      <c r="S361" s="4"/>
    </row>
    <row r="362" spans="1:19" x14ac:dyDescent="0.3">
      <c r="A362" s="27" t="s">
        <v>2180</v>
      </c>
      <c r="B362" s="27" t="s">
        <v>1938</v>
      </c>
      <c r="C362" s="27">
        <v>0</v>
      </c>
      <c r="D362" s="27" t="s">
        <v>1631</v>
      </c>
      <c r="E362" s="3"/>
      <c r="F362" s="3" t="s">
        <v>1761</v>
      </c>
      <c r="G362" s="3" t="s">
        <v>39</v>
      </c>
      <c r="H362" s="3" t="s">
        <v>51</v>
      </c>
      <c r="I362" s="3" t="s">
        <v>51</v>
      </c>
      <c r="J362" s="27"/>
      <c r="K362" s="11" t="s">
        <v>1036</v>
      </c>
      <c r="L362" s="16" t="s">
        <v>1124</v>
      </c>
      <c r="M362" s="3" t="s">
        <v>1547</v>
      </c>
      <c r="N362" s="3" t="s">
        <v>1671</v>
      </c>
      <c r="O362" s="3"/>
      <c r="P362" s="3" t="b">
        <v>1</v>
      </c>
      <c r="Q362" s="3" t="s">
        <v>1497</v>
      </c>
      <c r="R362" s="4" t="b">
        <v>0</v>
      </c>
      <c r="S362" s="4"/>
    </row>
    <row r="363" spans="1:19" x14ac:dyDescent="0.3">
      <c r="A363" s="27" t="s">
        <v>2180</v>
      </c>
      <c r="B363" s="27" t="s">
        <v>1939</v>
      </c>
      <c r="C363" s="27">
        <v>0</v>
      </c>
      <c r="D363" s="27" t="s">
        <v>1631</v>
      </c>
      <c r="E363" s="3"/>
      <c r="F363" s="3" t="s">
        <v>1761</v>
      </c>
      <c r="G363" s="3" t="s">
        <v>39</v>
      </c>
      <c r="H363" s="3" t="s">
        <v>51</v>
      </c>
      <c r="I363" s="3" t="s">
        <v>51</v>
      </c>
      <c r="J363" s="27"/>
      <c r="K363" s="11" t="s">
        <v>1036</v>
      </c>
      <c r="L363" s="16" t="s">
        <v>1124</v>
      </c>
      <c r="M363" s="3" t="s">
        <v>1547</v>
      </c>
      <c r="N363" s="3" t="s">
        <v>1671</v>
      </c>
      <c r="O363" s="3"/>
      <c r="P363" s="3" t="b">
        <v>1</v>
      </c>
      <c r="Q363" s="3" t="s">
        <v>1497</v>
      </c>
      <c r="R363" s="4" t="b">
        <v>0</v>
      </c>
      <c r="S363" s="4"/>
    </row>
    <row r="364" spans="1:19" x14ac:dyDescent="0.3">
      <c r="A364" s="27" t="s">
        <v>2178</v>
      </c>
      <c r="B364" s="27"/>
      <c r="C364" s="27">
        <v>0</v>
      </c>
      <c r="D364" s="27"/>
      <c r="E364" s="3"/>
      <c r="F364" s="3" t="s">
        <v>1019</v>
      </c>
      <c r="G364" s="3" t="s">
        <v>39</v>
      </c>
      <c r="H364" s="3" t="s">
        <v>51</v>
      </c>
      <c r="I364" s="3" t="s">
        <v>51</v>
      </c>
      <c r="J364" s="27"/>
      <c r="K364" s="11" t="s">
        <v>1172</v>
      </c>
      <c r="L364" s="16" t="s">
        <v>1124</v>
      </c>
      <c r="M364" s="3" t="s">
        <v>1392</v>
      </c>
      <c r="N364" s="3"/>
      <c r="O364" s="3"/>
      <c r="P364" s="3" t="b">
        <v>1</v>
      </c>
      <c r="Q364" s="3" t="s">
        <v>1497</v>
      </c>
      <c r="R364" s="4" t="b">
        <v>0</v>
      </c>
      <c r="S364" s="4">
        <v>-10</v>
      </c>
    </row>
    <row r="365" spans="1:19" x14ac:dyDescent="0.3">
      <c r="A365" s="27" t="s">
        <v>2177</v>
      </c>
      <c r="B365" s="27"/>
      <c r="C365" s="27">
        <v>0</v>
      </c>
      <c r="D365" s="27"/>
      <c r="E365" s="3"/>
      <c r="F365" s="3" t="s">
        <v>1019</v>
      </c>
      <c r="G365" s="3" t="s">
        <v>39</v>
      </c>
      <c r="H365" s="3" t="s">
        <v>51</v>
      </c>
      <c r="I365" s="3" t="s">
        <v>51</v>
      </c>
      <c r="J365" s="27"/>
      <c r="K365" s="11" t="s">
        <v>1172</v>
      </c>
      <c r="L365" s="16" t="s">
        <v>1124</v>
      </c>
      <c r="M365" s="3" t="s">
        <v>1392</v>
      </c>
      <c r="N365" s="3"/>
      <c r="O365" s="3"/>
      <c r="P365" s="3" t="b">
        <v>1</v>
      </c>
      <c r="Q365" s="3" t="s">
        <v>1497</v>
      </c>
      <c r="R365" s="4" t="b">
        <v>0</v>
      </c>
      <c r="S365" s="4">
        <v>-10</v>
      </c>
    </row>
    <row r="366" spans="1:19" x14ac:dyDescent="0.3">
      <c r="A366" s="27" t="s">
        <v>2180</v>
      </c>
      <c r="B366" s="27"/>
      <c r="C366" s="27">
        <v>0</v>
      </c>
      <c r="D366" s="27"/>
      <c r="E366" s="3"/>
      <c r="F366" s="3" t="s">
        <v>1023</v>
      </c>
      <c r="G366" s="3" t="s">
        <v>39</v>
      </c>
      <c r="H366" s="3" t="s">
        <v>51</v>
      </c>
      <c r="I366" s="3" t="s">
        <v>51</v>
      </c>
      <c r="J366" s="27"/>
      <c r="K366" s="11" t="s">
        <v>1172</v>
      </c>
      <c r="L366" s="16" t="s">
        <v>1124</v>
      </c>
      <c r="M366" s="3" t="s">
        <v>1024</v>
      </c>
      <c r="N366" s="3" t="s">
        <v>1673</v>
      </c>
      <c r="O366" s="3"/>
      <c r="P366" s="3" t="b">
        <v>1</v>
      </c>
      <c r="Q366" s="3" t="s">
        <v>1394</v>
      </c>
      <c r="R366" s="4" t="b">
        <v>0</v>
      </c>
      <c r="S366" s="4">
        <v>-1480</v>
      </c>
    </row>
    <row r="367" spans="1:19" x14ac:dyDescent="0.3">
      <c r="A367" s="27" t="s">
        <v>860</v>
      </c>
      <c r="B367" s="27"/>
      <c r="C367" s="27">
        <v>0</v>
      </c>
      <c r="D367" s="27"/>
      <c r="E367" s="3"/>
      <c r="F367" s="3" t="s">
        <v>1025</v>
      </c>
      <c r="G367" s="3" t="s">
        <v>39</v>
      </c>
      <c r="H367" s="3" t="s">
        <v>51</v>
      </c>
      <c r="I367" s="3" t="s">
        <v>51</v>
      </c>
      <c r="J367" s="27"/>
      <c r="K367" s="11" t="s">
        <v>1172</v>
      </c>
      <c r="L367" s="16" t="s">
        <v>1124</v>
      </c>
      <c r="M367" s="3" t="s">
        <v>1026</v>
      </c>
      <c r="N367" s="3" t="s">
        <v>1674</v>
      </c>
      <c r="O367" s="3"/>
      <c r="P367" s="3" t="b">
        <v>1</v>
      </c>
      <c r="Q367" s="3" t="s">
        <v>1410</v>
      </c>
      <c r="R367" s="4" t="b">
        <v>0</v>
      </c>
      <c r="S367" s="4">
        <v>-1075</v>
      </c>
    </row>
    <row r="368" spans="1:19" x14ac:dyDescent="0.3">
      <c r="A368" s="27" t="s">
        <v>2180</v>
      </c>
      <c r="B368" s="27"/>
      <c r="C368" s="27">
        <v>0</v>
      </c>
      <c r="D368" s="27"/>
      <c r="E368" s="3"/>
      <c r="F368" s="3" t="s">
        <v>1025</v>
      </c>
      <c r="G368" s="3" t="s">
        <v>39</v>
      </c>
      <c r="H368" s="3" t="s">
        <v>51</v>
      </c>
      <c r="I368" s="3" t="s">
        <v>51</v>
      </c>
      <c r="J368" s="27"/>
      <c r="K368" s="11" t="s">
        <v>1172</v>
      </c>
      <c r="L368" s="16" t="s">
        <v>1124</v>
      </c>
      <c r="M368" s="3" t="s">
        <v>1026</v>
      </c>
      <c r="N368" s="3" t="s">
        <v>1674</v>
      </c>
      <c r="O368" s="3"/>
      <c r="P368" s="3" t="b">
        <v>1</v>
      </c>
      <c r="Q368" s="3" t="s">
        <v>1394</v>
      </c>
      <c r="R368" s="4" t="b">
        <v>0</v>
      </c>
      <c r="S368" s="4">
        <v>-1050</v>
      </c>
    </row>
    <row r="369" spans="1:19" x14ac:dyDescent="0.3">
      <c r="A369" s="27" t="s">
        <v>2180</v>
      </c>
      <c r="B369" s="27"/>
      <c r="C369" s="27">
        <v>0</v>
      </c>
      <c r="D369" s="27"/>
      <c r="E369" s="3"/>
      <c r="F369" s="3" t="s">
        <v>1025</v>
      </c>
      <c r="G369" s="3" t="s">
        <v>39</v>
      </c>
      <c r="H369" s="3" t="s">
        <v>51</v>
      </c>
      <c r="I369" s="3" t="s">
        <v>51</v>
      </c>
      <c r="J369" s="27"/>
      <c r="K369" s="11" t="s">
        <v>1172</v>
      </c>
      <c r="L369" s="16" t="s">
        <v>1124</v>
      </c>
      <c r="M369" s="3" t="s">
        <v>1026</v>
      </c>
      <c r="N369" s="3" t="s">
        <v>1674</v>
      </c>
      <c r="O369" s="3"/>
      <c r="P369" s="3" t="b">
        <v>1</v>
      </c>
      <c r="Q369" s="3" t="s">
        <v>1410</v>
      </c>
      <c r="R369" s="4" t="b">
        <v>0</v>
      </c>
      <c r="S369" s="4">
        <v>-1075</v>
      </c>
    </row>
    <row r="370" spans="1:19" x14ac:dyDescent="0.3">
      <c r="A370" s="27" t="s">
        <v>2180</v>
      </c>
      <c r="B370" s="27"/>
      <c r="C370" s="27">
        <v>0</v>
      </c>
      <c r="D370" s="27"/>
      <c r="E370" s="3"/>
      <c r="F370" s="3" t="s">
        <v>1050</v>
      </c>
      <c r="G370" s="3"/>
      <c r="H370" s="3" t="s">
        <v>51</v>
      </c>
      <c r="I370" s="3" t="s">
        <v>51</v>
      </c>
      <c r="J370" s="27"/>
      <c r="K370" s="11" t="s">
        <v>1242</v>
      </c>
      <c r="L370" s="16" t="s">
        <v>1124</v>
      </c>
      <c r="M370" s="3" t="s">
        <v>1400</v>
      </c>
      <c r="N370" s="3" t="s">
        <v>1679</v>
      </c>
      <c r="O370" s="3"/>
      <c r="P370" s="3" t="b">
        <v>1</v>
      </c>
      <c r="Q370" s="3" t="s">
        <v>1497</v>
      </c>
      <c r="R370" s="4" t="b">
        <v>1</v>
      </c>
      <c r="S370" s="4"/>
    </row>
    <row r="371" spans="1:19" x14ac:dyDescent="0.3">
      <c r="A371" s="27" t="s">
        <v>2180</v>
      </c>
      <c r="B371" s="27"/>
      <c r="C371" s="27">
        <v>0</v>
      </c>
      <c r="D371" s="27"/>
      <c r="E371" s="3"/>
      <c r="F371" s="3" t="s">
        <v>1048</v>
      </c>
      <c r="G371" s="3"/>
      <c r="H371" s="3" t="s">
        <v>51</v>
      </c>
      <c r="I371" s="3" t="s">
        <v>51</v>
      </c>
      <c r="J371" s="27"/>
      <c r="K371" s="11" t="s">
        <v>1244</v>
      </c>
      <c r="L371" s="16" t="s">
        <v>1124</v>
      </c>
      <c r="M371" s="3" t="s">
        <v>1399</v>
      </c>
      <c r="N371" s="3" t="s">
        <v>1680</v>
      </c>
      <c r="O371" s="3"/>
      <c r="P371" s="3" t="b">
        <v>1</v>
      </c>
      <c r="Q371" s="3" t="s">
        <v>1497</v>
      </c>
      <c r="R371" s="4" t="b">
        <v>1</v>
      </c>
      <c r="S371" s="4"/>
    </row>
    <row r="372" spans="1:19" x14ac:dyDescent="0.3">
      <c r="A372" s="27" t="s">
        <v>2180</v>
      </c>
      <c r="B372" s="27"/>
      <c r="C372" s="27">
        <v>0</v>
      </c>
      <c r="D372" s="27"/>
      <c r="E372" s="3"/>
      <c r="F372" s="3" t="s">
        <v>1042</v>
      </c>
      <c r="G372" s="3"/>
      <c r="H372" s="3" t="s">
        <v>51</v>
      </c>
      <c r="I372" s="3" t="s">
        <v>51</v>
      </c>
      <c r="J372" s="27"/>
      <c r="K372" s="11" t="s">
        <v>1248</v>
      </c>
      <c r="L372" s="16" t="s">
        <v>1124</v>
      </c>
      <c r="M372" s="3" t="s">
        <v>1397</v>
      </c>
      <c r="N372" s="3" t="s">
        <v>1681</v>
      </c>
      <c r="O372" s="3"/>
      <c r="P372" s="3" t="b">
        <v>1</v>
      </c>
      <c r="Q372" s="3" t="s">
        <v>1497</v>
      </c>
      <c r="R372" s="4" t="b">
        <v>1</v>
      </c>
      <c r="S372" s="4"/>
    </row>
    <row r="373" spans="1:19" x14ac:dyDescent="0.3">
      <c r="A373" s="27" t="s">
        <v>2180</v>
      </c>
      <c r="B373" s="27"/>
      <c r="C373" s="27">
        <v>0</v>
      </c>
      <c r="D373" s="27"/>
      <c r="E373" s="3"/>
      <c r="F373" s="3" t="s">
        <v>1044</v>
      </c>
      <c r="G373" s="3"/>
      <c r="H373" s="3" t="s">
        <v>51</v>
      </c>
      <c r="I373" s="3" t="s">
        <v>51</v>
      </c>
      <c r="J373" s="27"/>
      <c r="K373" s="11" t="s">
        <v>1250</v>
      </c>
      <c r="L373" s="16" t="s">
        <v>1124</v>
      </c>
      <c r="M373" s="3" t="s">
        <v>1403</v>
      </c>
      <c r="N373" s="3" t="s">
        <v>1682</v>
      </c>
      <c r="O373" s="3"/>
      <c r="P373" s="3" t="b">
        <v>1</v>
      </c>
      <c r="Q373" s="3" t="s">
        <v>1497</v>
      </c>
      <c r="R373" s="4" t="b">
        <v>1</v>
      </c>
      <c r="S373" s="4"/>
    </row>
    <row r="374" spans="1:19" x14ac:dyDescent="0.3">
      <c r="A374" s="27" t="s">
        <v>2180</v>
      </c>
      <c r="B374" s="27"/>
      <c r="C374" s="27">
        <v>0</v>
      </c>
      <c r="D374" s="27"/>
      <c r="E374" s="3"/>
      <c r="F374" s="3" t="s">
        <v>1040</v>
      </c>
      <c r="G374" s="3"/>
      <c r="H374" s="3" t="s">
        <v>51</v>
      </c>
      <c r="I374" s="3" t="s">
        <v>51</v>
      </c>
      <c r="J374" s="27"/>
      <c r="K374" s="11" t="s">
        <v>1246</v>
      </c>
      <c r="L374" s="16" t="s">
        <v>1124</v>
      </c>
      <c r="M374" s="3" t="s">
        <v>1396</v>
      </c>
      <c r="N374" s="3" t="s">
        <v>1683</v>
      </c>
      <c r="O374" s="3"/>
      <c r="P374" s="3" t="b">
        <v>1</v>
      </c>
      <c r="Q374" s="3" t="s">
        <v>1497</v>
      </c>
      <c r="R374" s="4" t="b">
        <v>1</v>
      </c>
      <c r="S374" s="4"/>
    </row>
    <row r="375" spans="1:19" x14ac:dyDescent="0.3">
      <c r="A375" s="27" t="s">
        <v>2180</v>
      </c>
      <c r="B375" s="27"/>
      <c r="C375" s="27">
        <v>0</v>
      </c>
      <c r="D375" s="27"/>
      <c r="E375" s="3"/>
      <c r="F375" s="3" t="s">
        <v>1046</v>
      </c>
      <c r="G375" s="3"/>
      <c r="H375" s="3" t="s">
        <v>51</v>
      </c>
      <c r="I375" s="3" t="s">
        <v>51</v>
      </c>
      <c r="J375" s="27"/>
      <c r="K375" s="11" t="s">
        <v>1252</v>
      </c>
      <c r="L375" s="16" t="s">
        <v>1124</v>
      </c>
      <c r="M375" s="3" t="s">
        <v>1398</v>
      </c>
      <c r="N375" s="3" t="s">
        <v>1684</v>
      </c>
      <c r="O375" s="3"/>
      <c r="P375" s="3" t="b">
        <v>1</v>
      </c>
      <c r="Q375" s="3" t="s">
        <v>1497</v>
      </c>
      <c r="R375" s="4" t="b">
        <v>1</v>
      </c>
      <c r="S375" s="4"/>
    </row>
    <row r="376" spans="1:19" x14ac:dyDescent="0.3">
      <c r="A376" s="27" t="s">
        <v>2180</v>
      </c>
      <c r="B376" s="27"/>
      <c r="C376" s="27">
        <v>0</v>
      </c>
      <c r="D376" s="27"/>
      <c r="E376" s="3"/>
      <c r="F376" s="3" t="s">
        <v>1019</v>
      </c>
      <c r="G376" s="3" t="s">
        <v>39</v>
      </c>
      <c r="H376" s="3" t="s">
        <v>51</v>
      </c>
      <c r="I376" s="3" t="s">
        <v>51</v>
      </c>
      <c r="J376" s="27"/>
      <c r="K376" s="11" t="s">
        <v>1172</v>
      </c>
      <c r="L376" s="16" t="s">
        <v>1124</v>
      </c>
      <c r="M376" s="3" t="s">
        <v>1392</v>
      </c>
      <c r="N376" s="3"/>
      <c r="O376" s="3"/>
      <c r="P376" s="3" t="b">
        <v>1</v>
      </c>
      <c r="Q376" s="3" t="s">
        <v>1497</v>
      </c>
      <c r="R376" s="4" t="b">
        <v>0</v>
      </c>
      <c r="S376" s="4">
        <v>-10</v>
      </c>
    </row>
    <row r="377" spans="1:19" x14ac:dyDescent="0.3">
      <c r="A377" s="27" t="s">
        <v>2181</v>
      </c>
      <c r="B377" s="27"/>
      <c r="C377" s="27">
        <v>0</v>
      </c>
      <c r="D377" s="27"/>
      <c r="E377" s="3"/>
      <c r="F377" s="3" t="s">
        <v>1050</v>
      </c>
      <c r="G377" s="3"/>
      <c r="H377" s="3" t="s">
        <v>51</v>
      </c>
      <c r="I377" s="3" t="s">
        <v>51</v>
      </c>
      <c r="J377" s="27"/>
      <c r="K377" s="11" t="s">
        <v>1242</v>
      </c>
      <c r="L377" s="16" t="s">
        <v>1124</v>
      </c>
      <c r="M377" s="3" t="s">
        <v>1400</v>
      </c>
      <c r="N377" s="3" t="s">
        <v>1679</v>
      </c>
      <c r="O377" s="3"/>
      <c r="P377" s="3" t="b">
        <v>1</v>
      </c>
      <c r="Q377" s="3" t="s">
        <v>1497</v>
      </c>
      <c r="R377" s="4" t="b">
        <v>1</v>
      </c>
      <c r="S377" s="4"/>
    </row>
    <row r="378" spans="1:19" x14ac:dyDescent="0.3">
      <c r="A378" s="27" t="s">
        <v>2181</v>
      </c>
      <c r="B378" s="27"/>
      <c r="C378" s="27">
        <v>0</v>
      </c>
      <c r="D378" s="27"/>
      <c r="E378" s="3"/>
      <c r="F378" s="3" t="s">
        <v>1048</v>
      </c>
      <c r="G378" s="3"/>
      <c r="H378" s="3" t="s">
        <v>51</v>
      </c>
      <c r="I378" s="3" t="s">
        <v>51</v>
      </c>
      <c r="J378" s="27"/>
      <c r="K378" s="11" t="s">
        <v>1244</v>
      </c>
      <c r="L378" s="16" t="s">
        <v>1124</v>
      </c>
      <c r="M378" s="3" t="s">
        <v>1399</v>
      </c>
      <c r="N378" s="3" t="s">
        <v>1680</v>
      </c>
      <c r="O378" s="3"/>
      <c r="P378" s="3" t="b">
        <v>1</v>
      </c>
      <c r="Q378" s="3" t="s">
        <v>1497</v>
      </c>
      <c r="R378" s="4" t="b">
        <v>1</v>
      </c>
      <c r="S378" s="4"/>
    </row>
    <row r="379" spans="1:19" x14ac:dyDescent="0.3">
      <c r="A379" s="27" t="s">
        <v>2181</v>
      </c>
      <c r="B379" s="27"/>
      <c r="C379" s="27">
        <v>0</v>
      </c>
      <c r="D379" s="27"/>
      <c r="E379" s="3"/>
      <c r="F379" s="3" t="s">
        <v>1042</v>
      </c>
      <c r="G379" s="3"/>
      <c r="H379" s="3" t="s">
        <v>51</v>
      </c>
      <c r="I379" s="3" t="s">
        <v>51</v>
      </c>
      <c r="J379" s="27"/>
      <c r="K379" s="11" t="s">
        <v>1248</v>
      </c>
      <c r="L379" s="16" t="s">
        <v>1124</v>
      </c>
      <c r="M379" s="3" t="s">
        <v>1397</v>
      </c>
      <c r="N379" s="3" t="s">
        <v>1681</v>
      </c>
      <c r="O379" s="3"/>
      <c r="P379" s="3" t="b">
        <v>1</v>
      </c>
      <c r="Q379" s="3" t="s">
        <v>1497</v>
      </c>
      <c r="R379" s="4" t="b">
        <v>1</v>
      </c>
      <c r="S379" s="4"/>
    </row>
    <row r="380" spans="1:19" x14ac:dyDescent="0.3">
      <c r="A380" s="27" t="s">
        <v>2181</v>
      </c>
      <c r="B380" s="27"/>
      <c r="C380" s="27">
        <v>0</v>
      </c>
      <c r="D380" s="27"/>
      <c r="E380" s="3"/>
      <c r="F380" s="3" t="s">
        <v>1044</v>
      </c>
      <c r="G380" s="3"/>
      <c r="H380" s="3" t="s">
        <v>51</v>
      </c>
      <c r="I380" s="3" t="s">
        <v>51</v>
      </c>
      <c r="J380" s="27"/>
      <c r="K380" s="11" t="s">
        <v>1250</v>
      </c>
      <c r="L380" s="16" t="s">
        <v>1124</v>
      </c>
      <c r="M380" s="3" t="s">
        <v>1403</v>
      </c>
      <c r="N380" s="3" t="s">
        <v>1682</v>
      </c>
      <c r="O380" s="3"/>
      <c r="P380" s="3" t="b">
        <v>1</v>
      </c>
      <c r="Q380" s="3" t="s">
        <v>1497</v>
      </c>
      <c r="R380" s="4" t="b">
        <v>1</v>
      </c>
      <c r="S380" s="4"/>
    </row>
    <row r="381" spans="1:19" x14ac:dyDescent="0.3">
      <c r="A381" s="27" t="s">
        <v>2181</v>
      </c>
      <c r="B381" s="27"/>
      <c r="C381" s="27">
        <v>0</v>
      </c>
      <c r="D381" s="27"/>
      <c r="E381" s="3"/>
      <c r="F381" s="3" t="s">
        <v>1046</v>
      </c>
      <c r="G381" s="3"/>
      <c r="H381" s="3" t="s">
        <v>51</v>
      </c>
      <c r="I381" s="3" t="s">
        <v>51</v>
      </c>
      <c r="J381" s="27"/>
      <c r="K381" s="11" t="s">
        <v>1252</v>
      </c>
      <c r="L381" s="16" t="s">
        <v>1124</v>
      </c>
      <c r="M381" s="3" t="s">
        <v>1398</v>
      </c>
      <c r="N381" s="3" t="s">
        <v>1684</v>
      </c>
      <c r="O381" s="3"/>
      <c r="P381" s="3" t="b">
        <v>1</v>
      </c>
      <c r="Q381" s="3" t="s">
        <v>1497</v>
      </c>
      <c r="R381" s="4" t="b">
        <v>1</v>
      </c>
      <c r="S381" s="4"/>
    </row>
    <row r="382" spans="1:19" x14ac:dyDescent="0.3">
      <c r="A382" s="27" t="s">
        <v>880</v>
      </c>
      <c r="B382" s="27"/>
      <c r="C382" s="27">
        <f>_xlfn.XLOOKUP(STATS[[#This Row],[FinanceCode]],FC[FinanceCode],FC[London Weighting]," ")</f>
        <v>0</v>
      </c>
      <c r="D382" s="27"/>
      <c r="E382" s="3"/>
      <c r="F382" s="3" t="s">
        <v>2343</v>
      </c>
      <c r="G382" s="3" t="s">
        <v>39</v>
      </c>
      <c r="H382" s="3" t="s">
        <v>51</v>
      </c>
      <c r="I382" s="3" t="s">
        <v>51</v>
      </c>
      <c r="J382" s="27"/>
      <c r="K382" s="11" t="s">
        <v>1172</v>
      </c>
      <c r="L382" s="16" t="s">
        <v>1124</v>
      </c>
      <c r="M382" s="3" t="s">
        <v>2345</v>
      </c>
      <c r="N382" s="3" t="s">
        <v>1668</v>
      </c>
      <c r="O382" s="3"/>
      <c r="P382" s="3" t="b">
        <v>1</v>
      </c>
      <c r="Q382" s="3" t="s">
        <v>1497</v>
      </c>
      <c r="R382" s="4" t="b">
        <v>0</v>
      </c>
      <c r="S382" s="4">
        <v>0.5</v>
      </c>
    </row>
    <row r="383" spans="1:19" x14ac:dyDescent="0.3">
      <c r="A383" s="27" t="s">
        <v>2422</v>
      </c>
      <c r="B383" s="27"/>
      <c r="C383" s="27">
        <v>0</v>
      </c>
      <c r="D383" s="27"/>
      <c r="E383" s="3"/>
      <c r="F383" s="3" t="s">
        <v>1003</v>
      </c>
      <c r="G383" s="3" t="s">
        <v>39</v>
      </c>
      <c r="H383" s="3" t="s">
        <v>51</v>
      </c>
      <c r="I383" s="3" t="s">
        <v>51</v>
      </c>
      <c r="J383" s="27"/>
      <c r="K383" s="11" t="s">
        <v>1172</v>
      </c>
      <c r="L383" s="16" t="s">
        <v>1124</v>
      </c>
      <c r="M383" s="3" t="s">
        <v>1004</v>
      </c>
      <c r="N383" s="3" t="s">
        <v>1663</v>
      </c>
      <c r="O383" s="3"/>
      <c r="P383" s="3" t="b">
        <v>1</v>
      </c>
      <c r="Q383" s="3" t="s">
        <v>1394</v>
      </c>
      <c r="R383" s="4" t="b">
        <v>0</v>
      </c>
      <c r="S383" s="4">
        <v>-11.25</v>
      </c>
    </row>
    <row r="384" spans="1:19" x14ac:dyDescent="0.3">
      <c r="A384" s="27" t="s">
        <v>2422</v>
      </c>
      <c r="B384" s="27" t="s">
        <v>1464</v>
      </c>
      <c r="C384" s="27">
        <v>0</v>
      </c>
      <c r="D384" s="27" t="s">
        <v>1630</v>
      </c>
      <c r="E384" s="3"/>
      <c r="F384" s="1" t="s">
        <v>1758</v>
      </c>
      <c r="G384" s="3" t="s">
        <v>39</v>
      </c>
      <c r="H384" s="3" t="s">
        <v>51</v>
      </c>
      <c r="I384" s="3" t="s">
        <v>51</v>
      </c>
      <c r="J384" s="27"/>
      <c r="K384" s="11" t="s">
        <v>1036</v>
      </c>
      <c r="L384" s="16" t="s">
        <v>1124</v>
      </c>
      <c r="M384" s="3" t="s">
        <v>1545</v>
      </c>
      <c r="N384" s="3" t="s">
        <v>1658</v>
      </c>
      <c r="O384" s="3"/>
      <c r="P384" s="3" t="b">
        <v>1</v>
      </c>
      <c r="Q384" s="3" t="s">
        <v>1497</v>
      </c>
      <c r="R384" s="4" t="b">
        <v>0</v>
      </c>
      <c r="S384" s="4"/>
    </row>
    <row r="385" spans="1:19" x14ac:dyDescent="0.3">
      <c r="A385" s="27" t="s">
        <v>2422</v>
      </c>
      <c r="B385" s="27" t="s">
        <v>1466</v>
      </c>
      <c r="C385" s="27">
        <v>0</v>
      </c>
      <c r="D385" s="27" t="s">
        <v>1630</v>
      </c>
      <c r="E385" s="3"/>
      <c r="F385" s="1" t="s">
        <v>1758</v>
      </c>
      <c r="G385" s="3" t="s">
        <v>39</v>
      </c>
      <c r="H385" s="3" t="s">
        <v>51</v>
      </c>
      <c r="I385" s="3" t="s">
        <v>51</v>
      </c>
      <c r="J385" s="27"/>
      <c r="K385" s="11" t="s">
        <v>1036</v>
      </c>
      <c r="L385" s="16" t="s">
        <v>1124</v>
      </c>
      <c r="M385" s="3" t="s">
        <v>1545</v>
      </c>
      <c r="N385" s="3" t="s">
        <v>1658</v>
      </c>
      <c r="O385" s="3"/>
      <c r="P385" s="3" t="b">
        <v>1</v>
      </c>
      <c r="Q385" s="3" t="s">
        <v>1497</v>
      </c>
      <c r="R385" s="4" t="b">
        <v>0</v>
      </c>
      <c r="S385" s="4"/>
    </row>
    <row r="386" spans="1:19" x14ac:dyDescent="0.3">
      <c r="A386" s="27" t="s">
        <v>2422</v>
      </c>
      <c r="B386" s="27" t="s">
        <v>1467</v>
      </c>
      <c r="C386" s="27">
        <v>0</v>
      </c>
      <c r="D386" s="27" t="s">
        <v>1630</v>
      </c>
      <c r="E386" s="3"/>
      <c r="F386" s="1" t="s">
        <v>1758</v>
      </c>
      <c r="G386" s="3" t="s">
        <v>39</v>
      </c>
      <c r="H386" s="3" t="s">
        <v>51</v>
      </c>
      <c r="I386" s="3" t="s">
        <v>51</v>
      </c>
      <c r="J386" s="27"/>
      <c r="K386" s="11" t="s">
        <v>1036</v>
      </c>
      <c r="L386" s="16" t="s">
        <v>1124</v>
      </c>
      <c r="M386" s="3" t="s">
        <v>1545</v>
      </c>
      <c r="N386" s="3" t="s">
        <v>1658</v>
      </c>
      <c r="O386" s="3"/>
      <c r="P386" s="3" t="b">
        <v>1</v>
      </c>
      <c r="Q386" s="3" t="s">
        <v>1497</v>
      </c>
      <c r="R386" s="4" t="b">
        <v>0</v>
      </c>
      <c r="S386" s="4"/>
    </row>
    <row r="387" spans="1:19" x14ac:dyDescent="0.3">
      <c r="A387" s="27" t="s">
        <v>2422</v>
      </c>
      <c r="B387" s="27" t="s">
        <v>1468</v>
      </c>
      <c r="C387" s="27">
        <v>0</v>
      </c>
      <c r="D387" s="27" t="s">
        <v>1630</v>
      </c>
      <c r="E387" s="3"/>
      <c r="F387" s="1" t="s">
        <v>1758</v>
      </c>
      <c r="G387" s="3" t="s">
        <v>39</v>
      </c>
      <c r="H387" s="3" t="s">
        <v>51</v>
      </c>
      <c r="I387" s="3" t="s">
        <v>51</v>
      </c>
      <c r="J387" s="27"/>
      <c r="K387" s="11" t="s">
        <v>1036</v>
      </c>
      <c r="L387" s="16" t="s">
        <v>1124</v>
      </c>
      <c r="M387" s="3" t="s">
        <v>1545</v>
      </c>
      <c r="N387" s="3" t="s">
        <v>1658</v>
      </c>
      <c r="O387" s="3"/>
      <c r="P387" s="3" t="b">
        <v>1</v>
      </c>
      <c r="Q387" s="3" t="s">
        <v>1497</v>
      </c>
      <c r="R387" s="4" t="b">
        <v>0</v>
      </c>
      <c r="S387" s="4"/>
    </row>
    <row r="388" spans="1:19" x14ac:dyDescent="0.3">
      <c r="A388" s="27" t="s">
        <v>2422</v>
      </c>
      <c r="B388" s="27" t="s">
        <v>1469</v>
      </c>
      <c r="C388" s="27">
        <v>0</v>
      </c>
      <c r="D388" s="27" t="s">
        <v>1630</v>
      </c>
      <c r="E388" s="3"/>
      <c r="F388" s="1" t="s">
        <v>1758</v>
      </c>
      <c r="G388" s="3" t="s">
        <v>39</v>
      </c>
      <c r="H388" s="3" t="s">
        <v>51</v>
      </c>
      <c r="I388" s="3" t="s">
        <v>51</v>
      </c>
      <c r="J388" s="27"/>
      <c r="K388" s="11" t="s">
        <v>1036</v>
      </c>
      <c r="L388" s="16" t="s">
        <v>1124</v>
      </c>
      <c r="M388" s="3" t="s">
        <v>1545</v>
      </c>
      <c r="N388" s="3" t="s">
        <v>1658</v>
      </c>
      <c r="O388" s="3"/>
      <c r="P388" s="3" t="b">
        <v>1</v>
      </c>
      <c r="Q388" s="3" t="s">
        <v>1497</v>
      </c>
      <c r="R388" s="4" t="b">
        <v>0</v>
      </c>
      <c r="S388" s="4"/>
    </row>
    <row r="389" spans="1:19" x14ac:dyDescent="0.3">
      <c r="A389" s="27" t="s">
        <v>2422</v>
      </c>
      <c r="B389" s="27" t="s">
        <v>1470</v>
      </c>
      <c r="C389" s="27">
        <v>0</v>
      </c>
      <c r="D389" s="27" t="s">
        <v>1630</v>
      </c>
      <c r="E389" s="3"/>
      <c r="F389" s="1" t="s">
        <v>1758</v>
      </c>
      <c r="G389" s="3" t="s">
        <v>39</v>
      </c>
      <c r="H389" s="3" t="s">
        <v>51</v>
      </c>
      <c r="I389" s="3" t="s">
        <v>51</v>
      </c>
      <c r="J389" s="27"/>
      <c r="K389" s="11" t="s">
        <v>1036</v>
      </c>
      <c r="L389" s="16" t="s">
        <v>1124</v>
      </c>
      <c r="M389" s="3" t="s">
        <v>1545</v>
      </c>
      <c r="N389" s="3" t="s">
        <v>1658</v>
      </c>
      <c r="O389" s="3"/>
      <c r="P389" s="3" t="b">
        <v>1</v>
      </c>
      <c r="Q389" s="3" t="s">
        <v>1497</v>
      </c>
      <c r="R389" s="4" t="b">
        <v>0</v>
      </c>
      <c r="S389" s="4"/>
    </row>
    <row r="390" spans="1:19" x14ac:dyDescent="0.3">
      <c r="A390" s="27" t="s">
        <v>2422</v>
      </c>
      <c r="B390" s="27" t="s">
        <v>1934</v>
      </c>
      <c r="C390" s="27">
        <v>0</v>
      </c>
      <c r="D390" s="27" t="s">
        <v>1630</v>
      </c>
      <c r="E390" s="3"/>
      <c r="F390" s="1" t="s">
        <v>1758</v>
      </c>
      <c r="G390" s="3" t="s">
        <v>39</v>
      </c>
      <c r="H390" s="3" t="s">
        <v>51</v>
      </c>
      <c r="I390" s="3" t="s">
        <v>51</v>
      </c>
      <c r="J390" s="27"/>
      <c r="K390" s="11" t="s">
        <v>1036</v>
      </c>
      <c r="L390" s="16" t="s">
        <v>1124</v>
      </c>
      <c r="M390" s="3" t="s">
        <v>1545</v>
      </c>
      <c r="N390" s="3" t="s">
        <v>1658</v>
      </c>
      <c r="O390" s="3"/>
      <c r="P390" s="3" t="b">
        <v>1</v>
      </c>
      <c r="Q390" s="3" t="s">
        <v>1497</v>
      </c>
      <c r="R390" s="4" t="b">
        <v>0</v>
      </c>
      <c r="S390" s="4"/>
    </row>
    <row r="391" spans="1:19" x14ac:dyDescent="0.3">
      <c r="A391" s="27" t="s">
        <v>2422</v>
      </c>
      <c r="B391" s="27" t="s">
        <v>1935</v>
      </c>
      <c r="C391" s="27">
        <v>0</v>
      </c>
      <c r="D391" s="27" t="s">
        <v>1630</v>
      </c>
      <c r="E391" s="3"/>
      <c r="F391" s="1" t="s">
        <v>1758</v>
      </c>
      <c r="G391" s="3" t="s">
        <v>39</v>
      </c>
      <c r="H391" s="3" t="s">
        <v>51</v>
      </c>
      <c r="I391" s="3" t="s">
        <v>51</v>
      </c>
      <c r="J391" s="27"/>
      <c r="K391" s="11" t="s">
        <v>1036</v>
      </c>
      <c r="L391" s="16" t="s">
        <v>1124</v>
      </c>
      <c r="M391" s="3" t="s">
        <v>1545</v>
      </c>
      <c r="N391" s="3" t="s">
        <v>1658</v>
      </c>
      <c r="O391" s="3"/>
      <c r="P391" s="3" t="b">
        <v>1</v>
      </c>
      <c r="Q391" s="3" t="s">
        <v>1497</v>
      </c>
      <c r="R391" s="4" t="b">
        <v>0</v>
      </c>
      <c r="S391" s="4"/>
    </row>
    <row r="392" spans="1:19" x14ac:dyDescent="0.3">
      <c r="A392" s="27" t="s">
        <v>2422</v>
      </c>
      <c r="B392" s="27" t="s">
        <v>1936</v>
      </c>
      <c r="C392" s="27">
        <v>0</v>
      </c>
      <c r="D392" s="27" t="s">
        <v>1630</v>
      </c>
      <c r="E392" s="3"/>
      <c r="F392" s="1" t="s">
        <v>1758</v>
      </c>
      <c r="G392" s="3" t="s">
        <v>39</v>
      </c>
      <c r="H392" s="3" t="s">
        <v>51</v>
      </c>
      <c r="I392" s="3" t="s">
        <v>51</v>
      </c>
      <c r="J392" s="27"/>
      <c r="K392" s="11" t="s">
        <v>1036</v>
      </c>
      <c r="L392" s="16" t="s">
        <v>1124</v>
      </c>
      <c r="M392" s="3" t="s">
        <v>1545</v>
      </c>
      <c r="N392" s="3" t="s">
        <v>1658</v>
      </c>
      <c r="O392" s="3"/>
      <c r="P392" s="3" t="b">
        <v>1</v>
      </c>
      <c r="Q392" s="3" t="s">
        <v>1497</v>
      </c>
      <c r="R392" s="4" t="b">
        <v>0</v>
      </c>
      <c r="S392" s="4"/>
    </row>
    <row r="393" spans="1:19" x14ac:dyDescent="0.3">
      <c r="A393" s="27" t="s">
        <v>2422</v>
      </c>
      <c r="B393" s="27" t="s">
        <v>1937</v>
      </c>
      <c r="C393" s="27">
        <v>0</v>
      </c>
      <c r="D393" s="27" t="s">
        <v>1630</v>
      </c>
      <c r="E393" s="3"/>
      <c r="F393" s="1" t="s">
        <v>1758</v>
      </c>
      <c r="G393" s="3" t="s">
        <v>39</v>
      </c>
      <c r="H393" s="3" t="s">
        <v>51</v>
      </c>
      <c r="I393" s="3" t="s">
        <v>51</v>
      </c>
      <c r="J393" s="27"/>
      <c r="K393" s="11" t="s">
        <v>1036</v>
      </c>
      <c r="L393" s="16" t="s">
        <v>1124</v>
      </c>
      <c r="M393" s="3" t="s">
        <v>1545</v>
      </c>
      <c r="N393" s="3" t="s">
        <v>1658</v>
      </c>
      <c r="O393" s="3"/>
      <c r="P393" s="3" t="b">
        <v>1</v>
      </c>
      <c r="Q393" s="3" t="s">
        <v>1497</v>
      </c>
      <c r="R393" s="4" t="b">
        <v>0</v>
      </c>
      <c r="S393" s="4"/>
    </row>
    <row r="394" spans="1:19" x14ac:dyDescent="0.3">
      <c r="A394" s="27" t="s">
        <v>2422</v>
      </c>
      <c r="B394" s="27" t="s">
        <v>1938</v>
      </c>
      <c r="C394" s="27">
        <v>0</v>
      </c>
      <c r="D394" s="27" t="s">
        <v>1630</v>
      </c>
      <c r="E394" s="3"/>
      <c r="F394" s="1" t="s">
        <v>1758</v>
      </c>
      <c r="G394" s="3" t="s">
        <v>39</v>
      </c>
      <c r="H394" s="3" t="s">
        <v>51</v>
      </c>
      <c r="I394" s="3" t="s">
        <v>51</v>
      </c>
      <c r="J394" s="27"/>
      <c r="K394" s="11" t="s">
        <v>1036</v>
      </c>
      <c r="L394" s="16" t="s">
        <v>1124</v>
      </c>
      <c r="M394" s="3" t="s">
        <v>1545</v>
      </c>
      <c r="N394" s="3" t="s">
        <v>1658</v>
      </c>
      <c r="O394" s="3"/>
      <c r="P394" s="3" t="b">
        <v>1</v>
      </c>
      <c r="Q394" s="3" t="s">
        <v>1497</v>
      </c>
      <c r="R394" s="4" t="b">
        <v>0</v>
      </c>
      <c r="S394" s="4"/>
    </row>
    <row r="395" spans="1:19" x14ac:dyDescent="0.3">
      <c r="A395" s="27" t="s">
        <v>2422</v>
      </c>
      <c r="B395" s="27" t="s">
        <v>1939</v>
      </c>
      <c r="C395" s="27">
        <v>0</v>
      </c>
      <c r="D395" s="27" t="s">
        <v>1630</v>
      </c>
      <c r="E395" s="3"/>
      <c r="F395" s="1" t="s">
        <v>1758</v>
      </c>
      <c r="G395" s="3" t="s">
        <v>39</v>
      </c>
      <c r="H395" s="3" t="s">
        <v>51</v>
      </c>
      <c r="I395" s="3" t="s">
        <v>51</v>
      </c>
      <c r="J395" s="27"/>
      <c r="K395" s="11" t="s">
        <v>1036</v>
      </c>
      <c r="L395" s="16" t="s">
        <v>1124</v>
      </c>
      <c r="M395" s="3" t="s">
        <v>1545</v>
      </c>
      <c r="N395" s="3" t="s">
        <v>1658</v>
      </c>
      <c r="O395" s="3"/>
      <c r="P395" s="3" t="b">
        <v>1</v>
      </c>
      <c r="Q395" s="3" t="s">
        <v>1497</v>
      </c>
      <c r="R395" s="4" t="b">
        <v>0</v>
      </c>
      <c r="S395" s="4"/>
    </row>
    <row r="396" spans="1:19" x14ac:dyDescent="0.3">
      <c r="A396" s="27" t="s">
        <v>2422</v>
      </c>
      <c r="B396" s="27" t="s">
        <v>1464</v>
      </c>
      <c r="C396" s="27">
        <v>0</v>
      </c>
      <c r="D396" s="27" t="s">
        <v>1630</v>
      </c>
      <c r="E396" s="3"/>
      <c r="F396" s="1" t="s">
        <v>1761</v>
      </c>
      <c r="G396" s="3" t="s">
        <v>39</v>
      </c>
      <c r="H396" s="3" t="s">
        <v>51</v>
      </c>
      <c r="I396" s="3" t="s">
        <v>51</v>
      </c>
      <c r="J396" s="27"/>
      <c r="K396" s="11" t="s">
        <v>1036</v>
      </c>
      <c r="L396" s="16" t="s">
        <v>1124</v>
      </c>
      <c r="M396" s="3" t="s">
        <v>1546</v>
      </c>
      <c r="N396" s="3" t="s">
        <v>1670</v>
      </c>
      <c r="O396" s="3"/>
      <c r="P396" s="3" t="b">
        <v>1</v>
      </c>
      <c r="Q396" s="3" t="s">
        <v>1497</v>
      </c>
      <c r="R396" s="4" t="b">
        <v>0</v>
      </c>
      <c r="S396" s="4"/>
    </row>
    <row r="397" spans="1:19" x14ac:dyDescent="0.3">
      <c r="A397" s="27" t="s">
        <v>2422</v>
      </c>
      <c r="B397" s="27" t="s">
        <v>1466</v>
      </c>
      <c r="C397" s="27">
        <v>0</v>
      </c>
      <c r="D397" s="27" t="s">
        <v>1630</v>
      </c>
      <c r="E397" s="3"/>
      <c r="F397" s="1" t="s">
        <v>1761</v>
      </c>
      <c r="G397" s="3" t="s">
        <v>39</v>
      </c>
      <c r="H397" s="3" t="s">
        <v>51</v>
      </c>
      <c r="I397" s="3" t="s">
        <v>51</v>
      </c>
      <c r="J397" s="27"/>
      <c r="K397" s="11" t="s">
        <v>1036</v>
      </c>
      <c r="L397" s="16" t="s">
        <v>1124</v>
      </c>
      <c r="M397" s="3" t="s">
        <v>1546</v>
      </c>
      <c r="N397" s="3" t="s">
        <v>1670</v>
      </c>
      <c r="O397" s="3"/>
      <c r="P397" s="3" t="b">
        <v>1</v>
      </c>
      <c r="Q397" s="3" t="s">
        <v>1497</v>
      </c>
      <c r="R397" s="4" t="b">
        <v>0</v>
      </c>
      <c r="S397" s="4"/>
    </row>
    <row r="398" spans="1:19" x14ac:dyDescent="0.3">
      <c r="A398" s="27" t="s">
        <v>2422</v>
      </c>
      <c r="B398" s="27" t="s">
        <v>1467</v>
      </c>
      <c r="C398" s="27">
        <v>0</v>
      </c>
      <c r="D398" s="27" t="s">
        <v>1630</v>
      </c>
      <c r="E398" s="3"/>
      <c r="F398" s="1" t="s">
        <v>1761</v>
      </c>
      <c r="G398" s="3" t="s">
        <v>39</v>
      </c>
      <c r="H398" s="3" t="s">
        <v>51</v>
      </c>
      <c r="I398" s="3" t="s">
        <v>51</v>
      </c>
      <c r="J398" s="27"/>
      <c r="K398" s="11" t="s">
        <v>1036</v>
      </c>
      <c r="L398" s="16" t="s">
        <v>1124</v>
      </c>
      <c r="M398" s="3" t="s">
        <v>1546</v>
      </c>
      <c r="N398" s="3" t="s">
        <v>1670</v>
      </c>
      <c r="O398" s="3"/>
      <c r="P398" s="3" t="b">
        <v>1</v>
      </c>
      <c r="Q398" s="3" t="s">
        <v>1497</v>
      </c>
      <c r="R398" s="4" t="b">
        <v>0</v>
      </c>
      <c r="S398" s="4"/>
    </row>
    <row r="399" spans="1:19" x14ac:dyDescent="0.3">
      <c r="A399" s="27" t="s">
        <v>2422</v>
      </c>
      <c r="B399" s="27" t="s">
        <v>1468</v>
      </c>
      <c r="C399" s="27">
        <v>0</v>
      </c>
      <c r="D399" s="27" t="s">
        <v>1630</v>
      </c>
      <c r="E399" s="3"/>
      <c r="F399" s="1" t="s">
        <v>1761</v>
      </c>
      <c r="G399" s="3" t="s">
        <v>39</v>
      </c>
      <c r="H399" s="3" t="s">
        <v>51</v>
      </c>
      <c r="I399" s="3" t="s">
        <v>51</v>
      </c>
      <c r="J399" s="27"/>
      <c r="K399" s="11" t="s">
        <v>1036</v>
      </c>
      <c r="L399" s="16" t="s">
        <v>1124</v>
      </c>
      <c r="M399" s="3" t="s">
        <v>1546</v>
      </c>
      <c r="N399" s="3" t="s">
        <v>1670</v>
      </c>
      <c r="O399" s="3"/>
      <c r="P399" s="3" t="b">
        <v>1</v>
      </c>
      <c r="Q399" s="3" t="s">
        <v>1497</v>
      </c>
      <c r="R399" s="4" t="b">
        <v>0</v>
      </c>
      <c r="S399" s="4"/>
    </row>
    <row r="400" spans="1:19" x14ac:dyDescent="0.3">
      <c r="A400" s="27" t="s">
        <v>2422</v>
      </c>
      <c r="B400" s="27" t="s">
        <v>1469</v>
      </c>
      <c r="C400" s="27">
        <v>0</v>
      </c>
      <c r="D400" s="27" t="s">
        <v>1630</v>
      </c>
      <c r="E400" s="3"/>
      <c r="F400" s="1" t="s">
        <v>1761</v>
      </c>
      <c r="G400" s="3" t="s">
        <v>39</v>
      </c>
      <c r="H400" s="3" t="s">
        <v>51</v>
      </c>
      <c r="I400" s="3" t="s">
        <v>51</v>
      </c>
      <c r="J400" s="27"/>
      <c r="K400" s="11" t="s">
        <v>1036</v>
      </c>
      <c r="L400" s="16" t="s">
        <v>1124</v>
      </c>
      <c r="M400" s="3" t="s">
        <v>1546</v>
      </c>
      <c r="N400" s="3" t="s">
        <v>1670</v>
      </c>
      <c r="O400" s="3"/>
      <c r="P400" s="3" t="b">
        <v>1</v>
      </c>
      <c r="Q400" s="3" t="s">
        <v>1497</v>
      </c>
      <c r="R400" s="4" t="b">
        <v>0</v>
      </c>
      <c r="S400" s="4"/>
    </row>
    <row r="401" spans="1:19" x14ac:dyDescent="0.3">
      <c r="A401" s="27" t="s">
        <v>2422</v>
      </c>
      <c r="B401" s="27" t="s">
        <v>1470</v>
      </c>
      <c r="C401" s="27">
        <v>0</v>
      </c>
      <c r="D401" s="27" t="s">
        <v>1630</v>
      </c>
      <c r="E401" s="3"/>
      <c r="F401" s="1" t="s">
        <v>1761</v>
      </c>
      <c r="G401" s="3" t="s">
        <v>39</v>
      </c>
      <c r="H401" s="3" t="s">
        <v>51</v>
      </c>
      <c r="I401" s="3" t="s">
        <v>51</v>
      </c>
      <c r="J401" s="27"/>
      <c r="K401" s="11" t="s">
        <v>1036</v>
      </c>
      <c r="L401" s="16" t="s">
        <v>1124</v>
      </c>
      <c r="M401" s="3" t="s">
        <v>1546</v>
      </c>
      <c r="N401" s="3" t="s">
        <v>1670</v>
      </c>
      <c r="O401" s="3"/>
      <c r="P401" s="3" t="b">
        <v>1</v>
      </c>
      <c r="Q401" s="3" t="s">
        <v>1497</v>
      </c>
      <c r="R401" s="4" t="b">
        <v>0</v>
      </c>
      <c r="S401" s="4"/>
    </row>
    <row r="402" spans="1:19" x14ac:dyDescent="0.3">
      <c r="A402" s="27" t="s">
        <v>2422</v>
      </c>
      <c r="B402" s="27" t="s">
        <v>1934</v>
      </c>
      <c r="C402" s="27">
        <v>0</v>
      </c>
      <c r="D402" s="27" t="s">
        <v>1630</v>
      </c>
      <c r="E402" s="3"/>
      <c r="F402" s="1" t="s">
        <v>1761</v>
      </c>
      <c r="G402" s="3" t="s">
        <v>39</v>
      </c>
      <c r="H402" s="3" t="s">
        <v>51</v>
      </c>
      <c r="I402" s="3" t="s">
        <v>51</v>
      </c>
      <c r="J402" s="27"/>
      <c r="K402" s="11" t="s">
        <v>1036</v>
      </c>
      <c r="L402" s="16" t="s">
        <v>1124</v>
      </c>
      <c r="M402" s="3" t="s">
        <v>1546</v>
      </c>
      <c r="N402" s="3" t="s">
        <v>1670</v>
      </c>
      <c r="O402" s="3"/>
      <c r="P402" s="3" t="b">
        <v>1</v>
      </c>
      <c r="Q402" s="3" t="s">
        <v>1497</v>
      </c>
      <c r="R402" s="4" t="b">
        <v>0</v>
      </c>
      <c r="S402" s="4"/>
    </row>
    <row r="403" spans="1:19" x14ac:dyDescent="0.3">
      <c r="A403" s="27" t="s">
        <v>2422</v>
      </c>
      <c r="B403" s="27" t="s">
        <v>1935</v>
      </c>
      <c r="C403" s="27">
        <v>0</v>
      </c>
      <c r="D403" s="27" t="s">
        <v>1630</v>
      </c>
      <c r="E403" s="3"/>
      <c r="F403" s="1" t="s">
        <v>1761</v>
      </c>
      <c r="G403" s="3" t="s">
        <v>39</v>
      </c>
      <c r="H403" s="3" t="s">
        <v>51</v>
      </c>
      <c r="I403" s="3" t="s">
        <v>51</v>
      </c>
      <c r="J403" s="27"/>
      <c r="K403" s="11" t="s">
        <v>1036</v>
      </c>
      <c r="L403" s="16" t="s">
        <v>1124</v>
      </c>
      <c r="M403" s="3" t="s">
        <v>1546</v>
      </c>
      <c r="N403" s="3" t="s">
        <v>1670</v>
      </c>
      <c r="O403" s="3"/>
      <c r="P403" s="3" t="b">
        <v>1</v>
      </c>
      <c r="Q403" s="3" t="s">
        <v>1497</v>
      </c>
      <c r="R403" s="4" t="b">
        <v>0</v>
      </c>
      <c r="S403" s="4"/>
    </row>
    <row r="404" spans="1:19" x14ac:dyDescent="0.3">
      <c r="A404" s="27" t="s">
        <v>2422</v>
      </c>
      <c r="B404" s="27" t="s">
        <v>1936</v>
      </c>
      <c r="C404" s="27">
        <v>0</v>
      </c>
      <c r="D404" s="27" t="s">
        <v>1630</v>
      </c>
      <c r="E404" s="3"/>
      <c r="F404" s="1" t="s">
        <v>1761</v>
      </c>
      <c r="G404" s="3" t="s">
        <v>39</v>
      </c>
      <c r="H404" s="3" t="s">
        <v>51</v>
      </c>
      <c r="I404" s="3" t="s">
        <v>51</v>
      </c>
      <c r="J404" s="27"/>
      <c r="K404" s="11" t="s">
        <v>1036</v>
      </c>
      <c r="L404" s="16" t="s">
        <v>1124</v>
      </c>
      <c r="M404" s="3" t="s">
        <v>1546</v>
      </c>
      <c r="N404" s="3" t="s">
        <v>1670</v>
      </c>
      <c r="O404" s="3"/>
      <c r="P404" s="3" t="b">
        <v>1</v>
      </c>
      <c r="Q404" s="3" t="s">
        <v>1497</v>
      </c>
      <c r="R404" s="4" t="b">
        <v>0</v>
      </c>
      <c r="S404" s="4"/>
    </row>
    <row r="405" spans="1:19" x14ac:dyDescent="0.3">
      <c r="A405" s="27" t="s">
        <v>2422</v>
      </c>
      <c r="B405" s="27" t="s">
        <v>1937</v>
      </c>
      <c r="C405" s="27">
        <v>0</v>
      </c>
      <c r="D405" s="27" t="s">
        <v>1630</v>
      </c>
      <c r="E405" s="3"/>
      <c r="F405" s="1" t="s">
        <v>1761</v>
      </c>
      <c r="G405" s="3" t="s">
        <v>39</v>
      </c>
      <c r="H405" s="3" t="s">
        <v>51</v>
      </c>
      <c r="I405" s="3" t="s">
        <v>51</v>
      </c>
      <c r="J405" s="27"/>
      <c r="K405" s="11" t="s">
        <v>1036</v>
      </c>
      <c r="L405" s="16" t="s">
        <v>1124</v>
      </c>
      <c r="M405" s="3" t="s">
        <v>1546</v>
      </c>
      <c r="N405" s="3" t="s">
        <v>1670</v>
      </c>
      <c r="O405" s="3"/>
      <c r="P405" s="3" t="b">
        <v>1</v>
      </c>
      <c r="Q405" s="3" t="s">
        <v>1497</v>
      </c>
      <c r="R405" s="4" t="b">
        <v>0</v>
      </c>
      <c r="S405" s="4"/>
    </row>
    <row r="406" spans="1:19" x14ac:dyDescent="0.3">
      <c r="A406" s="27" t="s">
        <v>2422</v>
      </c>
      <c r="B406" s="27" t="s">
        <v>1938</v>
      </c>
      <c r="C406" s="27">
        <v>0</v>
      </c>
      <c r="D406" s="27" t="s">
        <v>1630</v>
      </c>
      <c r="E406" s="3"/>
      <c r="F406" s="1" t="s">
        <v>1761</v>
      </c>
      <c r="G406" s="3" t="s">
        <v>39</v>
      </c>
      <c r="H406" s="3" t="s">
        <v>51</v>
      </c>
      <c r="I406" s="3" t="s">
        <v>51</v>
      </c>
      <c r="J406" s="27"/>
      <c r="K406" s="11" t="s">
        <v>1036</v>
      </c>
      <c r="L406" s="16" t="s">
        <v>1124</v>
      </c>
      <c r="M406" s="3" t="s">
        <v>1546</v>
      </c>
      <c r="N406" s="3" t="s">
        <v>1670</v>
      </c>
      <c r="O406" s="3"/>
      <c r="P406" s="3" t="b">
        <v>1</v>
      </c>
      <c r="Q406" s="3" t="s">
        <v>1497</v>
      </c>
      <c r="R406" s="4" t="b">
        <v>0</v>
      </c>
      <c r="S406" s="4"/>
    </row>
    <row r="407" spans="1:19" x14ac:dyDescent="0.3">
      <c r="A407" s="27" t="s">
        <v>2422</v>
      </c>
      <c r="B407" s="27" t="s">
        <v>1939</v>
      </c>
      <c r="C407" s="27">
        <v>0</v>
      </c>
      <c r="D407" s="27" t="s">
        <v>1630</v>
      </c>
      <c r="E407" s="3"/>
      <c r="F407" s="1" t="s">
        <v>1761</v>
      </c>
      <c r="G407" s="3" t="s">
        <v>39</v>
      </c>
      <c r="H407" s="3" t="s">
        <v>51</v>
      </c>
      <c r="I407" s="3" t="s">
        <v>51</v>
      </c>
      <c r="J407" s="27"/>
      <c r="K407" s="11" t="s">
        <v>1036</v>
      </c>
      <c r="L407" s="16" t="s">
        <v>1124</v>
      </c>
      <c r="M407" s="3" t="s">
        <v>1546</v>
      </c>
      <c r="N407" s="3" t="s">
        <v>1670</v>
      </c>
      <c r="O407" s="3"/>
      <c r="P407" s="3" t="b">
        <v>1</v>
      </c>
      <c r="Q407" s="3" t="s">
        <v>1497</v>
      </c>
      <c r="R407" s="4" t="b">
        <v>0</v>
      </c>
      <c r="S407" s="4"/>
    </row>
    <row r="408" spans="1:19" x14ac:dyDescent="0.3">
      <c r="A408" s="27" t="s">
        <v>2422</v>
      </c>
      <c r="B408" s="27"/>
      <c r="C408" s="27">
        <v>0</v>
      </c>
      <c r="D408" s="27"/>
      <c r="E408" s="3"/>
      <c r="F408" s="3" t="s">
        <v>1023</v>
      </c>
      <c r="G408" s="3" t="s">
        <v>39</v>
      </c>
      <c r="H408" s="3" t="s">
        <v>51</v>
      </c>
      <c r="I408" s="3" t="s">
        <v>51</v>
      </c>
      <c r="J408" s="27"/>
      <c r="K408" s="11" t="s">
        <v>1172</v>
      </c>
      <c r="L408" s="16" t="s">
        <v>1124</v>
      </c>
      <c r="M408" s="3" t="s">
        <v>1024</v>
      </c>
      <c r="N408" s="3" t="s">
        <v>1673</v>
      </c>
      <c r="O408" s="3"/>
      <c r="P408" s="3" t="b">
        <v>1</v>
      </c>
      <c r="Q408" s="3" t="s">
        <v>1394</v>
      </c>
      <c r="R408" s="4" t="b">
        <v>0</v>
      </c>
      <c r="S408" s="4">
        <v>-1480</v>
      </c>
    </row>
    <row r="409" spans="1:19" x14ac:dyDescent="0.3">
      <c r="A409" s="27" t="s">
        <v>2431</v>
      </c>
      <c r="B409" s="27"/>
      <c r="C409" s="27">
        <v>0</v>
      </c>
      <c r="D409" s="27"/>
      <c r="E409" s="3"/>
      <c r="F409" s="3" t="s">
        <v>1025</v>
      </c>
      <c r="G409" s="3" t="s">
        <v>39</v>
      </c>
      <c r="H409" s="3" t="s">
        <v>51</v>
      </c>
      <c r="I409" s="3" t="s">
        <v>51</v>
      </c>
      <c r="J409" s="27"/>
      <c r="K409" s="11" t="s">
        <v>1172</v>
      </c>
      <c r="L409" s="16" t="s">
        <v>1124</v>
      </c>
      <c r="M409" s="3" t="s">
        <v>1026</v>
      </c>
      <c r="N409" s="3" t="s">
        <v>1674</v>
      </c>
      <c r="O409" s="3"/>
      <c r="P409" s="3" t="b">
        <v>1</v>
      </c>
      <c r="Q409" s="3" t="s">
        <v>1410</v>
      </c>
      <c r="R409" s="4" t="b">
        <v>0</v>
      </c>
      <c r="S409" s="4">
        <v>-1075</v>
      </c>
    </row>
    <row r="410" spans="1:19" x14ac:dyDescent="0.3">
      <c r="A410" s="27" t="s">
        <v>2422</v>
      </c>
      <c r="B410" s="27"/>
      <c r="C410" s="27">
        <v>0</v>
      </c>
      <c r="D410" s="27"/>
      <c r="E410" s="3"/>
      <c r="F410" s="3" t="s">
        <v>1575</v>
      </c>
      <c r="G410" s="3" t="s">
        <v>39</v>
      </c>
      <c r="H410" s="3" t="s">
        <v>51</v>
      </c>
      <c r="I410" s="3" t="s">
        <v>51</v>
      </c>
      <c r="J410" s="27"/>
      <c r="K410" s="11" t="s">
        <v>1172</v>
      </c>
      <c r="L410" s="16" t="s">
        <v>1124</v>
      </c>
      <c r="M410" s="3" t="s">
        <v>1576</v>
      </c>
      <c r="N410" s="3"/>
      <c r="O410" s="3"/>
      <c r="P410" s="3" t="b">
        <v>1</v>
      </c>
      <c r="Q410" s="3" t="s">
        <v>1394</v>
      </c>
      <c r="R410" s="4" t="b">
        <v>0</v>
      </c>
      <c r="S410" s="4">
        <v>-480.7</v>
      </c>
    </row>
    <row r="411" spans="1:19" x14ac:dyDescent="0.3">
      <c r="A411" s="27" t="s">
        <v>2422</v>
      </c>
      <c r="B411" s="27"/>
      <c r="C411" s="27">
        <v>0</v>
      </c>
      <c r="D411" s="27"/>
      <c r="E411" s="3"/>
      <c r="F411" s="3" t="s">
        <v>1575</v>
      </c>
      <c r="G411" s="3" t="s">
        <v>39</v>
      </c>
      <c r="H411" s="3" t="s">
        <v>51</v>
      </c>
      <c r="I411" s="3" t="s">
        <v>51</v>
      </c>
      <c r="J411" s="27"/>
      <c r="K411" s="11" t="s">
        <v>1172</v>
      </c>
      <c r="L411" s="16" t="s">
        <v>1124</v>
      </c>
      <c r="M411" s="3" t="s">
        <v>1576</v>
      </c>
      <c r="N411" s="3"/>
      <c r="O411" s="3"/>
      <c r="P411" s="3" t="b">
        <v>1</v>
      </c>
      <c r="Q411" s="3" t="s">
        <v>1410</v>
      </c>
      <c r="R411" s="4" t="b">
        <v>0</v>
      </c>
      <c r="S411" s="4">
        <v>-490.2</v>
      </c>
    </row>
    <row r="412" spans="1:19" x14ac:dyDescent="0.3">
      <c r="A412" s="27" t="s">
        <v>2422</v>
      </c>
      <c r="B412" s="27"/>
      <c r="C412" s="27">
        <v>0</v>
      </c>
      <c r="D412" s="27"/>
      <c r="E412" s="3"/>
      <c r="F412" s="3" t="s">
        <v>1575</v>
      </c>
      <c r="G412" s="3" t="s">
        <v>39</v>
      </c>
      <c r="H412" s="3" t="s">
        <v>51</v>
      </c>
      <c r="I412" s="3" t="s">
        <v>51</v>
      </c>
      <c r="J412" s="27"/>
      <c r="K412" s="11" t="s">
        <v>1172</v>
      </c>
      <c r="L412" s="16" t="s">
        <v>1124</v>
      </c>
      <c r="M412" s="3" t="s">
        <v>1576</v>
      </c>
      <c r="N412" s="3"/>
      <c r="O412" s="3"/>
      <c r="P412" s="3" t="b">
        <v>1</v>
      </c>
      <c r="Q412" s="3" t="s">
        <v>1497</v>
      </c>
      <c r="R412" s="4" t="b">
        <v>0</v>
      </c>
      <c r="S412" s="4">
        <v>-495.9</v>
      </c>
    </row>
    <row r="413" spans="1:19" x14ac:dyDescent="0.3">
      <c r="A413" s="27" t="s">
        <v>2422</v>
      </c>
      <c r="B413" s="27"/>
      <c r="C413" s="27">
        <v>0</v>
      </c>
      <c r="D413" s="27"/>
      <c r="E413" s="3"/>
      <c r="F413" s="3" t="s">
        <v>1573</v>
      </c>
      <c r="G413" s="3" t="s">
        <v>39</v>
      </c>
      <c r="H413" s="3" t="s">
        <v>51</v>
      </c>
      <c r="I413" s="3" t="s">
        <v>51</v>
      </c>
      <c r="J413" s="27"/>
      <c r="K413" s="3" t="s">
        <v>2036</v>
      </c>
      <c r="L413" s="16" t="s">
        <v>1124</v>
      </c>
      <c r="M413" s="3" t="s">
        <v>1577</v>
      </c>
      <c r="N413" s="3" t="s">
        <v>1677</v>
      </c>
      <c r="O413" s="3"/>
      <c r="P413" s="3" t="b">
        <v>1</v>
      </c>
      <c r="Q413" s="3" t="s">
        <v>1497</v>
      </c>
      <c r="R413" s="4" t="b">
        <v>1</v>
      </c>
      <c r="S413" s="4"/>
    </row>
    <row r="414" spans="1:19" x14ac:dyDescent="0.3">
      <c r="A414" s="27" t="s">
        <v>2422</v>
      </c>
      <c r="B414" s="27"/>
      <c r="C414" s="27">
        <v>0</v>
      </c>
      <c r="D414" s="27"/>
      <c r="E414" s="3"/>
      <c r="F414" s="3" t="s">
        <v>1050</v>
      </c>
      <c r="G414" s="3"/>
      <c r="H414" s="3" t="s">
        <v>51</v>
      </c>
      <c r="I414" s="3" t="s">
        <v>51</v>
      </c>
      <c r="J414" s="27"/>
      <c r="K414" s="11" t="s">
        <v>1242</v>
      </c>
      <c r="L414" s="16" t="s">
        <v>1124</v>
      </c>
      <c r="M414" s="3" t="s">
        <v>1400</v>
      </c>
      <c r="N414" s="3" t="s">
        <v>1679</v>
      </c>
      <c r="O414" s="3"/>
      <c r="P414" s="3" t="b">
        <v>1</v>
      </c>
      <c r="Q414" s="3" t="s">
        <v>1497</v>
      </c>
      <c r="R414" s="4" t="b">
        <v>1</v>
      </c>
      <c r="S414" s="4"/>
    </row>
    <row r="415" spans="1:19" x14ac:dyDescent="0.3">
      <c r="A415" s="27" t="s">
        <v>2422</v>
      </c>
      <c r="B415" s="27"/>
      <c r="C415" s="27">
        <v>0</v>
      </c>
      <c r="D415" s="27"/>
      <c r="E415" s="3"/>
      <c r="F415" s="3" t="s">
        <v>1048</v>
      </c>
      <c r="G415" s="3"/>
      <c r="H415" s="3" t="s">
        <v>51</v>
      </c>
      <c r="I415" s="3" t="s">
        <v>51</v>
      </c>
      <c r="J415" s="27"/>
      <c r="K415" s="11" t="s">
        <v>1244</v>
      </c>
      <c r="L415" s="16" t="s">
        <v>1124</v>
      </c>
      <c r="M415" s="3" t="s">
        <v>1399</v>
      </c>
      <c r="N415" s="3" t="s">
        <v>1680</v>
      </c>
      <c r="O415" s="3"/>
      <c r="P415" s="3" t="b">
        <v>1</v>
      </c>
      <c r="Q415" s="3" t="s">
        <v>1497</v>
      </c>
      <c r="R415" s="4" t="b">
        <v>1</v>
      </c>
      <c r="S415" s="4"/>
    </row>
    <row r="416" spans="1:19" x14ac:dyDescent="0.3">
      <c r="A416" s="27" t="s">
        <v>2422</v>
      </c>
      <c r="B416" s="27"/>
      <c r="C416" s="27">
        <v>0</v>
      </c>
      <c r="D416" s="27"/>
      <c r="E416" s="3"/>
      <c r="F416" s="3" t="s">
        <v>1042</v>
      </c>
      <c r="G416" s="3"/>
      <c r="H416" s="3" t="s">
        <v>51</v>
      </c>
      <c r="I416" s="3" t="s">
        <v>51</v>
      </c>
      <c r="J416" s="27"/>
      <c r="K416" s="11" t="s">
        <v>1248</v>
      </c>
      <c r="L416" s="16" t="s">
        <v>1124</v>
      </c>
      <c r="M416" s="3" t="s">
        <v>1397</v>
      </c>
      <c r="N416" s="3" t="s">
        <v>1681</v>
      </c>
      <c r="O416" s="3"/>
      <c r="P416" s="3" t="b">
        <v>1</v>
      </c>
      <c r="Q416" s="3" t="s">
        <v>1497</v>
      </c>
      <c r="R416" s="4" t="b">
        <v>1</v>
      </c>
      <c r="S416" s="4"/>
    </row>
    <row r="417" spans="1:19" x14ac:dyDescent="0.3">
      <c r="A417" s="27" t="s">
        <v>2422</v>
      </c>
      <c r="B417" s="27"/>
      <c r="C417" s="27">
        <v>0</v>
      </c>
      <c r="D417" s="27"/>
      <c r="E417" s="3"/>
      <c r="F417" s="3" t="s">
        <v>1044</v>
      </c>
      <c r="G417" s="3"/>
      <c r="H417" s="3" t="s">
        <v>51</v>
      </c>
      <c r="I417" s="3" t="s">
        <v>51</v>
      </c>
      <c r="J417" s="27"/>
      <c r="K417" s="11" t="s">
        <v>1250</v>
      </c>
      <c r="L417" s="16" t="s">
        <v>1124</v>
      </c>
      <c r="M417" s="3" t="s">
        <v>1403</v>
      </c>
      <c r="N417" s="3" t="s">
        <v>1682</v>
      </c>
      <c r="O417" s="3"/>
      <c r="P417" s="3" t="b">
        <v>1</v>
      </c>
      <c r="Q417" s="3" t="s">
        <v>1497</v>
      </c>
      <c r="R417" s="4" t="b">
        <v>1</v>
      </c>
      <c r="S417" s="4"/>
    </row>
    <row r="418" spans="1:19" x14ac:dyDescent="0.3">
      <c r="A418" s="27" t="s">
        <v>2422</v>
      </c>
      <c r="B418" s="27"/>
      <c r="C418" s="27">
        <v>0</v>
      </c>
      <c r="D418" s="27"/>
      <c r="E418" s="3"/>
      <c r="F418" s="3" t="s">
        <v>1046</v>
      </c>
      <c r="G418" s="3"/>
      <c r="H418" s="3" t="s">
        <v>51</v>
      </c>
      <c r="I418" s="3" t="s">
        <v>51</v>
      </c>
      <c r="J418" s="27"/>
      <c r="K418" s="11" t="s">
        <v>1252</v>
      </c>
      <c r="L418" s="16" t="s">
        <v>1124</v>
      </c>
      <c r="M418" s="3" t="s">
        <v>1398</v>
      </c>
      <c r="N418" s="3" t="s">
        <v>1684</v>
      </c>
      <c r="O418" s="3"/>
      <c r="P418" s="3" t="b">
        <v>1</v>
      </c>
      <c r="Q418" s="3" t="s">
        <v>1497</v>
      </c>
      <c r="R418" s="4" t="b">
        <v>1</v>
      </c>
      <c r="S418" s="4"/>
    </row>
    <row r="419" spans="1:19" x14ac:dyDescent="0.3">
      <c r="A419" s="27" t="s">
        <v>2422</v>
      </c>
      <c r="B419" s="27"/>
      <c r="C419" s="27">
        <v>0</v>
      </c>
      <c r="D419" s="27"/>
      <c r="E419" s="3"/>
      <c r="F419" s="3" t="s">
        <v>1017</v>
      </c>
      <c r="G419" s="3" t="s">
        <v>39</v>
      </c>
      <c r="H419" s="3" t="s">
        <v>51</v>
      </c>
      <c r="I419" s="3" t="s">
        <v>51</v>
      </c>
      <c r="J419" s="27"/>
      <c r="K419" s="11" t="s">
        <v>1172</v>
      </c>
      <c r="L419" s="16" t="s">
        <v>1124</v>
      </c>
      <c r="M419" s="3" t="s">
        <v>1391</v>
      </c>
      <c r="N419" s="3" t="s">
        <v>1672</v>
      </c>
      <c r="O419" s="3"/>
      <c r="P419" s="3" t="b">
        <v>1</v>
      </c>
      <c r="Q419" s="3" t="s">
        <v>1497</v>
      </c>
      <c r="R419" s="4" t="b">
        <v>0</v>
      </c>
      <c r="S419" s="4">
        <v>-16000</v>
      </c>
    </row>
    <row r="420" spans="1:19" x14ac:dyDescent="0.3">
      <c r="A420" s="27" t="s">
        <v>2422</v>
      </c>
      <c r="B420" s="27"/>
      <c r="C420" s="27">
        <v>0</v>
      </c>
      <c r="D420" s="27"/>
      <c r="E420" s="3"/>
      <c r="F420" s="3" t="s">
        <v>1019</v>
      </c>
      <c r="G420" s="3" t="s">
        <v>39</v>
      </c>
      <c r="H420" s="3" t="s">
        <v>51</v>
      </c>
      <c r="I420" s="3" t="s">
        <v>51</v>
      </c>
      <c r="J420" s="27"/>
      <c r="K420" s="11" t="s">
        <v>1172</v>
      </c>
      <c r="L420" s="16" t="s">
        <v>1124</v>
      </c>
      <c r="M420" s="3" t="s">
        <v>1392</v>
      </c>
      <c r="N420" s="3"/>
      <c r="O420" s="3"/>
      <c r="P420" s="3" t="b">
        <v>1</v>
      </c>
      <c r="Q420" s="3" t="s">
        <v>1497</v>
      </c>
      <c r="R420" s="4" t="b">
        <v>0</v>
      </c>
      <c r="S420" s="4">
        <v>-10</v>
      </c>
    </row>
    <row r="421" spans="1:19" x14ac:dyDescent="0.3">
      <c r="A421" s="27" t="s">
        <v>2431</v>
      </c>
      <c r="B421" s="27"/>
      <c r="C421" s="27">
        <v>0</v>
      </c>
      <c r="D421" s="27"/>
      <c r="E421" s="3"/>
      <c r="F421" s="3" t="s">
        <v>1005</v>
      </c>
      <c r="G421" s="3" t="s">
        <v>39</v>
      </c>
      <c r="H421" s="3" t="s">
        <v>51</v>
      </c>
      <c r="I421" s="3" t="s">
        <v>51</v>
      </c>
      <c r="J421" s="27"/>
      <c r="K421" s="11" t="s">
        <v>1172</v>
      </c>
      <c r="L421" s="16" t="s">
        <v>1124</v>
      </c>
      <c r="M421" s="3" t="s">
        <v>1006</v>
      </c>
      <c r="N421" s="3" t="s">
        <v>1664</v>
      </c>
      <c r="O421" s="3"/>
      <c r="P421" s="3" t="b">
        <v>1</v>
      </c>
      <c r="Q421" s="3" t="s">
        <v>1394</v>
      </c>
      <c r="R421" s="4" t="b">
        <v>0</v>
      </c>
      <c r="S421" s="4">
        <v>-16.88</v>
      </c>
    </row>
    <row r="422" spans="1:19" x14ac:dyDescent="0.3">
      <c r="A422" s="27" t="s">
        <v>2431</v>
      </c>
      <c r="B422" s="27" t="s">
        <v>1464</v>
      </c>
      <c r="C422" s="27">
        <v>0</v>
      </c>
      <c r="D422" s="27" t="s">
        <v>1481</v>
      </c>
      <c r="E422" s="3"/>
      <c r="F422" s="1" t="s">
        <v>1759</v>
      </c>
      <c r="G422" s="3" t="s">
        <v>39</v>
      </c>
      <c r="H422" s="3" t="s">
        <v>51</v>
      </c>
      <c r="I422" s="3" t="s">
        <v>51</v>
      </c>
      <c r="J422" s="27"/>
      <c r="K422" s="11" t="s">
        <v>1036</v>
      </c>
      <c r="L422" s="16" t="s">
        <v>1124</v>
      </c>
      <c r="M422" s="3" t="s">
        <v>1543</v>
      </c>
      <c r="N422" s="3" t="s">
        <v>1656</v>
      </c>
      <c r="O422" s="3"/>
      <c r="P422" s="3" t="b">
        <v>1</v>
      </c>
      <c r="Q422" s="3" t="s">
        <v>1497</v>
      </c>
      <c r="R422" s="4" t="b">
        <v>0</v>
      </c>
      <c r="S422" s="4"/>
    </row>
    <row r="423" spans="1:19" x14ac:dyDescent="0.3">
      <c r="A423" s="27" t="s">
        <v>2431</v>
      </c>
      <c r="B423" s="27" t="s">
        <v>1466</v>
      </c>
      <c r="C423" s="27">
        <v>0</v>
      </c>
      <c r="D423" s="27" t="s">
        <v>1481</v>
      </c>
      <c r="E423" s="3"/>
      <c r="F423" s="1" t="s">
        <v>1759</v>
      </c>
      <c r="G423" s="3" t="s">
        <v>39</v>
      </c>
      <c r="H423" s="3" t="s">
        <v>51</v>
      </c>
      <c r="I423" s="3" t="s">
        <v>51</v>
      </c>
      <c r="J423" s="27"/>
      <c r="K423" s="11" t="s">
        <v>1036</v>
      </c>
      <c r="L423" s="16" t="s">
        <v>1124</v>
      </c>
      <c r="M423" s="3" t="s">
        <v>1543</v>
      </c>
      <c r="N423" s="3" t="s">
        <v>1656</v>
      </c>
      <c r="O423" s="3"/>
      <c r="P423" s="3" t="b">
        <v>1</v>
      </c>
      <c r="Q423" s="3" t="s">
        <v>1497</v>
      </c>
      <c r="R423" s="4" t="b">
        <v>0</v>
      </c>
      <c r="S423" s="4"/>
    </row>
    <row r="424" spans="1:19" x14ac:dyDescent="0.3">
      <c r="A424" s="27" t="s">
        <v>2431</v>
      </c>
      <c r="B424" s="27" t="s">
        <v>1467</v>
      </c>
      <c r="C424" s="27">
        <v>0</v>
      </c>
      <c r="D424" s="27" t="s">
        <v>1481</v>
      </c>
      <c r="E424" s="3"/>
      <c r="F424" s="1" t="s">
        <v>1759</v>
      </c>
      <c r="G424" s="3" t="s">
        <v>39</v>
      </c>
      <c r="H424" s="3" t="s">
        <v>51</v>
      </c>
      <c r="I424" s="3" t="s">
        <v>51</v>
      </c>
      <c r="J424" s="27"/>
      <c r="K424" s="11" t="s">
        <v>1036</v>
      </c>
      <c r="L424" s="16" t="s">
        <v>1124</v>
      </c>
      <c r="M424" s="3" t="s">
        <v>1543</v>
      </c>
      <c r="N424" s="3" t="s">
        <v>1656</v>
      </c>
      <c r="O424" s="3"/>
      <c r="P424" s="3" t="b">
        <v>1</v>
      </c>
      <c r="Q424" s="3" t="s">
        <v>1497</v>
      </c>
      <c r="R424" s="4" t="b">
        <v>0</v>
      </c>
      <c r="S424" s="4"/>
    </row>
    <row r="425" spans="1:19" x14ac:dyDescent="0.3">
      <c r="A425" s="27" t="s">
        <v>2431</v>
      </c>
      <c r="B425" s="27" t="s">
        <v>1468</v>
      </c>
      <c r="C425" s="27">
        <v>0</v>
      </c>
      <c r="D425" s="27" t="s">
        <v>1481</v>
      </c>
      <c r="E425" s="3"/>
      <c r="F425" s="1" t="s">
        <v>1759</v>
      </c>
      <c r="G425" s="3" t="s">
        <v>39</v>
      </c>
      <c r="H425" s="3" t="s">
        <v>51</v>
      </c>
      <c r="I425" s="3" t="s">
        <v>51</v>
      </c>
      <c r="J425" s="27"/>
      <c r="K425" s="11" t="s">
        <v>1036</v>
      </c>
      <c r="L425" s="16" t="s">
        <v>1124</v>
      </c>
      <c r="M425" s="3" t="s">
        <v>1543</v>
      </c>
      <c r="N425" s="3" t="s">
        <v>1656</v>
      </c>
      <c r="O425" s="3"/>
      <c r="P425" s="3" t="b">
        <v>1</v>
      </c>
      <c r="Q425" s="3" t="s">
        <v>1497</v>
      </c>
      <c r="R425" s="4" t="b">
        <v>0</v>
      </c>
      <c r="S425" s="4"/>
    </row>
    <row r="426" spans="1:19" x14ac:dyDescent="0.3">
      <c r="A426" s="27" t="s">
        <v>2431</v>
      </c>
      <c r="B426" s="27" t="s">
        <v>1469</v>
      </c>
      <c r="C426" s="27">
        <v>0</v>
      </c>
      <c r="D426" s="27" t="s">
        <v>1481</v>
      </c>
      <c r="E426" s="3"/>
      <c r="F426" s="1" t="s">
        <v>1759</v>
      </c>
      <c r="G426" s="3" t="s">
        <v>39</v>
      </c>
      <c r="H426" s="3" t="s">
        <v>51</v>
      </c>
      <c r="I426" s="3" t="s">
        <v>51</v>
      </c>
      <c r="J426" s="27"/>
      <c r="K426" s="11" t="s">
        <v>1036</v>
      </c>
      <c r="L426" s="16" t="s">
        <v>1124</v>
      </c>
      <c r="M426" s="3" t="s">
        <v>1543</v>
      </c>
      <c r="N426" s="3" t="s">
        <v>1656</v>
      </c>
      <c r="O426" s="3"/>
      <c r="P426" s="3" t="b">
        <v>1</v>
      </c>
      <c r="Q426" s="3" t="s">
        <v>1497</v>
      </c>
      <c r="R426" s="4" t="b">
        <v>0</v>
      </c>
      <c r="S426" s="4"/>
    </row>
    <row r="427" spans="1:19" x14ac:dyDescent="0.3">
      <c r="A427" s="27" t="s">
        <v>2431</v>
      </c>
      <c r="B427" s="27" t="s">
        <v>1470</v>
      </c>
      <c r="C427" s="27">
        <v>0</v>
      </c>
      <c r="D427" s="27" t="s">
        <v>1481</v>
      </c>
      <c r="E427" s="3"/>
      <c r="F427" s="1" t="s">
        <v>1759</v>
      </c>
      <c r="G427" s="3" t="s">
        <v>39</v>
      </c>
      <c r="H427" s="3" t="s">
        <v>51</v>
      </c>
      <c r="I427" s="3" t="s">
        <v>51</v>
      </c>
      <c r="J427" s="27"/>
      <c r="K427" s="11" t="s">
        <v>1036</v>
      </c>
      <c r="L427" s="16" t="s">
        <v>1124</v>
      </c>
      <c r="M427" s="3" t="s">
        <v>1543</v>
      </c>
      <c r="N427" s="3" t="s">
        <v>1656</v>
      </c>
      <c r="O427" s="3"/>
      <c r="P427" s="3" t="b">
        <v>1</v>
      </c>
      <c r="Q427" s="3" t="s">
        <v>1497</v>
      </c>
      <c r="R427" s="4" t="b">
        <v>0</v>
      </c>
      <c r="S427" s="4"/>
    </row>
    <row r="428" spans="1:19" x14ac:dyDescent="0.3">
      <c r="A428" s="27" t="s">
        <v>2431</v>
      </c>
      <c r="B428" s="27" t="s">
        <v>1934</v>
      </c>
      <c r="C428" s="27">
        <v>0</v>
      </c>
      <c r="D428" s="27" t="s">
        <v>1481</v>
      </c>
      <c r="E428" s="3"/>
      <c r="F428" s="1" t="s">
        <v>1759</v>
      </c>
      <c r="G428" s="3" t="s">
        <v>39</v>
      </c>
      <c r="H428" s="3" t="s">
        <v>51</v>
      </c>
      <c r="I428" s="3" t="s">
        <v>51</v>
      </c>
      <c r="J428" s="27"/>
      <c r="K428" s="11" t="s">
        <v>1036</v>
      </c>
      <c r="L428" s="16" t="s">
        <v>1124</v>
      </c>
      <c r="M428" s="3" t="s">
        <v>1543</v>
      </c>
      <c r="N428" s="3" t="s">
        <v>1656</v>
      </c>
      <c r="O428" s="3"/>
      <c r="P428" s="3" t="b">
        <v>1</v>
      </c>
      <c r="Q428" s="3" t="s">
        <v>1497</v>
      </c>
      <c r="R428" s="4" t="b">
        <v>0</v>
      </c>
      <c r="S428" s="4"/>
    </row>
    <row r="429" spans="1:19" x14ac:dyDescent="0.3">
      <c r="A429" s="27" t="s">
        <v>2431</v>
      </c>
      <c r="B429" s="27" t="s">
        <v>1935</v>
      </c>
      <c r="C429" s="27">
        <v>0</v>
      </c>
      <c r="D429" s="27" t="s">
        <v>1481</v>
      </c>
      <c r="E429" s="3"/>
      <c r="F429" s="1" t="s">
        <v>1759</v>
      </c>
      <c r="G429" s="3" t="s">
        <v>39</v>
      </c>
      <c r="H429" s="3" t="s">
        <v>51</v>
      </c>
      <c r="I429" s="3" t="s">
        <v>51</v>
      </c>
      <c r="J429" s="27"/>
      <c r="K429" s="11" t="s">
        <v>1036</v>
      </c>
      <c r="L429" s="16" t="s">
        <v>1124</v>
      </c>
      <c r="M429" s="3" t="s">
        <v>1543</v>
      </c>
      <c r="N429" s="3" t="s">
        <v>1656</v>
      </c>
      <c r="O429" s="3"/>
      <c r="P429" s="3" t="b">
        <v>1</v>
      </c>
      <c r="Q429" s="3" t="s">
        <v>1497</v>
      </c>
      <c r="R429" s="4" t="b">
        <v>0</v>
      </c>
      <c r="S429" s="4"/>
    </row>
    <row r="430" spans="1:19" x14ac:dyDescent="0.3">
      <c r="A430" s="27" t="s">
        <v>2431</v>
      </c>
      <c r="B430" s="27" t="s">
        <v>1936</v>
      </c>
      <c r="C430" s="27">
        <v>0</v>
      </c>
      <c r="D430" s="27" t="s">
        <v>1481</v>
      </c>
      <c r="E430" s="3"/>
      <c r="F430" s="1" t="s">
        <v>1759</v>
      </c>
      <c r="G430" s="3" t="s">
        <v>39</v>
      </c>
      <c r="H430" s="3" t="s">
        <v>51</v>
      </c>
      <c r="I430" s="3" t="s">
        <v>51</v>
      </c>
      <c r="J430" s="27"/>
      <c r="K430" s="11" t="s">
        <v>1036</v>
      </c>
      <c r="L430" s="16" t="s">
        <v>1124</v>
      </c>
      <c r="M430" s="3" t="s">
        <v>1543</v>
      </c>
      <c r="N430" s="3" t="s">
        <v>1656</v>
      </c>
      <c r="O430" s="3"/>
      <c r="P430" s="3" t="b">
        <v>1</v>
      </c>
      <c r="Q430" s="3" t="s">
        <v>1497</v>
      </c>
      <c r="R430" s="4" t="b">
        <v>0</v>
      </c>
      <c r="S430" s="4"/>
    </row>
    <row r="431" spans="1:19" x14ac:dyDescent="0.3">
      <c r="A431" s="27" t="s">
        <v>2431</v>
      </c>
      <c r="B431" s="27" t="s">
        <v>1937</v>
      </c>
      <c r="C431" s="27">
        <v>0</v>
      </c>
      <c r="D431" s="27" t="s">
        <v>1481</v>
      </c>
      <c r="E431" s="3"/>
      <c r="F431" s="1" t="s">
        <v>1759</v>
      </c>
      <c r="G431" s="3" t="s">
        <v>39</v>
      </c>
      <c r="H431" s="3" t="s">
        <v>51</v>
      </c>
      <c r="I431" s="3" t="s">
        <v>51</v>
      </c>
      <c r="J431" s="27"/>
      <c r="K431" s="11" t="s">
        <v>1036</v>
      </c>
      <c r="L431" s="16" t="s">
        <v>1124</v>
      </c>
      <c r="M431" s="3" t="s">
        <v>1543</v>
      </c>
      <c r="N431" s="3" t="s">
        <v>1656</v>
      </c>
      <c r="O431" s="3"/>
      <c r="P431" s="3" t="b">
        <v>1</v>
      </c>
      <c r="Q431" s="3" t="s">
        <v>1497</v>
      </c>
      <c r="R431" s="4" t="b">
        <v>0</v>
      </c>
      <c r="S431" s="4"/>
    </row>
    <row r="432" spans="1:19" x14ac:dyDescent="0.3">
      <c r="A432" s="27" t="s">
        <v>2431</v>
      </c>
      <c r="B432" s="27" t="s">
        <v>1938</v>
      </c>
      <c r="C432" s="27">
        <v>0</v>
      </c>
      <c r="D432" s="27" t="s">
        <v>1481</v>
      </c>
      <c r="E432" s="3"/>
      <c r="F432" s="1" t="s">
        <v>1759</v>
      </c>
      <c r="G432" s="3" t="s">
        <v>39</v>
      </c>
      <c r="H432" s="3" t="s">
        <v>51</v>
      </c>
      <c r="I432" s="3" t="s">
        <v>51</v>
      </c>
      <c r="J432" s="27"/>
      <c r="K432" s="11" t="s">
        <v>1036</v>
      </c>
      <c r="L432" s="16" t="s">
        <v>1124</v>
      </c>
      <c r="M432" s="3" t="s">
        <v>1543</v>
      </c>
      <c r="N432" s="3" t="s">
        <v>1656</v>
      </c>
      <c r="O432" s="3"/>
      <c r="P432" s="3" t="b">
        <v>1</v>
      </c>
      <c r="Q432" s="3" t="s">
        <v>1497</v>
      </c>
      <c r="R432" s="4" t="b">
        <v>0</v>
      </c>
      <c r="S432" s="4"/>
    </row>
    <row r="433" spans="1:19" x14ac:dyDescent="0.3">
      <c r="A433" s="27" t="s">
        <v>2431</v>
      </c>
      <c r="B433" s="27" t="s">
        <v>1939</v>
      </c>
      <c r="C433" s="27">
        <v>0</v>
      </c>
      <c r="D433" s="27" t="s">
        <v>1481</v>
      </c>
      <c r="E433" s="3"/>
      <c r="F433" s="1" t="s">
        <v>1759</v>
      </c>
      <c r="G433" s="3" t="s">
        <v>39</v>
      </c>
      <c r="H433" s="3" t="s">
        <v>51</v>
      </c>
      <c r="I433" s="3" t="s">
        <v>51</v>
      </c>
      <c r="J433" s="27"/>
      <c r="K433" s="11" t="s">
        <v>1036</v>
      </c>
      <c r="L433" s="16" t="s">
        <v>1124</v>
      </c>
      <c r="M433" s="3" t="s">
        <v>1543</v>
      </c>
      <c r="N433" s="3" t="s">
        <v>1656</v>
      </c>
      <c r="O433" s="3"/>
      <c r="P433" s="3" t="b">
        <v>1</v>
      </c>
      <c r="Q433" s="3" t="s">
        <v>1497</v>
      </c>
      <c r="R433" s="4" t="b">
        <v>0</v>
      </c>
      <c r="S433" s="4"/>
    </row>
    <row r="434" spans="1:19" x14ac:dyDescent="0.3">
      <c r="A434" s="27" t="s">
        <v>2431</v>
      </c>
      <c r="B434" s="27" t="s">
        <v>1464</v>
      </c>
      <c r="C434" s="27">
        <v>0</v>
      </c>
      <c r="D434" s="27" t="s">
        <v>1594</v>
      </c>
      <c r="E434" s="3"/>
      <c r="F434" s="1" t="s">
        <v>1760</v>
      </c>
      <c r="G434" s="3" t="s">
        <v>39</v>
      </c>
      <c r="H434" s="3" t="s">
        <v>51</v>
      </c>
      <c r="I434" s="3" t="s">
        <v>51</v>
      </c>
      <c r="J434" s="27"/>
      <c r="K434" s="11" t="s">
        <v>1036</v>
      </c>
      <c r="L434" s="16" t="s">
        <v>1124</v>
      </c>
      <c r="M434" s="3" t="s">
        <v>1544</v>
      </c>
      <c r="N434" s="3" t="s">
        <v>1657</v>
      </c>
      <c r="O434" s="3"/>
      <c r="P434" s="3" t="b">
        <v>1</v>
      </c>
      <c r="Q434" s="3" t="s">
        <v>1497</v>
      </c>
      <c r="R434" s="4" t="b">
        <v>0</v>
      </c>
      <c r="S434" s="4"/>
    </row>
    <row r="435" spans="1:19" x14ac:dyDescent="0.3">
      <c r="A435" s="27" t="s">
        <v>2431</v>
      </c>
      <c r="B435" s="27" t="s">
        <v>1466</v>
      </c>
      <c r="C435" s="27">
        <v>0</v>
      </c>
      <c r="D435" s="27" t="s">
        <v>1594</v>
      </c>
      <c r="E435" s="3"/>
      <c r="F435" s="1" t="s">
        <v>1760</v>
      </c>
      <c r="G435" s="3" t="s">
        <v>39</v>
      </c>
      <c r="H435" s="3" t="s">
        <v>51</v>
      </c>
      <c r="I435" s="3" t="s">
        <v>51</v>
      </c>
      <c r="J435" s="27"/>
      <c r="K435" s="11" t="s">
        <v>1036</v>
      </c>
      <c r="L435" s="16" t="s">
        <v>1124</v>
      </c>
      <c r="M435" s="3" t="s">
        <v>1544</v>
      </c>
      <c r="N435" s="3" t="s">
        <v>1657</v>
      </c>
      <c r="O435" s="3"/>
      <c r="P435" s="3" t="b">
        <v>1</v>
      </c>
      <c r="Q435" s="3" t="s">
        <v>1497</v>
      </c>
      <c r="R435" s="4" t="b">
        <v>0</v>
      </c>
      <c r="S435" s="4"/>
    </row>
    <row r="436" spans="1:19" x14ac:dyDescent="0.3">
      <c r="A436" s="27" t="s">
        <v>2431</v>
      </c>
      <c r="B436" s="27" t="s">
        <v>1467</v>
      </c>
      <c r="C436" s="27">
        <v>0</v>
      </c>
      <c r="D436" s="27" t="s">
        <v>1594</v>
      </c>
      <c r="E436" s="3"/>
      <c r="F436" s="1" t="s">
        <v>1760</v>
      </c>
      <c r="G436" s="3" t="s">
        <v>39</v>
      </c>
      <c r="H436" s="3" t="s">
        <v>51</v>
      </c>
      <c r="I436" s="3" t="s">
        <v>51</v>
      </c>
      <c r="J436" s="27"/>
      <c r="K436" s="11" t="s">
        <v>1036</v>
      </c>
      <c r="L436" s="16" t="s">
        <v>1124</v>
      </c>
      <c r="M436" s="3" t="s">
        <v>1544</v>
      </c>
      <c r="N436" s="3" t="s">
        <v>1657</v>
      </c>
      <c r="O436" s="3"/>
      <c r="P436" s="3" t="b">
        <v>1</v>
      </c>
      <c r="Q436" s="3" t="s">
        <v>1497</v>
      </c>
      <c r="R436" s="4" t="b">
        <v>0</v>
      </c>
      <c r="S436" s="4"/>
    </row>
    <row r="437" spans="1:19" x14ac:dyDescent="0.3">
      <c r="A437" s="27" t="s">
        <v>2431</v>
      </c>
      <c r="B437" s="27" t="s">
        <v>1468</v>
      </c>
      <c r="C437" s="27">
        <v>0</v>
      </c>
      <c r="D437" s="27" t="s">
        <v>1594</v>
      </c>
      <c r="E437" s="3"/>
      <c r="F437" s="1" t="s">
        <v>1760</v>
      </c>
      <c r="G437" s="3" t="s">
        <v>39</v>
      </c>
      <c r="H437" s="3" t="s">
        <v>51</v>
      </c>
      <c r="I437" s="3" t="s">
        <v>51</v>
      </c>
      <c r="J437" s="27"/>
      <c r="K437" s="11" t="s">
        <v>1036</v>
      </c>
      <c r="L437" s="16" t="s">
        <v>1124</v>
      </c>
      <c r="M437" s="3" t="s">
        <v>1544</v>
      </c>
      <c r="N437" s="3" t="s">
        <v>1657</v>
      </c>
      <c r="O437" s="3"/>
      <c r="P437" s="3" t="b">
        <v>1</v>
      </c>
      <c r="Q437" s="3" t="s">
        <v>1497</v>
      </c>
      <c r="R437" s="4" t="b">
        <v>0</v>
      </c>
      <c r="S437" s="4"/>
    </row>
    <row r="438" spans="1:19" x14ac:dyDescent="0.3">
      <c r="A438" s="27" t="s">
        <v>2431</v>
      </c>
      <c r="B438" s="27" t="s">
        <v>1469</v>
      </c>
      <c r="C438" s="27">
        <v>0</v>
      </c>
      <c r="D438" s="27" t="s">
        <v>1594</v>
      </c>
      <c r="E438" s="3"/>
      <c r="F438" s="1" t="s">
        <v>1760</v>
      </c>
      <c r="G438" s="3" t="s">
        <v>39</v>
      </c>
      <c r="H438" s="3" t="s">
        <v>51</v>
      </c>
      <c r="I438" s="3" t="s">
        <v>51</v>
      </c>
      <c r="J438" s="27"/>
      <c r="K438" s="11" t="s">
        <v>1036</v>
      </c>
      <c r="L438" s="16" t="s">
        <v>1124</v>
      </c>
      <c r="M438" s="3" t="s">
        <v>1544</v>
      </c>
      <c r="N438" s="3" t="s">
        <v>1657</v>
      </c>
      <c r="O438" s="3"/>
      <c r="P438" s="3" t="b">
        <v>1</v>
      </c>
      <c r="Q438" s="3" t="s">
        <v>1497</v>
      </c>
      <c r="R438" s="4" t="b">
        <v>0</v>
      </c>
      <c r="S438" s="4"/>
    </row>
    <row r="439" spans="1:19" x14ac:dyDescent="0.3">
      <c r="A439" s="27" t="s">
        <v>2431</v>
      </c>
      <c r="B439" s="27" t="s">
        <v>1470</v>
      </c>
      <c r="C439" s="27">
        <v>0</v>
      </c>
      <c r="D439" s="27" t="s">
        <v>1594</v>
      </c>
      <c r="E439" s="3"/>
      <c r="F439" s="1" t="s">
        <v>1760</v>
      </c>
      <c r="G439" s="3" t="s">
        <v>39</v>
      </c>
      <c r="H439" s="3" t="s">
        <v>51</v>
      </c>
      <c r="I439" s="3" t="s">
        <v>51</v>
      </c>
      <c r="J439" s="27"/>
      <c r="K439" s="11" t="s">
        <v>1036</v>
      </c>
      <c r="L439" s="16" t="s">
        <v>1124</v>
      </c>
      <c r="M439" s="3" t="s">
        <v>1544</v>
      </c>
      <c r="N439" s="3" t="s">
        <v>1657</v>
      </c>
      <c r="O439" s="3"/>
      <c r="P439" s="3" t="b">
        <v>1</v>
      </c>
      <c r="Q439" s="3" t="s">
        <v>1497</v>
      </c>
      <c r="R439" s="4" t="b">
        <v>0</v>
      </c>
      <c r="S439" s="4"/>
    </row>
    <row r="440" spans="1:19" x14ac:dyDescent="0.3">
      <c r="A440" s="27" t="s">
        <v>2431</v>
      </c>
      <c r="B440" s="27" t="s">
        <v>1934</v>
      </c>
      <c r="C440" s="27">
        <v>0</v>
      </c>
      <c r="D440" s="27" t="s">
        <v>1594</v>
      </c>
      <c r="E440" s="3"/>
      <c r="F440" s="1" t="s">
        <v>1760</v>
      </c>
      <c r="G440" s="3" t="s">
        <v>39</v>
      </c>
      <c r="H440" s="3" t="s">
        <v>51</v>
      </c>
      <c r="I440" s="3" t="s">
        <v>51</v>
      </c>
      <c r="J440" s="27"/>
      <c r="K440" s="11" t="s">
        <v>1036</v>
      </c>
      <c r="L440" s="16" t="s">
        <v>1124</v>
      </c>
      <c r="M440" s="3" t="s">
        <v>1544</v>
      </c>
      <c r="N440" s="3" t="s">
        <v>1657</v>
      </c>
      <c r="O440" s="3"/>
      <c r="P440" s="3" t="b">
        <v>1</v>
      </c>
      <c r="Q440" s="3" t="s">
        <v>1497</v>
      </c>
      <c r="R440" s="4" t="b">
        <v>0</v>
      </c>
      <c r="S440" s="4"/>
    </row>
    <row r="441" spans="1:19" x14ac:dyDescent="0.3">
      <c r="A441" s="27" t="s">
        <v>2431</v>
      </c>
      <c r="B441" s="27" t="s">
        <v>1935</v>
      </c>
      <c r="C441" s="27">
        <v>0</v>
      </c>
      <c r="D441" s="27" t="s">
        <v>1594</v>
      </c>
      <c r="E441" s="3"/>
      <c r="F441" s="1" t="s">
        <v>1760</v>
      </c>
      <c r="G441" s="3" t="s">
        <v>39</v>
      </c>
      <c r="H441" s="3" t="s">
        <v>51</v>
      </c>
      <c r="I441" s="3" t="s">
        <v>51</v>
      </c>
      <c r="J441" s="27"/>
      <c r="K441" s="11" t="s">
        <v>1036</v>
      </c>
      <c r="L441" s="16" t="s">
        <v>1124</v>
      </c>
      <c r="M441" s="3" t="s">
        <v>1544</v>
      </c>
      <c r="N441" s="3" t="s">
        <v>1657</v>
      </c>
      <c r="O441" s="3"/>
      <c r="P441" s="3" t="b">
        <v>1</v>
      </c>
      <c r="Q441" s="3" t="s">
        <v>1497</v>
      </c>
      <c r="R441" s="4" t="b">
        <v>0</v>
      </c>
      <c r="S441" s="4"/>
    </row>
    <row r="442" spans="1:19" x14ac:dyDescent="0.3">
      <c r="A442" s="27" t="s">
        <v>2431</v>
      </c>
      <c r="B442" s="27" t="s">
        <v>1936</v>
      </c>
      <c r="C442" s="27">
        <v>0</v>
      </c>
      <c r="D442" s="27" t="s">
        <v>1594</v>
      </c>
      <c r="E442" s="3"/>
      <c r="F442" s="1" t="s">
        <v>1760</v>
      </c>
      <c r="G442" s="3" t="s">
        <v>39</v>
      </c>
      <c r="H442" s="3" t="s">
        <v>51</v>
      </c>
      <c r="I442" s="3" t="s">
        <v>51</v>
      </c>
      <c r="J442" s="27"/>
      <c r="K442" s="11" t="s">
        <v>1036</v>
      </c>
      <c r="L442" s="16" t="s">
        <v>1124</v>
      </c>
      <c r="M442" s="3" t="s">
        <v>1544</v>
      </c>
      <c r="N442" s="3" t="s">
        <v>1657</v>
      </c>
      <c r="O442" s="3"/>
      <c r="P442" s="3" t="b">
        <v>1</v>
      </c>
      <c r="Q442" s="3" t="s">
        <v>1497</v>
      </c>
      <c r="R442" s="4" t="b">
        <v>0</v>
      </c>
      <c r="S442" s="4"/>
    </row>
    <row r="443" spans="1:19" x14ac:dyDescent="0.3">
      <c r="A443" s="27" t="s">
        <v>2431</v>
      </c>
      <c r="B443" s="27" t="s">
        <v>1937</v>
      </c>
      <c r="C443" s="27">
        <v>0</v>
      </c>
      <c r="D443" s="27" t="s">
        <v>1594</v>
      </c>
      <c r="E443" s="3"/>
      <c r="F443" s="1" t="s">
        <v>1760</v>
      </c>
      <c r="G443" s="3" t="s">
        <v>39</v>
      </c>
      <c r="H443" s="3" t="s">
        <v>51</v>
      </c>
      <c r="I443" s="3" t="s">
        <v>51</v>
      </c>
      <c r="J443" s="27"/>
      <c r="K443" s="11" t="s">
        <v>1036</v>
      </c>
      <c r="L443" s="16" t="s">
        <v>1124</v>
      </c>
      <c r="M443" s="3" t="s">
        <v>1544</v>
      </c>
      <c r="N443" s="3" t="s">
        <v>1657</v>
      </c>
      <c r="O443" s="3"/>
      <c r="P443" s="3" t="b">
        <v>1</v>
      </c>
      <c r="Q443" s="3" t="s">
        <v>1497</v>
      </c>
      <c r="R443" s="4" t="b">
        <v>0</v>
      </c>
      <c r="S443" s="4"/>
    </row>
    <row r="444" spans="1:19" x14ac:dyDescent="0.3">
      <c r="A444" s="27" t="s">
        <v>2431</v>
      </c>
      <c r="B444" s="27" t="s">
        <v>1938</v>
      </c>
      <c r="C444" s="27">
        <v>0</v>
      </c>
      <c r="D444" s="27" t="s">
        <v>1594</v>
      </c>
      <c r="E444" s="3"/>
      <c r="F444" s="1" t="s">
        <v>1760</v>
      </c>
      <c r="G444" s="3" t="s">
        <v>39</v>
      </c>
      <c r="H444" s="3" t="s">
        <v>51</v>
      </c>
      <c r="I444" s="3" t="s">
        <v>51</v>
      </c>
      <c r="J444" s="27"/>
      <c r="K444" s="11" t="s">
        <v>1036</v>
      </c>
      <c r="L444" s="16" t="s">
        <v>1124</v>
      </c>
      <c r="M444" s="3" t="s">
        <v>1544</v>
      </c>
      <c r="N444" s="3" t="s">
        <v>1657</v>
      </c>
      <c r="O444" s="3"/>
      <c r="P444" s="3" t="b">
        <v>1</v>
      </c>
      <c r="Q444" s="3" t="s">
        <v>1497</v>
      </c>
      <c r="R444" s="4" t="b">
        <v>0</v>
      </c>
      <c r="S444" s="4"/>
    </row>
    <row r="445" spans="1:19" x14ac:dyDescent="0.3">
      <c r="A445" s="27" t="s">
        <v>2431</v>
      </c>
      <c r="B445" s="27" t="s">
        <v>1939</v>
      </c>
      <c r="C445" s="27">
        <v>0</v>
      </c>
      <c r="D445" s="27" t="s">
        <v>1594</v>
      </c>
      <c r="E445" s="3"/>
      <c r="F445" s="1" t="s">
        <v>1760</v>
      </c>
      <c r="G445" s="3" t="s">
        <v>39</v>
      </c>
      <c r="H445" s="3" t="s">
        <v>51</v>
      </c>
      <c r="I445" s="3" t="s">
        <v>51</v>
      </c>
      <c r="J445" s="27"/>
      <c r="K445" s="11" t="s">
        <v>1036</v>
      </c>
      <c r="L445" s="16" t="s">
        <v>1124</v>
      </c>
      <c r="M445" s="3" t="s">
        <v>1544</v>
      </c>
      <c r="N445" s="3" t="s">
        <v>1657</v>
      </c>
      <c r="O445" s="3"/>
      <c r="P445" s="3" t="b">
        <v>1</v>
      </c>
      <c r="Q445" s="3" t="s">
        <v>1497</v>
      </c>
      <c r="R445" s="4" t="b">
        <v>0</v>
      </c>
      <c r="S445" s="4"/>
    </row>
    <row r="446" spans="1:19" x14ac:dyDescent="0.3">
      <c r="A446" s="27" t="s">
        <v>2431</v>
      </c>
      <c r="B446" s="27" t="s">
        <v>1464</v>
      </c>
      <c r="C446" s="27">
        <v>0</v>
      </c>
      <c r="D446" s="27" t="s">
        <v>1631</v>
      </c>
      <c r="E446" s="3"/>
      <c r="F446" s="1" t="s">
        <v>1761</v>
      </c>
      <c r="G446" s="3" t="s">
        <v>39</v>
      </c>
      <c r="H446" s="3" t="s">
        <v>51</v>
      </c>
      <c r="I446" s="3" t="s">
        <v>51</v>
      </c>
      <c r="J446" s="27"/>
      <c r="K446" s="11" t="s">
        <v>1036</v>
      </c>
      <c r="L446" s="16" t="s">
        <v>1124</v>
      </c>
      <c r="M446" s="3" t="s">
        <v>1547</v>
      </c>
      <c r="N446" s="3" t="s">
        <v>1671</v>
      </c>
      <c r="O446" s="3"/>
      <c r="P446" s="3" t="b">
        <v>1</v>
      </c>
      <c r="Q446" s="3" t="s">
        <v>1497</v>
      </c>
      <c r="R446" s="4" t="b">
        <v>0</v>
      </c>
      <c r="S446" s="4"/>
    </row>
    <row r="447" spans="1:19" x14ac:dyDescent="0.3">
      <c r="A447" s="27" t="s">
        <v>2431</v>
      </c>
      <c r="B447" s="27" t="s">
        <v>1466</v>
      </c>
      <c r="C447" s="27">
        <v>0</v>
      </c>
      <c r="D447" s="27" t="s">
        <v>1631</v>
      </c>
      <c r="E447" s="3"/>
      <c r="F447" s="1" t="s">
        <v>1761</v>
      </c>
      <c r="G447" s="3" t="s">
        <v>39</v>
      </c>
      <c r="H447" s="3" t="s">
        <v>51</v>
      </c>
      <c r="I447" s="3" t="s">
        <v>51</v>
      </c>
      <c r="J447" s="27"/>
      <c r="K447" s="11" t="s">
        <v>1036</v>
      </c>
      <c r="L447" s="16" t="s">
        <v>1124</v>
      </c>
      <c r="M447" s="3" t="s">
        <v>1547</v>
      </c>
      <c r="N447" s="3" t="s">
        <v>1671</v>
      </c>
      <c r="O447" s="3"/>
      <c r="P447" s="3" t="b">
        <v>1</v>
      </c>
      <c r="Q447" s="3" t="s">
        <v>1497</v>
      </c>
      <c r="R447" s="4" t="b">
        <v>0</v>
      </c>
      <c r="S447" s="4"/>
    </row>
    <row r="448" spans="1:19" x14ac:dyDescent="0.3">
      <c r="A448" s="27" t="s">
        <v>2431</v>
      </c>
      <c r="B448" s="27" t="s">
        <v>1467</v>
      </c>
      <c r="C448" s="27">
        <v>0</v>
      </c>
      <c r="D448" s="27" t="s">
        <v>1631</v>
      </c>
      <c r="E448" s="3"/>
      <c r="F448" s="1" t="s">
        <v>1761</v>
      </c>
      <c r="G448" s="3" t="s">
        <v>39</v>
      </c>
      <c r="H448" s="3" t="s">
        <v>51</v>
      </c>
      <c r="I448" s="3" t="s">
        <v>51</v>
      </c>
      <c r="J448" s="27"/>
      <c r="K448" s="11" t="s">
        <v>1036</v>
      </c>
      <c r="L448" s="16" t="s">
        <v>1124</v>
      </c>
      <c r="M448" s="3" t="s">
        <v>1547</v>
      </c>
      <c r="N448" s="3" t="s">
        <v>1671</v>
      </c>
      <c r="O448" s="3"/>
      <c r="P448" s="3" t="b">
        <v>1</v>
      </c>
      <c r="Q448" s="3" t="s">
        <v>1497</v>
      </c>
      <c r="R448" s="4" t="b">
        <v>0</v>
      </c>
      <c r="S448" s="4"/>
    </row>
    <row r="449" spans="1:19" x14ac:dyDescent="0.3">
      <c r="A449" s="27" t="s">
        <v>2431</v>
      </c>
      <c r="B449" s="27" t="s">
        <v>1468</v>
      </c>
      <c r="C449" s="27">
        <v>0</v>
      </c>
      <c r="D449" s="27" t="s">
        <v>1631</v>
      </c>
      <c r="E449" s="3"/>
      <c r="F449" s="1" t="s">
        <v>1761</v>
      </c>
      <c r="G449" s="3" t="s">
        <v>39</v>
      </c>
      <c r="H449" s="3" t="s">
        <v>51</v>
      </c>
      <c r="I449" s="3" t="s">
        <v>51</v>
      </c>
      <c r="J449" s="27"/>
      <c r="K449" s="11" t="s">
        <v>1036</v>
      </c>
      <c r="L449" s="16" t="s">
        <v>1124</v>
      </c>
      <c r="M449" s="3" t="s">
        <v>1547</v>
      </c>
      <c r="N449" s="3" t="s">
        <v>1671</v>
      </c>
      <c r="O449" s="3"/>
      <c r="P449" s="3" t="b">
        <v>1</v>
      </c>
      <c r="Q449" s="3" t="s">
        <v>1497</v>
      </c>
      <c r="R449" s="4" t="b">
        <v>0</v>
      </c>
      <c r="S449" s="4"/>
    </row>
    <row r="450" spans="1:19" x14ac:dyDescent="0.3">
      <c r="A450" s="27" t="s">
        <v>2431</v>
      </c>
      <c r="B450" s="27" t="s">
        <v>1469</v>
      </c>
      <c r="C450" s="27">
        <v>0</v>
      </c>
      <c r="D450" s="27" t="s">
        <v>1631</v>
      </c>
      <c r="E450" s="3"/>
      <c r="F450" s="1" t="s">
        <v>1761</v>
      </c>
      <c r="G450" s="3" t="s">
        <v>39</v>
      </c>
      <c r="H450" s="3" t="s">
        <v>51</v>
      </c>
      <c r="I450" s="3" t="s">
        <v>51</v>
      </c>
      <c r="J450" s="27"/>
      <c r="K450" s="11" t="s">
        <v>1036</v>
      </c>
      <c r="L450" s="16" t="s">
        <v>1124</v>
      </c>
      <c r="M450" s="3" t="s">
        <v>1547</v>
      </c>
      <c r="N450" s="3" t="s">
        <v>1671</v>
      </c>
      <c r="O450" s="3"/>
      <c r="P450" s="3" t="b">
        <v>1</v>
      </c>
      <c r="Q450" s="3" t="s">
        <v>1497</v>
      </c>
      <c r="R450" s="4" t="b">
        <v>0</v>
      </c>
      <c r="S450" s="4"/>
    </row>
    <row r="451" spans="1:19" x14ac:dyDescent="0.3">
      <c r="A451" s="27" t="s">
        <v>2431</v>
      </c>
      <c r="B451" s="27" t="s">
        <v>1470</v>
      </c>
      <c r="C451" s="27">
        <v>0</v>
      </c>
      <c r="D451" s="27" t="s">
        <v>1631</v>
      </c>
      <c r="E451" s="3"/>
      <c r="F451" s="1" t="s">
        <v>1761</v>
      </c>
      <c r="G451" s="3" t="s">
        <v>39</v>
      </c>
      <c r="H451" s="3" t="s">
        <v>51</v>
      </c>
      <c r="I451" s="3" t="s">
        <v>51</v>
      </c>
      <c r="J451" s="27"/>
      <c r="K451" s="11" t="s">
        <v>1036</v>
      </c>
      <c r="L451" s="16" t="s">
        <v>1124</v>
      </c>
      <c r="M451" s="3" t="s">
        <v>1547</v>
      </c>
      <c r="N451" s="3" t="s">
        <v>1671</v>
      </c>
      <c r="O451" s="3"/>
      <c r="P451" s="3" t="b">
        <v>1</v>
      </c>
      <c r="Q451" s="3" t="s">
        <v>1497</v>
      </c>
      <c r="R451" s="4" t="b">
        <v>0</v>
      </c>
      <c r="S451" s="4"/>
    </row>
    <row r="452" spans="1:19" x14ac:dyDescent="0.3">
      <c r="A452" s="27" t="s">
        <v>2431</v>
      </c>
      <c r="B452" s="27" t="s">
        <v>1934</v>
      </c>
      <c r="C452" s="27">
        <v>0</v>
      </c>
      <c r="D452" s="27" t="s">
        <v>1631</v>
      </c>
      <c r="E452" s="3"/>
      <c r="F452" s="1" t="s">
        <v>1761</v>
      </c>
      <c r="G452" s="3" t="s">
        <v>39</v>
      </c>
      <c r="H452" s="3" t="s">
        <v>51</v>
      </c>
      <c r="I452" s="3" t="s">
        <v>51</v>
      </c>
      <c r="J452" s="27"/>
      <c r="K452" s="11" t="s">
        <v>1036</v>
      </c>
      <c r="L452" s="16" t="s">
        <v>1124</v>
      </c>
      <c r="M452" s="3" t="s">
        <v>1547</v>
      </c>
      <c r="N452" s="3" t="s">
        <v>1671</v>
      </c>
      <c r="O452" s="3"/>
      <c r="P452" s="3" t="b">
        <v>1</v>
      </c>
      <c r="Q452" s="3" t="s">
        <v>1497</v>
      </c>
      <c r="R452" s="4" t="b">
        <v>0</v>
      </c>
      <c r="S452" s="4"/>
    </row>
    <row r="453" spans="1:19" x14ac:dyDescent="0.3">
      <c r="A453" s="27" t="s">
        <v>2431</v>
      </c>
      <c r="B453" s="27" t="s">
        <v>1935</v>
      </c>
      <c r="C453" s="27">
        <v>0</v>
      </c>
      <c r="D453" s="27" t="s">
        <v>1631</v>
      </c>
      <c r="E453" s="3"/>
      <c r="F453" s="1" t="s">
        <v>1761</v>
      </c>
      <c r="G453" s="3" t="s">
        <v>39</v>
      </c>
      <c r="H453" s="3" t="s">
        <v>51</v>
      </c>
      <c r="I453" s="3" t="s">
        <v>51</v>
      </c>
      <c r="J453" s="27"/>
      <c r="K453" s="11" t="s">
        <v>1036</v>
      </c>
      <c r="L453" s="16" t="s">
        <v>1124</v>
      </c>
      <c r="M453" s="3" t="s">
        <v>1547</v>
      </c>
      <c r="N453" s="3" t="s">
        <v>1671</v>
      </c>
      <c r="O453" s="3"/>
      <c r="P453" s="3" t="b">
        <v>1</v>
      </c>
      <c r="Q453" s="3" t="s">
        <v>1497</v>
      </c>
      <c r="R453" s="4" t="b">
        <v>0</v>
      </c>
      <c r="S453" s="4"/>
    </row>
    <row r="454" spans="1:19" x14ac:dyDescent="0.3">
      <c r="A454" s="27" t="s">
        <v>2431</v>
      </c>
      <c r="B454" s="27" t="s">
        <v>1936</v>
      </c>
      <c r="C454" s="27">
        <v>0</v>
      </c>
      <c r="D454" s="27" t="s">
        <v>1631</v>
      </c>
      <c r="E454" s="3"/>
      <c r="F454" s="1" t="s">
        <v>1761</v>
      </c>
      <c r="G454" s="3" t="s">
        <v>39</v>
      </c>
      <c r="H454" s="3" t="s">
        <v>51</v>
      </c>
      <c r="I454" s="3" t="s">
        <v>51</v>
      </c>
      <c r="J454" s="27"/>
      <c r="K454" s="11" t="s">
        <v>1036</v>
      </c>
      <c r="L454" s="16" t="s">
        <v>1124</v>
      </c>
      <c r="M454" s="3" t="s">
        <v>1547</v>
      </c>
      <c r="N454" s="3" t="s">
        <v>1671</v>
      </c>
      <c r="O454" s="3"/>
      <c r="P454" s="3" t="b">
        <v>1</v>
      </c>
      <c r="Q454" s="3" t="s">
        <v>1497</v>
      </c>
      <c r="R454" s="4" t="b">
        <v>0</v>
      </c>
      <c r="S454" s="4"/>
    </row>
    <row r="455" spans="1:19" x14ac:dyDescent="0.3">
      <c r="A455" s="27" t="s">
        <v>2431</v>
      </c>
      <c r="B455" s="27" t="s">
        <v>1937</v>
      </c>
      <c r="C455" s="27">
        <v>0</v>
      </c>
      <c r="D455" s="27" t="s">
        <v>1631</v>
      </c>
      <c r="E455" s="3"/>
      <c r="F455" s="1" t="s">
        <v>1761</v>
      </c>
      <c r="G455" s="3" t="s">
        <v>39</v>
      </c>
      <c r="H455" s="3" t="s">
        <v>51</v>
      </c>
      <c r="I455" s="3" t="s">
        <v>51</v>
      </c>
      <c r="J455" s="27"/>
      <c r="K455" s="11" t="s">
        <v>1036</v>
      </c>
      <c r="L455" s="16" t="s">
        <v>1124</v>
      </c>
      <c r="M455" s="3" t="s">
        <v>1547</v>
      </c>
      <c r="N455" s="3" t="s">
        <v>1671</v>
      </c>
      <c r="O455" s="3"/>
      <c r="P455" s="3" t="b">
        <v>1</v>
      </c>
      <c r="Q455" s="3" t="s">
        <v>1497</v>
      </c>
      <c r="R455" s="4" t="b">
        <v>0</v>
      </c>
      <c r="S455" s="4"/>
    </row>
    <row r="456" spans="1:19" x14ac:dyDescent="0.3">
      <c r="A456" s="27" t="s">
        <v>2431</v>
      </c>
      <c r="B456" s="27" t="s">
        <v>1938</v>
      </c>
      <c r="C456" s="27">
        <v>0</v>
      </c>
      <c r="D456" s="27" t="s">
        <v>1631</v>
      </c>
      <c r="E456" s="3"/>
      <c r="F456" s="1" t="s">
        <v>1761</v>
      </c>
      <c r="G456" s="3" t="s">
        <v>39</v>
      </c>
      <c r="H456" s="3" t="s">
        <v>51</v>
      </c>
      <c r="I456" s="3" t="s">
        <v>51</v>
      </c>
      <c r="J456" s="27"/>
      <c r="K456" s="11" t="s">
        <v>1036</v>
      </c>
      <c r="L456" s="16" t="s">
        <v>1124</v>
      </c>
      <c r="M456" s="3" t="s">
        <v>1547</v>
      </c>
      <c r="N456" s="3" t="s">
        <v>1671</v>
      </c>
      <c r="O456" s="3"/>
      <c r="P456" s="3" t="b">
        <v>1</v>
      </c>
      <c r="Q456" s="3" t="s">
        <v>1497</v>
      </c>
      <c r="R456" s="4" t="b">
        <v>0</v>
      </c>
      <c r="S456" s="4"/>
    </row>
    <row r="457" spans="1:19" x14ac:dyDescent="0.3">
      <c r="A457" s="27" t="s">
        <v>2431</v>
      </c>
      <c r="B457" s="27" t="s">
        <v>1939</v>
      </c>
      <c r="C457" s="27">
        <v>0</v>
      </c>
      <c r="D457" s="27" t="s">
        <v>1631</v>
      </c>
      <c r="E457" s="3"/>
      <c r="F457" s="1" t="s">
        <v>1761</v>
      </c>
      <c r="G457" s="3" t="s">
        <v>39</v>
      </c>
      <c r="H457" s="3" t="s">
        <v>51</v>
      </c>
      <c r="I457" s="3" t="s">
        <v>51</v>
      </c>
      <c r="J457" s="27"/>
      <c r="K457" s="11" t="s">
        <v>1036</v>
      </c>
      <c r="L457" s="16" t="s">
        <v>1124</v>
      </c>
      <c r="M457" s="3" t="s">
        <v>1547</v>
      </c>
      <c r="N457" s="3" t="s">
        <v>1671</v>
      </c>
      <c r="O457" s="3"/>
      <c r="P457" s="3" t="b">
        <v>1</v>
      </c>
      <c r="Q457" s="3" t="s">
        <v>1497</v>
      </c>
      <c r="R457" s="4" t="b">
        <v>0</v>
      </c>
      <c r="S457" s="4"/>
    </row>
    <row r="458" spans="1:19" x14ac:dyDescent="0.3">
      <c r="A458" s="27" t="s">
        <v>2431</v>
      </c>
      <c r="B458" s="27"/>
      <c r="C458" s="27">
        <v>0</v>
      </c>
      <c r="D458" s="27"/>
      <c r="E458" s="3"/>
      <c r="F458" s="3" t="s">
        <v>1025</v>
      </c>
      <c r="G458" s="3" t="s">
        <v>39</v>
      </c>
      <c r="H458" s="3" t="s">
        <v>51</v>
      </c>
      <c r="I458" s="3" t="s">
        <v>51</v>
      </c>
      <c r="J458" s="27"/>
      <c r="K458" s="11" t="s">
        <v>1172</v>
      </c>
      <c r="L458" s="16" t="s">
        <v>1124</v>
      </c>
      <c r="M458" s="3" t="s">
        <v>1026</v>
      </c>
      <c r="N458" s="3" t="s">
        <v>1674</v>
      </c>
      <c r="O458" s="3"/>
      <c r="P458" s="3" t="b">
        <v>1</v>
      </c>
      <c r="Q458" s="3" t="s">
        <v>1394</v>
      </c>
      <c r="R458" s="4" t="b">
        <v>0</v>
      </c>
      <c r="S458" s="4">
        <v>-1050</v>
      </c>
    </row>
    <row r="459" spans="1:19" x14ac:dyDescent="0.3">
      <c r="A459" s="27" t="s">
        <v>880</v>
      </c>
      <c r="B459" s="27"/>
      <c r="C459" s="27">
        <v>0</v>
      </c>
      <c r="D459" s="27"/>
      <c r="E459" s="3"/>
      <c r="F459" s="3" t="s">
        <v>1027</v>
      </c>
      <c r="G459" s="3" t="s">
        <v>39</v>
      </c>
      <c r="H459" s="3" t="s">
        <v>51</v>
      </c>
      <c r="I459" s="3" t="s">
        <v>51</v>
      </c>
      <c r="J459" s="27"/>
      <c r="K459" s="11" t="s">
        <v>1172</v>
      </c>
      <c r="L459" s="16" t="s">
        <v>1124</v>
      </c>
      <c r="M459" s="3" t="s">
        <v>1393</v>
      </c>
      <c r="N459" s="3" t="s">
        <v>1675</v>
      </c>
      <c r="O459" s="3"/>
      <c r="P459" s="3" t="b">
        <v>1</v>
      </c>
      <c r="Q459" s="3" t="s">
        <v>1410</v>
      </c>
      <c r="R459" s="4" t="b">
        <v>0</v>
      </c>
      <c r="S459" s="4">
        <v>-350</v>
      </c>
    </row>
    <row r="460" spans="1:19" x14ac:dyDescent="0.3">
      <c r="A460" s="27" t="s">
        <v>2431</v>
      </c>
      <c r="B460" s="27"/>
      <c r="C460" s="27">
        <v>0</v>
      </c>
      <c r="D460" s="27"/>
      <c r="E460" s="3"/>
      <c r="F460" s="3" t="s">
        <v>1050</v>
      </c>
      <c r="G460" s="3"/>
      <c r="H460" s="3" t="s">
        <v>51</v>
      </c>
      <c r="I460" s="3" t="s">
        <v>51</v>
      </c>
      <c r="J460" s="27"/>
      <c r="K460" s="11" t="s">
        <v>1242</v>
      </c>
      <c r="L460" s="16" t="s">
        <v>1124</v>
      </c>
      <c r="M460" s="3" t="s">
        <v>1400</v>
      </c>
      <c r="N460" s="3" t="s">
        <v>1679</v>
      </c>
      <c r="O460" s="3"/>
      <c r="P460" s="3" t="b">
        <v>1</v>
      </c>
      <c r="Q460" s="3" t="s">
        <v>1497</v>
      </c>
      <c r="R460" s="4" t="b">
        <v>1</v>
      </c>
      <c r="S460" s="4"/>
    </row>
    <row r="461" spans="1:19" x14ac:dyDescent="0.3">
      <c r="A461" s="27" t="s">
        <v>2431</v>
      </c>
      <c r="B461" s="27"/>
      <c r="C461" s="27">
        <v>0</v>
      </c>
      <c r="D461" s="27"/>
      <c r="E461" s="3"/>
      <c r="F461" s="3" t="s">
        <v>1048</v>
      </c>
      <c r="G461" s="3"/>
      <c r="H461" s="3" t="s">
        <v>51</v>
      </c>
      <c r="I461" s="3" t="s">
        <v>51</v>
      </c>
      <c r="J461" s="27"/>
      <c r="K461" s="11" t="s">
        <v>1244</v>
      </c>
      <c r="L461" s="16" t="s">
        <v>1124</v>
      </c>
      <c r="M461" s="3" t="s">
        <v>1399</v>
      </c>
      <c r="N461" s="3" t="s">
        <v>1680</v>
      </c>
      <c r="O461" s="3"/>
      <c r="P461" s="3" t="b">
        <v>1</v>
      </c>
      <c r="Q461" s="3" t="s">
        <v>1497</v>
      </c>
      <c r="R461" s="4" t="b">
        <v>1</v>
      </c>
      <c r="S461" s="4"/>
    </row>
    <row r="462" spans="1:19" x14ac:dyDescent="0.3">
      <c r="A462" s="27" t="s">
        <v>2431</v>
      </c>
      <c r="B462" s="27"/>
      <c r="C462" s="27">
        <v>0</v>
      </c>
      <c r="D462" s="27"/>
      <c r="E462" s="3"/>
      <c r="F462" s="3" t="s">
        <v>1042</v>
      </c>
      <c r="G462" s="3"/>
      <c r="H462" s="3" t="s">
        <v>51</v>
      </c>
      <c r="I462" s="3" t="s">
        <v>51</v>
      </c>
      <c r="J462" s="27"/>
      <c r="K462" s="11" t="s">
        <v>1248</v>
      </c>
      <c r="L462" s="16" t="s">
        <v>1124</v>
      </c>
      <c r="M462" s="3" t="s">
        <v>1397</v>
      </c>
      <c r="N462" s="3" t="s">
        <v>1681</v>
      </c>
      <c r="O462" s="3"/>
      <c r="P462" s="3" t="b">
        <v>1</v>
      </c>
      <c r="Q462" s="3" t="s">
        <v>1497</v>
      </c>
      <c r="R462" s="4" t="b">
        <v>1</v>
      </c>
      <c r="S462" s="4"/>
    </row>
    <row r="463" spans="1:19" x14ac:dyDescent="0.3">
      <c r="A463" s="27" t="s">
        <v>2431</v>
      </c>
      <c r="B463" s="27"/>
      <c r="C463" s="27">
        <v>0</v>
      </c>
      <c r="D463" s="27"/>
      <c r="E463" s="3"/>
      <c r="F463" s="3" t="s">
        <v>1044</v>
      </c>
      <c r="G463" s="3"/>
      <c r="H463" s="3" t="s">
        <v>51</v>
      </c>
      <c r="I463" s="3" t="s">
        <v>51</v>
      </c>
      <c r="J463" s="27"/>
      <c r="K463" s="11" t="s">
        <v>1250</v>
      </c>
      <c r="L463" s="16" t="s">
        <v>1124</v>
      </c>
      <c r="M463" s="3" t="s">
        <v>1403</v>
      </c>
      <c r="N463" s="3" t="s">
        <v>1682</v>
      </c>
      <c r="O463" s="3"/>
      <c r="P463" s="3" t="b">
        <v>1</v>
      </c>
      <c r="Q463" s="3" t="s">
        <v>1497</v>
      </c>
      <c r="R463" s="4" t="b">
        <v>1</v>
      </c>
      <c r="S463" s="4"/>
    </row>
    <row r="464" spans="1:19" x14ac:dyDescent="0.3">
      <c r="A464" s="27" t="s">
        <v>2431</v>
      </c>
      <c r="B464" s="27"/>
      <c r="C464" s="27">
        <v>0</v>
      </c>
      <c r="D464" s="27"/>
      <c r="E464" s="3"/>
      <c r="F464" s="3" t="s">
        <v>1046</v>
      </c>
      <c r="G464" s="3"/>
      <c r="H464" s="3" t="s">
        <v>51</v>
      </c>
      <c r="I464" s="3" t="s">
        <v>51</v>
      </c>
      <c r="J464" s="27"/>
      <c r="K464" s="11" t="s">
        <v>1252</v>
      </c>
      <c r="L464" s="16" t="s">
        <v>1124</v>
      </c>
      <c r="M464" s="3" t="s">
        <v>1398</v>
      </c>
      <c r="N464" s="3" t="s">
        <v>1684</v>
      </c>
      <c r="O464" s="3"/>
      <c r="P464" s="3" t="b">
        <v>1</v>
      </c>
      <c r="Q464" s="3" t="s">
        <v>1497</v>
      </c>
      <c r="R464" s="4" t="b">
        <v>1</v>
      </c>
      <c r="S464" s="4"/>
    </row>
    <row r="465" spans="1:19" x14ac:dyDescent="0.3">
      <c r="A465" s="27" t="s">
        <v>880</v>
      </c>
      <c r="B465" s="27"/>
      <c r="C465" s="27">
        <v>0</v>
      </c>
      <c r="D465" s="27"/>
      <c r="E465" s="3"/>
      <c r="F465" s="3" t="s">
        <v>1022</v>
      </c>
      <c r="G465" s="3" t="s">
        <v>39</v>
      </c>
      <c r="H465" s="3" t="s">
        <v>51</v>
      </c>
      <c r="I465" s="3" t="s">
        <v>51</v>
      </c>
      <c r="J465" s="27"/>
      <c r="K465" s="11" t="s">
        <v>1172</v>
      </c>
      <c r="L465" s="16" t="s">
        <v>1124</v>
      </c>
      <c r="M465" s="3" t="s">
        <v>1953</v>
      </c>
      <c r="N465" s="3" t="s">
        <v>1954</v>
      </c>
      <c r="O465" s="3"/>
      <c r="P465" s="3" t="b">
        <v>1</v>
      </c>
      <c r="Q465" s="3" t="s">
        <v>1497</v>
      </c>
      <c r="R465" s="4" t="b">
        <v>0</v>
      </c>
      <c r="S465" s="4">
        <v>-2690</v>
      </c>
    </row>
    <row r="466" spans="1:19" x14ac:dyDescent="0.3">
      <c r="A466" s="27" t="s">
        <v>1548</v>
      </c>
      <c r="B466" s="27"/>
      <c r="C466" s="27">
        <v>0</v>
      </c>
      <c r="D466" s="27"/>
      <c r="E466" s="3"/>
      <c r="F466" s="3" t="s">
        <v>1023</v>
      </c>
      <c r="G466" s="3" t="s">
        <v>39</v>
      </c>
      <c r="H466" s="3" t="s">
        <v>51</v>
      </c>
      <c r="I466" s="3" t="s">
        <v>51</v>
      </c>
      <c r="J466" s="27"/>
      <c r="K466" s="11" t="s">
        <v>1172</v>
      </c>
      <c r="L466" s="16" t="s">
        <v>1124</v>
      </c>
      <c r="M466" s="3" t="s">
        <v>1024</v>
      </c>
      <c r="N466" s="3" t="s">
        <v>1673</v>
      </c>
      <c r="O466" s="3"/>
      <c r="P466" s="3" t="b">
        <v>1</v>
      </c>
      <c r="Q466" s="3" t="s">
        <v>1497</v>
      </c>
      <c r="R466" s="4" t="b">
        <v>0</v>
      </c>
      <c r="S466" s="4">
        <v>-1550</v>
      </c>
    </row>
    <row r="467" spans="1:19" x14ac:dyDescent="0.3">
      <c r="A467" s="27" t="s">
        <v>858</v>
      </c>
      <c r="B467" s="27"/>
      <c r="C467" s="27">
        <v>0</v>
      </c>
      <c r="D467" s="27"/>
      <c r="E467" s="3"/>
      <c r="F467" s="3" t="s">
        <v>1023</v>
      </c>
      <c r="G467" s="3" t="s">
        <v>39</v>
      </c>
      <c r="H467" s="3" t="s">
        <v>51</v>
      </c>
      <c r="I467" s="3" t="s">
        <v>51</v>
      </c>
      <c r="J467" s="27"/>
      <c r="K467" s="11" t="s">
        <v>1172</v>
      </c>
      <c r="L467" s="16" t="s">
        <v>1124</v>
      </c>
      <c r="M467" s="3" t="s">
        <v>1024</v>
      </c>
      <c r="N467" s="3" t="s">
        <v>1673</v>
      </c>
      <c r="O467" s="3"/>
      <c r="P467" s="3" t="b">
        <v>1</v>
      </c>
      <c r="Q467" s="3" t="s">
        <v>1497</v>
      </c>
      <c r="R467" s="4" t="b">
        <v>0</v>
      </c>
      <c r="S467" s="4">
        <v>-1550</v>
      </c>
    </row>
    <row r="468" spans="1:19" x14ac:dyDescent="0.3">
      <c r="A468" s="27" t="s">
        <v>860</v>
      </c>
      <c r="B468" s="27"/>
      <c r="C468" s="27">
        <v>0</v>
      </c>
      <c r="D468" s="27"/>
      <c r="E468" s="3"/>
      <c r="F468" s="3" t="s">
        <v>1023</v>
      </c>
      <c r="G468" s="3" t="s">
        <v>39</v>
      </c>
      <c r="H468" s="3" t="s">
        <v>51</v>
      </c>
      <c r="I468" s="3" t="s">
        <v>51</v>
      </c>
      <c r="J468" s="27"/>
      <c r="K468" s="11" t="s">
        <v>1172</v>
      </c>
      <c r="L468" s="16" t="s">
        <v>1124</v>
      </c>
      <c r="M468" s="3" t="s">
        <v>1024</v>
      </c>
      <c r="N468" s="3" t="s">
        <v>1673</v>
      </c>
      <c r="O468" s="3"/>
      <c r="P468" s="3" t="b">
        <v>1</v>
      </c>
      <c r="Q468" s="3" t="s">
        <v>1497</v>
      </c>
      <c r="R468" s="4" t="b">
        <v>0</v>
      </c>
      <c r="S468" s="4">
        <v>-1550</v>
      </c>
    </row>
    <row r="469" spans="1:19" x14ac:dyDescent="0.3">
      <c r="A469" s="27" t="s">
        <v>2178</v>
      </c>
      <c r="B469" s="27"/>
      <c r="C469" s="27">
        <v>0</v>
      </c>
      <c r="D469" s="27"/>
      <c r="E469" s="3"/>
      <c r="F469" s="3" t="s">
        <v>1023</v>
      </c>
      <c r="G469" s="3" t="s">
        <v>39</v>
      </c>
      <c r="H469" s="3" t="s">
        <v>51</v>
      </c>
      <c r="I469" s="3" t="s">
        <v>51</v>
      </c>
      <c r="J469" s="27"/>
      <c r="K469" s="11" t="s">
        <v>1172</v>
      </c>
      <c r="L469" s="16" t="s">
        <v>1124</v>
      </c>
      <c r="M469" s="3" t="s">
        <v>1024</v>
      </c>
      <c r="N469" s="3" t="s">
        <v>1673</v>
      </c>
      <c r="O469" s="3"/>
      <c r="P469" s="3" t="b">
        <v>1</v>
      </c>
      <c r="Q469" s="3" t="s">
        <v>1497</v>
      </c>
      <c r="R469" s="4" t="b">
        <v>0</v>
      </c>
      <c r="S469" s="4">
        <v>-1550</v>
      </c>
    </row>
    <row r="470" spans="1:19" x14ac:dyDescent="0.3">
      <c r="A470" s="27" t="s">
        <v>2177</v>
      </c>
      <c r="B470" s="27"/>
      <c r="C470" s="27">
        <v>0</v>
      </c>
      <c r="D470" s="27"/>
      <c r="E470" s="3"/>
      <c r="F470" s="3" t="s">
        <v>1023</v>
      </c>
      <c r="G470" s="3" t="s">
        <v>39</v>
      </c>
      <c r="H470" s="3" t="s">
        <v>51</v>
      </c>
      <c r="I470" s="3" t="s">
        <v>51</v>
      </c>
      <c r="J470" s="27"/>
      <c r="K470" s="11" t="s">
        <v>1172</v>
      </c>
      <c r="L470" s="16" t="s">
        <v>1124</v>
      </c>
      <c r="M470" s="3" t="s">
        <v>1024</v>
      </c>
      <c r="N470" s="3" t="s">
        <v>1673</v>
      </c>
      <c r="O470" s="3"/>
      <c r="P470" s="3" t="b">
        <v>1</v>
      </c>
      <c r="Q470" s="3" t="s">
        <v>1497</v>
      </c>
      <c r="R470" s="4" t="b">
        <v>0</v>
      </c>
      <c r="S470" s="4">
        <v>-1550</v>
      </c>
    </row>
    <row r="471" spans="1:19" x14ac:dyDescent="0.3">
      <c r="A471" s="27" t="s">
        <v>2180</v>
      </c>
      <c r="B471" s="27"/>
      <c r="C471" s="27">
        <v>0</v>
      </c>
      <c r="D471" s="27"/>
      <c r="E471" s="3"/>
      <c r="F471" s="3" t="s">
        <v>1023</v>
      </c>
      <c r="G471" s="3" t="s">
        <v>39</v>
      </c>
      <c r="H471" s="3" t="s">
        <v>51</v>
      </c>
      <c r="I471" s="3" t="s">
        <v>51</v>
      </c>
      <c r="J471" s="27"/>
      <c r="K471" s="11" t="s">
        <v>1172</v>
      </c>
      <c r="L471" s="16" t="s">
        <v>1124</v>
      </c>
      <c r="M471" s="3" t="s">
        <v>1024</v>
      </c>
      <c r="N471" s="3" t="s">
        <v>1673</v>
      </c>
      <c r="O471" s="3"/>
      <c r="P471" s="3" t="b">
        <v>1</v>
      </c>
      <c r="Q471" s="3" t="s">
        <v>1497</v>
      </c>
      <c r="R471" s="4" t="b">
        <v>0</v>
      </c>
      <c r="S471" s="4">
        <v>-1550</v>
      </c>
    </row>
    <row r="472" spans="1:19" x14ac:dyDescent="0.3">
      <c r="A472" s="27" t="s">
        <v>2422</v>
      </c>
      <c r="B472" s="27"/>
      <c r="C472" s="27">
        <v>0</v>
      </c>
      <c r="D472" s="27"/>
      <c r="E472" s="3"/>
      <c r="F472" s="3" t="s">
        <v>1023</v>
      </c>
      <c r="G472" s="3" t="s">
        <v>39</v>
      </c>
      <c r="H472" s="3" t="s">
        <v>51</v>
      </c>
      <c r="I472" s="3" t="s">
        <v>51</v>
      </c>
      <c r="J472" s="27"/>
      <c r="K472" s="11" t="s">
        <v>1172</v>
      </c>
      <c r="L472" s="16" t="s">
        <v>1124</v>
      </c>
      <c r="M472" s="3" t="s">
        <v>1024</v>
      </c>
      <c r="N472" s="3" t="s">
        <v>1673</v>
      </c>
      <c r="O472" s="3"/>
      <c r="P472" s="3" t="b">
        <v>1</v>
      </c>
      <c r="Q472" s="3" t="s">
        <v>1497</v>
      </c>
      <c r="R472" s="4" t="b">
        <v>0</v>
      </c>
      <c r="S472" s="4">
        <v>-1550</v>
      </c>
    </row>
    <row r="473" spans="1:19" x14ac:dyDescent="0.3">
      <c r="A473" s="27" t="s">
        <v>1548</v>
      </c>
      <c r="B473" s="27"/>
      <c r="C473" s="27">
        <v>0</v>
      </c>
      <c r="D473" s="27"/>
      <c r="E473" s="3"/>
      <c r="F473" s="3" t="s">
        <v>1025</v>
      </c>
      <c r="G473" s="3" t="s">
        <v>39</v>
      </c>
      <c r="H473" s="3" t="s">
        <v>51</v>
      </c>
      <c r="I473" s="3" t="s">
        <v>51</v>
      </c>
      <c r="J473" s="27"/>
      <c r="K473" s="11" t="s">
        <v>1172</v>
      </c>
      <c r="L473" s="16" t="s">
        <v>1124</v>
      </c>
      <c r="M473" s="3" t="s">
        <v>1026</v>
      </c>
      <c r="N473" s="3" t="s">
        <v>1674</v>
      </c>
      <c r="O473" s="3"/>
      <c r="P473" s="3" t="b">
        <v>1</v>
      </c>
      <c r="Q473" s="3" t="s">
        <v>1497</v>
      </c>
      <c r="R473" s="4" t="b">
        <v>0</v>
      </c>
      <c r="S473" s="4">
        <v>-1100</v>
      </c>
    </row>
    <row r="474" spans="1:19" x14ac:dyDescent="0.3">
      <c r="A474" s="27" t="s">
        <v>859</v>
      </c>
      <c r="B474" s="27"/>
      <c r="C474" s="27">
        <v>0</v>
      </c>
      <c r="D474" s="27"/>
      <c r="E474" s="3"/>
      <c r="F474" s="3" t="s">
        <v>1025</v>
      </c>
      <c r="G474" s="3" t="s">
        <v>39</v>
      </c>
      <c r="H474" s="3" t="s">
        <v>51</v>
      </c>
      <c r="I474" s="3" t="s">
        <v>51</v>
      </c>
      <c r="J474" s="27"/>
      <c r="K474" s="11" t="s">
        <v>1172</v>
      </c>
      <c r="L474" s="16" t="s">
        <v>1124</v>
      </c>
      <c r="M474" s="3" t="s">
        <v>1026</v>
      </c>
      <c r="N474" s="3" t="s">
        <v>1674</v>
      </c>
      <c r="O474" s="3"/>
      <c r="P474" s="3" t="b">
        <v>1</v>
      </c>
      <c r="Q474" s="3" t="s">
        <v>1497</v>
      </c>
      <c r="R474" s="4" t="b">
        <v>0</v>
      </c>
      <c r="S474" s="4">
        <v>-1100</v>
      </c>
    </row>
    <row r="475" spans="1:19" x14ac:dyDescent="0.3">
      <c r="A475" s="27" t="s">
        <v>860</v>
      </c>
      <c r="B475" s="27"/>
      <c r="C475" s="27">
        <v>0</v>
      </c>
      <c r="D475" s="27"/>
      <c r="E475" s="3"/>
      <c r="F475" s="3" t="s">
        <v>1025</v>
      </c>
      <c r="G475" s="3" t="s">
        <v>39</v>
      </c>
      <c r="H475" s="3" t="s">
        <v>51</v>
      </c>
      <c r="I475" s="3" t="s">
        <v>51</v>
      </c>
      <c r="J475" s="27"/>
      <c r="K475" s="11" t="s">
        <v>1172</v>
      </c>
      <c r="L475" s="16" t="s">
        <v>1124</v>
      </c>
      <c r="M475" s="3" t="s">
        <v>1026</v>
      </c>
      <c r="N475" s="3" t="s">
        <v>1674</v>
      </c>
      <c r="O475" s="3"/>
      <c r="P475" s="3" t="b">
        <v>1</v>
      </c>
      <c r="Q475" s="3" t="s">
        <v>1497</v>
      </c>
      <c r="R475" s="4" t="b">
        <v>0</v>
      </c>
      <c r="S475" s="4">
        <v>-1100</v>
      </c>
    </row>
    <row r="476" spans="1:19" x14ac:dyDescent="0.3">
      <c r="A476" s="27" t="s">
        <v>2180</v>
      </c>
      <c r="B476" s="27"/>
      <c r="C476" s="27">
        <v>0</v>
      </c>
      <c r="D476" s="27"/>
      <c r="E476" s="3"/>
      <c r="F476" s="3" t="s">
        <v>1025</v>
      </c>
      <c r="G476" s="3" t="s">
        <v>39</v>
      </c>
      <c r="H476" s="3" t="s">
        <v>51</v>
      </c>
      <c r="I476" s="3" t="s">
        <v>51</v>
      </c>
      <c r="J476" s="27"/>
      <c r="K476" s="11" t="s">
        <v>1172</v>
      </c>
      <c r="L476" s="16" t="s">
        <v>1124</v>
      </c>
      <c r="M476" s="3" t="s">
        <v>1026</v>
      </c>
      <c r="N476" s="3" t="s">
        <v>1674</v>
      </c>
      <c r="O476" s="3"/>
      <c r="P476" s="3" t="b">
        <v>1</v>
      </c>
      <c r="Q476" s="3" t="s">
        <v>1497</v>
      </c>
      <c r="R476" s="4" t="b">
        <v>0</v>
      </c>
      <c r="S476" s="4">
        <v>-1100</v>
      </c>
    </row>
    <row r="477" spans="1:19" x14ac:dyDescent="0.3">
      <c r="A477" s="27" t="s">
        <v>2431</v>
      </c>
      <c r="B477" s="27"/>
      <c r="C477" s="27">
        <v>0</v>
      </c>
      <c r="D477" s="27"/>
      <c r="E477" s="3"/>
      <c r="F477" s="3" t="s">
        <v>1025</v>
      </c>
      <c r="G477" s="3" t="s">
        <v>39</v>
      </c>
      <c r="H477" s="3" t="s">
        <v>51</v>
      </c>
      <c r="I477" s="3" t="s">
        <v>51</v>
      </c>
      <c r="J477" s="27"/>
      <c r="K477" s="11" t="s">
        <v>1172</v>
      </c>
      <c r="L477" s="16" t="s">
        <v>1124</v>
      </c>
      <c r="M477" s="3" t="s">
        <v>1026</v>
      </c>
      <c r="N477" s="3" t="s">
        <v>1674</v>
      </c>
      <c r="O477" s="3"/>
      <c r="P477" s="3" t="b">
        <v>1</v>
      </c>
      <c r="Q477" s="3" t="s">
        <v>1497</v>
      </c>
      <c r="R477" s="4" t="b">
        <v>0</v>
      </c>
      <c r="S477" s="4">
        <v>-1100</v>
      </c>
    </row>
    <row r="478" spans="1:19" x14ac:dyDescent="0.3">
      <c r="A478" s="27" t="s">
        <v>880</v>
      </c>
      <c r="B478" s="27"/>
      <c r="C478" s="27">
        <v>0</v>
      </c>
      <c r="D478" s="27"/>
      <c r="E478" s="3"/>
      <c r="F478" s="3" t="s">
        <v>1027</v>
      </c>
      <c r="G478" s="3" t="s">
        <v>39</v>
      </c>
      <c r="H478" s="3" t="s">
        <v>51</v>
      </c>
      <c r="I478" s="3" t="s">
        <v>51</v>
      </c>
      <c r="J478" s="27"/>
      <c r="K478" s="11" t="s">
        <v>1172</v>
      </c>
      <c r="L478" s="16" t="s">
        <v>1124</v>
      </c>
      <c r="M478" s="3" t="s">
        <v>1393</v>
      </c>
      <c r="N478" s="3" t="s">
        <v>1675</v>
      </c>
      <c r="O478" s="3"/>
      <c r="P478" s="3" t="b">
        <v>1</v>
      </c>
      <c r="Q478" s="3" t="s">
        <v>1497</v>
      </c>
      <c r="R478" s="4" t="b">
        <v>0</v>
      </c>
      <c r="S478" s="4">
        <v>-360</v>
      </c>
    </row>
    <row r="479" spans="1:19" x14ac:dyDescent="0.3">
      <c r="A479" s="27" t="s">
        <v>880</v>
      </c>
      <c r="B479" s="27"/>
      <c r="C479" s="27">
        <v>0</v>
      </c>
      <c r="D479" s="27"/>
      <c r="E479" s="3"/>
      <c r="F479" s="3" t="s">
        <v>1028</v>
      </c>
      <c r="G479" s="3" t="s">
        <v>39</v>
      </c>
      <c r="H479" s="3" t="s">
        <v>51</v>
      </c>
      <c r="I479" s="3" t="s">
        <v>51</v>
      </c>
      <c r="J479" s="27"/>
      <c r="K479" s="11" t="s">
        <v>1172</v>
      </c>
      <c r="L479" s="16" t="s">
        <v>1124</v>
      </c>
      <c r="M479" s="3" t="s">
        <v>1676</v>
      </c>
      <c r="N479" s="3"/>
      <c r="O479" s="3"/>
      <c r="P479" s="3" t="b">
        <v>1</v>
      </c>
      <c r="Q479" s="3" t="s">
        <v>1499</v>
      </c>
      <c r="R479" s="4" t="b">
        <v>0</v>
      </c>
      <c r="S479" s="4">
        <v>29</v>
      </c>
    </row>
  </sheetData>
  <phoneticPr fontId="2" type="noConversion"/>
  <dataValidations count="1">
    <dataValidation type="list" allowBlank="1" showInputMessage="1" showErrorMessage="1" sqref="L19:L21 L150:L154 L2:L15 L61:L77 L415:L418 L422" xr:uid="{91B6E235-8906-4514-ACAB-C0E0B27FDECD}">
      <formula1>#REF!</formula1>
    </dataValidation>
  </dataValidations>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D5DD9007-3C9D-46A1-B511-508BE5544298}">
          <x14:formula1>
            <xm:f>Validation!$G$2:$G$4</xm:f>
          </x14:formula1>
          <xm:sqref>P19:P21 P150:P154 P2:P15 P61:P77 P415:P418 P422 R2:R479</xm:sqref>
        </x14:dataValidation>
        <x14:dataValidation type="list" allowBlank="1" showInputMessage="1" showErrorMessage="1" xr:uid="{D536676C-4D0E-40AD-AA04-72F133D3A814}">
          <x14:formula1>
            <xm:f>Funds!#REF!</xm:f>
          </x14:formula1>
          <xm:sqref>J19:J21 J150:J154 J2:J15 J61:J77 J415:J418 J422</xm:sqref>
        </x14:dataValidation>
        <x14:dataValidation type="list" allowBlank="1" showInputMessage="1" showErrorMessage="1" xr:uid="{A01AFB9D-77FC-40EA-9E4F-DA978F775B80}">
          <x14:formula1>
            <xm:f>Depts!#REF!</xm:f>
          </x14:formula1>
          <xm:sqref>I19:I21 I150:I154 I2:I15 I61:I77 I415:I418 I422 H2:H479</xm:sqref>
        </x14:dataValidation>
        <x14:dataValidation type="list" allowBlank="1" showInputMessage="1" showErrorMessage="1" xr:uid="{95016F79-D1B4-4773-8C1E-EF64DF4F44BA}">
          <x14:formula1>
            <xm:f>CalculatorsTempl!$F:$F</xm:f>
          </x14:formula1>
          <xm:sqref>K12:K16 K69:K77</xm:sqref>
        </x14:dataValidation>
        <x14:dataValidation type="list" allowBlank="1" showInputMessage="1" showErrorMessage="1" xr:uid="{8D14C028-61FE-4401-8BD1-E9A171762F99}">
          <x14:formula1>
            <xm:f>Schools!#REF!</xm:f>
          </x14:formula1>
          <xm:sqref>G2:G479</xm:sqref>
        </x14:dataValidation>
        <x14:dataValidation type="list" allowBlank="1" showInputMessage="1" showErrorMessage="1" xr:uid="{80BA5410-482A-467C-9EAE-65A84FFBE1BA}">
          <x14:formula1>
            <xm:f>Validation!$A$15:A$26</xm:f>
          </x14:formula1>
          <xm:sqref>A2:A479</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A14FF-9AF7-42CE-9BDA-3A01509AB7AD}">
  <sheetPr codeName="Sheet31">
    <tabColor theme="0" tint="-0.249977111117893"/>
  </sheetPr>
  <dimension ref="A1:P334"/>
  <sheetViews>
    <sheetView topLeftCell="K1" zoomScale="85" zoomScaleNormal="85" workbookViewId="0">
      <pane ySplit="1" topLeftCell="A62" activePane="bottomLeft" state="frozen"/>
      <selection pane="bottomLeft" activeCell="C62" sqref="C62:O64"/>
    </sheetView>
  </sheetViews>
  <sheetFormatPr defaultColWidth="9.33203125" defaultRowHeight="14.4" x14ac:dyDescent="0.3"/>
  <cols>
    <col min="1" max="1" width="21" bestFit="1" customWidth="1"/>
    <col min="2" max="2" width="20.33203125" bestFit="1" customWidth="1"/>
    <col min="3" max="3" width="38.33203125" bestFit="1" customWidth="1"/>
    <col min="4" max="5" width="13.5546875" bestFit="1" customWidth="1"/>
    <col min="6" max="6" width="18.33203125" bestFit="1" customWidth="1"/>
    <col min="7" max="7" width="12.33203125" bestFit="1" customWidth="1"/>
    <col min="8" max="8" width="38.33203125" bestFit="1" customWidth="1"/>
    <col min="9" max="9" width="17.5546875" customWidth="1"/>
    <col min="10" max="10" width="54.88671875" bestFit="1" customWidth="1"/>
    <col min="11" max="11" width="144.88671875" bestFit="1" customWidth="1"/>
    <col min="13" max="13" width="15.109375" bestFit="1" customWidth="1"/>
    <col min="14" max="14" width="20.33203125" bestFit="1" customWidth="1"/>
    <col min="15" max="15" width="12.33203125" bestFit="1" customWidth="1"/>
    <col min="16" max="16" width="12.109375" style="36" bestFit="1" customWidth="1"/>
  </cols>
  <sheetData>
    <row r="1" spans="1:16" x14ac:dyDescent="0.3">
      <c r="A1" s="33" t="s">
        <v>869</v>
      </c>
      <c r="B1" s="13" t="s">
        <v>1331</v>
      </c>
      <c r="C1" s="13" t="s">
        <v>893</v>
      </c>
      <c r="D1" s="13" t="s">
        <v>871</v>
      </c>
      <c r="E1" s="13" t="s">
        <v>857</v>
      </c>
      <c r="F1" s="13" t="s">
        <v>884</v>
      </c>
      <c r="G1" s="13" t="s">
        <v>49</v>
      </c>
      <c r="H1" s="13" t="s">
        <v>1136</v>
      </c>
      <c r="I1" s="13" t="s">
        <v>1382</v>
      </c>
      <c r="J1" s="13" t="s">
        <v>1383</v>
      </c>
      <c r="K1" s="15" t="s">
        <v>44</v>
      </c>
      <c r="L1" s="15" t="s">
        <v>1384</v>
      </c>
      <c r="M1" s="14" t="s">
        <v>1374</v>
      </c>
      <c r="N1" s="13" t="s">
        <v>1385</v>
      </c>
      <c r="O1" s="14" t="s">
        <v>1386</v>
      </c>
      <c r="P1" s="34" t="s">
        <v>1387</v>
      </c>
    </row>
    <row r="2" spans="1:16" hidden="1" x14ac:dyDescent="0.3">
      <c r="A2" s="27" t="s">
        <v>1548</v>
      </c>
      <c r="B2" s="3"/>
      <c r="C2" s="3" t="s">
        <v>898</v>
      </c>
      <c r="D2" s="3"/>
      <c r="E2" s="3" t="s">
        <v>51</v>
      </c>
      <c r="F2" s="3" t="s">
        <v>51</v>
      </c>
      <c r="G2" s="27"/>
      <c r="H2" s="11" t="s">
        <v>999</v>
      </c>
      <c r="I2" s="16" t="s">
        <v>1124</v>
      </c>
      <c r="J2" s="3" t="s">
        <v>1000</v>
      </c>
      <c r="K2" s="3" t="s">
        <v>1686</v>
      </c>
      <c r="L2" s="3"/>
      <c r="M2" s="3" t="b">
        <v>1</v>
      </c>
      <c r="N2" s="3" t="s">
        <v>1497</v>
      </c>
      <c r="O2" s="3" t="b">
        <v>1</v>
      </c>
      <c r="P2" s="35"/>
    </row>
    <row r="3" spans="1:16" hidden="1" x14ac:dyDescent="0.3">
      <c r="A3" s="27" t="s">
        <v>1548</v>
      </c>
      <c r="B3" s="3"/>
      <c r="C3" s="3" t="s">
        <v>898</v>
      </c>
      <c r="D3" s="3"/>
      <c r="E3" s="3" t="s">
        <v>51</v>
      </c>
      <c r="F3" s="3" t="s">
        <v>51</v>
      </c>
      <c r="G3" s="27"/>
      <c r="H3" s="11" t="s">
        <v>1517</v>
      </c>
      <c r="I3" s="16" t="s">
        <v>1124</v>
      </c>
      <c r="J3" s="3" t="s">
        <v>1521</v>
      </c>
      <c r="K3" s="3" t="s">
        <v>1687</v>
      </c>
      <c r="L3" s="3"/>
      <c r="M3" s="3" t="b">
        <v>0</v>
      </c>
      <c r="N3" s="3" t="s">
        <v>1497</v>
      </c>
      <c r="O3" s="3" t="b">
        <v>1</v>
      </c>
      <c r="P3" s="35"/>
    </row>
    <row r="4" spans="1:16" hidden="1" x14ac:dyDescent="0.3">
      <c r="A4" s="27" t="s">
        <v>1548</v>
      </c>
      <c r="B4" s="3"/>
      <c r="C4" s="3" t="s">
        <v>898</v>
      </c>
      <c r="D4" s="3"/>
      <c r="E4" s="3" t="s">
        <v>51</v>
      </c>
      <c r="F4" s="3" t="s">
        <v>51</v>
      </c>
      <c r="G4" s="27"/>
      <c r="H4" s="11" t="s">
        <v>1001</v>
      </c>
      <c r="I4" s="16" t="s">
        <v>1124</v>
      </c>
      <c r="J4" s="3" t="s">
        <v>1440</v>
      </c>
      <c r="K4" s="3" t="s">
        <v>1688</v>
      </c>
      <c r="L4" s="3"/>
      <c r="M4" s="3" t="b">
        <v>0</v>
      </c>
      <c r="N4" s="3" t="s">
        <v>1497</v>
      </c>
      <c r="O4" s="3" t="b">
        <v>1</v>
      </c>
      <c r="P4" s="35"/>
    </row>
    <row r="5" spans="1:16" hidden="1" x14ac:dyDescent="0.3">
      <c r="A5" s="27" t="s">
        <v>1548</v>
      </c>
      <c r="B5" s="3"/>
      <c r="C5" s="3" t="s">
        <v>898</v>
      </c>
      <c r="D5" s="3"/>
      <c r="E5" s="3" t="s">
        <v>51</v>
      </c>
      <c r="F5" s="3" t="s">
        <v>51</v>
      </c>
      <c r="G5" s="27"/>
      <c r="H5" s="11" t="s">
        <v>1003</v>
      </c>
      <c r="I5" s="16" t="s">
        <v>1124</v>
      </c>
      <c r="J5" s="3" t="s">
        <v>1438</v>
      </c>
      <c r="K5" s="3" t="s">
        <v>1689</v>
      </c>
      <c r="L5" s="3"/>
      <c r="M5" s="3" t="b">
        <v>0</v>
      </c>
      <c r="N5" s="3" t="s">
        <v>1497</v>
      </c>
      <c r="O5" s="3" t="b">
        <v>1</v>
      </c>
      <c r="P5" s="35"/>
    </row>
    <row r="6" spans="1:16" hidden="1" x14ac:dyDescent="0.3">
      <c r="A6" s="27" t="s">
        <v>1548</v>
      </c>
      <c r="B6" s="3"/>
      <c r="C6" s="3" t="s">
        <v>898</v>
      </c>
      <c r="D6" s="3"/>
      <c r="E6" s="3" t="s">
        <v>51</v>
      </c>
      <c r="F6" s="3" t="s">
        <v>51</v>
      </c>
      <c r="G6" s="27"/>
      <c r="H6" s="11" t="s">
        <v>1005</v>
      </c>
      <c r="I6" s="16" t="s">
        <v>1124</v>
      </c>
      <c r="J6" s="3" t="s">
        <v>1439</v>
      </c>
      <c r="K6" s="3" t="s">
        <v>1690</v>
      </c>
      <c r="L6" s="3"/>
      <c r="M6" s="3" t="b">
        <v>0</v>
      </c>
      <c r="N6" s="3" t="s">
        <v>1497</v>
      </c>
      <c r="O6" s="3" t="b">
        <v>1</v>
      </c>
      <c r="P6" s="35"/>
    </row>
    <row r="7" spans="1:16" hidden="1" x14ac:dyDescent="0.3">
      <c r="A7" s="27" t="s">
        <v>1548</v>
      </c>
      <c r="B7" s="3"/>
      <c r="C7" s="3" t="s">
        <v>2093</v>
      </c>
      <c r="D7" s="3"/>
      <c r="E7" s="3" t="s">
        <v>51</v>
      </c>
      <c r="F7" s="3" t="s">
        <v>51</v>
      </c>
      <c r="G7" s="27"/>
      <c r="H7" s="11" t="s">
        <v>2093</v>
      </c>
      <c r="I7" s="16" t="s">
        <v>1124</v>
      </c>
      <c r="J7" s="3" t="s">
        <v>2101</v>
      </c>
      <c r="K7" s="3" t="s">
        <v>1692</v>
      </c>
      <c r="L7" s="3"/>
      <c r="M7" s="3" t="b">
        <v>1</v>
      </c>
      <c r="N7" s="3" t="s">
        <v>1497</v>
      </c>
      <c r="O7" s="3" t="b">
        <v>1</v>
      </c>
      <c r="P7" s="35"/>
    </row>
    <row r="8" spans="1:16" hidden="1" x14ac:dyDescent="0.3">
      <c r="A8" s="27" t="s">
        <v>1548</v>
      </c>
      <c r="B8" s="3"/>
      <c r="C8" s="3" t="s">
        <v>2094</v>
      </c>
      <c r="D8" s="3"/>
      <c r="E8" s="3" t="s">
        <v>51</v>
      </c>
      <c r="F8" s="3" t="s">
        <v>51</v>
      </c>
      <c r="G8" s="27"/>
      <c r="H8" s="11" t="s">
        <v>2094</v>
      </c>
      <c r="I8" s="16" t="s">
        <v>1124</v>
      </c>
      <c r="J8" s="3" t="s">
        <v>2102</v>
      </c>
      <c r="K8" s="3" t="s">
        <v>1692</v>
      </c>
      <c r="L8" s="3"/>
      <c r="M8" s="3" t="b">
        <v>1</v>
      </c>
      <c r="N8" s="3" t="s">
        <v>1497</v>
      </c>
      <c r="O8" s="3" t="b">
        <v>1</v>
      </c>
      <c r="P8" s="35"/>
    </row>
    <row r="9" spans="1:16" hidden="1" x14ac:dyDescent="0.3">
      <c r="A9" s="27" t="s">
        <v>1548</v>
      </c>
      <c r="B9" s="3"/>
      <c r="C9" s="1" t="s">
        <v>1586</v>
      </c>
      <c r="D9" s="3"/>
      <c r="E9" s="3" t="s">
        <v>51</v>
      </c>
      <c r="F9" s="3" t="s">
        <v>51</v>
      </c>
      <c r="G9" s="27"/>
      <c r="H9" s="11" t="s">
        <v>1312</v>
      </c>
      <c r="I9" s="16" t="s">
        <v>1124</v>
      </c>
      <c r="J9" s="3" t="s">
        <v>2306</v>
      </c>
      <c r="K9" s="3" t="s">
        <v>2307</v>
      </c>
      <c r="L9" s="3"/>
      <c r="M9" s="3" t="b">
        <v>0</v>
      </c>
      <c r="N9" s="3" t="s">
        <v>1497</v>
      </c>
      <c r="O9" s="3" t="b">
        <v>0</v>
      </c>
      <c r="P9" s="35"/>
    </row>
    <row r="10" spans="1:16" hidden="1" x14ac:dyDescent="0.3">
      <c r="A10" s="27" t="s">
        <v>1548</v>
      </c>
      <c r="B10" s="3"/>
      <c r="C10" s="1" t="s">
        <v>1586</v>
      </c>
      <c r="D10" s="3"/>
      <c r="E10" s="3" t="s">
        <v>51</v>
      </c>
      <c r="F10" s="3" t="s">
        <v>51</v>
      </c>
      <c r="G10" s="27"/>
      <c r="H10" s="11" t="s">
        <v>1312</v>
      </c>
      <c r="I10" s="16" t="s">
        <v>1124</v>
      </c>
      <c r="J10" s="3" t="s">
        <v>2308</v>
      </c>
      <c r="K10" s="3" t="s">
        <v>2307</v>
      </c>
      <c r="L10" s="3"/>
      <c r="M10" s="3" t="b">
        <v>0</v>
      </c>
      <c r="N10" s="3" t="s">
        <v>1497</v>
      </c>
      <c r="O10" s="3" t="b">
        <v>0</v>
      </c>
      <c r="P10" s="35"/>
    </row>
    <row r="11" spans="1:16" hidden="1" x14ac:dyDescent="0.3">
      <c r="A11" s="27" t="s">
        <v>1548</v>
      </c>
      <c r="B11" s="3"/>
      <c r="C11" s="1" t="s">
        <v>1586</v>
      </c>
      <c r="D11" s="3"/>
      <c r="E11" s="3" t="s">
        <v>51</v>
      </c>
      <c r="F11" s="3" t="s">
        <v>51</v>
      </c>
      <c r="G11" s="27"/>
      <c r="H11" s="11" t="s">
        <v>1312</v>
      </c>
      <c r="I11" s="16" t="s">
        <v>1124</v>
      </c>
      <c r="J11" s="3" t="s">
        <v>2312</v>
      </c>
      <c r="K11" s="3" t="s">
        <v>2307</v>
      </c>
      <c r="L11" s="3"/>
      <c r="M11" s="3" t="b">
        <v>0</v>
      </c>
      <c r="N11" s="3" t="s">
        <v>1497</v>
      </c>
      <c r="O11" s="3" t="b">
        <v>0</v>
      </c>
      <c r="P11" s="35"/>
    </row>
    <row r="12" spans="1:16" hidden="1" x14ac:dyDescent="0.3">
      <c r="A12" s="27" t="s">
        <v>1548</v>
      </c>
      <c r="B12" s="3"/>
      <c r="C12" s="1" t="s">
        <v>1586</v>
      </c>
      <c r="D12" s="3"/>
      <c r="E12" s="3" t="s">
        <v>51</v>
      </c>
      <c r="F12" s="3" t="s">
        <v>51</v>
      </c>
      <c r="G12" s="27"/>
      <c r="H12" s="11" t="s">
        <v>1312</v>
      </c>
      <c r="I12" s="16" t="s">
        <v>1124</v>
      </c>
      <c r="J12" s="3" t="s">
        <v>2313</v>
      </c>
      <c r="K12" s="3" t="s">
        <v>2307</v>
      </c>
      <c r="L12" s="3"/>
      <c r="M12" s="3" t="b">
        <v>0</v>
      </c>
      <c r="N12" s="3" t="s">
        <v>1497</v>
      </c>
      <c r="O12" s="3" t="b">
        <v>0</v>
      </c>
      <c r="P12" s="35"/>
    </row>
    <row r="13" spans="1:16" hidden="1" x14ac:dyDescent="0.3">
      <c r="A13" s="27" t="s">
        <v>1548</v>
      </c>
      <c r="B13" s="3"/>
      <c r="C13" s="1" t="s">
        <v>1586</v>
      </c>
      <c r="D13" s="3"/>
      <c r="E13" s="3" t="s">
        <v>51</v>
      </c>
      <c r="F13" s="3" t="s">
        <v>51</v>
      </c>
      <c r="G13" s="27"/>
      <c r="H13" s="11" t="s">
        <v>1312</v>
      </c>
      <c r="I13" s="16" t="s">
        <v>1124</v>
      </c>
      <c r="J13" s="3" t="s">
        <v>2315</v>
      </c>
      <c r="K13" s="3" t="s">
        <v>2307</v>
      </c>
      <c r="L13" s="3"/>
      <c r="M13" s="3" t="b">
        <v>0</v>
      </c>
      <c r="N13" s="3" t="s">
        <v>1497</v>
      </c>
      <c r="O13" s="3" t="b">
        <v>0</v>
      </c>
      <c r="P13" s="35"/>
    </row>
    <row r="14" spans="1:16" hidden="1" x14ac:dyDescent="0.3">
      <c r="A14" s="27" t="s">
        <v>1548</v>
      </c>
      <c r="B14" s="3"/>
      <c r="C14" s="1" t="s">
        <v>1585</v>
      </c>
      <c r="D14" s="3"/>
      <c r="E14" s="3" t="s">
        <v>51</v>
      </c>
      <c r="F14" s="3" t="s">
        <v>51</v>
      </c>
      <c r="G14" s="27"/>
      <c r="H14" s="11" t="s">
        <v>2332</v>
      </c>
      <c r="I14" s="16" t="s">
        <v>1124</v>
      </c>
      <c r="J14" s="3" t="s">
        <v>2105</v>
      </c>
      <c r="K14" s="3" t="s">
        <v>2301</v>
      </c>
      <c r="L14" s="3"/>
      <c r="M14" s="3" t="b">
        <v>1</v>
      </c>
      <c r="N14" s="3" t="s">
        <v>1497</v>
      </c>
      <c r="O14" s="3" t="b">
        <v>1</v>
      </c>
      <c r="P14" s="35"/>
    </row>
    <row r="15" spans="1:16" hidden="1" x14ac:dyDescent="0.3">
      <c r="A15" s="27" t="s">
        <v>1548</v>
      </c>
      <c r="B15" s="3"/>
      <c r="C15" s="1" t="s">
        <v>1585</v>
      </c>
      <c r="D15" s="3"/>
      <c r="E15" s="3" t="s">
        <v>51</v>
      </c>
      <c r="F15" s="3" t="s">
        <v>51</v>
      </c>
      <c r="G15" s="27"/>
      <c r="H15" s="11" t="s">
        <v>2333</v>
      </c>
      <c r="I15" s="16" t="s">
        <v>1124</v>
      </c>
      <c r="J15" s="3" t="s">
        <v>2103</v>
      </c>
      <c r="K15" s="3" t="s">
        <v>2300</v>
      </c>
      <c r="L15" s="3"/>
      <c r="M15" s="3" t="b">
        <v>1</v>
      </c>
      <c r="N15" s="3" t="s">
        <v>1497</v>
      </c>
      <c r="O15" s="3" t="b">
        <v>1</v>
      </c>
      <c r="P15" s="35"/>
    </row>
    <row r="16" spans="1:16" hidden="1" x14ac:dyDescent="0.3">
      <c r="A16" s="27" t="s">
        <v>1548</v>
      </c>
      <c r="B16" s="3"/>
      <c r="C16" s="1" t="s">
        <v>1585</v>
      </c>
      <c r="D16" s="3"/>
      <c r="E16" s="3" t="s">
        <v>51</v>
      </c>
      <c r="F16" s="3" t="s">
        <v>51</v>
      </c>
      <c r="G16" s="27"/>
      <c r="H16" s="11" t="s">
        <v>2334</v>
      </c>
      <c r="I16" s="16" t="s">
        <v>1124</v>
      </c>
      <c r="J16" s="3" t="s">
        <v>2104</v>
      </c>
      <c r="K16" s="3" t="s">
        <v>2302</v>
      </c>
      <c r="L16" s="3"/>
      <c r="M16" s="3" t="b">
        <v>1</v>
      </c>
      <c r="N16" s="3" t="s">
        <v>1497</v>
      </c>
      <c r="O16" s="3" t="b">
        <v>1</v>
      </c>
      <c r="P16" s="35"/>
    </row>
    <row r="17" spans="1:16" hidden="1" x14ac:dyDescent="0.3">
      <c r="A17" s="27" t="s">
        <v>1548</v>
      </c>
      <c r="B17" s="3"/>
      <c r="C17" s="1" t="s">
        <v>1585</v>
      </c>
      <c r="D17" s="3"/>
      <c r="E17" s="3" t="s">
        <v>51</v>
      </c>
      <c r="F17" s="3" t="s">
        <v>51</v>
      </c>
      <c r="G17" s="27"/>
      <c r="H17" s="22" t="s">
        <v>1303</v>
      </c>
      <c r="I17" s="16" t="s">
        <v>1124</v>
      </c>
      <c r="J17" s="3" t="s">
        <v>2106</v>
      </c>
      <c r="K17" s="3" t="s">
        <v>2303</v>
      </c>
      <c r="L17" s="3"/>
      <c r="M17" s="3" t="b">
        <v>0</v>
      </c>
      <c r="N17" s="3" t="s">
        <v>1497</v>
      </c>
      <c r="O17" s="3" t="b">
        <v>0</v>
      </c>
      <c r="P17" s="35"/>
    </row>
    <row r="18" spans="1:16" hidden="1" x14ac:dyDescent="0.3">
      <c r="A18" s="27" t="s">
        <v>1548</v>
      </c>
      <c r="B18" s="3"/>
      <c r="C18" s="1" t="s">
        <v>1585</v>
      </c>
      <c r="D18" s="3"/>
      <c r="E18" s="3" t="s">
        <v>51</v>
      </c>
      <c r="F18" s="3" t="s">
        <v>51</v>
      </c>
      <c r="G18" s="27"/>
      <c r="H18" s="22" t="s">
        <v>1303</v>
      </c>
      <c r="I18" s="16" t="s">
        <v>1124</v>
      </c>
      <c r="J18" s="3" t="s">
        <v>2107</v>
      </c>
      <c r="K18" s="3" t="s">
        <v>2303</v>
      </c>
      <c r="L18" s="3"/>
      <c r="M18" s="3" t="b">
        <v>0</v>
      </c>
      <c r="N18" s="3" t="s">
        <v>1497</v>
      </c>
      <c r="O18" s="3" t="b">
        <v>0</v>
      </c>
      <c r="P18" s="35"/>
    </row>
    <row r="19" spans="1:16" hidden="1" x14ac:dyDescent="0.3">
      <c r="A19" s="27" t="s">
        <v>1548</v>
      </c>
      <c r="B19" s="3"/>
      <c r="C19" s="1" t="s">
        <v>1585</v>
      </c>
      <c r="D19" s="3"/>
      <c r="E19" s="3" t="s">
        <v>51</v>
      </c>
      <c r="F19" s="3" t="s">
        <v>51</v>
      </c>
      <c r="G19" s="27"/>
      <c r="H19" s="22" t="s">
        <v>1303</v>
      </c>
      <c r="I19" s="16" t="s">
        <v>1124</v>
      </c>
      <c r="J19" s="3" t="s">
        <v>2108</v>
      </c>
      <c r="K19" s="3" t="s">
        <v>2303</v>
      </c>
      <c r="L19" s="3"/>
      <c r="M19" s="3" t="b">
        <v>0</v>
      </c>
      <c r="N19" s="3" t="s">
        <v>1497</v>
      </c>
      <c r="O19" s="3" t="b">
        <v>0</v>
      </c>
      <c r="P19" s="35"/>
    </row>
    <row r="20" spans="1:16" hidden="1" x14ac:dyDescent="0.3">
      <c r="A20" s="27" t="s">
        <v>1548</v>
      </c>
      <c r="B20" s="3"/>
      <c r="C20" s="1" t="s">
        <v>1585</v>
      </c>
      <c r="D20" s="3"/>
      <c r="E20" s="3" t="s">
        <v>51</v>
      </c>
      <c r="F20" s="3" t="s">
        <v>51</v>
      </c>
      <c r="G20" s="27"/>
      <c r="H20" s="22" t="s">
        <v>1303</v>
      </c>
      <c r="I20" s="16" t="s">
        <v>1124</v>
      </c>
      <c r="J20" s="3" t="s">
        <v>2125</v>
      </c>
      <c r="K20" s="3" t="s">
        <v>2303</v>
      </c>
      <c r="L20" s="3"/>
      <c r="M20" s="3" t="b">
        <v>0</v>
      </c>
      <c r="N20" s="3" t="s">
        <v>1497</v>
      </c>
      <c r="O20" s="3" t="b">
        <v>0</v>
      </c>
      <c r="P20" s="35"/>
    </row>
    <row r="21" spans="1:16" hidden="1" x14ac:dyDescent="0.3">
      <c r="A21" s="27" t="s">
        <v>1548</v>
      </c>
      <c r="B21" s="3"/>
      <c r="C21" s="1" t="s">
        <v>1585</v>
      </c>
      <c r="D21" s="3"/>
      <c r="E21" s="3" t="s">
        <v>51</v>
      </c>
      <c r="F21" s="3" t="s">
        <v>51</v>
      </c>
      <c r="G21" s="27"/>
      <c r="H21" s="11" t="s">
        <v>1303</v>
      </c>
      <c r="I21" s="16" t="s">
        <v>1124</v>
      </c>
      <c r="J21" s="3" t="s">
        <v>2109</v>
      </c>
      <c r="K21" s="3" t="s">
        <v>2303</v>
      </c>
      <c r="L21" s="3"/>
      <c r="M21" s="3" t="b">
        <v>0</v>
      </c>
      <c r="N21" s="3" t="s">
        <v>1497</v>
      </c>
      <c r="O21" s="3" t="b">
        <v>0</v>
      </c>
      <c r="P21" s="35"/>
    </row>
    <row r="22" spans="1:16" hidden="1" x14ac:dyDescent="0.3">
      <c r="A22" s="27" t="s">
        <v>1548</v>
      </c>
      <c r="B22" s="3"/>
      <c r="C22" s="1" t="s">
        <v>1585</v>
      </c>
      <c r="D22" s="3"/>
      <c r="E22" s="3" t="s">
        <v>51</v>
      </c>
      <c r="F22" s="3" t="s">
        <v>51</v>
      </c>
      <c r="G22" s="27"/>
      <c r="H22" s="11" t="s">
        <v>1303</v>
      </c>
      <c r="I22" s="16" t="s">
        <v>1124</v>
      </c>
      <c r="J22" s="3" t="s">
        <v>2110</v>
      </c>
      <c r="K22" s="3" t="s">
        <v>2303</v>
      </c>
      <c r="L22" s="3"/>
      <c r="M22" s="3" t="b">
        <v>0</v>
      </c>
      <c r="N22" s="3" t="s">
        <v>1497</v>
      </c>
      <c r="O22" s="3" t="b">
        <v>0</v>
      </c>
      <c r="P22" s="35"/>
    </row>
    <row r="23" spans="1:16" hidden="1" x14ac:dyDescent="0.3">
      <c r="A23" s="27" t="s">
        <v>1548</v>
      </c>
      <c r="B23" s="3"/>
      <c r="C23" s="1" t="s">
        <v>1585</v>
      </c>
      <c r="D23" s="3"/>
      <c r="E23" s="3" t="s">
        <v>51</v>
      </c>
      <c r="F23" s="3" t="s">
        <v>51</v>
      </c>
      <c r="G23" s="27"/>
      <c r="H23" s="11" t="s">
        <v>1303</v>
      </c>
      <c r="I23" s="16" t="s">
        <v>1124</v>
      </c>
      <c r="J23" s="3" t="s">
        <v>2111</v>
      </c>
      <c r="K23" s="3" t="s">
        <v>2303</v>
      </c>
      <c r="L23" s="3"/>
      <c r="M23" s="3" t="b">
        <v>0</v>
      </c>
      <c r="N23" s="3" t="s">
        <v>1497</v>
      </c>
      <c r="O23" s="3" t="b">
        <v>0</v>
      </c>
      <c r="P23" s="35"/>
    </row>
    <row r="24" spans="1:16" hidden="1" x14ac:dyDescent="0.3">
      <c r="A24" s="27" t="s">
        <v>1548</v>
      </c>
      <c r="B24" s="3"/>
      <c r="C24" s="1" t="s">
        <v>1585</v>
      </c>
      <c r="D24" s="3"/>
      <c r="E24" s="3" t="s">
        <v>51</v>
      </c>
      <c r="F24" s="3" t="s">
        <v>51</v>
      </c>
      <c r="G24" s="27"/>
      <c r="H24" s="11" t="s">
        <v>1303</v>
      </c>
      <c r="I24" s="16" t="s">
        <v>1124</v>
      </c>
      <c r="J24" s="3" t="s">
        <v>2112</v>
      </c>
      <c r="K24" s="3" t="s">
        <v>2303</v>
      </c>
      <c r="L24" s="3"/>
      <c r="M24" s="3" t="b">
        <v>0</v>
      </c>
      <c r="N24" s="3" t="s">
        <v>1497</v>
      </c>
      <c r="O24" s="3" t="b">
        <v>0</v>
      </c>
      <c r="P24" s="35"/>
    </row>
    <row r="25" spans="1:16" hidden="1" x14ac:dyDescent="0.3">
      <c r="A25" s="27" t="s">
        <v>1548</v>
      </c>
      <c r="B25" s="3"/>
      <c r="C25" s="1" t="s">
        <v>1585</v>
      </c>
      <c r="D25" s="3"/>
      <c r="E25" s="3" t="s">
        <v>51</v>
      </c>
      <c r="F25" s="3" t="s">
        <v>51</v>
      </c>
      <c r="G25" s="27"/>
      <c r="H25" s="11" t="s">
        <v>1303</v>
      </c>
      <c r="I25" s="16" t="s">
        <v>1124</v>
      </c>
      <c r="J25" s="3" t="s">
        <v>2113</v>
      </c>
      <c r="K25" s="3" t="s">
        <v>2303</v>
      </c>
      <c r="L25" s="3"/>
      <c r="M25" s="3" t="b">
        <v>0</v>
      </c>
      <c r="N25" s="3" t="s">
        <v>1497</v>
      </c>
      <c r="O25" s="3" t="b">
        <v>0</v>
      </c>
      <c r="P25" s="35"/>
    </row>
    <row r="26" spans="1:16" hidden="1" x14ac:dyDescent="0.3">
      <c r="A26" s="27" t="s">
        <v>1548</v>
      </c>
      <c r="B26" s="3"/>
      <c r="C26" s="1" t="s">
        <v>1585</v>
      </c>
      <c r="D26" s="3"/>
      <c r="E26" s="3" t="s">
        <v>51</v>
      </c>
      <c r="F26" s="3" t="s">
        <v>51</v>
      </c>
      <c r="G26" s="27"/>
      <c r="H26" s="11" t="s">
        <v>1303</v>
      </c>
      <c r="I26" s="16" t="s">
        <v>1124</v>
      </c>
      <c r="J26" s="3" t="s">
        <v>2114</v>
      </c>
      <c r="K26" s="3" t="s">
        <v>2303</v>
      </c>
      <c r="L26" s="3"/>
      <c r="M26" s="3" t="b">
        <v>0</v>
      </c>
      <c r="N26" s="3" t="s">
        <v>1497</v>
      </c>
      <c r="O26" s="3" t="b">
        <v>0</v>
      </c>
      <c r="P26" s="35"/>
    </row>
    <row r="27" spans="1:16" hidden="1" x14ac:dyDescent="0.3">
      <c r="A27" s="27" t="s">
        <v>1548</v>
      </c>
      <c r="B27" s="3"/>
      <c r="C27" s="1" t="s">
        <v>1585</v>
      </c>
      <c r="D27" s="3"/>
      <c r="E27" s="3" t="s">
        <v>51</v>
      </c>
      <c r="F27" s="3" t="s">
        <v>51</v>
      </c>
      <c r="G27" s="27"/>
      <c r="H27" s="11" t="s">
        <v>1303</v>
      </c>
      <c r="I27" s="16" t="s">
        <v>1124</v>
      </c>
      <c r="J27" s="3" t="s">
        <v>2115</v>
      </c>
      <c r="K27" s="3" t="s">
        <v>2303</v>
      </c>
      <c r="L27" s="3"/>
      <c r="M27" s="3" t="b">
        <v>0</v>
      </c>
      <c r="N27" s="3" t="s">
        <v>1497</v>
      </c>
      <c r="O27" s="3" t="b">
        <v>0</v>
      </c>
      <c r="P27" s="35"/>
    </row>
    <row r="28" spans="1:16" hidden="1" x14ac:dyDescent="0.3">
      <c r="A28" s="27" t="s">
        <v>1548</v>
      </c>
      <c r="B28" s="3"/>
      <c r="C28" s="1" t="s">
        <v>1585</v>
      </c>
      <c r="D28" s="3"/>
      <c r="E28" s="3" t="s">
        <v>51</v>
      </c>
      <c r="F28" s="3" t="s">
        <v>51</v>
      </c>
      <c r="G28" s="27"/>
      <c r="H28" s="11" t="s">
        <v>1303</v>
      </c>
      <c r="I28" s="16" t="s">
        <v>1124</v>
      </c>
      <c r="J28" s="3" t="s">
        <v>2116</v>
      </c>
      <c r="K28" s="3" t="s">
        <v>2303</v>
      </c>
      <c r="L28" s="3"/>
      <c r="M28" s="3" t="b">
        <v>0</v>
      </c>
      <c r="N28" s="3" t="s">
        <v>1497</v>
      </c>
      <c r="O28" s="3" t="b">
        <v>0</v>
      </c>
      <c r="P28" s="35"/>
    </row>
    <row r="29" spans="1:16" hidden="1" x14ac:dyDescent="0.3">
      <c r="A29" s="27" t="s">
        <v>1548</v>
      </c>
      <c r="B29" s="3"/>
      <c r="C29" s="1" t="s">
        <v>1585</v>
      </c>
      <c r="D29" s="3"/>
      <c r="E29" s="3" t="s">
        <v>51</v>
      </c>
      <c r="F29" s="3" t="s">
        <v>51</v>
      </c>
      <c r="G29" s="27"/>
      <c r="H29" s="11" t="s">
        <v>1303</v>
      </c>
      <c r="I29" s="16" t="s">
        <v>1124</v>
      </c>
      <c r="J29" s="3" t="s">
        <v>2117</v>
      </c>
      <c r="K29" s="3" t="s">
        <v>2303</v>
      </c>
      <c r="L29" s="3"/>
      <c r="M29" s="3" t="b">
        <v>0</v>
      </c>
      <c r="N29" s="3" t="s">
        <v>1497</v>
      </c>
      <c r="O29" s="3" t="b">
        <v>0</v>
      </c>
      <c r="P29" s="35"/>
    </row>
    <row r="30" spans="1:16" hidden="1" x14ac:dyDescent="0.3">
      <c r="A30" s="27" t="s">
        <v>1548</v>
      </c>
      <c r="B30" s="3"/>
      <c r="C30" s="1" t="s">
        <v>1585</v>
      </c>
      <c r="D30" s="3"/>
      <c r="E30" s="3" t="s">
        <v>51</v>
      </c>
      <c r="F30" s="3" t="s">
        <v>51</v>
      </c>
      <c r="G30" s="27"/>
      <c r="H30" s="11" t="s">
        <v>1303</v>
      </c>
      <c r="I30" s="16" t="s">
        <v>1124</v>
      </c>
      <c r="J30" s="3" t="s">
        <v>2118</v>
      </c>
      <c r="K30" s="3" t="s">
        <v>2303</v>
      </c>
      <c r="L30" s="3"/>
      <c r="M30" s="3" t="b">
        <v>0</v>
      </c>
      <c r="N30" s="3" t="s">
        <v>1497</v>
      </c>
      <c r="O30" s="3" t="b">
        <v>0</v>
      </c>
      <c r="P30" s="35"/>
    </row>
    <row r="31" spans="1:16" hidden="1" x14ac:dyDescent="0.3">
      <c r="A31" s="27" t="s">
        <v>1548</v>
      </c>
      <c r="B31" s="3"/>
      <c r="C31" s="1" t="s">
        <v>1585</v>
      </c>
      <c r="D31" s="3"/>
      <c r="E31" s="3" t="s">
        <v>51</v>
      </c>
      <c r="F31" s="3" t="s">
        <v>51</v>
      </c>
      <c r="G31" s="27"/>
      <c r="H31" s="11" t="s">
        <v>1303</v>
      </c>
      <c r="I31" s="16" t="s">
        <v>1124</v>
      </c>
      <c r="J31" s="3" t="s">
        <v>2119</v>
      </c>
      <c r="K31" s="3" t="s">
        <v>2303</v>
      </c>
      <c r="L31" s="3"/>
      <c r="M31" s="3" t="b">
        <v>0</v>
      </c>
      <c r="N31" s="3" t="s">
        <v>1497</v>
      </c>
      <c r="O31" s="3" t="b">
        <v>0</v>
      </c>
      <c r="P31" s="35"/>
    </row>
    <row r="32" spans="1:16" hidden="1" x14ac:dyDescent="0.3">
      <c r="A32" s="27" t="s">
        <v>1548</v>
      </c>
      <c r="B32" s="3"/>
      <c r="C32" s="1" t="s">
        <v>1585</v>
      </c>
      <c r="D32" s="3"/>
      <c r="E32" s="3" t="s">
        <v>51</v>
      </c>
      <c r="F32" s="3" t="s">
        <v>51</v>
      </c>
      <c r="G32" s="27"/>
      <c r="H32" s="11" t="s">
        <v>1303</v>
      </c>
      <c r="I32" s="16" t="s">
        <v>1124</v>
      </c>
      <c r="J32" s="3" t="s">
        <v>2120</v>
      </c>
      <c r="K32" s="3" t="s">
        <v>2303</v>
      </c>
      <c r="L32" s="3"/>
      <c r="M32" s="3" t="b">
        <v>0</v>
      </c>
      <c r="N32" s="3" t="s">
        <v>1497</v>
      </c>
      <c r="O32" s="3" t="b">
        <v>0</v>
      </c>
      <c r="P32" s="35"/>
    </row>
    <row r="33" spans="1:16" hidden="1" x14ac:dyDescent="0.3">
      <c r="A33" s="27" t="s">
        <v>1548</v>
      </c>
      <c r="B33" s="3"/>
      <c r="C33" s="1" t="s">
        <v>1585</v>
      </c>
      <c r="D33" s="3"/>
      <c r="E33" s="3" t="s">
        <v>51</v>
      </c>
      <c r="F33" s="3" t="s">
        <v>51</v>
      </c>
      <c r="G33" s="27"/>
      <c r="H33" s="11" t="s">
        <v>1303</v>
      </c>
      <c r="I33" s="16" t="s">
        <v>1124</v>
      </c>
      <c r="J33" s="3" t="s">
        <v>2121</v>
      </c>
      <c r="K33" s="3" t="s">
        <v>2303</v>
      </c>
      <c r="L33" s="3"/>
      <c r="M33" s="3" t="b">
        <v>0</v>
      </c>
      <c r="N33" s="3" t="s">
        <v>1497</v>
      </c>
      <c r="O33" s="3" t="b">
        <v>0</v>
      </c>
      <c r="P33" s="35"/>
    </row>
    <row r="34" spans="1:16" hidden="1" x14ac:dyDescent="0.3">
      <c r="A34" s="27" t="s">
        <v>1548</v>
      </c>
      <c r="B34" s="3"/>
      <c r="C34" s="1" t="s">
        <v>1585</v>
      </c>
      <c r="D34" s="3"/>
      <c r="E34" s="3" t="s">
        <v>51</v>
      </c>
      <c r="F34" s="3" t="s">
        <v>51</v>
      </c>
      <c r="G34" s="27"/>
      <c r="H34" s="11" t="s">
        <v>1303</v>
      </c>
      <c r="I34" s="16" t="s">
        <v>1124</v>
      </c>
      <c r="J34" s="3" t="s">
        <v>2122</v>
      </c>
      <c r="K34" s="3" t="s">
        <v>2303</v>
      </c>
      <c r="L34" s="3"/>
      <c r="M34" s="3" t="b">
        <v>0</v>
      </c>
      <c r="N34" s="3" t="s">
        <v>1497</v>
      </c>
      <c r="O34" s="3" t="b">
        <v>0</v>
      </c>
      <c r="P34" s="35"/>
    </row>
    <row r="35" spans="1:16" hidden="1" x14ac:dyDescent="0.3">
      <c r="A35" s="27" t="s">
        <v>1548</v>
      </c>
      <c r="B35" s="3"/>
      <c r="C35" s="1" t="s">
        <v>1585</v>
      </c>
      <c r="D35" s="3"/>
      <c r="E35" s="3" t="s">
        <v>51</v>
      </c>
      <c r="F35" s="3" t="s">
        <v>51</v>
      </c>
      <c r="G35" s="27"/>
      <c r="H35" s="11" t="s">
        <v>1303</v>
      </c>
      <c r="I35" s="16" t="s">
        <v>1124</v>
      </c>
      <c r="J35" s="3" t="s">
        <v>2123</v>
      </c>
      <c r="K35" s="3" t="s">
        <v>2303</v>
      </c>
      <c r="L35" s="3"/>
      <c r="M35" s="3" t="b">
        <v>0</v>
      </c>
      <c r="N35" s="3" t="s">
        <v>1497</v>
      </c>
      <c r="O35" s="3" t="b">
        <v>0</v>
      </c>
      <c r="P35" s="35"/>
    </row>
    <row r="36" spans="1:16" hidden="1" x14ac:dyDescent="0.3">
      <c r="A36" s="27" t="s">
        <v>1548</v>
      </c>
      <c r="B36" s="3"/>
      <c r="C36" s="1" t="s">
        <v>1585</v>
      </c>
      <c r="D36" s="3"/>
      <c r="E36" s="3" t="s">
        <v>51</v>
      </c>
      <c r="F36" s="3" t="s">
        <v>51</v>
      </c>
      <c r="G36" s="27"/>
      <c r="H36" s="11" t="s">
        <v>1303</v>
      </c>
      <c r="I36" s="16" t="s">
        <v>1124</v>
      </c>
      <c r="J36" s="3" t="s">
        <v>2124</v>
      </c>
      <c r="K36" s="3" t="s">
        <v>2303</v>
      </c>
      <c r="L36" s="3"/>
      <c r="M36" s="3" t="b">
        <v>0</v>
      </c>
      <c r="N36" s="3" t="s">
        <v>1497</v>
      </c>
      <c r="O36" s="3" t="b">
        <v>0</v>
      </c>
      <c r="P36" s="35"/>
    </row>
    <row r="37" spans="1:16" hidden="1" x14ac:dyDescent="0.3">
      <c r="A37" s="27" t="s">
        <v>1548</v>
      </c>
      <c r="B37" s="3"/>
      <c r="C37" s="1" t="s">
        <v>1585</v>
      </c>
      <c r="D37" s="3"/>
      <c r="E37" s="3" t="s">
        <v>51</v>
      </c>
      <c r="F37" s="3" t="s">
        <v>51</v>
      </c>
      <c r="G37" s="27"/>
      <c r="H37" s="11" t="s">
        <v>1303</v>
      </c>
      <c r="I37" s="16" t="s">
        <v>1124</v>
      </c>
      <c r="J37" s="3" t="s">
        <v>2126</v>
      </c>
      <c r="K37" s="3" t="s">
        <v>2303</v>
      </c>
      <c r="L37" s="3"/>
      <c r="M37" s="3" t="b">
        <v>0</v>
      </c>
      <c r="N37" s="3" t="s">
        <v>1497</v>
      </c>
      <c r="O37" s="3" t="b">
        <v>0</v>
      </c>
      <c r="P37" s="35"/>
    </row>
    <row r="38" spans="1:16" hidden="1" x14ac:dyDescent="0.3">
      <c r="A38" s="27" t="s">
        <v>1548</v>
      </c>
      <c r="B38" s="3"/>
      <c r="C38" s="3" t="s">
        <v>1585</v>
      </c>
      <c r="D38" s="3"/>
      <c r="E38" s="3" t="s">
        <v>51</v>
      </c>
      <c r="F38" s="3" t="s">
        <v>51</v>
      </c>
      <c r="G38" s="27"/>
      <c r="H38" s="11" t="s">
        <v>1303</v>
      </c>
      <c r="I38" s="16" t="s">
        <v>1124</v>
      </c>
      <c r="J38" s="3" t="s">
        <v>2127</v>
      </c>
      <c r="K38" s="3" t="s">
        <v>2303</v>
      </c>
      <c r="L38" s="3"/>
      <c r="M38" s="3" t="b">
        <v>0</v>
      </c>
      <c r="N38" s="3" t="s">
        <v>1497</v>
      </c>
      <c r="O38" s="3" t="b">
        <v>0</v>
      </c>
      <c r="P38" s="35"/>
    </row>
    <row r="39" spans="1:16" hidden="1" x14ac:dyDescent="0.3">
      <c r="A39" s="27" t="s">
        <v>1548</v>
      </c>
      <c r="B39" s="3"/>
      <c r="C39" s="3" t="s">
        <v>1585</v>
      </c>
      <c r="D39" s="3"/>
      <c r="E39" s="3" t="s">
        <v>51</v>
      </c>
      <c r="F39" s="3" t="s">
        <v>51</v>
      </c>
      <c r="G39" s="27"/>
      <c r="H39" s="11" t="s">
        <v>1303</v>
      </c>
      <c r="I39" s="16" t="s">
        <v>1124</v>
      </c>
      <c r="J39" s="3" t="s">
        <v>2128</v>
      </c>
      <c r="K39" s="3" t="s">
        <v>2303</v>
      </c>
      <c r="L39" s="3"/>
      <c r="M39" s="3" t="b">
        <v>0</v>
      </c>
      <c r="N39" s="3" t="s">
        <v>1497</v>
      </c>
      <c r="O39" s="3" t="b">
        <v>0</v>
      </c>
      <c r="P39" s="35"/>
    </row>
    <row r="40" spans="1:16" hidden="1" x14ac:dyDescent="0.3">
      <c r="A40" s="27" t="s">
        <v>1548</v>
      </c>
      <c r="B40" s="3"/>
      <c r="C40" s="1" t="s">
        <v>1585</v>
      </c>
      <c r="D40" s="3"/>
      <c r="E40" s="3" t="s">
        <v>51</v>
      </c>
      <c r="F40" s="3" t="s">
        <v>51</v>
      </c>
      <c r="G40" s="27"/>
      <c r="H40" s="11" t="s">
        <v>1435</v>
      </c>
      <c r="I40" s="16" t="s">
        <v>1124</v>
      </c>
      <c r="J40" s="3" t="s">
        <v>2172</v>
      </c>
      <c r="K40" s="3" t="s">
        <v>2311</v>
      </c>
      <c r="L40" s="3"/>
      <c r="M40" s="3" t="b">
        <v>1</v>
      </c>
      <c r="N40" s="3" t="s">
        <v>1497</v>
      </c>
      <c r="O40" s="3" t="b">
        <v>1</v>
      </c>
      <c r="P40" s="35"/>
    </row>
    <row r="41" spans="1:16" hidden="1" x14ac:dyDescent="0.3">
      <c r="A41" s="27" t="s">
        <v>1548</v>
      </c>
      <c r="B41" s="3"/>
      <c r="C41" s="1" t="s">
        <v>1585</v>
      </c>
      <c r="D41" s="3"/>
      <c r="E41" s="3" t="s">
        <v>51</v>
      </c>
      <c r="F41" s="3" t="s">
        <v>51</v>
      </c>
      <c r="G41" s="27"/>
      <c r="H41" s="11" t="s">
        <v>1433</v>
      </c>
      <c r="I41" s="16" t="s">
        <v>1124</v>
      </c>
      <c r="J41" s="3" t="s">
        <v>2173</v>
      </c>
      <c r="K41" s="3" t="s">
        <v>2311</v>
      </c>
      <c r="L41" s="3"/>
      <c r="M41" s="3" t="b">
        <v>1</v>
      </c>
      <c r="N41" s="3" t="s">
        <v>1497</v>
      </c>
      <c r="O41" s="3" t="b">
        <v>1</v>
      </c>
      <c r="P41" s="35"/>
    </row>
    <row r="42" spans="1:16" hidden="1" x14ac:dyDescent="0.3">
      <c r="A42" s="27" t="s">
        <v>1548</v>
      </c>
      <c r="B42" s="3"/>
      <c r="C42" s="1" t="s">
        <v>1585</v>
      </c>
      <c r="D42" s="3"/>
      <c r="E42" s="3" t="s">
        <v>51</v>
      </c>
      <c r="F42" s="3" t="s">
        <v>51</v>
      </c>
      <c r="G42" s="27"/>
      <c r="H42" s="11" t="s">
        <v>1303</v>
      </c>
      <c r="I42" s="16" t="s">
        <v>1124</v>
      </c>
      <c r="J42" s="3" t="s">
        <v>2171</v>
      </c>
      <c r="K42" s="3" t="s">
        <v>2303</v>
      </c>
      <c r="L42" s="3"/>
      <c r="M42" s="3" t="b">
        <v>0</v>
      </c>
      <c r="N42" s="3" t="s">
        <v>1497</v>
      </c>
      <c r="O42" s="3" t="b">
        <v>0</v>
      </c>
      <c r="P42" s="35"/>
    </row>
    <row r="43" spans="1:16" hidden="1" x14ac:dyDescent="0.3">
      <c r="A43" s="27" t="s">
        <v>1548</v>
      </c>
      <c r="B43" s="3"/>
      <c r="C43" s="1" t="s">
        <v>1585</v>
      </c>
      <c r="D43" s="3"/>
      <c r="E43" s="3" t="s">
        <v>51</v>
      </c>
      <c r="F43" s="3" t="s">
        <v>51</v>
      </c>
      <c r="G43" s="27"/>
      <c r="H43" s="11" t="s">
        <v>1303</v>
      </c>
      <c r="I43" s="16" t="s">
        <v>1124</v>
      </c>
      <c r="J43" s="3" t="s">
        <v>2129</v>
      </c>
      <c r="K43" s="3" t="s">
        <v>2303</v>
      </c>
      <c r="L43" s="3"/>
      <c r="M43" s="3" t="b">
        <v>0</v>
      </c>
      <c r="N43" s="3" t="s">
        <v>1497</v>
      </c>
      <c r="O43" s="3" t="b">
        <v>0</v>
      </c>
      <c r="P43" s="35"/>
    </row>
    <row r="44" spans="1:16" hidden="1" x14ac:dyDescent="0.3">
      <c r="A44" s="27" t="s">
        <v>1548</v>
      </c>
      <c r="B44" s="3"/>
      <c r="C44" s="1" t="s">
        <v>1585</v>
      </c>
      <c r="D44" s="3"/>
      <c r="E44" s="3" t="s">
        <v>51</v>
      </c>
      <c r="F44" s="3" t="s">
        <v>51</v>
      </c>
      <c r="G44" s="27"/>
      <c r="H44" s="22" t="s">
        <v>1303</v>
      </c>
      <c r="I44" s="16" t="s">
        <v>1124</v>
      </c>
      <c r="J44" s="3" t="s">
        <v>2130</v>
      </c>
      <c r="K44" s="3" t="s">
        <v>2303</v>
      </c>
      <c r="L44" s="3"/>
      <c r="M44" s="3" t="b">
        <v>0</v>
      </c>
      <c r="N44" s="3" t="s">
        <v>1497</v>
      </c>
      <c r="O44" s="3" t="b">
        <v>0</v>
      </c>
      <c r="P44" s="35"/>
    </row>
    <row r="45" spans="1:16" hidden="1" x14ac:dyDescent="0.3">
      <c r="A45" s="27" t="s">
        <v>1548</v>
      </c>
      <c r="B45" s="3"/>
      <c r="C45" s="1" t="s">
        <v>1585</v>
      </c>
      <c r="D45" s="3"/>
      <c r="E45" s="3" t="s">
        <v>51</v>
      </c>
      <c r="F45" s="3" t="s">
        <v>51</v>
      </c>
      <c r="G45" s="27"/>
      <c r="H45" s="11"/>
      <c r="I45" s="16" t="s">
        <v>1124</v>
      </c>
      <c r="J45" s="3" t="s">
        <v>2131</v>
      </c>
      <c r="K45" s="3" t="s">
        <v>2303</v>
      </c>
      <c r="L45" s="3"/>
      <c r="M45" s="3" t="b">
        <v>0</v>
      </c>
      <c r="N45" s="3" t="s">
        <v>1497</v>
      </c>
      <c r="O45" s="3" t="b">
        <v>0</v>
      </c>
      <c r="P45" s="35"/>
    </row>
    <row r="46" spans="1:16" hidden="1" x14ac:dyDescent="0.3">
      <c r="A46" s="27" t="s">
        <v>1548</v>
      </c>
      <c r="B46" s="3"/>
      <c r="C46" s="1" t="s">
        <v>1585</v>
      </c>
      <c r="D46" s="3"/>
      <c r="E46" s="3" t="s">
        <v>51</v>
      </c>
      <c r="F46" s="3" t="s">
        <v>51</v>
      </c>
      <c r="G46" s="27"/>
      <c r="H46" s="11"/>
      <c r="I46" s="16" t="s">
        <v>1124</v>
      </c>
      <c r="J46" s="3" t="s">
        <v>2132</v>
      </c>
      <c r="K46" s="3" t="s">
        <v>2303</v>
      </c>
      <c r="L46" s="3"/>
      <c r="M46" s="3" t="b">
        <v>0</v>
      </c>
      <c r="N46" s="3" t="s">
        <v>1497</v>
      </c>
      <c r="O46" s="3" t="b">
        <v>0</v>
      </c>
      <c r="P46" s="35"/>
    </row>
    <row r="47" spans="1:16" hidden="1" x14ac:dyDescent="0.3">
      <c r="A47" s="27" t="s">
        <v>1548</v>
      </c>
      <c r="B47" s="3"/>
      <c r="C47" s="1" t="s">
        <v>1585</v>
      </c>
      <c r="D47" s="3"/>
      <c r="E47" s="3" t="s">
        <v>51</v>
      </c>
      <c r="F47" s="3" t="s">
        <v>51</v>
      </c>
      <c r="G47" s="27"/>
      <c r="H47" s="11"/>
      <c r="I47" s="16" t="s">
        <v>1124</v>
      </c>
      <c r="J47" s="3" t="s">
        <v>2133</v>
      </c>
      <c r="K47" s="3" t="s">
        <v>2314</v>
      </c>
      <c r="L47" s="3"/>
      <c r="M47" s="3" t="b">
        <v>0</v>
      </c>
      <c r="N47" s="3" t="s">
        <v>1497</v>
      </c>
      <c r="O47" s="3" t="b">
        <v>0</v>
      </c>
      <c r="P47" s="35"/>
    </row>
    <row r="48" spans="1:16" hidden="1" x14ac:dyDescent="0.3">
      <c r="A48" s="27" t="s">
        <v>1548</v>
      </c>
      <c r="B48" s="3"/>
      <c r="C48" s="3" t="s">
        <v>904</v>
      </c>
      <c r="D48" s="3"/>
      <c r="E48" s="3" t="s">
        <v>51</v>
      </c>
      <c r="F48" s="3" t="s">
        <v>51</v>
      </c>
      <c r="G48" s="27"/>
      <c r="H48" s="11" t="s">
        <v>1203</v>
      </c>
      <c r="I48" s="16" t="s">
        <v>1124</v>
      </c>
      <c r="J48" s="3" t="s">
        <v>1608</v>
      </c>
      <c r="K48" s="3" t="s">
        <v>2304</v>
      </c>
      <c r="L48" s="3"/>
      <c r="M48" s="3" t="b">
        <v>1</v>
      </c>
      <c r="N48" s="3" t="s">
        <v>1497</v>
      </c>
      <c r="O48" s="3" t="b">
        <v>1</v>
      </c>
      <c r="P48" s="35"/>
    </row>
    <row r="49" spans="1:16" hidden="1" x14ac:dyDescent="0.3">
      <c r="A49" s="27" t="s">
        <v>1548</v>
      </c>
      <c r="B49" s="3"/>
      <c r="C49" s="3" t="s">
        <v>904</v>
      </c>
      <c r="D49" s="3"/>
      <c r="E49" s="3" t="s">
        <v>51</v>
      </c>
      <c r="F49" s="3" t="s">
        <v>51</v>
      </c>
      <c r="G49" s="27"/>
      <c r="H49" s="11" t="s">
        <v>1207</v>
      </c>
      <c r="I49" s="16" t="s">
        <v>1124</v>
      </c>
      <c r="J49" s="3" t="s">
        <v>1434</v>
      </c>
      <c r="K49" s="3" t="s">
        <v>2309</v>
      </c>
      <c r="L49" s="3"/>
      <c r="M49" s="3" t="b">
        <v>1</v>
      </c>
      <c r="N49" s="3" t="s">
        <v>1497</v>
      </c>
      <c r="O49" s="3" t="b">
        <v>1</v>
      </c>
      <c r="P49" s="35"/>
    </row>
    <row r="50" spans="1:16" hidden="1" x14ac:dyDescent="0.3">
      <c r="A50" s="27" t="s">
        <v>1548</v>
      </c>
      <c r="B50" s="3"/>
      <c r="C50" s="3" t="s">
        <v>906</v>
      </c>
      <c r="D50" s="3"/>
      <c r="E50" s="3" t="s">
        <v>51</v>
      </c>
      <c r="F50" s="3" t="s">
        <v>51</v>
      </c>
      <c r="G50" s="27"/>
      <c r="H50" s="11" t="s">
        <v>1205</v>
      </c>
      <c r="I50" s="16" t="s">
        <v>1124</v>
      </c>
      <c r="J50" s="3" t="s">
        <v>1609</v>
      </c>
      <c r="K50" s="3" t="s">
        <v>2305</v>
      </c>
      <c r="L50" s="3"/>
      <c r="M50" s="3" t="b">
        <v>1</v>
      </c>
      <c r="N50" s="3" t="s">
        <v>1497</v>
      </c>
      <c r="O50" s="3" t="b">
        <v>1</v>
      </c>
      <c r="P50" s="35"/>
    </row>
    <row r="51" spans="1:16" hidden="1" x14ac:dyDescent="0.3">
      <c r="A51" s="27" t="s">
        <v>1548</v>
      </c>
      <c r="B51" s="3"/>
      <c r="C51" s="3" t="s">
        <v>906</v>
      </c>
      <c r="D51" s="3"/>
      <c r="E51" s="3" t="s">
        <v>51</v>
      </c>
      <c r="F51" s="3" t="s">
        <v>51</v>
      </c>
      <c r="G51" s="27"/>
      <c r="H51" s="11" t="s">
        <v>1209</v>
      </c>
      <c r="I51" s="16" t="s">
        <v>1124</v>
      </c>
      <c r="J51" s="3" t="s">
        <v>1437</v>
      </c>
      <c r="K51" s="3" t="s">
        <v>2310</v>
      </c>
      <c r="L51" s="3"/>
      <c r="M51" s="3" t="b">
        <v>1</v>
      </c>
      <c r="N51" s="3" t="s">
        <v>1497</v>
      </c>
      <c r="O51" s="3" t="b">
        <v>1</v>
      </c>
      <c r="P51" s="35"/>
    </row>
    <row r="52" spans="1:16" hidden="1" x14ac:dyDescent="0.3">
      <c r="A52" s="27" t="s">
        <v>1548</v>
      </c>
      <c r="B52" s="3"/>
      <c r="C52" s="3" t="s">
        <v>1940</v>
      </c>
      <c r="D52" s="3"/>
      <c r="E52" s="3" t="s">
        <v>51</v>
      </c>
      <c r="F52" s="3" t="s">
        <v>51</v>
      </c>
      <c r="G52" s="27"/>
      <c r="H52" s="11" t="s">
        <v>1949</v>
      </c>
      <c r="I52" s="16" t="s">
        <v>1124</v>
      </c>
      <c r="J52" s="3" t="s">
        <v>1942</v>
      </c>
      <c r="K52" s="3" t="s">
        <v>1955</v>
      </c>
      <c r="L52" s="3"/>
      <c r="M52" s="3" t="b">
        <v>0</v>
      </c>
      <c r="N52" s="3" t="s">
        <v>1497</v>
      </c>
      <c r="O52" s="3" t="b">
        <v>1</v>
      </c>
      <c r="P52" s="35"/>
    </row>
    <row r="53" spans="1:16" hidden="1" x14ac:dyDescent="0.3">
      <c r="A53" s="27" t="s">
        <v>1548</v>
      </c>
      <c r="B53" s="3"/>
      <c r="C53" s="3" t="s">
        <v>914</v>
      </c>
      <c r="D53" s="3"/>
      <c r="E53" s="3" t="s">
        <v>51</v>
      </c>
      <c r="F53" s="3" t="s">
        <v>51</v>
      </c>
      <c r="G53" s="27"/>
      <c r="H53" s="11" t="s">
        <v>1284</v>
      </c>
      <c r="I53" s="16" t="s">
        <v>1124</v>
      </c>
      <c r="J53" s="3" t="s">
        <v>915</v>
      </c>
      <c r="K53" s="3" t="s">
        <v>1694</v>
      </c>
      <c r="L53" s="3"/>
      <c r="M53" s="3" t="b">
        <v>0</v>
      </c>
      <c r="N53" s="3" t="s">
        <v>1497</v>
      </c>
      <c r="O53" s="3" t="b">
        <v>1</v>
      </c>
      <c r="P53" s="35"/>
    </row>
    <row r="54" spans="1:16" hidden="1" x14ac:dyDescent="0.3">
      <c r="A54" s="27" t="s">
        <v>1548</v>
      </c>
      <c r="B54" s="3"/>
      <c r="C54" s="3" t="s">
        <v>916</v>
      </c>
      <c r="D54" s="3"/>
      <c r="E54" s="3" t="s">
        <v>51</v>
      </c>
      <c r="F54" s="3" t="s">
        <v>51</v>
      </c>
      <c r="G54" s="27"/>
      <c r="H54" s="11" t="s">
        <v>1286</v>
      </c>
      <c r="I54" s="16" t="s">
        <v>1124</v>
      </c>
      <c r="J54" s="3" t="s">
        <v>917</v>
      </c>
      <c r="K54" s="3" t="s">
        <v>1695</v>
      </c>
      <c r="L54" s="3"/>
      <c r="M54" s="3" t="b">
        <v>0</v>
      </c>
      <c r="N54" s="3" t="s">
        <v>1497</v>
      </c>
      <c r="O54" s="3" t="b">
        <v>1</v>
      </c>
      <c r="P54" s="35"/>
    </row>
    <row r="55" spans="1:16" hidden="1" x14ac:dyDescent="0.3">
      <c r="A55" s="27" t="s">
        <v>1548</v>
      </c>
      <c r="B55" s="3"/>
      <c r="C55" s="3" t="s">
        <v>918</v>
      </c>
      <c r="D55" s="3"/>
      <c r="E55" s="3" t="s">
        <v>51</v>
      </c>
      <c r="F55" s="3" t="s">
        <v>51</v>
      </c>
      <c r="G55" s="27"/>
      <c r="H55" s="11" t="s">
        <v>1288</v>
      </c>
      <c r="I55" s="16" t="s">
        <v>1124</v>
      </c>
      <c r="J55" s="3" t="s">
        <v>919</v>
      </c>
      <c r="K55" s="3" t="s">
        <v>1696</v>
      </c>
      <c r="L55" s="3"/>
      <c r="M55" s="3" t="b">
        <v>0</v>
      </c>
      <c r="N55" s="3" t="s">
        <v>1497</v>
      </c>
      <c r="O55" s="3" t="b">
        <v>1</v>
      </c>
      <c r="P55" s="35"/>
    </row>
    <row r="56" spans="1:16" hidden="1" x14ac:dyDescent="0.3">
      <c r="A56" s="27" t="s">
        <v>1548</v>
      </c>
      <c r="B56" s="3"/>
      <c r="C56" s="3" t="s">
        <v>2047</v>
      </c>
      <c r="D56" s="3"/>
      <c r="E56" s="3" t="s">
        <v>51</v>
      </c>
      <c r="F56" s="3" t="s">
        <v>51</v>
      </c>
      <c r="G56" s="27"/>
      <c r="H56" s="11" t="s">
        <v>1312</v>
      </c>
      <c r="I56" s="16" t="s">
        <v>1124</v>
      </c>
      <c r="J56" s="3" t="s">
        <v>2316</v>
      </c>
      <c r="K56" s="3" t="s">
        <v>2307</v>
      </c>
      <c r="L56" s="3"/>
      <c r="M56" s="3" t="b">
        <v>0</v>
      </c>
      <c r="N56" s="3" t="s">
        <v>1497</v>
      </c>
      <c r="O56" s="3" t="b">
        <v>0</v>
      </c>
      <c r="P56" s="35"/>
    </row>
    <row r="57" spans="1:16" hidden="1" x14ac:dyDescent="0.3">
      <c r="A57" s="27" t="s">
        <v>1548</v>
      </c>
      <c r="B57" s="3"/>
      <c r="C57" s="3" t="s">
        <v>912</v>
      </c>
      <c r="D57" s="3"/>
      <c r="E57" s="3" t="s">
        <v>51</v>
      </c>
      <c r="F57" s="3" t="s">
        <v>51</v>
      </c>
      <c r="G57" s="27"/>
      <c r="H57" s="11" t="s">
        <v>1017</v>
      </c>
      <c r="I57" s="16" t="s">
        <v>1124</v>
      </c>
      <c r="J57" s="3" t="s">
        <v>1233</v>
      </c>
      <c r="K57" s="3" t="s">
        <v>1686</v>
      </c>
      <c r="L57" s="3"/>
      <c r="M57" s="3" t="b">
        <v>1</v>
      </c>
      <c r="N57" s="3" t="s">
        <v>1497</v>
      </c>
      <c r="O57" s="3" t="b">
        <v>1</v>
      </c>
      <c r="P57" s="35"/>
    </row>
    <row r="58" spans="1:16" hidden="1" x14ac:dyDescent="0.3">
      <c r="A58" s="27" t="s">
        <v>1548</v>
      </c>
      <c r="B58" s="3"/>
      <c r="C58" s="3" t="s">
        <v>912</v>
      </c>
      <c r="D58" s="3"/>
      <c r="E58" s="3" t="s">
        <v>51</v>
      </c>
      <c r="F58" s="3" t="s">
        <v>51</v>
      </c>
      <c r="G58" s="27"/>
      <c r="H58" s="11" t="s">
        <v>1019</v>
      </c>
      <c r="I58" s="16" t="s">
        <v>1124</v>
      </c>
      <c r="J58" s="3" t="s">
        <v>1436</v>
      </c>
      <c r="K58" s="3" t="s">
        <v>1693</v>
      </c>
      <c r="L58" s="3"/>
      <c r="M58" s="3" t="b">
        <v>1</v>
      </c>
      <c r="N58" s="3" t="s">
        <v>1497</v>
      </c>
      <c r="O58" s="3" t="b">
        <v>1</v>
      </c>
      <c r="P58" s="35"/>
    </row>
    <row r="59" spans="1:16" hidden="1" x14ac:dyDescent="0.3">
      <c r="A59" s="27" t="s">
        <v>1548</v>
      </c>
      <c r="B59" s="3"/>
      <c r="C59" s="3" t="s">
        <v>1623</v>
      </c>
      <c r="D59" s="3"/>
      <c r="E59" s="3" t="s">
        <v>51</v>
      </c>
      <c r="F59" s="3" t="s">
        <v>51</v>
      </c>
      <c r="G59" s="27"/>
      <c r="H59" s="11" t="s">
        <v>1296</v>
      </c>
      <c r="I59" s="16" t="s">
        <v>1124</v>
      </c>
      <c r="J59" s="3" t="s">
        <v>1625</v>
      </c>
      <c r="K59" s="3" t="s">
        <v>1697</v>
      </c>
      <c r="L59" s="3"/>
      <c r="M59" s="3" t="b">
        <v>1</v>
      </c>
      <c r="N59" s="3" t="s">
        <v>1497</v>
      </c>
      <c r="O59" s="3" t="b">
        <v>1</v>
      </c>
      <c r="P59" s="35"/>
    </row>
    <row r="60" spans="1:16" hidden="1" x14ac:dyDescent="0.3">
      <c r="A60" s="27" t="s">
        <v>1548</v>
      </c>
      <c r="B60" s="3"/>
      <c r="C60" s="3" t="s">
        <v>1558</v>
      </c>
      <c r="D60" s="3"/>
      <c r="E60" s="3" t="s">
        <v>51</v>
      </c>
      <c r="F60" s="3" t="s">
        <v>51</v>
      </c>
      <c r="G60" s="27"/>
      <c r="H60" s="11" t="s">
        <v>1558</v>
      </c>
      <c r="I60" s="16" t="s">
        <v>1124</v>
      </c>
      <c r="J60" s="3" t="s">
        <v>1562</v>
      </c>
      <c r="K60" s="3" t="s">
        <v>2054</v>
      </c>
      <c r="L60" s="3"/>
      <c r="M60" s="3" t="b">
        <v>1</v>
      </c>
      <c r="N60" s="3" t="s">
        <v>1497</v>
      </c>
      <c r="O60" s="3" t="b">
        <v>1</v>
      </c>
      <c r="P60" s="35"/>
    </row>
    <row r="61" spans="1:16" hidden="1" x14ac:dyDescent="0.3">
      <c r="A61" s="27" t="s">
        <v>1548</v>
      </c>
      <c r="B61" s="3"/>
      <c r="C61" s="3" t="s">
        <v>1560</v>
      </c>
      <c r="D61" s="3"/>
      <c r="E61" s="3" t="s">
        <v>51</v>
      </c>
      <c r="F61" s="3" t="s">
        <v>51</v>
      </c>
      <c r="G61" s="27"/>
      <c r="H61" s="11" t="s">
        <v>1560</v>
      </c>
      <c r="I61" s="16" t="s">
        <v>1124</v>
      </c>
      <c r="J61" s="3" t="s">
        <v>1561</v>
      </c>
      <c r="K61" s="3" t="s">
        <v>1698</v>
      </c>
      <c r="L61" s="3"/>
      <c r="M61" s="3" t="b">
        <v>1</v>
      </c>
      <c r="N61" s="3" t="s">
        <v>1497</v>
      </c>
      <c r="O61" s="3" t="b">
        <v>1</v>
      </c>
      <c r="P61" s="35"/>
    </row>
    <row r="62" spans="1:16" x14ac:dyDescent="0.3">
      <c r="A62" s="27" t="s">
        <v>858</v>
      </c>
      <c r="B62" s="3"/>
      <c r="C62" s="3" t="s">
        <v>898</v>
      </c>
      <c r="D62" s="3"/>
      <c r="E62" s="3" t="s">
        <v>51</v>
      </c>
      <c r="F62" s="3" t="s">
        <v>51</v>
      </c>
      <c r="G62" s="27"/>
      <c r="H62" s="11" t="s">
        <v>999</v>
      </c>
      <c r="I62" s="16" t="s">
        <v>1124</v>
      </c>
      <c r="J62" s="3" t="s">
        <v>1000</v>
      </c>
      <c r="K62" s="3" t="s">
        <v>1686</v>
      </c>
      <c r="L62" s="3"/>
      <c r="M62" s="3" t="b">
        <v>1</v>
      </c>
      <c r="N62" s="3" t="s">
        <v>1497</v>
      </c>
      <c r="O62" s="3" t="b">
        <v>1</v>
      </c>
      <c r="P62" s="35"/>
    </row>
    <row r="63" spans="1:16" x14ac:dyDescent="0.3">
      <c r="A63" s="27" t="s">
        <v>858</v>
      </c>
      <c r="B63" s="3"/>
      <c r="C63" s="3" t="s">
        <v>898</v>
      </c>
      <c r="D63" s="3"/>
      <c r="E63" s="3" t="s">
        <v>51</v>
      </c>
      <c r="F63" s="3" t="s">
        <v>51</v>
      </c>
      <c r="G63" s="27"/>
      <c r="H63" s="11" t="s">
        <v>1517</v>
      </c>
      <c r="I63" s="16" t="s">
        <v>1124</v>
      </c>
      <c r="J63" s="3" t="s">
        <v>1521</v>
      </c>
      <c r="K63" s="3" t="s">
        <v>1687</v>
      </c>
      <c r="L63" s="3"/>
      <c r="M63" s="3" t="b">
        <v>0</v>
      </c>
      <c r="N63" s="3" t="s">
        <v>1497</v>
      </c>
      <c r="O63" s="3" t="b">
        <v>1</v>
      </c>
      <c r="P63" s="35"/>
    </row>
    <row r="64" spans="1:16" x14ac:dyDescent="0.3">
      <c r="A64" s="27" t="s">
        <v>858</v>
      </c>
      <c r="B64" s="3"/>
      <c r="C64" s="3" t="s">
        <v>898</v>
      </c>
      <c r="D64" s="3"/>
      <c r="E64" s="3" t="s">
        <v>51</v>
      </c>
      <c r="F64" s="3" t="s">
        <v>51</v>
      </c>
      <c r="G64" s="27"/>
      <c r="H64" s="11" t="s">
        <v>1003</v>
      </c>
      <c r="I64" s="16" t="s">
        <v>1124</v>
      </c>
      <c r="J64" s="3" t="s">
        <v>1438</v>
      </c>
      <c r="K64" s="3" t="s">
        <v>1689</v>
      </c>
      <c r="L64" s="3"/>
      <c r="M64" s="3" t="b">
        <v>0</v>
      </c>
      <c r="N64" s="3" t="s">
        <v>1497</v>
      </c>
      <c r="O64" s="3" t="b">
        <v>1</v>
      </c>
      <c r="P64" s="35"/>
    </row>
    <row r="65" spans="1:16" x14ac:dyDescent="0.3">
      <c r="A65" s="27" t="s">
        <v>858</v>
      </c>
      <c r="B65" s="3"/>
      <c r="C65" s="3" t="s">
        <v>2094</v>
      </c>
      <c r="D65" s="3"/>
      <c r="E65" s="3" t="s">
        <v>51</v>
      </c>
      <c r="F65" s="3" t="s">
        <v>51</v>
      </c>
      <c r="G65" s="27"/>
      <c r="H65" s="11" t="s">
        <v>2094</v>
      </c>
      <c r="I65" s="16" t="s">
        <v>1124</v>
      </c>
      <c r="J65" s="3" t="s">
        <v>2102</v>
      </c>
      <c r="K65" s="3" t="s">
        <v>1692</v>
      </c>
      <c r="L65" s="3"/>
      <c r="M65" s="3" t="b">
        <v>1</v>
      </c>
      <c r="N65" s="3" t="s">
        <v>1497</v>
      </c>
      <c r="O65" s="3" t="b">
        <v>1</v>
      </c>
      <c r="P65" s="35"/>
    </row>
    <row r="66" spans="1:16" x14ac:dyDescent="0.3">
      <c r="A66" s="27" t="s">
        <v>858</v>
      </c>
      <c r="B66" s="3"/>
      <c r="C66" s="1" t="s">
        <v>1585</v>
      </c>
      <c r="D66" s="3"/>
      <c r="E66" s="3" t="s">
        <v>51</v>
      </c>
      <c r="F66" s="3" t="s">
        <v>51</v>
      </c>
      <c r="G66" s="27"/>
      <c r="H66" s="11" t="s">
        <v>2332</v>
      </c>
      <c r="I66" s="16" t="s">
        <v>1124</v>
      </c>
      <c r="J66" s="3" t="s">
        <v>2105</v>
      </c>
      <c r="K66" s="3" t="s">
        <v>2301</v>
      </c>
      <c r="L66" s="3"/>
      <c r="M66" s="3" t="b">
        <v>1</v>
      </c>
      <c r="N66" s="3" t="s">
        <v>1497</v>
      </c>
      <c r="O66" s="3" t="b">
        <v>1</v>
      </c>
      <c r="P66" s="35"/>
    </row>
    <row r="67" spans="1:16" x14ac:dyDescent="0.3">
      <c r="A67" s="27" t="s">
        <v>858</v>
      </c>
      <c r="B67" s="3"/>
      <c r="C67" s="1" t="s">
        <v>1585</v>
      </c>
      <c r="D67" s="3"/>
      <c r="E67" s="3" t="s">
        <v>51</v>
      </c>
      <c r="F67" s="3" t="s">
        <v>51</v>
      </c>
      <c r="G67" s="27"/>
      <c r="H67" s="11" t="s">
        <v>1303</v>
      </c>
      <c r="I67" s="16" t="s">
        <v>1124</v>
      </c>
      <c r="J67" s="3" t="s">
        <v>2134</v>
      </c>
      <c r="K67" s="3" t="s">
        <v>2303</v>
      </c>
      <c r="L67" s="3"/>
      <c r="M67" s="3" t="b">
        <v>0</v>
      </c>
      <c r="N67" s="3" t="s">
        <v>1497</v>
      </c>
      <c r="O67" s="3" t="b">
        <v>0</v>
      </c>
      <c r="P67" s="35"/>
    </row>
    <row r="68" spans="1:16" x14ac:dyDescent="0.3">
      <c r="A68" s="27" t="s">
        <v>858</v>
      </c>
      <c r="B68" s="3"/>
      <c r="C68" s="1" t="s">
        <v>1585</v>
      </c>
      <c r="D68" s="3"/>
      <c r="E68" s="3" t="s">
        <v>51</v>
      </c>
      <c r="F68" s="3" t="s">
        <v>51</v>
      </c>
      <c r="G68" s="27"/>
      <c r="H68" s="11" t="s">
        <v>1303</v>
      </c>
      <c r="I68" s="16" t="s">
        <v>1124</v>
      </c>
      <c r="J68" s="3" t="s">
        <v>2135</v>
      </c>
      <c r="K68" s="3" t="s">
        <v>2303</v>
      </c>
      <c r="L68" s="3"/>
      <c r="M68" s="3" t="b">
        <v>0</v>
      </c>
      <c r="N68" s="3" t="s">
        <v>1497</v>
      </c>
      <c r="O68" s="3" t="b">
        <v>0</v>
      </c>
      <c r="P68" s="35"/>
    </row>
    <row r="69" spans="1:16" x14ac:dyDescent="0.3">
      <c r="A69" s="27" t="s">
        <v>858</v>
      </c>
      <c r="B69" s="3"/>
      <c r="C69" s="1" t="s">
        <v>1585</v>
      </c>
      <c r="D69" s="3"/>
      <c r="E69" s="3" t="s">
        <v>51</v>
      </c>
      <c r="F69" s="3" t="s">
        <v>51</v>
      </c>
      <c r="G69" s="27"/>
      <c r="H69" s="22" t="s">
        <v>1303</v>
      </c>
      <c r="I69" s="16" t="s">
        <v>1124</v>
      </c>
      <c r="J69" s="3" t="s">
        <v>2136</v>
      </c>
      <c r="K69" s="3" t="s">
        <v>2303</v>
      </c>
      <c r="L69" s="3"/>
      <c r="M69" s="3" t="b">
        <v>0</v>
      </c>
      <c r="N69" s="3" t="s">
        <v>1497</v>
      </c>
      <c r="O69" s="3" t="b">
        <v>0</v>
      </c>
      <c r="P69" s="35"/>
    </row>
    <row r="70" spans="1:16" x14ac:dyDescent="0.3">
      <c r="A70" s="27" t="s">
        <v>858</v>
      </c>
      <c r="B70" s="3"/>
      <c r="C70" s="1" t="s">
        <v>1585</v>
      </c>
      <c r="D70" s="3"/>
      <c r="E70" s="3" t="s">
        <v>51</v>
      </c>
      <c r="F70" s="3" t="s">
        <v>51</v>
      </c>
      <c r="G70" s="27"/>
      <c r="H70" s="22" t="s">
        <v>1303</v>
      </c>
      <c r="I70" s="16" t="s">
        <v>1124</v>
      </c>
      <c r="J70" s="3" t="s">
        <v>2137</v>
      </c>
      <c r="K70" s="3" t="s">
        <v>2303</v>
      </c>
      <c r="L70" s="3"/>
      <c r="M70" s="3" t="b">
        <v>0</v>
      </c>
      <c r="N70" s="3" t="s">
        <v>1497</v>
      </c>
      <c r="O70" s="3" t="b">
        <v>0</v>
      </c>
      <c r="P70" s="35"/>
    </row>
    <row r="71" spans="1:16" x14ac:dyDescent="0.3">
      <c r="A71" s="27" t="s">
        <v>858</v>
      </c>
      <c r="B71" s="3"/>
      <c r="C71" s="1" t="s">
        <v>1585</v>
      </c>
      <c r="D71" s="3"/>
      <c r="E71" s="3" t="s">
        <v>51</v>
      </c>
      <c r="F71" s="3" t="s">
        <v>51</v>
      </c>
      <c r="G71" s="27"/>
      <c r="H71" s="22" t="s">
        <v>1303</v>
      </c>
      <c r="I71" s="16" t="s">
        <v>1124</v>
      </c>
      <c r="J71" s="3" t="s">
        <v>2138</v>
      </c>
      <c r="K71" s="3" t="s">
        <v>2303</v>
      </c>
      <c r="L71" s="3"/>
      <c r="M71" s="3" t="b">
        <v>0</v>
      </c>
      <c r="N71" s="3" t="s">
        <v>1497</v>
      </c>
      <c r="O71" s="3" t="b">
        <v>0</v>
      </c>
      <c r="P71" s="35"/>
    </row>
    <row r="72" spans="1:16" x14ac:dyDescent="0.3">
      <c r="A72" s="27" t="s">
        <v>858</v>
      </c>
      <c r="B72" s="3"/>
      <c r="C72" s="1" t="s">
        <v>1585</v>
      </c>
      <c r="D72" s="3"/>
      <c r="E72" s="3" t="s">
        <v>51</v>
      </c>
      <c r="F72" s="3" t="s">
        <v>51</v>
      </c>
      <c r="G72" s="27"/>
      <c r="H72" s="22" t="s">
        <v>1303</v>
      </c>
      <c r="I72" s="16" t="s">
        <v>1124</v>
      </c>
      <c r="J72" s="3" t="s">
        <v>2139</v>
      </c>
      <c r="K72" s="3" t="s">
        <v>2303</v>
      </c>
      <c r="L72" s="3"/>
      <c r="M72" s="3" t="b">
        <v>0</v>
      </c>
      <c r="N72" s="3" t="s">
        <v>1497</v>
      </c>
      <c r="O72" s="3" t="b">
        <v>0</v>
      </c>
      <c r="P72" s="35"/>
    </row>
    <row r="73" spans="1:16" x14ac:dyDescent="0.3">
      <c r="A73" s="27" t="s">
        <v>858</v>
      </c>
      <c r="B73" s="3"/>
      <c r="C73" s="1" t="s">
        <v>1585</v>
      </c>
      <c r="D73" s="3"/>
      <c r="E73" s="3" t="s">
        <v>51</v>
      </c>
      <c r="F73" s="3" t="s">
        <v>51</v>
      </c>
      <c r="G73" s="27"/>
      <c r="H73" s="11" t="s">
        <v>1303</v>
      </c>
      <c r="I73" s="16" t="s">
        <v>1124</v>
      </c>
      <c r="J73" s="3" t="s">
        <v>2140</v>
      </c>
      <c r="K73" s="3" t="s">
        <v>2303</v>
      </c>
      <c r="L73" s="3"/>
      <c r="M73" s="3" t="b">
        <v>0</v>
      </c>
      <c r="N73" s="3" t="s">
        <v>1497</v>
      </c>
      <c r="O73" s="3" t="b">
        <v>0</v>
      </c>
      <c r="P73" s="35"/>
    </row>
    <row r="74" spans="1:16" x14ac:dyDescent="0.3">
      <c r="A74" s="27" t="s">
        <v>858</v>
      </c>
      <c r="B74" s="3"/>
      <c r="C74" s="1" t="s">
        <v>1585</v>
      </c>
      <c r="D74" s="3"/>
      <c r="E74" s="3" t="s">
        <v>51</v>
      </c>
      <c r="F74" s="3" t="s">
        <v>51</v>
      </c>
      <c r="G74" s="27"/>
      <c r="H74" s="11" t="s">
        <v>1303</v>
      </c>
      <c r="I74" s="16" t="s">
        <v>1124</v>
      </c>
      <c r="J74" s="3" t="s">
        <v>2141</v>
      </c>
      <c r="K74" s="3" t="s">
        <v>2303</v>
      </c>
      <c r="L74" s="3"/>
      <c r="M74" s="3" t="b">
        <v>0</v>
      </c>
      <c r="N74" s="3" t="s">
        <v>1497</v>
      </c>
      <c r="O74" s="3" t="b">
        <v>0</v>
      </c>
      <c r="P74" s="35"/>
    </row>
    <row r="75" spans="1:16" x14ac:dyDescent="0.3">
      <c r="A75" s="27" t="s">
        <v>858</v>
      </c>
      <c r="B75" s="3"/>
      <c r="C75" s="1" t="s">
        <v>1585</v>
      </c>
      <c r="D75" s="3"/>
      <c r="E75" s="3" t="s">
        <v>51</v>
      </c>
      <c r="F75" s="3" t="s">
        <v>51</v>
      </c>
      <c r="G75" s="27"/>
      <c r="H75" s="11" t="s">
        <v>1303</v>
      </c>
      <c r="I75" s="16" t="s">
        <v>1124</v>
      </c>
      <c r="J75" s="3" t="s">
        <v>2142</v>
      </c>
      <c r="K75" s="3" t="s">
        <v>2303</v>
      </c>
      <c r="L75" s="3"/>
      <c r="M75" s="3" t="b">
        <v>0</v>
      </c>
      <c r="N75" s="3" t="s">
        <v>1497</v>
      </c>
      <c r="O75" s="3" t="b">
        <v>0</v>
      </c>
      <c r="P75" s="35"/>
    </row>
    <row r="76" spans="1:16" x14ac:dyDescent="0.3">
      <c r="A76" s="27" t="s">
        <v>858</v>
      </c>
      <c r="B76" s="3"/>
      <c r="C76" s="1" t="s">
        <v>1585</v>
      </c>
      <c r="D76" s="3"/>
      <c r="E76" s="3" t="s">
        <v>51</v>
      </c>
      <c r="F76" s="3" t="s">
        <v>51</v>
      </c>
      <c r="G76" s="27"/>
      <c r="H76" s="11" t="s">
        <v>1303</v>
      </c>
      <c r="I76" s="16" t="s">
        <v>1124</v>
      </c>
      <c r="J76" s="3" t="s">
        <v>2143</v>
      </c>
      <c r="K76" s="3" t="s">
        <v>2303</v>
      </c>
      <c r="L76" s="3"/>
      <c r="M76" s="3" t="b">
        <v>0</v>
      </c>
      <c r="N76" s="3" t="s">
        <v>1497</v>
      </c>
      <c r="O76" s="3" t="b">
        <v>0</v>
      </c>
      <c r="P76" s="35"/>
    </row>
    <row r="77" spans="1:16" x14ac:dyDescent="0.3">
      <c r="A77" s="27" t="s">
        <v>858</v>
      </c>
      <c r="B77" s="3"/>
      <c r="C77" s="1" t="s">
        <v>1585</v>
      </c>
      <c r="D77" s="3"/>
      <c r="E77" s="3" t="s">
        <v>51</v>
      </c>
      <c r="F77" s="3" t="s">
        <v>51</v>
      </c>
      <c r="G77" s="27"/>
      <c r="H77" s="11" t="s">
        <v>1303</v>
      </c>
      <c r="I77" s="16" t="s">
        <v>1124</v>
      </c>
      <c r="J77" s="3" t="s">
        <v>2144</v>
      </c>
      <c r="K77" s="3" t="s">
        <v>2303</v>
      </c>
      <c r="L77" s="3"/>
      <c r="M77" s="3" t="b">
        <v>0</v>
      </c>
      <c r="N77" s="3" t="s">
        <v>1497</v>
      </c>
      <c r="O77" s="3" t="b">
        <v>0</v>
      </c>
      <c r="P77" s="35"/>
    </row>
    <row r="78" spans="1:16" x14ac:dyDescent="0.3">
      <c r="A78" s="27" t="s">
        <v>858</v>
      </c>
      <c r="B78" s="3"/>
      <c r="C78" s="1" t="s">
        <v>1585</v>
      </c>
      <c r="D78" s="3"/>
      <c r="E78" s="3" t="s">
        <v>51</v>
      </c>
      <c r="F78" s="3" t="s">
        <v>51</v>
      </c>
      <c r="G78" s="27"/>
      <c r="H78" s="11" t="s">
        <v>1303</v>
      </c>
      <c r="I78" s="16" t="s">
        <v>1124</v>
      </c>
      <c r="J78" s="3" t="s">
        <v>2145</v>
      </c>
      <c r="K78" s="3" t="s">
        <v>2303</v>
      </c>
      <c r="L78" s="3"/>
      <c r="M78" s="3" t="b">
        <v>0</v>
      </c>
      <c r="N78" s="3" t="s">
        <v>1497</v>
      </c>
      <c r="O78" s="3" t="b">
        <v>0</v>
      </c>
      <c r="P78" s="35"/>
    </row>
    <row r="79" spans="1:16" x14ac:dyDescent="0.3">
      <c r="A79" s="27" t="s">
        <v>858</v>
      </c>
      <c r="B79" s="3"/>
      <c r="C79" s="1" t="s">
        <v>1585</v>
      </c>
      <c r="D79" s="3"/>
      <c r="E79" s="3" t="s">
        <v>51</v>
      </c>
      <c r="F79" s="3" t="s">
        <v>51</v>
      </c>
      <c r="G79" s="27"/>
      <c r="H79" s="11" t="s">
        <v>1435</v>
      </c>
      <c r="I79" s="16" t="s">
        <v>1124</v>
      </c>
      <c r="J79" s="3" t="s">
        <v>2174</v>
      </c>
      <c r="K79" s="3" t="s">
        <v>2311</v>
      </c>
      <c r="L79" s="3"/>
      <c r="M79" s="3" t="b">
        <v>1</v>
      </c>
      <c r="N79" s="3" t="s">
        <v>1497</v>
      </c>
      <c r="O79" s="3" t="b">
        <v>1</v>
      </c>
      <c r="P79" s="35"/>
    </row>
    <row r="80" spans="1:16" x14ac:dyDescent="0.3">
      <c r="A80" s="27" t="s">
        <v>858</v>
      </c>
      <c r="B80" s="3"/>
      <c r="C80" s="1" t="s">
        <v>1585</v>
      </c>
      <c r="D80" s="3"/>
      <c r="E80" s="3" t="s">
        <v>51</v>
      </c>
      <c r="F80" s="3" t="s">
        <v>51</v>
      </c>
      <c r="G80" s="27"/>
      <c r="H80" s="11" t="s">
        <v>1303</v>
      </c>
      <c r="I80" s="16" t="s">
        <v>1124</v>
      </c>
      <c r="J80" s="3" t="s">
        <v>2165</v>
      </c>
      <c r="K80" s="3" t="s">
        <v>2303</v>
      </c>
      <c r="L80" s="3"/>
      <c r="M80" s="3" t="b">
        <v>0</v>
      </c>
      <c r="N80" s="3" t="s">
        <v>1497</v>
      </c>
      <c r="O80" s="3" t="b">
        <v>0</v>
      </c>
      <c r="P80" s="35"/>
    </row>
    <row r="81" spans="1:16" x14ac:dyDescent="0.3">
      <c r="A81" s="27" t="s">
        <v>858</v>
      </c>
      <c r="B81" s="3"/>
      <c r="C81" s="1" t="s">
        <v>1585</v>
      </c>
      <c r="D81" s="3"/>
      <c r="E81" s="3" t="s">
        <v>51</v>
      </c>
      <c r="F81" s="3" t="s">
        <v>51</v>
      </c>
      <c r="G81" s="27"/>
      <c r="H81" s="11" t="s">
        <v>1303</v>
      </c>
      <c r="I81" s="16" t="s">
        <v>1124</v>
      </c>
      <c r="J81" s="3" t="s">
        <v>2146</v>
      </c>
      <c r="K81" s="3" t="s">
        <v>2303</v>
      </c>
      <c r="L81" s="3"/>
      <c r="M81" s="3" t="b">
        <v>0</v>
      </c>
      <c r="N81" s="3" t="s">
        <v>1497</v>
      </c>
      <c r="O81" s="3" t="b">
        <v>0</v>
      </c>
      <c r="P81" s="35"/>
    </row>
    <row r="82" spans="1:16" x14ac:dyDescent="0.3">
      <c r="A82" s="27" t="s">
        <v>858</v>
      </c>
      <c r="B82" s="3"/>
      <c r="C82" s="1" t="s">
        <v>1585</v>
      </c>
      <c r="D82" s="3"/>
      <c r="E82" s="3" t="s">
        <v>51</v>
      </c>
      <c r="F82" s="3" t="s">
        <v>51</v>
      </c>
      <c r="G82" s="27"/>
      <c r="H82" s="11" t="s">
        <v>1303</v>
      </c>
      <c r="I82" s="16" t="s">
        <v>1124</v>
      </c>
      <c r="J82" s="3" t="s">
        <v>2147</v>
      </c>
      <c r="K82" s="3" t="s">
        <v>2303</v>
      </c>
      <c r="L82" s="3"/>
      <c r="M82" s="3" t="b">
        <v>0</v>
      </c>
      <c r="N82" s="3" t="s">
        <v>1497</v>
      </c>
      <c r="O82" s="3" t="b">
        <v>0</v>
      </c>
      <c r="P82" s="35"/>
    </row>
    <row r="83" spans="1:16" x14ac:dyDescent="0.3">
      <c r="A83" s="27" t="s">
        <v>858</v>
      </c>
      <c r="B83" s="3"/>
      <c r="C83" s="1" t="s">
        <v>1585</v>
      </c>
      <c r="D83" s="3"/>
      <c r="E83" s="3" t="s">
        <v>51</v>
      </c>
      <c r="F83" s="3" t="s">
        <v>51</v>
      </c>
      <c r="G83" s="27"/>
      <c r="H83" s="11"/>
      <c r="I83" s="16" t="s">
        <v>1124</v>
      </c>
      <c r="J83" s="3" t="s">
        <v>2148</v>
      </c>
      <c r="K83" s="3" t="s">
        <v>2303</v>
      </c>
      <c r="L83" s="3"/>
      <c r="M83" s="3" t="b">
        <v>0</v>
      </c>
      <c r="N83" s="3" t="s">
        <v>1497</v>
      </c>
      <c r="O83" s="3" t="b">
        <v>0</v>
      </c>
      <c r="P83" s="35"/>
    </row>
    <row r="84" spans="1:16" x14ac:dyDescent="0.3">
      <c r="A84" s="27" t="s">
        <v>858</v>
      </c>
      <c r="B84" s="3"/>
      <c r="C84" s="3" t="s">
        <v>1585</v>
      </c>
      <c r="D84" s="3"/>
      <c r="E84" s="3" t="s">
        <v>51</v>
      </c>
      <c r="F84" s="3" t="s">
        <v>51</v>
      </c>
      <c r="G84" s="27"/>
      <c r="H84" s="11"/>
      <c r="I84" s="16" t="s">
        <v>1124</v>
      </c>
      <c r="J84" s="3" t="s">
        <v>2149</v>
      </c>
      <c r="K84" s="3" t="s">
        <v>2303</v>
      </c>
      <c r="L84" s="3"/>
      <c r="M84" s="3" t="b">
        <v>0</v>
      </c>
      <c r="N84" s="3" t="s">
        <v>1497</v>
      </c>
      <c r="O84" s="3" t="b">
        <v>0</v>
      </c>
      <c r="P84" s="35"/>
    </row>
    <row r="85" spans="1:16" x14ac:dyDescent="0.3">
      <c r="A85" s="27" t="s">
        <v>858</v>
      </c>
      <c r="B85" s="3"/>
      <c r="C85" s="1" t="s">
        <v>1585</v>
      </c>
      <c r="D85" s="3"/>
      <c r="E85" s="3" t="s">
        <v>51</v>
      </c>
      <c r="F85" s="3" t="s">
        <v>51</v>
      </c>
      <c r="G85" s="27"/>
      <c r="H85" s="11"/>
      <c r="I85" s="16" t="s">
        <v>1124</v>
      </c>
      <c r="J85" s="3" t="s">
        <v>2150</v>
      </c>
      <c r="K85" s="3" t="s">
        <v>2314</v>
      </c>
      <c r="L85" s="3"/>
      <c r="M85" s="3" t="b">
        <v>0</v>
      </c>
      <c r="N85" s="3" t="s">
        <v>1497</v>
      </c>
      <c r="O85" s="3" t="b">
        <v>0</v>
      </c>
      <c r="P85" s="35"/>
    </row>
    <row r="86" spans="1:16" x14ac:dyDescent="0.3">
      <c r="A86" s="27" t="s">
        <v>858</v>
      </c>
      <c r="B86" s="3"/>
      <c r="C86" s="3" t="s">
        <v>906</v>
      </c>
      <c r="D86" s="3"/>
      <c r="E86" s="3" t="s">
        <v>51</v>
      </c>
      <c r="F86" s="3" t="s">
        <v>51</v>
      </c>
      <c r="G86" s="27"/>
      <c r="H86" s="11" t="s">
        <v>1205</v>
      </c>
      <c r="I86" s="16" t="s">
        <v>1124</v>
      </c>
      <c r="J86" s="3" t="s">
        <v>1609</v>
      </c>
      <c r="K86" s="3" t="s">
        <v>2305</v>
      </c>
      <c r="L86" s="3"/>
      <c r="M86" s="3" t="b">
        <v>1</v>
      </c>
      <c r="N86" s="3" t="s">
        <v>1497</v>
      </c>
      <c r="O86" s="3" t="b">
        <v>1</v>
      </c>
      <c r="P86" s="35"/>
    </row>
    <row r="87" spans="1:16" x14ac:dyDescent="0.3">
      <c r="A87" s="27" t="s">
        <v>858</v>
      </c>
      <c r="B87" s="3"/>
      <c r="C87" s="3" t="s">
        <v>906</v>
      </c>
      <c r="D87" s="3"/>
      <c r="E87" s="3" t="s">
        <v>51</v>
      </c>
      <c r="F87" s="3" t="s">
        <v>51</v>
      </c>
      <c r="G87" s="27"/>
      <c r="H87" s="11" t="s">
        <v>1209</v>
      </c>
      <c r="I87" s="16" t="s">
        <v>1124</v>
      </c>
      <c r="J87" s="3" t="s">
        <v>1437</v>
      </c>
      <c r="K87" s="3" t="s">
        <v>2310</v>
      </c>
      <c r="L87" s="3"/>
      <c r="M87" s="3" t="b">
        <v>1</v>
      </c>
      <c r="N87" s="3" t="s">
        <v>1497</v>
      </c>
      <c r="O87" s="3" t="b">
        <v>1</v>
      </c>
      <c r="P87" s="35"/>
    </row>
    <row r="88" spans="1:16" x14ac:dyDescent="0.3">
      <c r="A88" s="27" t="s">
        <v>858</v>
      </c>
      <c r="B88" s="3"/>
      <c r="C88" s="3" t="s">
        <v>1940</v>
      </c>
      <c r="D88" s="3"/>
      <c r="E88" s="3" t="s">
        <v>51</v>
      </c>
      <c r="F88" s="3" t="s">
        <v>51</v>
      </c>
      <c r="G88" s="27"/>
      <c r="H88" s="11" t="s">
        <v>1949</v>
      </c>
      <c r="I88" s="16" t="s">
        <v>1124</v>
      </c>
      <c r="J88" s="3" t="s">
        <v>1942</v>
      </c>
      <c r="K88" s="3" t="s">
        <v>1955</v>
      </c>
      <c r="L88" s="3"/>
      <c r="M88" s="3" t="b">
        <v>0</v>
      </c>
      <c r="N88" s="3" t="s">
        <v>1497</v>
      </c>
      <c r="O88" s="3" t="b">
        <v>1</v>
      </c>
      <c r="P88" s="35"/>
    </row>
    <row r="89" spans="1:16" x14ac:dyDescent="0.3">
      <c r="A89" s="27" t="s">
        <v>858</v>
      </c>
      <c r="B89" s="3"/>
      <c r="C89" s="3" t="s">
        <v>914</v>
      </c>
      <c r="D89" s="3"/>
      <c r="E89" s="3" t="s">
        <v>51</v>
      </c>
      <c r="F89" s="3" t="s">
        <v>51</v>
      </c>
      <c r="G89" s="27"/>
      <c r="H89" s="11" t="s">
        <v>1284</v>
      </c>
      <c r="I89" s="16" t="s">
        <v>1124</v>
      </c>
      <c r="J89" s="3" t="s">
        <v>915</v>
      </c>
      <c r="K89" s="3" t="s">
        <v>1694</v>
      </c>
      <c r="L89" s="3"/>
      <c r="M89" s="3" t="b">
        <v>0</v>
      </c>
      <c r="N89" s="3" t="s">
        <v>1497</v>
      </c>
      <c r="O89" s="3" t="b">
        <v>1</v>
      </c>
      <c r="P89" s="35"/>
    </row>
    <row r="90" spans="1:16" x14ac:dyDescent="0.3">
      <c r="A90" s="27" t="s">
        <v>858</v>
      </c>
      <c r="B90" s="3"/>
      <c r="C90" s="3" t="s">
        <v>918</v>
      </c>
      <c r="D90" s="3"/>
      <c r="E90" s="3" t="s">
        <v>51</v>
      </c>
      <c r="F90" s="3" t="s">
        <v>51</v>
      </c>
      <c r="G90" s="27"/>
      <c r="H90" s="11" t="s">
        <v>1288</v>
      </c>
      <c r="I90" s="16" t="s">
        <v>1124</v>
      </c>
      <c r="J90" s="3" t="s">
        <v>919</v>
      </c>
      <c r="K90" s="3" t="s">
        <v>1696</v>
      </c>
      <c r="L90" s="3"/>
      <c r="M90" s="3" t="b">
        <v>0</v>
      </c>
      <c r="N90" s="3" t="s">
        <v>1497</v>
      </c>
      <c r="O90" s="3" t="b">
        <v>1</v>
      </c>
      <c r="P90" s="35"/>
    </row>
    <row r="91" spans="1:16" x14ac:dyDescent="0.3">
      <c r="A91" s="27" t="s">
        <v>858</v>
      </c>
      <c r="B91" s="3"/>
      <c r="C91" s="3" t="s">
        <v>912</v>
      </c>
      <c r="D91" s="3"/>
      <c r="E91" s="3" t="s">
        <v>51</v>
      </c>
      <c r="F91" s="3" t="s">
        <v>51</v>
      </c>
      <c r="G91" s="27"/>
      <c r="H91" s="11" t="s">
        <v>1017</v>
      </c>
      <c r="I91" s="16" t="s">
        <v>1124</v>
      </c>
      <c r="J91" s="3" t="s">
        <v>1233</v>
      </c>
      <c r="K91" s="3" t="s">
        <v>1686</v>
      </c>
      <c r="L91" s="3"/>
      <c r="M91" s="3" t="b">
        <v>1</v>
      </c>
      <c r="N91" s="3" t="s">
        <v>1497</v>
      </c>
      <c r="O91" s="3" t="b">
        <v>1</v>
      </c>
      <c r="P91" s="35"/>
    </row>
    <row r="92" spans="1:16" x14ac:dyDescent="0.3">
      <c r="A92" s="27" t="s">
        <v>858</v>
      </c>
      <c r="B92" s="3"/>
      <c r="C92" s="3" t="s">
        <v>912</v>
      </c>
      <c r="D92" s="3"/>
      <c r="E92" s="3" t="s">
        <v>51</v>
      </c>
      <c r="F92" s="3" t="s">
        <v>51</v>
      </c>
      <c r="G92" s="27"/>
      <c r="H92" s="11" t="s">
        <v>1019</v>
      </c>
      <c r="I92" s="16" t="s">
        <v>1124</v>
      </c>
      <c r="J92" s="3" t="s">
        <v>1436</v>
      </c>
      <c r="K92" s="3" t="s">
        <v>1693</v>
      </c>
      <c r="L92" s="3"/>
      <c r="M92" s="3" t="b">
        <v>1</v>
      </c>
      <c r="N92" s="3" t="s">
        <v>1497</v>
      </c>
      <c r="O92" s="3" t="b">
        <v>1</v>
      </c>
      <c r="P92" s="35"/>
    </row>
    <row r="93" spans="1:16" x14ac:dyDescent="0.3">
      <c r="A93" s="27" t="s">
        <v>858</v>
      </c>
      <c r="B93" s="3"/>
      <c r="C93" s="3" t="s">
        <v>1623</v>
      </c>
      <c r="D93" s="3"/>
      <c r="E93" s="3" t="s">
        <v>51</v>
      </c>
      <c r="F93" s="3" t="s">
        <v>51</v>
      </c>
      <c r="G93" s="27"/>
      <c r="H93" s="11" t="s">
        <v>1296</v>
      </c>
      <c r="I93" s="16" t="s">
        <v>1124</v>
      </c>
      <c r="J93" s="3" t="s">
        <v>1625</v>
      </c>
      <c r="K93" s="3" t="s">
        <v>1697</v>
      </c>
      <c r="L93" s="3"/>
      <c r="M93" s="3" t="b">
        <v>1</v>
      </c>
      <c r="N93" s="3" t="s">
        <v>1497</v>
      </c>
      <c r="O93" s="3" t="b">
        <v>1</v>
      </c>
      <c r="P93" s="35"/>
    </row>
    <row r="94" spans="1:16" x14ac:dyDescent="0.3">
      <c r="A94" s="27" t="s">
        <v>858</v>
      </c>
      <c r="B94" s="3"/>
      <c r="C94" s="3" t="s">
        <v>1558</v>
      </c>
      <c r="D94" s="3"/>
      <c r="E94" s="3" t="s">
        <v>51</v>
      </c>
      <c r="F94" s="3" t="s">
        <v>51</v>
      </c>
      <c r="G94" s="27"/>
      <c r="H94" s="11" t="s">
        <v>1558</v>
      </c>
      <c r="I94" s="16" t="s">
        <v>1124</v>
      </c>
      <c r="J94" s="3" t="s">
        <v>1562</v>
      </c>
      <c r="K94" s="3" t="s">
        <v>2054</v>
      </c>
      <c r="L94" s="3"/>
      <c r="M94" s="3" t="b">
        <v>1</v>
      </c>
      <c r="N94" s="3" t="s">
        <v>1497</v>
      </c>
      <c r="O94" s="3" t="b">
        <v>1</v>
      </c>
      <c r="P94" s="35"/>
    </row>
    <row r="95" spans="1:16" x14ac:dyDescent="0.3">
      <c r="A95" s="27" t="s">
        <v>858</v>
      </c>
      <c r="B95" s="3"/>
      <c r="C95" s="3" t="s">
        <v>1560</v>
      </c>
      <c r="D95" s="3"/>
      <c r="E95" s="3" t="s">
        <v>51</v>
      </c>
      <c r="F95" s="3" t="s">
        <v>51</v>
      </c>
      <c r="G95" s="27"/>
      <c r="H95" s="11" t="s">
        <v>1560</v>
      </c>
      <c r="I95" s="16" t="s">
        <v>1124</v>
      </c>
      <c r="J95" s="3" t="s">
        <v>1561</v>
      </c>
      <c r="K95" s="3" t="s">
        <v>1698</v>
      </c>
      <c r="L95" s="3"/>
      <c r="M95" s="3" t="b">
        <v>1</v>
      </c>
      <c r="N95" s="3" t="s">
        <v>1497</v>
      </c>
      <c r="O95" s="3" t="b">
        <v>1</v>
      </c>
      <c r="P95" s="35"/>
    </row>
    <row r="96" spans="1:16" hidden="1" x14ac:dyDescent="0.3">
      <c r="A96" s="27" t="s">
        <v>859</v>
      </c>
      <c r="B96" s="3"/>
      <c r="C96" s="3" t="s">
        <v>898</v>
      </c>
      <c r="D96" s="3"/>
      <c r="E96" s="3" t="s">
        <v>51</v>
      </c>
      <c r="F96" s="3" t="s">
        <v>51</v>
      </c>
      <c r="G96" s="27"/>
      <c r="H96" s="11" t="s">
        <v>999</v>
      </c>
      <c r="I96" s="16" t="s">
        <v>1124</v>
      </c>
      <c r="J96" s="3" t="s">
        <v>1000</v>
      </c>
      <c r="K96" s="3" t="s">
        <v>1686</v>
      </c>
      <c r="L96" s="3"/>
      <c r="M96" s="3" t="b">
        <v>1</v>
      </c>
      <c r="N96" s="3" t="s">
        <v>1497</v>
      </c>
      <c r="O96" s="3" t="b">
        <v>1</v>
      </c>
      <c r="P96" s="35"/>
    </row>
    <row r="97" spans="1:16" hidden="1" x14ac:dyDescent="0.3">
      <c r="A97" s="27" t="s">
        <v>859</v>
      </c>
      <c r="B97" s="3"/>
      <c r="C97" s="3" t="s">
        <v>898</v>
      </c>
      <c r="D97" s="3"/>
      <c r="E97" s="3" t="s">
        <v>51</v>
      </c>
      <c r="F97" s="3" t="s">
        <v>51</v>
      </c>
      <c r="G97" s="27"/>
      <c r="H97" s="11" t="s">
        <v>1001</v>
      </c>
      <c r="I97" s="16" t="s">
        <v>1124</v>
      </c>
      <c r="J97" s="3" t="s">
        <v>1440</v>
      </c>
      <c r="K97" s="3" t="s">
        <v>1688</v>
      </c>
      <c r="L97" s="3"/>
      <c r="M97" s="3" t="b">
        <v>0</v>
      </c>
      <c r="N97" s="3" t="s">
        <v>1497</v>
      </c>
      <c r="O97" s="3" t="b">
        <v>1</v>
      </c>
      <c r="P97" s="35"/>
    </row>
    <row r="98" spans="1:16" hidden="1" x14ac:dyDescent="0.3">
      <c r="A98" s="27" t="s">
        <v>859</v>
      </c>
      <c r="B98" s="3"/>
      <c r="C98" s="3" t="s">
        <v>898</v>
      </c>
      <c r="D98" s="3"/>
      <c r="E98" s="3" t="s">
        <v>51</v>
      </c>
      <c r="F98" s="3" t="s">
        <v>51</v>
      </c>
      <c r="G98" s="27"/>
      <c r="H98" s="11" t="s">
        <v>1005</v>
      </c>
      <c r="I98" s="16" t="s">
        <v>1124</v>
      </c>
      <c r="J98" s="3" t="s">
        <v>1439</v>
      </c>
      <c r="K98" s="3" t="s">
        <v>1690</v>
      </c>
      <c r="L98" s="3"/>
      <c r="M98" s="3" t="b">
        <v>0</v>
      </c>
      <c r="N98" s="3" t="s">
        <v>1497</v>
      </c>
      <c r="O98" s="3" t="b">
        <v>1</v>
      </c>
      <c r="P98" s="35"/>
    </row>
    <row r="99" spans="1:16" hidden="1" x14ac:dyDescent="0.3">
      <c r="A99" s="27" t="s">
        <v>859</v>
      </c>
      <c r="B99" s="3"/>
      <c r="C99" s="3" t="s">
        <v>2093</v>
      </c>
      <c r="D99" s="3"/>
      <c r="E99" s="3" t="s">
        <v>51</v>
      </c>
      <c r="F99" s="3" t="s">
        <v>51</v>
      </c>
      <c r="G99" s="27"/>
      <c r="H99" s="11" t="s">
        <v>2093</v>
      </c>
      <c r="I99" s="16" t="s">
        <v>1124</v>
      </c>
      <c r="J99" s="3" t="s">
        <v>2101</v>
      </c>
      <c r="K99" s="3" t="s">
        <v>1692</v>
      </c>
      <c r="L99" s="3"/>
      <c r="M99" s="3" t="b">
        <v>1</v>
      </c>
      <c r="N99" s="3" t="s">
        <v>1497</v>
      </c>
      <c r="O99" s="3" t="b">
        <v>1</v>
      </c>
      <c r="P99" s="35"/>
    </row>
    <row r="100" spans="1:16" hidden="1" x14ac:dyDescent="0.3">
      <c r="A100" s="27" t="s">
        <v>859</v>
      </c>
      <c r="B100" s="3"/>
      <c r="C100" s="3" t="s">
        <v>2094</v>
      </c>
      <c r="D100" s="3"/>
      <c r="E100" s="3" t="s">
        <v>51</v>
      </c>
      <c r="F100" s="3" t="s">
        <v>51</v>
      </c>
      <c r="G100" s="27"/>
      <c r="H100" s="11" t="s">
        <v>2094</v>
      </c>
      <c r="I100" s="16" t="s">
        <v>1124</v>
      </c>
      <c r="J100" s="3" t="s">
        <v>2102</v>
      </c>
      <c r="K100" s="3" t="s">
        <v>1692</v>
      </c>
      <c r="L100" s="3"/>
      <c r="M100" s="3" t="b">
        <v>1</v>
      </c>
      <c r="N100" s="3" t="s">
        <v>1497</v>
      </c>
      <c r="O100" s="3" t="b">
        <v>1</v>
      </c>
      <c r="P100" s="35"/>
    </row>
    <row r="101" spans="1:16" hidden="1" x14ac:dyDescent="0.3">
      <c r="A101" s="27" t="s">
        <v>859</v>
      </c>
      <c r="B101" s="3"/>
      <c r="C101" s="1" t="s">
        <v>1586</v>
      </c>
      <c r="D101" s="3"/>
      <c r="E101" s="3" t="s">
        <v>51</v>
      </c>
      <c r="F101" s="3" t="s">
        <v>51</v>
      </c>
      <c r="G101" s="27"/>
      <c r="H101" s="11" t="s">
        <v>1312</v>
      </c>
      <c r="I101" s="16" t="s">
        <v>1124</v>
      </c>
      <c r="J101" s="3" t="s">
        <v>2306</v>
      </c>
      <c r="K101" s="3" t="s">
        <v>2307</v>
      </c>
      <c r="L101" s="3"/>
      <c r="M101" s="3" t="b">
        <v>0</v>
      </c>
      <c r="N101" s="3" t="s">
        <v>1497</v>
      </c>
      <c r="O101" s="3" t="b">
        <v>0</v>
      </c>
      <c r="P101" s="35"/>
    </row>
    <row r="102" spans="1:16" hidden="1" x14ac:dyDescent="0.3">
      <c r="A102" s="27" t="s">
        <v>859</v>
      </c>
      <c r="B102" s="3"/>
      <c r="C102" s="1" t="s">
        <v>1586</v>
      </c>
      <c r="D102" s="3"/>
      <c r="E102" s="3" t="s">
        <v>51</v>
      </c>
      <c r="F102" s="3" t="s">
        <v>51</v>
      </c>
      <c r="G102" s="27"/>
      <c r="H102" s="11" t="s">
        <v>1312</v>
      </c>
      <c r="I102" s="16" t="s">
        <v>1124</v>
      </c>
      <c r="J102" s="3" t="s">
        <v>2308</v>
      </c>
      <c r="K102" s="3" t="s">
        <v>2307</v>
      </c>
      <c r="L102" s="3"/>
      <c r="M102" s="3" t="b">
        <v>0</v>
      </c>
      <c r="N102" s="3" t="s">
        <v>1497</v>
      </c>
      <c r="O102" s="3" t="b">
        <v>0</v>
      </c>
      <c r="P102" s="35"/>
    </row>
    <row r="103" spans="1:16" hidden="1" x14ac:dyDescent="0.3">
      <c r="A103" s="27" t="s">
        <v>859</v>
      </c>
      <c r="B103" s="3"/>
      <c r="C103" s="1" t="s">
        <v>1586</v>
      </c>
      <c r="D103" s="3"/>
      <c r="E103" s="3" t="s">
        <v>51</v>
      </c>
      <c r="F103" s="3" t="s">
        <v>51</v>
      </c>
      <c r="G103" s="27"/>
      <c r="H103" s="22" t="s">
        <v>1312</v>
      </c>
      <c r="I103" s="16" t="s">
        <v>1124</v>
      </c>
      <c r="J103" s="3" t="s">
        <v>2312</v>
      </c>
      <c r="K103" s="3" t="s">
        <v>2307</v>
      </c>
      <c r="L103" s="3"/>
      <c r="M103" s="3" t="b">
        <v>0</v>
      </c>
      <c r="N103" s="3" t="s">
        <v>1497</v>
      </c>
      <c r="O103" s="3" t="b">
        <v>0</v>
      </c>
      <c r="P103" s="35"/>
    </row>
    <row r="104" spans="1:16" hidden="1" x14ac:dyDescent="0.3">
      <c r="A104" s="27" t="s">
        <v>859</v>
      </c>
      <c r="B104" s="3"/>
      <c r="C104" s="1" t="s">
        <v>1586</v>
      </c>
      <c r="D104" s="3"/>
      <c r="E104" s="3" t="s">
        <v>51</v>
      </c>
      <c r="F104" s="3" t="s">
        <v>51</v>
      </c>
      <c r="G104" s="27"/>
      <c r="H104" s="22" t="s">
        <v>1312</v>
      </c>
      <c r="I104" s="16" t="s">
        <v>1124</v>
      </c>
      <c r="J104" s="3" t="s">
        <v>2313</v>
      </c>
      <c r="K104" s="3" t="s">
        <v>2307</v>
      </c>
      <c r="L104" s="3"/>
      <c r="M104" s="3" t="b">
        <v>0</v>
      </c>
      <c r="N104" s="3" t="s">
        <v>1497</v>
      </c>
      <c r="O104" s="3" t="b">
        <v>0</v>
      </c>
      <c r="P104" s="35"/>
    </row>
    <row r="105" spans="1:16" hidden="1" x14ac:dyDescent="0.3">
      <c r="A105" s="27" t="s">
        <v>859</v>
      </c>
      <c r="B105" s="3"/>
      <c r="C105" s="1" t="s">
        <v>1586</v>
      </c>
      <c r="D105" s="3"/>
      <c r="E105" s="3" t="s">
        <v>51</v>
      </c>
      <c r="F105" s="3" t="s">
        <v>51</v>
      </c>
      <c r="G105" s="27"/>
      <c r="H105" s="11" t="s">
        <v>1312</v>
      </c>
      <c r="I105" s="16" t="s">
        <v>1124</v>
      </c>
      <c r="J105" s="3" t="s">
        <v>2315</v>
      </c>
      <c r="K105" s="3" t="s">
        <v>2307</v>
      </c>
      <c r="L105" s="3"/>
      <c r="M105" s="3" t="b">
        <v>0</v>
      </c>
      <c r="N105" s="3" t="s">
        <v>1497</v>
      </c>
      <c r="O105" s="3" t="b">
        <v>0</v>
      </c>
      <c r="P105" s="35"/>
    </row>
    <row r="106" spans="1:16" hidden="1" x14ac:dyDescent="0.3">
      <c r="A106" s="27" t="s">
        <v>859</v>
      </c>
      <c r="B106" s="3"/>
      <c r="C106" s="1" t="s">
        <v>1585</v>
      </c>
      <c r="D106" s="3"/>
      <c r="E106" s="3" t="s">
        <v>51</v>
      </c>
      <c r="F106" s="3" t="s">
        <v>51</v>
      </c>
      <c r="G106" s="27"/>
      <c r="H106" s="11" t="s">
        <v>2333</v>
      </c>
      <c r="I106" s="16" t="s">
        <v>1124</v>
      </c>
      <c r="J106" s="3" t="s">
        <v>2151</v>
      </c>
      <c r="K106" s="3" t="s">
        <v>2300</v>
      </c>
      <c r="L106" s="3"/>
      <c r="M106" s="3" t="b">
        <v>1</v>
      </c>
      <c r="N106" s="3" t="s">
        <v>1497</v>
      </c>
      <c r="O106" s="3" t="b">
        <v>1</v>
      </c>
      <c r="P106" s="35"/>
    </row>
    <row r="107" spans="1:16" hidden="1" x14ac:dyDescent="0.3">
      <c r="A107" s="27" t="s">
        <v>859</v>
      </c>
      <c r="B107" s="3"/>
      <c r="C107" s="1" t="s">
        <v>1585</v>
      </c>
      <c r="D107" s="3"/>
      <c r="E107" s="3" t="s">
        <v>51</v>
      </c>
      <c r="F107" s="3" t="s">
        <v>51</v>
      </c>
      <c r="G107" s="27"/>
      <c r="H107" s="11" t="s">
        <v>2334</v>
      </c>
      <c r="I107" s="16" t="s">
        <v>1124</v>
      </c>
      <c r="J107" s="3" t="s">
        <v>2152</v>
      </c>
      <c r="K107" s="3" t="s">
        <v>2302</v>
      </c>
      <c r="L107" s="3"/>
      <c r="M107" s="3" t="b">
        <v>1</v>
      </c>
      <c r="N107" s="3" t="s">
        <v>1497</v>
      </c>
      <c r="O107" s="3" t="b">
        <v>1</v>
      </c>
      <c r="P107" s="35"/>
    </row>
    <row r="108" spans="1:16" hidden="1" x14ac:dyDescent="0.3">
      <c r="A108" s="27" t="s">
        <v>859</v>
      </c>
      <c r="B108" s="3"/>
      <c r="C108" s="1" t="s">
        <v>1585</v>
      </c>
      <c r="D108" s="3"/>
      <c r="E108" s="3" t="s">
        <v>51</v>
      </c>
      <c r="F108" s="3" t="s">
        <v>51</v>
      </c>
      <c r="G108" s="27"/>
      <c r="H108" s="22" t="s">
        <v>1303</v>
      </c>
      <c r="I108" s="16" t="s">
        <v>1124</v>
      </c>
      <c r="J108" s="3" t="s">
        <v>2153</v>
      </c>
      <c r="K108" s="3" t="s">
        <v>2303</v>
      </c>
      <c r="L108" s="3"/>
      <c r="M108" s="3" t="b">
        <v>0</v>
      </c>
      <c r="N108" s="3" t="s">
        <v>1497</v>
      </c>
      <c r="O108" s="3" t="b">
        <v>0</v>
      </c>
      <c r="P108" s="35"/>
    </row>
    <row r="109" spans="1:16" hidden="1" x14ac:dyDescent="0.3">
      <c r="A109" s="27" t="s">
        <v>859</v>
      </c>
      <c r="B109" s="3"/>
      <c r="C109" s="1" t="s">
        <v>1585</v>
      </c>
      <c r="D109" s="3"/>
      <c r="E109" s="3" t="s">
        <v>51</v>
      </c>
      <c r="F109" s="3" t="s">
        <v>51</v>
      </c>
      <c r="G109" s="27"/>
      <c r="H109" s="22" t="s">
        <v>1303</v>
      </c>
      <c r="I109" s="16" t="s">
        <v>1124</v>
      </c>
      <c r="J109" s="3" t="s">
        <v>2154</v>
      </c>
      <c r="K109" s="3" t="s">
        <v>2303</v>
      </c>
      <c r="L109" s="3"/>
      <c r="M109" s="3" t="b">
        <v>0</v>
      </c>
      <c r="N109" s="3" t="s">
        <v>1497</v>
      </c>
      <c r="O109" s="3" t="b">
        <v>0</v>
      </c>
      <c r="P109" s="35"/>
    </row>
    <row r="110" spans="1:16" hidden="1" x14ac:dyDescent="0.3">
      <c r="A110" s="27" t="s">
        <v>859</v>
      </c>
      <c r="B110" s="3"/>
      <c r="C110" s="1" t="s">
        <v>1585</v>
      </c>
      <c r="D110" s="3"/>
      <c r="E110" s="3" t="s">
        <v>51</v>
      </c>
      <c r="F110" s="3" t="s">
        <v>51</v>
      </c>
      <c r="G110" s="27"/>
      <c r="H110" s="22" t="s">
        <v>1303</v>
      </c>
      <c r="I110" s="16" t="s">
        <v>1124</v>
      </c>
      <c r="J110" s="3" t="s">
        <v>2155</v>
      </c>
      <c r="K110" s="3" t="s">
        <v>2303</v>
      </c>
      <c r="L110" s="3"/>
      <c r="M110" s="3" t="b">
        <v>0</v>
      </c>
      <c r="N110" s="3" t="s">
        <v>1497</v>
      </c>
      <c r="O110" s="3" t="b">
        <v>0</v>
      </c>
      <c r="P110" s="35"/>
    </row>
    <row r="111" spans="1:16" hidden="1" x14ac:dyDescent="0.3">
      <c r="A111" s="27" t="s">
        <v>859</v>
      </c>
      <c r="B111" s="3"/>
      <c r="C111" s="1" t="s">
        <v>1585</v>
      </c>
      <c r="D111" s="3"/>
      <c r="E111" s="3" t="s">
        <v>51</v>
      </c>
      <c r="F111" s="3" t="s">
        <v>51</v>
      </c>
      <c r="G111" s="27"/>
      <c r="H111" s="22" t="s">
        <v>1303</v>
      </c>
      <c r="I111" s="16" t="s">
        <v>1124</v>
      </c>
      <c r="J111" s="3" t="s">
        <v>2156</v>
      </c>
      <c r="K111" s="3" t="s">
        <v>2303</v>
      </c>
      <c r="L111" s="3"/>
      <c r="M111" s="3" t="b">
        <v>0</v>
      </c>
      <c r="N111" s="3" t="s">
        <v>1497</v>
      </c>
      <c r="O111" s="3" t="b">
        <v>0</v>
      </c>
      <c r="P111" s="35"/>
    </row>
    <row r="112" spans="1:16" hidden="1" x14ac:dyDescent="0.3">
      <c r="A112" s="27" t="s">
        <v>859</v>
      </c>
      <c r="B112" s="3"/>
      <c r="C112" s="1" t="s">
        <v>1585</v>
      </c>
      <c r="D112" s="3"/>
      <c r="E112" s="3" t="s">
        <v>51</v>
      </c>
      <c r="F112" s="3" t="s">
        <v>51</v>
      </c>
      <c r="G112" s="27"/>
      <c r="H112" s="22" t="s">
        <v>1303</v>
      </c>
      <c r="I112" s="16" t="s">
        <v>1124</v>
      </c>
      <c r="J112" s="3" t="s">
        <v>2157</v>
      </c>
      <c r="K112" s="3" t="s">
        <v>2303</v>
      </c>
      <c r="L112" s="3"/>
      <c r="M112" s="3" t="b">
        <v>0</v>
      </c>
      <c r="N112" s="3" t="s">
        <v>1497</v>
      </c>
      <c r="O112" s="3" t="b">
        <v>0</v>
      </c>
      <c r="P112" s="35"/>
    </row>
    <row r="113" spans="1:16" hidden="1" x14ac:dyDescent="0.3">
      <c r="A113" s="27" t="s">
        <v>859</v>
      </c>
      <c r="B113" s="3"/>
      <c r="C113" s="1" t="s">
        <v>1585</v>
      </c>
      <c r="D113" s="3"/>
      <c r="E113" s="3" t="s">
        <v>51</v>
      </c>
      <c r="F113" s="3" t="s">
        <v>51</v>
      </c>
      <c r="G113" s="27"/>
      <c r="H113" s="11" t="s">
        <v>1303</v>
      </c>
      <c r="I113" s="16" t="s">
        <v>1124</v>
      </c>
      <c r="J113" s="3" t="s">
        <v>2158</v>
      </c>
      <c r="K113" s="3" t="s">
        <v>2303</v>
      </c>
      <c r="L113" s="3"/>
      <c r="M113" s="3" t="b">
        <v>0</v>
      </c>
      <c r="N113" s="3" t="s">
        <v>1497</v>
      </c>
      <c r="O113" s="3" t="b">
        <v>0</v>
      </c>
      <c r="P113" s="35"/>
    </row>
    <row r="114" spans="1:16" hidden="1" x14ac:dyDescent="0.3">
      <c r="A114" s="27" t="s">
        <v>859</v>
      </c>
      <c r="B114" s="3"/>
      <c r="C114" s="1" t="s">
        <v>1585</v>
      </c>
      <c r="D114" s="3"/>
      <c r="E114" s="3" t="s">
        <v>51</v>
      </c>
      <c r="F114" s="3" t="s">
        <v>51</v>
      </c>
      <c r="G114" s="27"/>
      <c r="H114" s="11" t="s">
        <v>1303</v>
      </c>
      <c r="I114" s="16" t="s">
        <v>1124</v>
      </c>
      <c r="J114" s="3" t="s">
        <v>2159</v>
      </c>
      <c r="K114" s="3" t="s">
        <v>2303</v>
      </c>
      <c r="L114" s="3"/>
      <c r="M114" s="3" t="b">
        <v>0</v>
      </c>
      <c r="N114" s="3" t="s">
        <v>1497</v>
      </c>
      <c r="O114" s="3" t="b">
        <v>0</v>
      </c>
      <c r="P114" s="35"/>
    </row>
    <row r="115" spans="1:16" hidden="1" x14ac:dyDescent="0.3">
      <c r="A115" s="27" t="s">
        <v>859</v>
      </c>
      <c r="B115" s="3"/>
      <c r="C115" s="1" t="s">
        <v>1585</v>
      </c>
      <c r="D115" s="3"/>
      <c r="E115" s="3" t="s">
        <v>51</v>
      </c>
      <c r="F115" s="3" t="s">
        <v>51</v>
      </c>
      <c r="G115" s="27"/>
      <c r="H115" s="11" t="s">
        <v>1303</v>
      </c>
      <c r="I115" s="16" t="s">
        <v>1124</v>
      </c>
      <c r="J115" s="3" t="s">
        <v>2160</v>
      </c>
      <c r="K115" s="3" t="s">
        <v>2303</v>
      </c>
      <c r="L115" s="3"/>
      <c r="M115" s="3" t="b">
        <v>0</v>
      </c>
      <c r="N115" s="3" t="s">
        <v>1497</v>
      </c>
      <c r="O115" s="3" t="b">
        <v>0</v>
      </c>
      <c r="P115" s="35"/>
    </row>
    <row r="116" spans="1:16" hidden="1" x14ac:dyDescent="0.3">
      <c r="A116" s="27" t="s">
        <v>859</v>
      </c>
      <c r="B116" s="3"/>
      <c r="C116" s="1" t="s">
        <v>1585</v>
      </c>
      <c r="D116" s="3"/>
      <c r="E116" s="3" t="s">
        <v>51</v>
      </c>
      <c r="F116" s="3" t="s">
        <v>51</v>
      </c>
      <c r="G116" s="27"/>
      <c r="H116" s="11" t="s">
        <v>1303</v>
      </c>
      <c r="I116" s="16" t="s">
        <v>1124</v>
      </c>
      <c r="J116" s="3" t="s">
        <v>2161</v>
      </c>
      <c r="K116" s="3" t="s">
        <v>2303</v>
      </c>
      <c r="L116" s="3"/>
      <c r="M116" s="3" t="b">
        <v>0</v>
      </c>
      <c r="N116" s="3" t="s">
        <v>1497</v>
      </c>
      <c r="O116" s="3" t="b">
        <v>0</v>
      </c>
      <c r="P116" s="35"/>
    </row>
    <row r="117" spans="1:16" hidden="1" x14ac:dyDescent="0.3">
      <c r="A117" s="27" t="s">
        <v>859</v>
      </c>
      <c r="B117" s="3"/>
      <c r="C117" s="1" t="s">
        <v>1585</v>
      </c>
      <c r="D117" s="3"/>
      <c r="E117" s="3" t="s">
        <v>51</v>
      </c>
      <c r="F117" s="3" t="s">
        <v>51</v>
      </c>
      <c r="G117" s="27"/>
      <c r="H117" s="11" t="s">
        <v>1303</v>
      </c>
      <c r="I117" s="16" t="s">
        <v>1124</v>
      </c>
      <c r="J117" s="3" t="s">
        <v>2162</v>
      </c>
      <c r="K117" s="3" t="s">
        <v>2303</v>
      </c>
      <c r="L117" s="3"/>
      <c r="M117" s="3" t="b">
        <v>0</v>
      </c>
      <c r="N117" s="3" t="s">
        <v>1497</v>
      </c>
      <c r="O117" s="3" t="b">
        <v>0</v>
      </c>
      <c r="P117" s="35"/>
    </row>
    <row r="118" spans="1:16" hidden="1" x14ac:dyDescent="0.3">
      <c r="A118" s="27" t="s">
        <v>859</v>
      </c>
      <c r="B118" s="3"/>
      <c r="C118" s="1" t="s">
        <v>1585</v>
      </c>
      <c r="D118" s="3"/>
      <c r="E118" s="3" t="s">
        <v>51</v>
      </c>
      <c r="F118" s="3" t="s">
        <v>51</v>
      </c>
      <c r="G118" s="27"/>
      <c r="H118" s="11" t="s">
        <v>1303</v>
      </c>
      <c r="I118" s="16" t="s">
        <v>1124</v>
      </c>
      <c r="J118" s="3" t="s">
        <v>2163</v>
      </c>
      <c r="K118" s="3" t="s">
        <v>2303</v>
      </c>
      <c r="L118" s="3"/>
      <c r="M118" s="3" t="b">
        <v>0</v>
      </c>
      <c r="N118" s="3" t="s">
        <v>1497</v>
      </c>
      <c r="O118" s="3" t="b">
        <v>0</v>
      </c>
      <c r="P118" s="35"/>
    </row>
    <row r="119" spans="1:16" hidden="1" x14ac:dyDescent="0.3">
      <c r="A119" s="27" t="s">
        <v>859</v>
      </c>
      <c r="B119" s="3"/>
      <c r="C119" s="1" t="s">
        <v>1585</v>
      </c>
      <c r="D119" s="3"/>
      <c r="E119" s="3" t="s">
        <v>51</v>
      </c>
      <c r="F119" s="3" t="s">
        <v>51</v>
      </c>
      <c r="G119" s="27"/>
      <c r="H119" s="11" t="s">
        <v>1303</v>
      </c>
      <c r="I119" s="16" t="s">
        <v>1124</v>
      </c>
      <c r="J119" s="3" t="s">
        <v>2164</v>
      </c>
      <c r="K119" s="3" t="s">
        <v>2303</v>
      </c>
      <c r="L119" s="3"/>
      <c r="M119" s="3" t="b">
        <v>0</v>
      </c>
      <c r="N119" s="3" t="s">
        <v>1497</v>
      </c>
      <c r="O119" s="3" t="b">
        <v>0</v>
      </c>
      <c r="P119" s="35"/>
    </row>
    <row r="120" spans="1:16" hidden="1" x14ac:dyDescent="0.3">
      <c r="A120" s="27" t="s">
        <v>859</v>
      </c>
      <c r="B120" s="3"/>
      <c r="C120" s="1" t="s">
        <v>1585</v>
      </c>
      <c r="D120" s="3"/>
      <c r="E120" s="3" t="s">
        <v>51</v>
      </c>
      <c r="F120" s="3" t="s">
        <v>51</v>
      </c>
      <c r="G120" s="27"/>
      <c r="H120" s="11" t="s">
        <v>1433</v>
      </c>
      <c r="I120" s="16" t="s">
        <v>1124</v>
      </c>
      <c r="J120" s="3" t="s">
        <v>2176</v>
      </c>
      <c r="K120" s="3" t="s">
        <v>2311</v>
      </c>
      <c r="L120" s="3"/>
      <c r="M120" s="3" t="b">
        <v>1</v>
      </c>
      <c r="N120" s="3" t="s">
        <v>1497</v>
      </c>
      <c r="O120" s="3" t="b">
        <v>1</v>
      </c>
      <c r="P120" s="35"/>
    </row>
    <row r="121" spans="1:16" hidden="1" x14ac:dyDescent="0.3">
      <c r="A121" s="27" t="s">
        <v>859</v>
      </c>
      <c r="B121" s="3"/>
      <c r="C121" s="1" t="s">
        <v>1585</v>
      </c>
      <c r="D121" s="3"/>
      <c r="E121" s="3" t="s">
        <v>51</v>
      </c>
      <c r="F121" s="3" t="s">
        <v>51</v>
      </c>
      <c r="G121" s="27"/>
      <c r="H121" s="11" t="s">
        <v>1303</v>
      </c>
      <c r="I121" s="16" t="s">
        <v>1124</v>
      </c>
      <c r="J121" s="3" t="s">
        <v>2175</v>
      </c>
      <c r="K121" s="3" t="s">
        <v>2303</v>
      </c>
      <c r="L121" s="3"/>
      <c r="M121" s="3" t="b">
        <v>0</v>
      </c>
      <c r="N121" s="3" t="s">
        <v>1497</v>
      </c>
      <c r="O121" s="3" t="b">
        <v>0</v>
      </c>
      <c r="P121" s="35"/>
    </row>
    <row r="122" spans="1:16" hidden="1" x14ac:dyDescent="0.3">
      <c r="A122" s="27" t="s">
        <v>859</v>
      </c>
      <c r="B122" s="3"/>
      <c r="C122" s="1" t="s">
        <v>1585</v>
      </c>
      <c r="D122" s="3"/>
      <c r="E122" s="3" t="s">
        <v>51</v>
      </c>
      <c r="F122" s="3" t="s">
        <v>51</v>
      </c>
      <c r="G122" s="27"/>
      <c r="H122" s="11" t="s">
        <v>1303</v>
      </c>
      <c r="I122" s="16" t="s">
        <v>1124</v>
      </c>
      <c r="J122" s="3" t="s">
        <v>2166</v>
      </c>
      <c r="K122" s="3" t="s">
        <v>2303</v>
      </c>
      <c r="L122" s="3"/>
      <c r="M122" s="3" t="b">
        <v>0</v>
      </c>
      <c r="N122" s="3" t="s">
        <v>1497</v>
      </c>
      <c r="O122" s="3" t="b">
        <v>0</v>
      </c>
      <c r="P122" s="35"/>
    </row>
    <row r="123" spans="1:16" hidden="1" x14ac:dyDescent="0.3">
      <c r="A123" s="27" t="s">
        <v>859</v>
      </c>
      <c r="B123" s="3"/>
      <c r="C123" s="1" t="s">
        <v>1585</v>
      </c>
      <c r="D123" s="3"/>
      <c r="E123" s="3" t="s">
        <v>51</v>
      </c>
      <c r="F123" s="3" t="s">
        <v>51</v>
      </c>
      <c r="G123" s="27"/>
      <c r="H123" s="11" t="s">
        <v>1303</v>
      </c>
      <c r="I123" s="16" t="s">
        <v>1124</v>
      </c>
      <c r="J123" s="3" t="s">
        <v>2167</v>
      </c>
      <c r="K123" s="3" t="s">
        <v>2303</v>
      </c>
      <c r="L123" s="3"/>
      <c r="M123" s="3" t="b">
        <v>0</v>
      </c>
      <c r="N123" s="3" t="s">
        <v>1497</v>
      </c>
      <c r="O123" s="3" t="b">
        <v>0</v>
      </c>
      <c r="P123" s="35"/>
    </row>
    <row r="124" spans="1:16" hidden="1" x14ac:dyDescent="0.3">
      <c r="A124" s="27" t="s">
        <v>859</v>
      </c>
      <c r="B124" s="3"/>
      <c r="C124" s="3" t="s">
        <v>1585</v>
      </c>
      <c r="D124" s="3"/>
      <c r="E124" s="3" t="s">
        <v>51</v>
      </c>
      <c r="F124" s="3" t="s">
        <v>51</v>
      </c>
      <c r="G124" s="27"/>
      <c r="H124" s="11"/>
      <c r="I124" s="16" t="s">
        <v>1124</v>
      </c>
      <c r="J124" s="3" t="s">
        <v>2168</v>
      </c>
      <c r="K124" s="3" t="s">
        <v>2303</v>
      </c>
      <c r="L124" s="3"/>
      <c r="M124" s="3" t="b">
        <v>0</v>
      </c>
      <c r="N124" s="3" t="s">
        <v>1497</v>
      </c>
      <c r="O124" s="3" t="b">
        <v>0</v>
      </c>
      <c r="P124" s="35"/>
    </row>
    <row r="125" spans="1:16" hidden="1" x14ac:dyDescent="0.3">
      <c r="A125" s="27" t="s">
        <v>859</v>
      </c>
      <c r="B125" s="3"/>
      <c r="C125" s="1" t="s">
        <v>1585</v>
      </c>
      <c r="D125" s="3"/>
      <c r="E125" s="3" t="s">
        <v>51</v>
      </c>
      <c r="F125" s="3" t="s">
        <v>51</v>
      </c>
      <c r="G125" s="27"/>
      <c r="H125" s="11"/>
      <c r="I125" s="16" t="s">
        <v>1124</v>
      </c>
      <c r="J125" s="3" t="s">
        <v>2169</v>
      </c>
      <c r="K125" s="3" t="s">
        <v>2303</v>
      </c>
      <c r="L125" s="3"/>
      <c r="M125" s="3" t="b">
        <v>0</v>
      </c>
      <c r="N125" s="3" t="s">
        <v>1497</v>
      </c>
      <c r="O125" s="3" t="b">
        <v>0</v>
      </c>
      <c r="P125" s="35"/>
    </row>
    <row r="126" spans="1:16" hidden="1" x14ac:dyDescent="0.3">
      <c r="A126" s="27" t="s">
        <v>859</v>
      </c>
      <c r="B126" s="3"/>
      <c r="C126" s="1" t="s">
        <v>1585</v>
      </c>
      <c r="D126" s="3"/>
      <c r="E126" s="3" t="s">
        <v>51</v>
      </c>
      <c r="F126" s="3" t="s">
        <v>51</v>
      </c>
      <c r="G126" s="27"/>
      <c r="H126" s="11"/>
      <c r="I126" s="16" t="s">
        <v>1124</v>
      </c>
      <c r="J126" s="3" t="s">
        <v>2170</v>
      </c>
      <c r="K126" s="3" t="s">
        <v>2314</v>
      </c>
      <c r="L126" s="3"/>
      <c r="M126" s="3" t="b">
        <v>0</v>
      </c>
      <c r="N126" s="3" t="s">
        <v>1497</v>
      </c>
      <c r="O126" s="3" t="b">
        <v>0</v>
      </c>
      <c r="P126" s="35"/>
    </row>
    <row r="127" spans="1:16" hidden="1" x14ac:dyDescent="0.3">
      <c r="A127" s="27" t="s">
        <v>859</v>
      </c>
      <c r="B127" s="3"/>
      <c r="C127" s="3" t="s">
        <v>904</v>
      </c>
      <c r="D127" s="3"/>
      <c r="E127" s="3" t="s">
        <v>51</v>
      </c>
      <c r="F127" s="3" t="s">
        <v>51</v>
      </c>
      <c r="G127" s="27"/>
      <c r="H127" s="11" t="s">
        <v>1203</v>
      </c>
      <c r="I127" s="16" t="s">
        <v>1124</v>
      </c>
      <c r="J127" s="3" t="s">
        <v>1608</v>
      </c>
      <c r="K127" s="3" t="s">
        <v>2304</v>
      </c>
      <c r="L127" s="3"/>
      <c r="M127" s="3" t="b">
        <v>1</v>
      </c>
      <c r="N127" s="3" t="s">
        <v>1497</v>
      </c>
      <c r="O127" s="3" t="b">
        <v>1</v>
      </c>
      <c r="P127" s="35"/>
    </row>
    <row r="128" spans="1:16" hidden="1" x14ac:dyDescent="0.3">
      <c r="A128" s="27" t="s">
        <v>859</v>
      </c>
      <c r="B128" s="3"/>
      <c r="C128" s="3" t="s">
        <v>904</v>
      </c>
      <c r="D128" s="3"/>
      <c r="E128" s="3" t="s">
        <v>51</v>
      </c>
      <c r="F128" s="3" t="s">
        <v>51</v>
      </c>
      <c r="G128" s="27"/>
      <c r="H128" s="11" t="s">
        <v>1207</v>
      </c>
      <c r="I128" s="16" t="s">
        <v>1124</v>
      </c>
      <c r="J128" s="3" t="s">
        <v>1434</v>
      </c>
      <c r="K128" s="3" t="s">
        <v>2309</v>
      </c>
      <c r="L128" s="3"/>
      <c r="M128" s="3" t="b">
        <v>1</v>
      </c>
      <c r="N128" s="3" t="s">
        <v>1497</v>
      </c>
      <c r="O128" s="3" t="b">
        <v>1</v>
      </c>
      <c r="P128" s="35"/>
    </row>
    <row r="129" spans="1:16" hidden="1" x14ac:dyDescent="0.3">
      <c r="A129" s="27" t="s">
        <v>859</v>
      </c>
      <c r="B129" s="3"/>
      <c r="C129" s="3" t="s">
        <v>906</v>
      </c>
      <c r="D129" s="3"/>
      <c r="E129" s="3" t="s">
        <v>51</v>
      </c>
      <c r="F129" s="3" t="s">
        <v>51</v>
      </c>
      <c r="G129" s="27"/>
      <c r="H129" s="11" t="s">
        <v>1205</v>
      </c>
      <c r="I129" s="16" t="s">
        <v>1124</v>
      </c>
      <c r="J129" s="3" t="s">
        <v>1609</v>
      </c>
      <c r="K129" s="3" t="s">
        <v>2305</v>
      </c>
      <c r="L129" s="3"/>
      <c r="M129" s="3" t="b">
        <v>1</v>
      </c>
      <c r="N129" s="3" t="s">
        <v>1497</v>
      </c>
      <c r="O129" s="3" t="b">
        <v>1</v>
      </c>
      <c r="P129" s="35"/>
    </row>
    <row r="130" spans="1:16" hidden="1" x14ac:dyDescent="0.3">
      <c r="A130" s="27" t="s">
        <v>859</v>
      </c>
      <c r="B130" s="3"/>
      <c r="C130" s="3" t="s">
        <v>906</v>
      </c>
      <c r="D130" s="3"/>
      <c r="E130" s="3" t="s">
        <v>51</v>
      </c>
      <c r="F130" s="3" t="s">
        <v>51</v>
      </c>
      <c r="G130" s="27"/>
      <c r="H130" s="11" t="s">
        <v>1209</v>
      </c>
      <c r="I130" s="16" t="s">
        <v>1124</v>
      </c>
      <c r="J130" s="3" t="s">
        <v>1437</v>
      </c>
      <c r="K130" s="3" t="s">
        <v>2310</v>
      </c>
      <c r="L130" s="3"/>
      <c r="M130" s="3" t="b">
        <v>1</v>
      </c>
      <c r="N130" s="3" t="s">
        <v>1497</v>
      </c>
      <c r="O130" s="3" t="b">
        <v>1</v>
      </c>
      <c r="P130" s="35"/>
    </row>
    <row r="131" spans="1:16" hidden="1" x14ac:dyDescent="0.3">
      <c r="A131" s="27" t="s">
        <v>859</v>
      </c>
      <c r="B131" s="3"/>
      <c r="C131" s="3" t="s">
        <v>1940</v>
      </c>
      <c r="D131" s="3"/>
      <c r="E131" s="3" t="s">
        <v>51</v>
      </c>
      <c r="F131" s="3" t="s">
        <v>51</v>
      </c>
      <c r="G131" s="27"/>
      <c r="H131" s="11" t="s">
        <v>1949</v>
      </c>
      <c r="I131" s="16" t="s">
        <v>1124</v>
      </c>
      <c r="J131" s="3" t="s">
        <v>1942</v>
      </c>
      <c r="K131" s="3" t="s">
        <v>1955</v>
      </c>
      <c r="L131" s="3"/>
      <c r="M131" s="3" t="b">
        <v>0</v>
      </c>
      <c r="N131" s="3" t="s">
        <v>1497</v>
      </c>
      <c r="O131" s="3" t="b">
        <v>1</v>
      </c>
      <c r="P131" s="35"/>
    </row>
    <row r="132" spans="1:16" hidden="1" x14ac:dyDescent="0.3">
      <c r="A132" s="27" t="s">
        <v>859</v>
      </c>
      <c r="B132" s="3"/>
      <c r="C132" s="3" t="s">
        <v>916</v>
      </c>
      <c r="D132" s="3"/>
      <c r="E132" s="3" t="s">
        <v>51</v>
      </c>
      <c r="F132" s="3" t="s">
        <v>51</v>
      </c>
      <c r="G132" s="27"/>
      <c r="H132" s="11" t="s">
        <v>1286</v>
      </c>
      <c r="I132" s="16" t="s">
        <v>1124</v>
      </c>
      <c r="J132" s="3" t="s">
        <v>917</v>
      </c>
      <c r="K132" s="3" t="s">
        <v>1695</v>
      </c>
      <c r="L132" s="3"/>
      <c r="M132" s="3" t="b">
        <v>0</v>
      </c>
      <c r="N132" s="3" t="s">
        <v>1497</v>
      </c>
      <c r="O132" s="3" t="b">
        <v>1</v>
      </c>
      <c r="P132" s="35"/>
    </row>
    <row r="133" spans="1:16" hidden="1" x14ac:dyDescent="0.3">
      <c r="A133" s="27" t="s">
        <v>859</v>
      </c>
      <c r="B133" s="3"/>
      <c r="C133" s="3" t="s">
        <v>918</v>
      </c>
      <c r="D133" s="3"/>
      <c r="E133" s="3" t="s">
        <v>51</v>
      </c>
      <c r="F133" s="3" t="s">
        <v>51</v>
      </c>
      <c r="G133" s="27"/>
      <c r="H133" s="11" t="s">
        <v>1288</v>
      </c>
      <c r="I133" s="16" t="s">
        <v>1124</v>
      </c>
      <c r="J133" s="3" t="s">
        <v>919</v>
      </c>
      <c r="K133" s="3" t="s">
        <v>1696</v>
      </c>
      <c r="L133" s="3"/>
      <c r="M133" s="3" t="b">
        <v>0</v>
      </c>
      <c r="N133" s="3" t="s">
        <v>1497</v>
      </c>
      <c r="O133" s="3" t="b">
        <v>1</v>
      </c>
      <c r="P133" s="35"/>
    </row>
    <row r="134" spans="1:16" hidden="1" x14ac:dyDescent="0.3">
      <c r="A134" s="27" t="s">
        <v>859</v>
      </c>
      <c r="B134" s="3"/>
      <c r="C134" s="3" t="s">
        <v>2047</v>
      </c>
      <c r="D134" s="3"/>
      <c r="E134" s="3" t="s">
        <v>51</v>
      </c>
      <c r="F134" s="3" t="s">
        <v>51</v>
      </c>
      <c r="G134" s="27"/>
      <c r="H134" s="11" t="s">
        <v>1312</v>
      </c>
      <c r="I134" s="16" t="s">
        <v>1124</v>
      </c>
      <c r="J134" s="3" t="s">
        <v>2316</v>
      </c>
      <c r="K134" s="3" t="s">
        <v>2307</v>
      </c>
      <c r="L134" s="3"/>
      <c r="M134" s="3" t="b">
        <v>0</v>
      </c>
      <c r="N134" s="3" t="s">
        <v>1497</v>
      </c>
      <c r="O134" s="3" t="b">
        <v>0</v>
      </c>
      <c r="P134" s="35"/>
    </row>
    <row r="135" spans="1:16" hidden="1" x14ac:dyDescent="0.3">
      <c r="A135" s="27" t="s">
        <v>860</v>
      </c>
      <c r="B135" s="3"/>
      <c r="C135" s="3" t="s">
        <v>898</v>
      </c>
      <c r="D135" s="3"/>
      <c r="E135" s="3" t="s">
        <v>51</v>
      </c>
      <c r="F135" s="3" t="s">
        <v>51</v>
      </c>
      <c r="G135" s="27"/>
      <c r="H135" s="11" t="s">
        <v>999</v>
      </c>
      <c r="I135" s="16" t="s">
        <v>1124</v>
      </c>
      <c r="J135" s="3" t="s">
        <v>1000</v>
      </c>
      <c r="K135" s="3" t="s">
        <v>1686</v>
      </c>
      <c r="L135" s="3"/>
      <c r="M135" s="3" t="b">
        <v>1</v>
      </c>
      <c r="N135" s="3" t="s">
        <v>1497</v>
      </c>
      <c r="O135" s="3" t="b">
        <v>1</v>
      </c>
      <c r="P135" s="35"/>
    </row>
    <row r="136" spans="1:16" hidden="1" x14ac:dyDescent="0.3">
      <c r="A136" s="27" t="s">
        <v>860</v>
      </c>
      <c r="B136" s="3"/>
      <c r="C136" s="3" t="s">
        <v>898</v>
      </c>
      <c r="D136" s="3"/>
      <c r="E136" s="3" t="s">
        <v>51</v>
      </c>
      <c r="F136" s="3" t="s">
        <v>51</v>
      </c>
      <c r="G136" s="27"/>
      <c r="H136" s="11" t="s">
        <v>1007</v>
      </c>
      <c r="I136" s="16" t="s">
        <v>1124</v>
      </c>
      <c r="J136" s="3" t="s">
        <v>1441</v>
      </c>
      <c r="K136" s="3" t="s">
        <v>1691</v>
      </c>
      <c r="L136" s="3"/>
      <c r="M136" s="3" t="b">
        <v>0</v>
      </c>
      <c r="N136" s="3" t="s">
        <v>1497</v>
      </c>
      <c r="O136" s="3" t="b">
        <v>1</v>
      </c>
      <c r="P136" s="35"/>
    </row>
    <row r="137" spans="1:16" hidden="1" x14ac:dyDescent="0.3">
      <c r="A137" s="27" t="s">
        <v>860</v>
      </c>
      <c r="B137" s="3"/>
      <c r="C137" s="3" t="s">
        <v>2093</v>
      </c>
      <c r="D137" s="3"/>
      <c r="E137" s="3" t="s">
        <v>51</v>
      </c>
      <c r="F137" s="3" t="s">
        <v>51</v>
      </c>
      <c r="G137" s="27"/>
      <c r="H137" s="11" t="s">
        <v>2093</v>
      </c>
      <c r="I137" s="16" t="s">
        <v>1124</v>
      </c>
      <c r="J137" s="3" t="s">
        <v>2101</v>
      </c>
      <c r="K137" s="3" t="s">
        <v>1692</v>
      </c>
      <c r="L137" s="3"/>
      <c r="M137" s="3" t="b">
        <v>1</v>
      </c>
      <c r="N137" s="3" t="s">
        <v>1497</v>
      </c>
      <c r="O137" s="3" t="b">
        <v>1</v>
      </c>
      <c r="P137" s="35"/>
    </row>
    <row r="138" spans="1:16" hidden="1" x14ac:dyDescent="0.3">
      <c r="A138" s="27" t="s">
        <v>860</v>
      </c>
      <c r="B138" s="3"/>
      <c r="C138" s="1" t="s">
        <v>2094</v>
      </c>
      <c r="D138" s="3"/>
      <c r="E138" s="3" t="s">
        <v>51</v>
      </c>
      <c r="F138" s="3" t="s">
        <v>51</v>
      </c>
      <c r="G138" s="27"/>
      <c r="H138" s="11" t="s">
        <v>2094</v>
      </c>
      <c r="I138" s="16" t="s">
        <v>1124</v>
      </c>
      <c r="J138" s="3" t="s">
        <v>2102</v>
      </c>
      <c r="K138" s="3" t="s">
        <v>1692</v>
      </c>
      <c r="L138" s="3"/>
      <c r="M138" s="3" t="b">
        <v>1</v>
      </c>
      <c r="N138" s="3" t="s">
        <v>1497</v>
      </c>
      <c r="O138" s="3" t="b">
        <v>1</v>
      </c>
      <c r="P138" s="35"/>
    </row>
    <row r="139" spans="1:16" hidden="1" x14ac:dyDescent="0.3">
      <c r="A139" s="27" t="s">
        <v>860</v>
      </c>
      <c r="B139" s="3"/>
      <c r="C139" s="3" t="s">
        <v>904</v>
      </c>
      <c r="D139" s="3"/>
      <c r="E139" s="3" t="s">
        <v>51</v>
      </c>
      <c r="F139" s="3" t="s">
        <v>51</v>
      </c>
      <c r="G139" s="27"/>
      <c r="H139" s="11" t="s">
        <v>1207</v>
      </c>
      <c r="I139" s="16" t="s">
        <v>1124</v>
      </c>
      <c r="J139" s="3" t="s">
        <v>1434</v>
      </c>
      <c r="K139" s="3" t="s">
        <v>2309</v>
      </c>
      <c r="L139" s="3"/>
      <c r="M139" s="3" t="b">
        <v>1</v>
      </c>
      <c r="N139" s="3" t="s">
        <v>1497</v>
      </c>
      <c r="O139" s="3" t="b">
        <v>1</v>
      </c>
      <c r="P139" s="35"/>
    </row>
    <row r="140" spans="1:16" hidden="1" x14ac:dyDescent="0.3">
      <c r="A140" s="27" t="s">
        <v>860</v>
      </c>
      <c r="B140" s="3"/>
      <c r="C140" s="3" t="s">
        <v>906</v>
      </c>
      <c r="D140" s="3"/>
      <c r="E140" s="3" t="s">
        <v>51</v>
      </c>
      <c r="F140" s="3" t="s">
        <v>51</v>
      </c>
      <c r="G140" s="27"/>
      <c r="H140" s="11" t="s">
        <v>1209</v>
      </c>
      <c r="I140" s="16" t="s">
        <v>1124</v>
      </c>
      <c r="J140" s="3" t="s">
        <v>1437</v>
      </c>
      <c r="K140" s="3" t="s">
        <v>2310</v>
      </c>
      <c r="L140" s="3"/>
      <c r="M140" s="3" t="b">
        <v>1</v>
      </c>
      <c r="N140" s="3" t="s">
        <v>1497</v>
      </c>
      <c r="O140" s="3" t="b">
        <v>1</v>
      </c>
      <c r="P140" s="35"/>
    </row>
    <row r="141" spans="1:16" hidden="1" x14ac:dyDescent="0.3">
      <c r="A141" s="27" t="s">
        <v>860</v>
      </c>
      <c r="B141" s="3"/>
      <c r="C141" s="3" t="s">
        <v>1940</v>
      </c>
      <c r="D141" s="3"/>
      <c r="E141" s="3" t="s">
        <v>51</v>
      </c>
      <c r="F141" s="3" t="s">
        <v>51</v>
      </c>
      <c r="G141" s="27"/>
      <c r="H141" s="11" t="s">
        <v>1949</v>
      </c>
      <c r="I141" s="16" t="s">
        <v>1124</v>
      </c>
      <c r="J141" s="3" t="s">
        <v>1942</v>
      </c>
      <c r="K141" s="3" t="s">
        <v>1955</v>
      </c>
      <c r="L141" s="3"/>
      <c r="M141" s="3" t="b">
        <v>0</v>
      </c>
      <c r="N141" s="3" t="s">
        <v>1497</v>
      </c>
      <c r="O141" s="3" t="b">
        <v>1</v>
      </c>
      <c r="P141" s="35"/>
    </row>
    <row r="142" spans="1:16" hidden="1" x14ac:dyDescent="0.3">
      <c r="A142" s="27" t="s">
        <v>860</v>
      </c>
      <c r="B142" s="3"/>
      <c r="C142" s="3" t="s">
        <v>914</v>
      </c>
      <c r="D142" s="3"/>
      <c r="E142" s="3" t="s">
        <v>51</v>
      </c>
      <c r="F142" s="3" t="s">
        <v>51</v>
      </c>
      <c r="G142" s="27"/>
      <c r="H142" s="11" t="s">
        <v>1284</v>
      </c>
      <c r="I142" s="16" t="s">
        <v>1124</v>
      </c>
      <c r="J142" s="3" t="s">
        <v>915</v>
      </c>
      <c r="K142" s="3" t="s">
        <v>1694</v>
      </c>
      <c r="L142" s="3"/>
      <c r="M142" s="3" t="b">
        <v>0</v>
      </c>
      <c r="N142" s="3" t="s">
        <v>1497</v>
      </c>
      <c r="O142" s="3" t="b">
        <v>1</v>
      </c>
      <c r="P142" s="35"/>
    </row>
    <row r="143" spans="1:16" hidden="1" x14ac:dyDescent="0.3">
      <c r="A143" s="27" t="s">
        <v>860</v>
      </c>
      <c r="B143" s="3"/>
      <c r="C143" s="3" t="s">
        <v>916</v>
      </c>
      <c r="D143" s="3"/>
      <c r="E143" s="3" t="s">
        <v>51</v>
      </c>
      <c r="F143" s="3" t="s">
        <v>51</v>
      </c>
      <c r="G143" s="27"/>
      <c r="H143" s="11" t="s">
        <v>1286</v>
      </c>
      <c r="I143" s="16" t="s">
        <v>1124</v>
      </c>
      <c r="J143" s="3" t="s">
        <v>917</v>
      </c>
      <c r="K143" s="3" t="s">
        <v>1695</v>
      </c>
      <c r="L143" s="3"/>
      <c r="M143" s="3" t="b">
        <v>0</v>
      </c>
      <c r="N143" s="3" t="s">
        <v>1497</v>
      </c>
      <c r="O143" s="3" t="b">
        <v>1</v>
      </c>
      <c r="P143" s="35"/>
    </row>
    <row r="144" spans="1:16" hidden="1" x14ac:dyDescent="0.3">
      <c r="A144" s="27" t="s">
        <v>860</v>
      </c>
      <c r="B144" s="3"/>
      <c r="C144" s="3" t="s">
        <v>918</v>
      </c>
      <c r="D144" s="3"/>
      <c r="E144" s="3" t="s">
        <v>51</v>
      </c>
      <c r="F144" s="3" t="s">
        <v>51</v>
      </c>
      <c r="G144" s="27"/>
      <c r="H144" s="11" t="s">
        <v>1288</v>
      </c>
      <c r="I144" s="16" t="s">
        <v>1124</v>
      </c>
      <c r="J144" s="3" t="s">
        <v>919</v>
      </c>
      <c r="K144" s="3" t="s">
        <v>1696</v>
      </c>
      <c r="L144" s="3"/>
      <c r="M144" s="3" t="b">
        <v>0</v>
      </c>
      <c r="N144" s="3" t="s">
        <v>1497</v>
      </c>
      <c r="O144" s="3" t="b">
        <v>1</v>
      </c>
      <c r="P144" s="35"/>
    </row>
    <row r="145" spans="1:16" hidden="1" x14ac:dyDescent="0.3">
      <c r="A145" s="27" t="s">
        <v>860</v>
      </c>
      <c r="B145" s="3"/>
      <c r="C145" s="3" t="s">
        <v>912</v>
      </c>
      <c r="D145" s="3"/>
      <c r="E145" s="3" t="s">
        <v>51</v>
      </c>
      <c r="F145" s="3" t="s">
        <v>51</v>
      </c>
      <c r="G145" s="27"/>
      <c r="H145" s="11" t="s">
        <v>1017</v>
      </c>
      <c r="I145" s="16" t="s">
        <v>1124</v>
      </c>
      <c r="J145" s="3" t="s">
        <v>1233</v>
      </c>
      <c r="K145" s="3" t="s">
        <v>1686</v>
      </c>
      <c r="L145" s="3"/>
      <c r="M145" s="3" t="b">
        <v>1</v>
      </c>
      <c r="N145" s="3" t="s">
        <v>1497</v>
      </c>
      <c r="O145" s="3" t="b">
        <v>1</v>
      </c>
      <c r="P145" s="35"/>
    </row>
    <row r="146" spans="1:16" hidden="1" x14ac:dyDescent="0.3">
      <c r="A146" s="27" t="s">
        <v>860</v>
      </c>
      <c r="B146" s="3"/>
      <c r="C146" s="3" t="s">
        <v>912</v>
      </c>
      <c r="D146" s="3"/>
      <c r="E146" s="3" t="s">
        <v>51</v>
      </c>
      <c r="F146" s="3" t="s">
        <v>51</v>
      </c>
      <c r="G146" s="27"/>
      <c r="H146" s="11" t="s">
        <v>1019</v>
      </c>
      <c r="I146" s="16" t="s">
        <v>1124</v>
      </c>
      <c r="J146" s="3" t="s">
        <v>1436</v>
      </c>
      <c r="K146" s="3" t="s">
        <v>1693</v>
      </c>
      <c r="L146" s="3"/>
      <c r="M146" s="3" t="b">
        <v>1</v>
      </c>
      <c r="N146" s="3" t="s">
        <v>1497</v>
      </c>
      <c r="O146" s="3" t="b">
        <v>1</v>
      </c>
      <c r="P146" s="35"/>
    </row>
    <row r="147" spans="1:16" hidden="1" x14ac:dyDescent="0.3">
      <c r="A147" s="27" t="s">
        <v>860</v>
      </c>
      <c r="B147" s="3"/>
      <c r="C147" s="3" t="s">
        <v>1623</v>
      </c>
      <c r="D147" s="3"/>
      <c r="E147" s="3" t="s">
        <v>51</v>
      </c>
      <c r="F147" s="3" t="s">
        <v>51</v>
      </c>
      <c r="G147" s="27"/>
      <c r="H147" s="11" t="s">
        <v>1296</v>
      </c>
      <c r="I147" s="16" t="s">
        <v>1124</v>
      </c>
      <c r="J147" s="3" t="s">
        <v>1625</v>
      </c>
      <c r="K147" s="3" t="s">
        <v>1697</v>
      </c>
      <c r="L147" s="3"/>
      <c r="M147" s="3" t="b">
        <v>1</v>
      </c>
      <c r="N147" s="3" t="s">
        <v>1497</v>
      </c>
      <c r="O147" s="3" t="b">
        <v>1</v>
      </c>
      <c r="P147" s="35"/>
    </row>
    <row r="148" spans="1:16" hidden="1" x14ac:dyDescent="0.3">
      <c r="A148" s="27" t="s">
        <v>860</v>
      </c>
      <c r="B148" s="3"/>
      <c r="C148" s="3" t="s">
        <v>1558</v>
      </c>
      <c r="D148" s="3"/>
      <c r="E148" s="3" t="s">
        <v>51</v>
      </c>
      <c r="F148" s="3" t="s">
        <v>51</v>
      </c>
      <c r="G148" s="27"/>
      <c r="H148" s="11" t="s">
        <v>1558</v>
      </c>
      <c r="I148" s="16" t="s">
        <v>1124</v>
      </c>
      <c r="J148" s="3" t="s">
        <v>1562</v>
      </c>
      <c r="K148" s="3" t="s">
        <v>2054</v>
      </c>
      <c r="L148" s="3"/>
      <c r="M148" s="3" t="b">
        <v>1</v>
      </c>
      <c r="N148" s="3" t="s">
        <v>1497</v>
      </c>
      <c r="O148" s="3" t="b">
        <v>1</v>
      </c>
      <c r="P148" s="35"/>
    </row>
    <row r="149" spans="1:16" hidden="1" x14ac:dyDescent="0.3">
      <c r="A149" s="27" t="s">
        <v>860</v>
      </c>
      <c r="B149" s="3"/>
      <c r="C149" s="3" t="s">
        <v>1560</v>
      </c>
      <c r="D149" s="3"/>
      <c r="E149" s="3" t="s">
        <v>51</v>
      </c>
      <c r="F149" s="3" t="s">
        <v>51</v>
      </c>
      <c r="G149" s="27"/>
      <c r="H149" s="11" t="s">
        <v>1560</v>
      </c>
      <c r="I149" s="16" t="s">
        <v>1124</v>
      </c>
      <c r="J149" s="3" t="s">
        <v>1561</v>
      </c>
      <c r="K149" s="3" t="s">
        <v>1698</v>
      </c>
      <c r="L149" s="3"/>
      <c r="M149" s="3" t="b">
        <v>1</v>
      </c>
      <c r="N149" s="3" t="s">
        <v>1497</v>
      </c>
      <c r="O149" s="3" t="b">
        <v>1</v>
      </c>
      <c r="P149" s="35"/>
    </row>
    <row r="150" spans="1:16" hidden="1" x14ac:dyDescent="0.3">
      <c r="A150" s="27" t="s">
        <v>2179</v>
      </c>
      <c r="B150" s="3"/>
      <c r="C150" s="3" t="s">
        <v>898</v>
      </c>
      <c r="D150" s="3"/>
      <c r="E150" s="3" t="s">
        <v>51</v>
      </c>
      <c r="F150" s="3" t="s">
        <v>51</v>
      </c>
      <c r="G150" s="27"/>
      <c r="H150" s="11" t="s">
        <v>999</v>
      </c>
      <c r="I150" s="16" t="s">
        <v>1124</v>
      </c>
      <c r="J150" s="3" t="s">
        <v>1000</v>
      </c>
      <c r="K150" s="3" t="s">
        <v>1686</v>
      </c>
      <c r="L150" s="3"/>
      <c r="M150" s="3" t="b">
        <v>1</v>
      </c>
      <c r="N150" s="3" t="s">
        <v>1497</v>
      </c>
      <c r="O150" s="3" t="b">
        <v>1</v>
      </c>
      <c r="P150" s="35"/>
    </row>
    <row r="151" spans="1:16" hidden="1" x14ac:dyDescent="0.3">
      <c r="A151" s="27" t="s">
        <v>2179</v>
      </c>
      <c r="B151" s="3"/>
      <c r="C151" s="3" t="s">
        <v>898</v>
      </c>
      <c r="D151" s="3"/>
      <c r="E151" s="3" t="s">
        <v>51</v>
      </c>
      <c r="F151" s="3" t="s">
        <v>51</v>
      </c>
      <c r="G151" s="27"/>
      <c r="H151" s="11" t="s">
        <v>1001</v>
      </c>
      <c r="I151" s="16" t="s">
        <v>1124</v>
      </c>
      <c r="J151" s="3" t="s">
        <v>1440</v>
      </c>
      <c r="K151" s="3" t="s">
        <v>1688</v>
      </c>
      <c r="L151" s="3"/>
      <c r="M151" s="3" t="b">
        <v>0</v>
      </c>
      <c r="N151" s="3" t="s">
        <v>1497</v>
      </c>
      <c r="O151" s="3" t="b">
        <v>1</v>
      </c>
      <c r="P151" s="35"/>
    </row>
    <row r="152" spans="1:16" hidden="1" x14ac:dyDescent="0.3">
      <c r="A152" s="27" t="s">
        <v>2179</v>
      </c>
      <c r="B152" s="3"/>
      <c r="C152" s="3" t="s">
        <v>2093</v>
      </c>
      <c r="D152" s="3"/>
      <c r="E152" s="3" t="s">
        <v>51</v>
      </c>
      <c r="F152" s="3" t="s">
        <v>51</v>
      </c>
      <c r="G152" s="27"/>
      <c r="H152" s="11" t="s">
        <v>2093</v>
      </c>
      <c r="I152" s="16" t="s">
        <v>1124</v>
      </c>
      <c r="J152" s="3" t="s">
        <v>2101</v>
      </c>
      <c r="K152" s="3" t="s">
        <v>1692</v>
      </c>
      <c r="L152" s="3"/>
      <c r="M152" s="3" t="b">
        <v>1</v>
      </c>
      <c r="N152" s="3" t="s">
        <v>1497</v>
      </c>
      <c r="O152" s="3" t="b">
        <v>1</v>
      </c>
      <c r="P152" s="35"/>
    </row>
    <row r="153" spans="1:16" hidden="1" x14ac:dyDescent="0.3">
      <c r="A153" s="27" t="s">
        <v>2179</v>
      </c>
      <c r="B153" s="3"/>
      <c r="C153" s="3" t="s">
        <v>1586</v>
      </c>
      <c r="D153" s="3"/>
      <c r="E153" s="3" t="s">
        <v>51</v>
      </c>
      <c r="F153" s="3" t="s">
        <v>51</v>
      </c>
      <c r="G153" s="27"/>
      <c r="H153" s="11" t="s">
        <v>1312</v>
      </c>
      <c r="I153" s="16" t="s">
        <v>1124</v>
      </c>
      <c r="J153" s="3" t="s">
        <v>2306</v>
      </c>
      <c r="K153" s="3" t="s">
        <v>2307</v>
      </c>
      <c r="L153" s="3"/>
      <c r="M153" s="3" t="b">
        <v>0</v>
      </c>
      <c r="N153" s="3" t="s">
        <v>1497</v>
      </c>
      <c r="O153" s="3" t="b">
        <v>0</v>
      </c>
      <c r="P153" s="35"/>
    </row>
    <row r="154" spans="1:16" hidden="1" x14ac:dyDescent="0.3">
      <c r="A154" s="27" t="s">
        <v>2179</v>
      </c>
      <c r="B154" s="3"/>
      <c r="C154" s="3" t="s">
        <v>1586</v>
      </c>
      <c r="D154" s="3"/>
      <c r="E154" s="3" t="s">
        <v>51</v>
      </c>
      <c r="F154" s="3" t="s">
        <v>51</v>
      </c>
      <c r="G154" s="27"/>
      <c r="H154" s="11" t="s">
        <v>1312</v>
      </c>
      <c r="I154" s="16" t="s">
        <v>1124</v>
      </c>
      <c r="J154" s="3" t="s">
        <v>2308</v>
      </c>
      <c r="K154" s="3" t="s">
        <v>2307</v>
      </c>
      <c r="L154" s="3"/>
      <c r="M154" s="3" t="b">
        <v>0</v>
      </c>
      <c r="N154" s="3" t="s">
        <v>1497</v>
      </c>
      <c r="O154" s="3" t="b">
        <v>0</v>
      </c>
      <c r="P154" s="35"/>
    </row>
    <row r="155" spans="1:16" hidden="1" x14ac:dyDescent="0.3">
      <c r="A155" s="27" t="s">
        <v>2179</v>
      </c>
      <c r="B155" s="3"/>
      <c r="C155" s="3" t="s">
        <v>1586</v>
      </c>
      <c r="D155" s="3"/>
      <c r="E155" s="3" t="s">
        <v>51</v>
      </c>
      <c r="F155" s="3" t="s">
        <v>51</v>
      </c>
      <c r="G155" s="27"/>
      <c r="H155" s="11" t="s">
        <v>1312</v>
      </c>
      <c r="I155" s="16" t="s">
        <v>1124</v>
      </c>
      <c r="J155" s="3" t="s">
        <v>2312</v>
      </c>
      <c r="K155" s="3" t="s">
        <v>2307</v>
      </c>
      <c r="L155" s="3"/>
      <c r="M155" s="3" t="b">
        <v>0</v>
      </c>
      <c r="N155" s="3" t="s">
        <v>1497</v>
      </c>
      <c r="O155" s="3" t="b">
        <v>0</v>
      </c>
      <c r="P155" s="35"/>
    </row>
    <row r="156" spans="1:16" hidden="1" x14ac:dyDescent="0.3">
      <c r="A156" s="27" t="s">
        <v>2179</v>
      </c>
      <c r="B156" s="3"/>
      <c r="C156" s="3" t="s">
        <v>1586</v>
      </c>
      <c r="D156" s="3"/>
      <c r="E156" s="3" t="s">
        <v>51</v>
      </c>
      <c r="F156" s="3" t="s">
        <v>51</v>
      </c>
      <c r="G156" s="27"/>
      <c r="H156" s="11" t="s">
        <v>1312</v>
      </c>
      <c r="I156" s="16" t="s">
        <v>1124</v>
      </c>
      <c r="J156" s="3" t="s">
        <v>2313</v>
      </c>
      <c r="K156" s="3" t="s">
        <v>2307</v>
      </c>
      <c r="L156" s="3"/>
      <c r="M156" s="3" t="b">
        <v>0</v>
      </c>
      <c r="N156" s="3" t="s">
        <v>1497</v>
      </c>
      <c r="O156" s="3" t="b">
        <v>0</v>
      </c>
      <c r="P156" s="35"/>
    </row>
    <row r="157" spans="1:16" hidden="1" x14ac:dyDescent="0.3">
      <c r="A157" s="27" t="s">
        <v>2179</v>
      </c>
      <c r="B157" s="3"/>
      <c r="C157" s="3" t="s">
        <v>1586</v>
      </c>
      <c r="D157" s="3"/>
      <c r="E157" s="3" t="s">
        <v>51</v>
      </c>
      <c r="F157" s="3" t="s">
        <v>51</v>
      </c>
      <c r="G157" s="27"/>
      <c r="H157" s="11" t="s">
        <v>1312</v>
      </c>
      <c r="I157" s="16" t="s">
        <v>1124</v>
      </c>
      <c r="J157" s="3" t="s">
        <v>2315</v>
      </c>
      <c r="K157" s="3" t="s">
        <v>2307</v>
      </c>
      <c r="L157" s="3"/>
      <c r="M157" s="3" t="b">
        <v>0</v>
      </c>
      <c r="N157" s="3" t="s">
        <v>1497</v>
      </c>
      <c r="O157" s="3" t="b">
        <v>0</v>
      </c>
      <c r="P157" s="35"/>
    </row>
    <row r="158" spans="1:16" hidden="1" x14ac:dyDescent="0.3">
      <c r="A158" s="27" t="s">
        <v>2179</v>
      </c>
      <c r="B158" s="3"/>
      <c r="C158" s="3" t="s">
        <v>904</v>
      </c>
      <c r="D158" s="3"/>
      <c r="E158" s="3" t="s">
        <v>51</v>
      </c>
      <c r="F158" s="3" t="s">
        <v>51</v>
      </c>
      <c r="G158" s="27"/>
      <c r="H158" s="11" t="s">
        <v>1203</v>
      </c>
      <c r="I158" s="16" t="s">
        <v>1124</v>
      </c>
      <c r="J158" s="3" t="s">
        <v>1608</v>
      </c>
      <c r="K158" s="3" t="s">
        <v>2304</v>
      </c>
      <c r="L158" s="3"/>
      <c r="M158" s="3" t="b">
        <v>1</v>
      </c>
      <c r="N158" s="3" t="s">
        <v>1497</v>
      </c>
      <c r="O158" s="3" t="b">
        <v>1</v>
      </c>
      <c r="P158" s="35"/>
    </row>
    <row r="159" spans="1:16" hidden="1" x14ac:dyDescent="0.3">
      <c r="A159" s="27" t="s">
        <v>2179</v>
      </c>
      <c r="B159" s="3"/>
      <c r="C159" s="3" t="s">
        <v>904</v>
      </c>
      <c r="D159" s="3"/>
      <c r="E159" s="3" t="s">
        <v>51</v>
      </c>
      <c r="F159" s="3" t="s">
        <v>51</v>
      </c>
      <c r="G159" s="27"/>
      <c r="H159" s="11" t="s">
        <v>1207</v>
      </c>
      <c r="I159" s="16" t="s">
        <v>1124</v>
      </c>
      <c r="J159" s="3" t="s">
        <v>1434</v>
      </c>
      <c r="K159" s="3" t="s">
        <v>2309</v>
      </c>
      <c r="L159" s="3"/>
      <c r="M159" s="3" t="b">
        <v>1</v>
      </c>
      <c r="N159" s="3" t="s">
        <v>1497</v>
      </c>
      <c r="O159" s="3" t="b">
        <v>1</v>
      </c>
      <c r="P159" s="35"/>
    </row>
    <row r="160" spans="1:16" hidden="1" x14ac:dyDescent="0.3">
      <c r="A160" s="27" t="s">
        <v>2179</v>
      </c>
      <c r="B160" s="3"/>
      <c r="C160" s="3" t="s">
        <v>2047</v>
      </c>
      <c r="D160" s="3"/>
      <c r="E160" s="3" t="s">
        <v>51</v>
      </c>
      <c r="F160" s="3" t="s">
        <v>51</v>
      </c>
      <c r="G160" s="27"/>
      <c r="H160" s="11" t="s">
        <v>1312</v>
      </c>
      <c r="I160" s="16" t="s">
        <v>1124</v>
      </c>
      <c r="J160" s="3" t="s">
        <v>2316</v>
      </c>
      <c r="K160" s="3" t="s">
        <v>2307</v>
      </c>
      <c r="L160" s="3"/>
      <c r="M160" s="3" t="b">
        <v>0</v>
      </c>
      <c r="N160" s="3" t="s">
        <v>1497</v>
      </c>
      <c r="O160" s="3" t="b">
        <v>0</v>
      </c>
      <c r="P160" s="35"/>
    </row>
    <row r="161" spans="1:16" hidden="1" x14ac:dyDescent="0.3">
      <c r="A161" s="27" t="s">
        <v>2178</v>
      </c>
      <c r="B161" s="3"/>
      <c r="C161" s="3" t="s">
        <v>898</v>
      </c>
      <c r="D161" s="3"/>
      <c r="E161" s="3" t="s">
        <v>51</v>
      </c>
      <c r="F161" s="3" t="s">
        <v>51</v>
      </c>
      <c r="G161" s="27"/>
      <c r="H161" s="11" t="s">
        <v>999</v>
      </c>
      <c r="I161" s="16" t="s">
        <v>1124</v>
      </c>
      <c r="J161" s="3" t="s">
        <v>1000</v>
      </c>
      <c r="K161" s="3" t="s">
        <v>1686</v>
      </c>
      <c r="L161" s="3"/>
      <c r="M161" s="3" t="b">
        <v>1</v>
      </c>
      <c r="N161" s="3" t="s">
        <v>1497</v>
      </c>
      <c r="O161" s="3" t="b">
        <v>1</v>
      </c>
      <c r="P161" s="35"/>
    </row>
    <row r="162" spans="1:16" hidden="1" x14ac:dyDescent="0.3">
      <c r="A162" s="27" t="s">
        <v>2178</v>
      </c>
      <c r="B162" s="3"/>
      <c r="C162" s="3" t="s">
        <v>898</v>
      </c>
      <c r="D162" s="3"/>
      <c r="E162" s="3" t="s">
        <v>51</v>
      </c>
      <c r="F162" s="3" t="s">
        <v>51</v>
      </c>
      <c r="G162" s="27"/>
      <c r="H162" s="11" t="s">
        <v>1517</v>
      </c>
      <c r="I162" s="16" t="s">
        <v>1124</v>
      </c>
      <c r="J162" s="3" t="s">
        <v>1521</v>
      </c>
      <c r="K162" s="3" t="s">
        <v>1687</v>
      </c>
      <c r="L162" s="3"/>
      <c r="M162" s="3" t="b">
        <v>0</v>
      </c>
      <c r="N162" s="3" t="s">
        <v>1497</v>
      </c>
      <c r="O162" s="3" t="b">
        <v>1</v>
      </c>
      <c r="P162" s="35"/>
    </row>
    <row r="163" spans="1:16" hidden="1" x14ac:dyDescent="0.3">
      <c r="A163" s="27" t="s">
        <v>2178</v>
      </c>
      <c r="B163" s="3"/>
      <c r="C163" s="3" t="s">
        <v>898</v>
      </c>
      <c r="D163" s="3"/>
      <c r="E163" s="3" t="s">
        <v>51</v>
      </c>
      <c r="F163" s="3" t="s">
        <v>51</v>
      </c>
      <c r="G163" s="27"/>
      <c r="H163" s="11" t="s">
        <v>1003</v>
      </c>
      <c r="I163" s="16" t="s">
        <v>1124</v>
      </c>
      <c r="J163" s="3" t="s">
        <v>1438</v>
      </c>
      <c r="K163" s="3" t="s">
        <v>1689</v>
      </c>
      <c r="L163" s="3"/>
      <c r="M163" s="3" t="b">
        <v>0</v>
      </c>
      <c r="N163" s="3" t="s">
        <v>1497</v>
      </c>
      <c r="O163" s="3" t="b">
        <v>1</v>
      </c>
      <c r="P163" s="35"/>
    </row>
    <row r="164" spans="1:16" hidden="1" x14ac:dyDescent="0.3">
      <c r="A164" s="27" t="s">
        <v>2178</v>
      </c>
      <c r="B164" s="3"/>
      <c r="C164" s="3" t="s">
        <v>2094</v>
      </c>
      <c r="D164" s="3"/>
      <c r="E164" s="3" t="s">
        <v>51</v>
      </c>
      <c r="F164" s="3" t="s">
        <v>51</v>
      </c>
      <c r="G164" s="27"/>
      <c r="H164" s="11" t="s">
        <v>2094</v>
      </c>
      <c r="I164" s="16" t="s">
        <v>1124</v>
      </c>
      <c r="J164" s="3" t="s">
        <v>2102</v>
      </c>
      <c r="K164" s="3" t="s">
        <v>1692</v>
      </c>
      <c r="L164" s="3"/>
      <c r="M164" s="3" t="b">
        <v>1</v>
      </c>
      <c r="N164" s="3" t="s">
        <v>1497</v>
      </c>
      <c r="O164" s="3" t="b">
        <v>1</v>
      </c>
      <c r="P164" s="35"/>
    </row>
    <row r="165" spans="1:16" hidden="1" x14ac:dyDescent="0.3">
      <c r="A165" s="27" t="s">
        <v>2178</v>
      </c>
      <c r="B165" s="3"/>
      <c r="C165" s="3" t="s">
        <v>1585</v>
      </c>
      <c r="D165" s="3"/>
      <c r="E165" s="3" t="s">
        <v>51</v>
      </c>
      <c r="F165" s="3" t="s">
        <v>51</v>
      </c>
      <c r="G165" s="27"/>
      <c r="H165" s="11" t="s">
        <v>2332</v>
      </c>
      <c r="I165" s="16" t="s">
        <v>1124</v>
      </c>
      <c r="J165" s="3" t="s">
        <v>2105</v>
      </c>
      <c r="K165" s="3" t="s">
        <v>2301</v>
      </c>
      <c r="L165" s="3"/>
      <c r="M165" s="3" t="b">
        <v>1</v>
      </c>
      <c r="N165" s="3" t="s">
        <v>1497</v>
      </c>
      <c r="O165" s="3" t="b">
        <v>1</v>
      </c>
      <c r="P165" s="35"/>
    </row>
    <row r="166" spans="1:16" hidden="1" x14ac:dyDescent="0.3">
      <c r="A166" s="27" t="s">
        <v>2178</v>
      </c>
      <c r="B166" s="3"/>
      <c r="C166" s="3" t="s">
        <v>1585</v>
      </c>
      <c r="D166" s="3"/>
      <c r="E166" s="3" t="s">
        <v>51</v>
      </c>
      <c r="F166" s="3" t="s">
        <v>51</v>
      </c>
      <c r="G166" s="27"/>
      <c r="H166" s="11" t="s">
        <v>1303</v>
      </c>
      <c r="I166" s="16" t="s">
        <v>1124</v>
      </c>
      <c r="J166" s="3" t="s">
        <v>2134</v>
      </c>
      <c r="K166" s="3" t="s">
        <v>2303</v>
      </c>
      <c r="L166" s="3"/>
      <c r="M166" s="3" t="b">
        <v>0</v>
      </c>
      <c r="N166" s="3" t="s">
        <v>1497</v>
      </c>
      <c r="O166" s="3" t="b">
        <v>0</v>
      </c>
      <c r="P166" s="35"/>
    </row>
    <row r="167" spans="1:16" hidden="1" x14ac:dyDescent="0.3">
      <c r="A167" s="27" t="s">
        <v>2178</v>
      </c>
      <c r="B167" s="3"/>
      <c r="C167" s="3" t="s">
        <v>1585</v>
      </c>
      <c r="D167" s="3"/>
      <c r="E167" s="3" t="s">
        <v>51</v>
      </c>
      <c r="F167" s="3" t="s">
        <v>51</v>
      </c>
      <c r="G167" s="27"/>
      <c r="H167" s="11" t="s">
        <v>1303</v>
      </c>
      <c r="I167" s="16" t="s">
        <v>1124</v>
      </c>
      <c r="J167" s="3" t="s">
        <v>2135</v>
      </c>
      <c r="K167" s="3" t="s">
        <v>2303</v>
      </c>
      <c r="L167" s="3"/>
      <c r="M167" s="3" t="b">
        <v>0</v>
      </c>
      <c r="N167" s="3" t="s">
        <v>1497</v>
      </c>
      <c r="O167" s="3" t="b">
        <v>0</v>
      </c>
      <c r="P167" s="35"/>
    </row>
    <row r="168" spans="1:16" hidden="1" x14ac:dyDescent="0.3">
      <c r="A168" s="27" t="s">
        <v>2178</v>
      </c>
      <c r="B168" s="3"/>
      <c r="C168" s="3" t="s">
        <v>1585</v>
      </c>
      <c r="D168" s="3"/>
      <c r="E168" s="3" t="s">
        <v>51</v>
      </c>
      <c r="F168" s="3" t="s">
        <v>51</v>
      </c>
      <c r="G168" s="27"/>
      <c r="H168" s="11" t="s">
        <v>1303</v>
      </c>
      <c r="I168" s="16" t="s">
        <v>1124</v>
      </c>
      <c r="J168" s="3" t="s">
        <v>2136</v>
      </c>
      <c r="K168" s="3" t="s">
        <v>2303</v>
      </c>
      <c r="L168" s="3"/>
      <c r="M168" s="3" t="b">
        <v>0</v>
      </c>
      <c r="N168" s="3" t="s">
        <v>1497</v>
      </c>
      <c r="O168" s="3" t="b">
        <v>0</v>
      </c>
      <c r="P168" s="35"/>
    </row>
    <row r="169" spans="1:16" hidden="1" x14ac:dyDescent="0.3">
      <c r="A169" s="27" t="s">
        <v>2178</v>
      </c>
      <c r="B169" s="3"/>
      <c r="C169" s="3" t="s">
        <v>1585</v>
      </c>
      <c r="D169" s="3"/>
      <c r="E169" s="3" t="s">
        <v>51</v>
      </c>
      <c r="F169" s="3" t="s">
        <v>51</v>
      </c>
      <c r="G169" s="27"/>
      <c r="H169" s="11" t="s">
        <v>1303</v>
      </c>
      <c r="I169" s="16" t="s">
        <v>1124</v>
      </c>
      <c r="J169" s="3" t="s">
        <v>2137</v>
      </c>
      <c r="K169" s="3" t="s">
        <v>2303</v>
      </c>
      <c r="L169" s="3"/>
      <c r="M169" s="3" t="b">
        <v>0</v>
      </c>
      <c r="N169" s="3" t="s">
        <v>1497</v>
      </c>
      <c r="O169" s="3" t="b">
        <v>0</v>
      </c>
      <c r="P169" s="35"/>
    </row>
    <row r="170" spans="1:16" hidden="1" x14ac:dyDescent="0.3">
      <c r="A170" s="27" t="s">
        <v>2178</v>
      </c>
      <c r="B170" s="3"/>
      <c r="C170" s="3" t="s">
        <v>1585</v>
      </c>
      <c r="D170" s="3"/>
      <c r="E170" s="3" t="s">
        <v>51</v>
      </c>
      <c r="F170" s="3" t="s">
        <v>51</v>
      </c>
      <c r="G170" s="27"/>
      <c r="H170" s="11" t="s">
        <v>1303</v>
      </c>
      <c r="I170" s="16" t="s">
        <v>1124</v>
      </c>
      <c r="J170" s="3" t="s">
        <v>2138</v>
      </c>
      <c r="K170" s="3" t="s">
        <v>2303</v>
      </c>
      <c r="L170" s="3"/>
      <c r="M170" s="3" t="b">
        <v>0</v>
      </c>
      <c r="N170" s="3" t="s">
        <v>1497</v>
      </c>
      <c r="O170" s="3" t="b">
        <v>0</v>
      </c>
      <c r="P170" s="35"/>
    </row>
    <row r="171" spans="1:16" hidden="1" x14ac:dyDescent="0.3">
      <c r="A171" s="27" t="s">
        <v>2178</v>
      </c>
      <c r="B171" s="3"/>
      <c r="C171" s="3" t="s">
        <v>1585</v>
      </c>
      <c r="D171" s="3"/>
      <c r="E171" s="3" t="s">
        <v>51</v>
      </c>
      <c r="F171" s="3" t="s">
        <v>51</v>
      </c>
      <c r="G171" s="27"/>
      <c r="H171" s="11" t="s">
        <v>1303</v>
      </c>
      <c r="I171" s="16" t="s">
        <v>1124</v>
      </c>
      <c r="J171" s="3" t="s">
        <v>2139</v>
      </c>
      <c r="K171" s="3" t="s">
        <v>2303</v>
      </c>
      <c r="L171" s="3"/>
      <c r="M171" s="3" t="b">
        <v>0</v>
      </c>
      <c r="N171" s="3" t="s">
        <v>1497</v>
      </c>
      <c r="O171" s="3" t="b">
        <v>0</v>
      </c>
      <c r="P171" s="35"/>
    </row>
    <row r="172" spans="1:16" hidden="1" x14ac:dyDescent="0.3">
      <c r="A172" s="27" t="s">
        <v>2178</v>
      </c>
      <c r="B172" s="3"/>
      <c r="C172" s="3" t="s">
        <v>1585</v>
      </c>
      <c r="D172" s="3"/>
      <c r="E172" s="3" t="s">
        <v>51</v>
      </c>
      <c r="F172" s="3" t="s">
        <v>51</v>
      </c>
      <c r="G172" s="27"/>
      <c r="H172" s="11" t="s">
        <v>1303</v>
      </c>
      <c r="I172" s="16" t="s">
        <v>1124</v>
      </c>
      <c r="J172" s="3" t="s">
        <v>2140</v>
      </c>
      <c r="K172" s="3" t="s">
        <v>2303</v>
      </c>
      <c r="L172" s="3"/>
      <c r="M172" s="3" t="b">
        <v>0</v>
      </c>
      <c r="N172" s="3" t="s">
        <v>1497</v>
      </c>
      <c r="O172" s="3" t="b">
        <v>0</v>
      </c>
      <c r="P172" s="35"/>
    </row>
    <row r="173" spans="1:16" hidden="1" x14ac:dyDescent="0.3">
      <c r="A173" s="27" t="s">
        <v>2178</v>
      </c>
      <c r="B173" s="3"/>
      <c r="C173" s="3" t="s">
        <v>1585</v>
      </c>
      <c r="D173" s="3"/>
      <c r="E173" s="3" t="s">
        <v>51</v>
      </c>
      <c r="F173" s="3" t="s">
        <v>51</v>
      </c>
      <c r="G173" s="27"/>
      <c r="H173" s="11" t="s">
        <v>1303</v>
      </c>
      <c r="I173" s="16" t="s">
        <v>1124</v>
      </c>
      <c r="J173" s="3" t="s">
        <v>2141</v>
      </c>
      <c r="K173" s="3" t="s">
        <v>2303</v>
      </c>
      <c r="L173" s="3"/>
      <c r="M173" s="3" t="b">
        <v>0</v>
      </c>
      <c r="N173" s="3" t="s">
        <v>1497</v>
      </c>
      <c r="O173" s="3" t="b">
        <v>0</v>
      </c>
      <c r="P173" s="35"/>
    </row>
    <row r="174" spans="1:16" hidden="1" x14ac:dyDescent="0.3">
      <c r="A174" s="27" t="s">
        <v>2178</v>
      </c>
      <c r="B174" s="3"/>
      <c r="C174" s="3" t="s">
        <v>1585</v>
      </c>
      <c r="D174" s="3"/>
      <c r="E174" s="3" t="s">
        <v>51</v>
      </c>
      <c r="F174" s="3" t="s">
        <v>51</v>
      </c>
      <c r="G174" s="27"/>
      <c r="H174" s="11" t="s">
        <v>1303</v>
      </c>
      <c r="I174" s="16" t="s">
        <v>1124</v>
      </c>
      <c r="J174" s="3" t="s">
        <v>2142</v>
      </c>
      <c r="K174" s="3" t="s">
        <v>2303</v>
      </c>
      <c r="L174" s="3"/>
      <c r="M174" s="3" t="b">
        <v>0</v>
      </c>
      <c r="N174" s="3" t="s">
        <v>1497</v>
      </c>
      <c r="O174" s="3" t="b">
        <v>0</v>
      </c>
      <c r="P174" s="35"/>
    </row>
    <row r="175" spans="1:16" hidden="1" x14ac:dyDescent="0.3">
      <c r="A175" s="27" t="s">
        <v>2178</v>
      </c>
      <c r="B175" s="3"/>
      <c r="C175" s="3" t="s">
        <v>1585</v>
      </c>
      <c r="D175" s="3"/>
      <c r="E175" s="3" t="s">
        <v>51</v>
      </c>
      <c r="F175" s="3" t="s">
        <v>51</v>
      </c>
      <c r="G175" s="27"/>
      <c r="H175" s="11" t="s">
        <v>1303</v>
      </c>
      <c r="I175" s="16" t="s">
        <v>1124</v>
      </c>
      <c r="J175" s="3" t="s">
        <v>2143</v>
      </c>
      <c r="K175" s="3" t="s">
        <v>2303</v>
      </c>
      <c r="L175" s="3"/>
      <c r="M175" s="3" t="b">
        <v>0</v>
      </c>
      <c r="N175" s="3" t="s">
        <v>1497</v>
      </c>
      <c r="O175" s="3" t="b">
        <v>0</v>
      </c>
      <c r="P175" s="35"/>
    </row>
    <row r="176" spans="1:16" hidden="1" x14ac:dyDescent="0.3">
      <c r="A176" s="27" t="s">
        <v>2178</v>
      </c>
      <c r="B176" s="3"/>
      <c r="C176" s="3" t="s">
        <v>1585</v>
      </c>
      <c r="D176" s="3"/>
      <c r="E176" s="3" t="s">
        <v>51</v>
      </c>
      <c r="F176" s="3" t="s">
        <v>51</v>
      </c>
      <c r="G176" s="27"/>
      <c r="H176" s="11" t="s">
        <v>1303</v>
      </c>
      <c r="I176" s="16" t="s">
        <v>1124</v>
      </c>
      <c r="J176" s="3" t="s">
        <v>2144</v>
      </c>
      <c r="K176" s="3" t="s">
        <v>2303</v>
      </c>
      <c r="L176" s="3"/>
      <c r="M176" s="3" t="b">
        <v>0</v>
      </c>
      <c r="N176" s="3" t="s">
        <v>1497</v>
      </c>
      <c r="O176" s="3" t="b">
        <v>0</v>
      </c>
      <c r="P176" s="35"/>
    </row>
    <row r="177" spans="1:16" hidden="1" x14ac:dyDescent="0.3">
      <c r="A177" s="27" t="s">
        <v>2178</v>
      </c>
      <c r="B177" s="3"/>
      <c r="C177" s="3" t="s">
        <v>1585</v>
      </c>
      <c r="D177" s="3"/>
      <c r="E177" s="3" t="s">
        <v>51</v>
      </c>
      <c r="F177" s="3" t="s">
        <v>51</v>
      </c>
      <c r="G177" s="27"/>
      <c r="H177" s="11" t="s">
        <v>1303</v>
      </c>
      <c r="I177" s="16" t="s">
        <v>1124</v>
      </c>
      <c r="J177" s="3" t="s">
        <v>2145</v>
      </c>
      <c r="K177" s="3" t="s">
        <v>2303</v>
      </c>
      <c r="L177" s="3"/>
      <c r="M177" s="3" t="b">
        <v>0</v>
      </c>
      <c r="N177" s="3" t="s">
        <v>1497</v>
      </c>
      <c r="O177" s="3" t="b">
        <v>0</v>
      </c>
      <c r="P177" s="35"/>
    </row>
    <row r="178" spans="1:16" hidden="1" x14ac:dyDescent="0.3">
      <c r="A178" s="27" t="s">
        <v>2178</v>
      </c>
      <c r="B178" s="3"/>
      <c r="C178" s="3" t="s">
        <v>1585</v>
      </c>
      <c r="D178" s="3"/>
      <c r="E178" s="3" t="s">
        <v>51</v>
      </c>
      <c r="F178" s="3" t="s">
        <v>51</v>
      </c>
      <c r="G178" s="27"/>
      <c r="H178" s="11" t="s">
        <v>1435</v>
      </c>
      <c r="I178" s="16" t="s">
        <v>1124</v>
      </c>
      <c r="J178" s="3" t="s">
        <v>2174</v>
      </c>
      <c r="K178" s="3" t="s">
        <v>2311</v>
      </c>
      <c r="L178" s="3"/>
      <c r="M178" s="3" t="b">
        <v>1</v>
      </c>
      <c r="N178" s="3" t="s">
        <v>1497</v>
      </c>
      <c r="O178" s="3" t="b">
        <v>1</v>
      </c>
      <c r="P178" s="35"/>
    </row>
    <row r="179" spans="1:16" hidden="1" x14ac:dyDescent="0.3">
      <c r="A179" s="27" t="s">
        <v>2178</v>
      </c>
      <c r="B179" s="3"/>
      <c r="C179" s="3" t="s">
        <v>1585</v>
      </c>
      <c r="D179" s="3"/>
      <c r="E179" s="3" t="s">
        <v>51</v>
      </c>
      <c r="F179" s="3" t="s">
        <v>51</v>
      </c>
      <c r="G179" s="27"/>
      <c r="H179" s="11" t="s">
        <v>1303</v>
      </c>
      <c r="I179" s="16" t="s">
        <v>1124</v>
      </c>
      <c r="J179" s="3" t="s">
        <v>2165</v>
      </c>
      <c r="K179" s="3" t="s">
        <v>2303</v>
      </c>
      <c r="L179" s="3"/>
      <c r="M179" s="3" t="b">
        <v>0</v>
      </c>
      <c r="N179" s="3" t="s">
        <v>1497</v>
      </c>
      <c r="O179" s="3" t="b">
        <v>0</v>
      </c>
      <c r="P179" s="35"/>
    </row>
    <row r="180" spans="1:16" hidden="1" x14ac:dyDescent="0.3">
      <c r="A180" s="27" t="s">
        <v>2178</v>
      </c>
      <c r="B180" s="3"/>
      <c r="C180" s="3" t="s">
        <v>1585</v>
      </c>
      <c r="D180" s="3"/>
      <c r="E180" s="3" t="s">
        <v>51</v>
      </c>
      <c r="F180" s="3" t="s">
        <v>51</v>
      </c>
      <c r="G180" s="27"/>
      <c r="H180" s="11" t="s">
        <v>1303</v>
      </c>
      <c r="I180" s="16" t="s">
        <v>1124</v>
      </c>
      <c r="J180" s="3" t="s">
        <v>2146</v>
      </c>
      <c r="K180" s="3" t="s">
        <v>2303</v>
      </c>
      <c r="L180" s="3"/>
      <c r="M180" s="3" t="b">
        <v>0</v>
      </c>
      <c r="N180" s="3" t="s">
        <v>1497</v>
      </c>
      <c r="O180" s="3" t="b">
        <v>0</v>
      </c>
      <c r="P180" s="35"/>
    </row>
    <row r="181" spans="1:16" hidden="1" x14ac:dyDescent="0.3">
      <c r="A181" s="27" t="s">
        <v>2178</v>
      </c>
      <c r="B181" s="3"/>
      <c r="C181" s="3" t="s">
        <v>1585</v>
      </c>
      <c r="D181" s="3"/>
      <c r="E181" s="3" t="s">
        <v>51</v>
      </c>
      <c r="F181" s="3" t="s">
        <v>51</v>
      </c>
      <c r="G181" s="27"/>
      <c r="H181" s="11" t="s">
        <v>1303</v>
      </c>
      <c r="I181" s="16" t="s">
        <v>1124</v>
      </c>
      <c r="J181" s="3" t="s">
        <v>2147</v>
      </c>
      <c r="K181" s="3" t="s">
        <v>2303</v>
      </c>
      <c r="L181" s="3"/>
      <c r="M181" s="3" t="b">
        <v>0</v>
      </c>
      <c r="N181" s="3" t="s">
        <v>1497</v>
      </c>
      <c r="O181" s="3" t="b">
        <v>0</v>
      </c>
      <c r="P181" s="35"/>
    </row>
    <row r="182" spans="1:16" hidden="1" x14ac:dyDescent="0.3">
      <c r="A182" s="27" t="s">
        <v>2178</v>
      </c>
      <c r="B182" s="3"/>
      <c r="C182" s="3" t="s">
        <v>1585</v>
      </c>
      <c r="D182" s="3"/>
      <c r="E182" s="3" t="s">
        <v>51</v>
      </c>
      <c r="F182" s="3" t="s">
        <v>51</v>
      </c>
      <c r="G182" s="27"/>
      <c r="H182" s="11"/>
      <c r="I182" s="16" t="s">
        <v>1124</v>
      </c>
      <c r="J182" s="3" t="s">
        <v>2148</v>
      </c>
      <c r="K182" s="3" t="s">
        <v>2303</v>
      </c>
      <c r="L182" s="3"/>
      <c r="M182" s="3" t="b">
        <v>0</v>
      </c>
      <c r="N182" s="3" t="s">
        <v>1497</v>
      </c>
      <c r="O182" s="3" t="b">
        <v>0</v>
      </c>
      <c r="P182" s="35"/>
    </row>
    <row r="183" spans="1:16" hidden="1" x14ac:dyDescent="0.3">
      <c r="A183" s="27" t="s">
        <v>2178</v>
      </c>
      <c r="B183" s="3"/>
      <c r="C183" s="3" t="s">
        <v>1585</v>
      </c>
      <c r="D183" s="3"/>
      <c r="E183" s="3" t="s">
        <v>51</v>
      </c>
      <c r="F183" s="3" t="s">
        <v>51</v>
      </c>
      <c r="G183" s="27"/>
      <c r="H183" s="11"/>
      <c r="I183" s="16" t="s">
        <v>1124</v>
      </c>
      <c r="J183" s="3" t="s">
        <v>2149</v>
      </c>
      <c r="K183" s="3" t="s">
        <v>2303</v>
      </c>
      <c r="L183" s="3"/>
      <c r="M183" s="3" t="b">
        <v>0</v>
      </c>
      <c r="N183" s="3" t="s">
        <v>1497</v>
      </c>
      <c r="O183" s="3" t="b">
        <v>0</v>
      </c>
      <c r="P183" s="35"/>
    </row>
    <row r="184" spans="1:16" hidden="1" x14ac:dyDescent="0.3">
      <c r="A184" s="27" t="s">
        <v>2178</v>
      </c>
      <c r="B184" s="3"/>
      <c r="C184" s="3" t="s">
        <v>1585</v>
      </c>
      <c r="D184" s="3"/>
      <c r="E184" s="3" t="s">
        <v>51</v>
      </c>
      <c r="F184" s="3" t="s">
        <v>51</v>
      </c>
      <c r="G184" s="27"/>
      <c r="H184" s="11"/>
      <c r="I184" s="16" t="s">
        <v>1124</v>
      </c>
      <c r="J184" s="3" t="s">
        <v>2150</v>
      </c>
      <c r="K184" s="3" t="s">
        <v>2314</v>
      </c>
      <c r="L184" s="3"/>
      <c r="M184" s="3" t="b">
        <v>0</v>
      </c>
      <c r="N184" s="3" t="s">
        <v>1497</v>
      </c>
      <c r="O184" s="3" t="b">
        <v>0</v>
      </c>
      <c r="P184" s="35"/>
    </row>
    <row r="185" spans="1:16" hidden="1" x14ac:dyDescent="0.3">
      <c r="A185" s="27" t="s">
        <v>2178</v>
      </c>
      <c r="B185" s="3"/>
      <c r="C185" s="3" t="s">
        <v>906</v>
      </c>
      <c r="D185" s="3"/>
      <c r="E185" s="3" t="s">
        <v>51</v>
      </c>
      <c r="F185" s="3" t="s">
        <v>51</v>
      </c>
      <c r="G185" s="27"/>
      <c r="H185" s="11" t="s">
        <v>1205</v>
      </c>
      <c r="I185" s="16" t="s">
        <v>1124</v>
      </c>
      <c r="J185" s="3" t="s">
        <v>1609</v>
      </c>
      <c r="K185" s="3" t="s">
        <v>2305</v>
      </c>
      <c r="L185" s="3"/>
      <c r="M185" s="3" t="b">
        <v>1</v>
      </c>
      <c r="N185" s="3" t="s">
        <v>1497</v>
      </c>
      <c r="O185" s="3" t="b">
        <v>1</v>
      </c>
      <c r="P185" s="35"/>
    </row>
    <row r="186" spans="1:16" hidden="1" x14ac:dyDescent="0.3">
      <c r="A186" s="27" t="s">
        <v>2178</v>
      </c>
      <c r="B186" s="3"/>
      <c r="C186" s="3" t="s">
        <v>906</v>
      </c>
      <c r="D186" s="3"/>
      <c r="E186" s="3" t="s">
        <v>51</v>
      </c>
      <c r="F186" s="3" t="s">
        <v>51</v>
      </c>
      <c r="G186" s="27"/>
      <c r="H186" s="11" t="s">
        <v>1209</v>
      </c>
      <c r="I186" s="16" t="s">
        <v>1124</v>
      </c>
      <c r="J186" s="3" t="s">
        <v>1437</v>
      </c>
      <c r="K186" s="3" t="s">
        <v>2310</v>
      </c>
      <c r="L186" s="3"/>
      <c r="M186" s="3" t="b">
        <v>1</v>
      </c>
      <c r="N186" s="3" t="s">
        <v>1497</v>
      </c>
      <c r="O186" s="3" t="b">
        <v>1</v>
      </c>
      <c r="P186" s="35"/>
    </row>
    <row r="187" spans="1:16" hidden="1" x14ac:dyDescent="0.3">
      <c r="A187" s="27" t="s">
        <v>2178</v>
      </c>
      <c r="B187" s="3"/>
      <c r="C187" s="3" t="s">
        <v>1940</v>
      </c>
      <c r="D187" s="3"/>
      <c r="E187" s="3" t="s">
        <v>51</v>
      </c>
      <c r="F187" s="3" t="s">
        <v>51</v>
      </c>
      <c r="G187" s="27"/>
      <c r="H187" s="11" t="s">
        <v>1949</v>
      </c>
      <c r="I187" s="16" t="s">
        <v>1124</v>
      </c>
      <c r="J187" s="3" t="s">
        <v>1942</v>
      </c>
      <c r="K187" s="3" t="s">
        <v>1955</v>
      </c>
      <c r="L187" s="3"/>
      <c r="M187" s="3" t="b">
        <v>0</v>
      </c>
      <c r="N187" s="3" t="s">
        <v>1497</v>
      </c>
      <c r="O187" s="3" t="b">
        <v>1</v>
      </c>
      <c r="P187" s="35"/>
    </row>
    <row r="188" spans="1:16" hidden="1" x14ac:dyDescent="0.3">
      <c r="A188" s="27" t="s">
        <v>2178</v>
      </c>
      <c r="B188" s="3"/>
      <c r="C188" s="3" t="s">
        <v>914</v>
      </c>
      <c r="D188" s="3"/>
      <c r="E188" s="3" t="s">
        <v>51</v>
      </c>
      <c r="F188" s="3" t="s">
        <v>51</v>
      </c>
      <c r="G188" s="27"/>
      <c r="H188" s="11" t="s">
        <v>1284</v>
      </c>
      <c r="I188" s="16" t="s">
        <v>1124</v>
      </c>
      <c r="J188" s="3" t="s">
        <v>915</v>
      </c>
      <c r="K188" s="3" t="s">
        <v>1694</v>
      </c>
      <c r="L188" s="3"/>
      <c r="M188" s="3" t="b">
        <v>0</v>
      </c>
      <c r="N188" s="3" t="s">
        <v>1497</v>
      </c>
      <c r="O188" s="3" t="b">
        <v>1</v>
      </c>
      <c r="P188" s="35"/>
    </row>
    <row r="189" spans="1:16" hidden="1" x14ac:dyDescent="0.3">
      <c r="A189" s="27" t="s">
        <v>2178</v>
      </c>
      <c r="B189" s="3"/>
      <c r="C189" s="3" t="s">
        <v>918</v>
      </c>
      <c r="D189" s="3"/>
      <c r="E189" s="3" t="s">
        <v>51</v>
      </c>
      <c r="F189" s="3" t="s">
        <v>51</v>
      </c>
      <c r="G189" s="27"/>
      <c r="H189" s="11" t="s">
        <v>1288</v>
      </c>
      <c r="I189" s="16" t="s">
        <v>1124</v>
      </c>
      <c r="J189" s="3" t="s">
        <v>919</v>
      </c>
      <c r="K189" s="3" t="s">
        <v>1696</v>
      </c>
      <c r="L189" s="3"/>
      <c r="M189" s="3" t="b">
        <v>0</v>
      </c>
      <c r="N189" s="3" t="s">
        <v>1497</v>
      </c>
      <c r="O189" s="3" t="b">
        <v>1</v>
      </c>
      <c r="P189" s="35"/>
    </row>
    <row r="190" spans="1:16" hidden="1" x14ac:dyDescent="0.3">
      <c r="A190" s="27" t="s">
        <v>2178</v>
      </c>
      <c r="B190" s="3"/>
      <c r="C190" s="3" t="s">
        <v>912</v>
      </c>
      <c r="D190" s="3"/>
      <c r="E190" s="3" t="s">
        <v>51</v>
      </c>
      <c r="F190" s="3" t="s">
        <v>51</v>
      </c>
      <c r="G190" s="27"/>
      <c r="H190" s="11" t="s">
        <v>1017</v>
      </c>
      <c r="I190" s="16" t="s">
        <v>1124</v>
      </c>
      <c r="J190" s="3" t="s">
        <v>1233</v>
      </c>
      <c r="K190" s="3" t="s">
        <v>1686</v>
      </c>
      <c r="L190" s="3"/>
      <c r="M190" s="3" t="b">
        <v>1</v>
      </c>
      <c r="N190" s="3" t="s">
        <v>1497</v>
      </c>
      <c r="O190" s="3" t="b">
        <v>1</v>
      </c>
      <c r="P190" s="35"/>
    </row>
    <row r="191" spans="1:16" hidden="1" x14ac:dyDescent="0.3">
      <c r="A191" s="27" t="s">
        <v>2178</v>
      </c>
      <c r="B191" s="3"/>
      <c r="C191" s="3" t="s">
        <v>912</v>
      </c>
      <c r="D191" s="3"/>
      <c r="E191" s="3" t="s">
        <v>51</v>
      </c>
      <c r="F191" s="3" t="s">
        <v>51</v>
      </c>
      <c r="G191" s="27"/>
      <c r="H191" s="11" t="s">
        <v>1019</v>
      </c>
      <c r="I191" s="16" t="s">
        <v>1124</v>
      </c>
      <c r="J191" s="3" t="s">
        <v>1436</v>
      </c>
      <c r="K191" s="3" t="s">
        <v>1693</v>
      </c>
      <c r="L191" s="3"/>
      <c r="M191" s="3" t="b">
        <v>1</v>
      </c>
      <c r="N191" s="3" t="s">
        <v>1497</v>
      </c>
      <c r="O191" s="3" t="b">
        <v>1</v>
      </c>
      <c r="P191" s="35"/>
    </row>
    <row r="192" spans="1:16" hidden="1" x14ac:dyDescent="0.3">
      <c r="A192" s="27" t="s">
        <v>2178</v>
      </c>
      <c r="B192" s="3"/>
      <c r="C192" s="3" t="s">
        <v>1623</v>
      </c>
      <c r="D192" s="3"/>
      <c r="E192" s="3" t="s">
        <v>51</v>
      </c>
      <c r="F192" s="3" t="s">
        <v>51</v>
      </c>
      <c r="G192" s="27"/>
      <c r="H192" s="11" t="s">
        <v>1296</v>
      </c>
      <c r="I192" s="16" t="s">
        <v>1124</v>
      </c>
      <c r="J192" s="3" t="s">
        <v>1625</v>
      </c>
      <c r="K192" s="3" t="s">
        <v>1697</v>
      </c>
      <c r="L192" s="3"/>
      <c r="M192" s="3" t="b">
        <v>1</v>
      </c>
      <c r="N192" s="3" t="s">
        <v>1497</v>
      </c>
      <c r="O192" s="3" t="b">
        <v>1</v>
      </c>
      <c r="P192" s="35"/>
    </row>
    <row r="193" spans="1:16" hidden="1" x14ac:dyDescent="0.3">
      <c r="A193" s="27" t="s">
        <v>2178</v>
      </c>
      <c r="B193" s="3"/>
      <c r="C193" s="3" t="s">
        <v>1558</v>
      </c>
      <c r="D193" s="3"/>
      <c r="E193" s="3" t="s">
        <v>51</v>
      </c>
      <c r="F193" s="3" t="s">
        <v>51</v>
      </c>
      <c r="G193" s="27"/>
      <c r="H193" s="11" t="s">
        <v>1558</v>
      </c>
      <c r="I193" s="16" t="s">
        <v>1124</v>
      </c>
      <c r="J193" s="3" t="s">
        <v>1562</v>
      </c>
      <c r="K193" s="3" t="s">
        <v>2054</v>
      </c>
      <c r="L193" s="3"/>
      <c r="M193" s="3" t="b">
        <v>1</v>
      </c>
      <c r="N193" s="3" t="s">
        <v>1497</v>
      </c>
      <c r="O193" s="3" t="b">
        <v>1</v>
      </c>
      <c r="P193" s="35"/>
    </row>
    <row r="194" spans="1:16" hidden="1" x14ac:dyDescent="0.3">
      <c r="A194" s="27" t="s">
        <v>2178</v>
      </c>
      <c r="B194" s="3"/>
      <c r="C194" s="3" t="s">
        <v>1560</v>
      </c>
      <c r="D194" s="3"/>
      <c r="E194" s="3" t="s">
        <v>51</v>
      </c>
      <c r="F194" s="3" t="s">
        <v>51</v>
      </c>
      <c r="G194" s="27"/>
      <c r="H194" s="11" t="s">
        <v>1560</v>
      </c>
      <c r="I194" s="16" t="s">
        <v>1124</v>
      </c>
      <c r="J194" s="3" t="s">
        <v>1561</v>
      </c>
      <c r="K194" s="3" t="s">
        <v>1698</v>
      </c>
      <c r="L194" s="3"/>
      <c r="M194" s="3" t="b">
        <v>1</v>
      </c>
      <c r="N194" s="3" t="s">
        <v>1497</v>
      </c>
      <c r="O194" s="3" t="b">
        <v>1</v>
      </c>
      <c r="P194" s="35"/>
    </row>
    <row r="195" spans="1:16" hidden="1" x14ac:dyDescent="0.3">
      <c r="A195" s="27" t="s">
        <v>2177</v>
      </c>
      <c r="B195" s="3"/>
      <c r="C195" s="3" t="s">
        <v>898</v>
      </c>
      <c r="D195" s="3"/>
      <c r="E195" s="3" t="s">
        <v>51</v>
      </c>
      <c r="F195" s="3" t="s">
        <v>51</v>
      </c>
      <c r="G195" s="27"/>
      <c r="H195" s="11" t="s">
        <v>999</v>
      </c>
      <c r="I195" s="16" t="s">
        <v>1124</v>
      </c>
      <c r="J195" s="3" t="s">
        <v>1000</v>
      </c>
      <c r="K195" s="3" t="s">
        <v>1686</v>
      </c>
      <c r="L195" s="3"/>
      <c r="M195" s="3" t="b">
        <v>1</v>
      </c>
      <c r="N195" s="3" t="s">
        <v>1497</v>
      </c>
      <c r="O195" s="3" t="b">
        <v>1</v>
      </c>
      <c r="P195" s="35"/>
    </row>
    <row r="196" spans="1:16" hidden="1" x14ac:dyDescent="0.3">
      <c r="A196" s="27" t="s">
        <v>2177</v>
      </c>
      <c r="B196" s="3"/>
      <c r="C196" s="3" t="s">
        <v>898</v>
      </c>
      <c r="D196" s="3"/>
      <c r="E196" s="3" t="s">
        <v>51</v>
      </c>
      <c r="F196" s="3" t="s">
        <v>51</v>
      </c>
      <c r="G196" s="27"/>
      <c r="H196" s="11" t="s">
        <v>1517</v>
      </c>
      <c r="I196" s="16" t="s">
        <v>1124</v>
      </c>
      <c r="J196" s="3" t="s">
        <v>1521</v>
      </c>
      <c r="K196" s="3" t="s">
        <v>1687</v>
      </c>
      <c r="L196" s="3"/>
      <c r="M196" s="3" t="b">
        <v>0</v>
      </c>
      <c r="N196" s="3" t="s">
        <v>1497</v>
      </c>
      <c r="O196" s="3" t="b">
        <v>1</v>
      </c>
      <c r="P196" s="35"/>
    </row>
    <row r="197" spans="1:16" hidden="1" x14ac:dyDescent="0.3">
      <c r="A197" s="27" t="s">
        <v>2177</v>
      </c>
      <c r="B197" s="3"/>
      <c r="C197" s="3" t="s">
        <v>898</v>
      </c>
      <c r="D197" s="3"/>
      <c r="E197" s="3" t="s">
        <v>51</v>
      </c>
      <c r="F197" s="3" t="s">
        <v>51</v>
      </c>
      <c r="G197" s="27"/>
      <c r="H197" s="11" t="s">
        <v>1003</v>
      </c>
      <c r="I197" s="16" t="s">
        <v>1124</v>
      </c>
      <c r="J197" s="3" t="s">
        <v>1438</v>
      </c>
      <c r="K197" s="3" t="s">
        <v>1689</v>
      </c>
      <c r="L197" s="3"/>
      <c r="M197" s="3" t="b">
        <v>0</v>
      </c>
      <c r="N197" s="3" t="s">
        <v>1497</v>
      </c>
      <c r="O197" s="3" t="b">
        <v>1</v>
      </c>
      <c r="P197" s="35"/>
    </row>
    <row r="198" spans="1:16" hidden="1" x14ac:dyDescent="0.3">
      <c r="A198" s="27" t="s">
        <v>2177</v>
      </c>
      <c r="B198" s="3"/>
      <c r="C198" s="3" t="s">
        <v>2094</v>
      </c>
      <c r="D198" s="3"/>
      <c r="E198" s="3" t="s">
        <v>51</v>
      </c>
      <c r="F198" s="3" t="s">
        <v>51</v>
      </c>
      <c r="G198" s="27"/>
      <c r="H198" s="11" t="s">
        <v>2094</v>
      </c>
      <c r="I198" s="16" t="s">
        <v>1124</v>
      </c>
      <c r="J198" s="3" t="s">
        <v>2102</v>
      </c>
      <c r="K198" s="3" t="s">
        <v>1692</v>
      </c>
      <c r="L198" s="3"/>
      <c r="M198" s="3" t="b">
        <v>1</v>
      </c>
      <c r="N198" s="3" t="s">
        <v>1497</v>
      </c>
      <c r="O198" s="3" t="b">
        <v>1</v>
      </c>
      <c r="P198" s="35"/>
    </row>
    <row r="199" spans="1:16" hidden="1" x14ac:dyDescent="0.3">
      <c r="A199" s="27" t="s">
        <v>2177</v>
      </c>
      <c r="B199" s="3"/>
      <c r="C199" s="3" t="s">
        <v>1585</v>
      </c>
      <c r="D199" s="3"/>
      <c r="E199" s="3" t="s">
        <v>51</v>
      </c>
      <c r="F199" s="3" t="s">
        <v>51</v>
      </c>
      <c r="G199" s="27"/>
      <c r="H199" s="11" t="s">
        <v>2332</v>
      </c>
      <c r="I199" s="16" t="s">
        <v>1124</v>
      </c>
      <c r="J199" s="3" t="s">
        <v>2105</v>
      </c>
      <c r="K199" s="3" t="s">
        <v>2301</v>
      </c>
      <c r="L199" s="3"/>
      <c r="M199" s="3" t="b">
        <v>1</v>
      </c>
      <c r="N199" s="3" t="s">
        <v>1497</v>
      </c>
      <c r="O199" s="3" t="b">
        <v>1</v>
      </c>
      <c r="P199" s="35"/>
    </row>
    <row r="200" spans="1:16" hidden="1" x14ac:dyDescent="0.3">
      <c r="A200" s="27" t="s">
        <v>2177</v>
      </c>
      <c r="B200" s="3"/>
      <c r="C200" s="3" t="s">
        <v>1585</v>
      </c>
      <c r="D200" s="3"/>
      <c r="E200" s="3" t="s">
        <v>51</v>
      </c>
      <c r="F200" s="3" t="s">
        <v>51</v>
      </c>
      <c r="G200" s="27"/>
      <c r="H200" s="11" t="s">
        <v>1303</v>
      </c>
      <c r="I200" s="16" t="s">
        <v>1124</v>
      </c>
      <c r="J200" s="3" t="s">
        <v>2134</v>
      </c>
      <c r="K200" s="3" t="s">
        <v>2303</v>
      </c>
      <c r="L200" s="3"/>
      <c r="M200" s="3" t="b">
        <v>0</v>
      </c>
      <c r="N200" s="3" t="s">
        <v>1497</v>
      </c>
      <c r="O200" s="3" t="b">
        <v>0</v>
      </c>
      <c r="P200" s="35"/>
    </row>
    <row r="201" spans="1:16" hidden="1" x14ac:dyDescent="0.3">
      <c r="A201" s="27" t="s">
        <v>2177</v>
      </c>
      <c r="B201" s="3"/>
      <c r="C201" s="3" t="s">
        <v>1585</v>
      </c>
      <c r="D201" s="3"/>
      <c r="E201" s="3" t="s">
        <v>51</v>
      </c>
      <c r="F201" s="3" t="s">
        <v>51</v>
      </c>
      <c r="G201" s="27"/>
      <c r="H201" s="11" t="s">
        <v>1303</v>
      </c>
      <c r="I201" s="16" t="s">
        <v>1124</v>
      </c>
      <c r="J201" s="3" t="s">
        <v>2135</v>
      </c>
      <c r="K201" s="3" t="s">
        <v>2303</v>
      </c>
      <c r="L201" s="3"/>
      <c r="M201" s="3" t="b">
        <v>0</v>
      </c>
      <c r="N201" s="3" t="s">
        <v>1497</v>
      </c>
      <c r="O201" s="3" t="b">
        <v>0</v>
      </c>
      <c r="P201" s="35"/>
    </row>
    <row r="202" spans="1:16" hidden="1" x14ac:dyDescent="0.3">
      <c r="A202" s="27" t="s">
        <v>2177</v>
      </c>
      <c r="B202" s="3"/>
      <c r="C202" s="3" t="s">
        <v>1585</v>
      </c>
      <c r="D202" s="3"/>
      <c r="E202" s="3" t="s">
        <v>51</v>
      </c>
      <c r="F202" s="3" t="s">
        <v>51</v>
      </c>
      <c r="G202" s="27"/>
      <c r="H202" s="11" t="s">
        <v>1303</v>
      </c>
      <c r="I202" s="16" t="s">
        <v>1124</v>
      </c>
      <c r="J202" s="3" t="s">
        <v>2136</v>
      </c>
      <c r="K202" s="3" t="s">
        <v>2303</v>
      </c>
      <c r="L202" s="3"/>
      <c r="M202" s="3" t="b">
        <v>0</v>
      </c>
      <c r="N202" s="3" t="s">
        <v>1497</v>
      </c>
      <c r="O202" s="3" t="b">
        <v>0</v>
      </c>
      <c r="P202" s="35"/>
    </row>
    <row r="203" spans="1:16" hidden="1" x14ac:dyDescent="0.3">
      <c r="A203" s="27" t="s">
        <v>2177</v>
      </c>
      <c r="B203" s="3"/>
      <c r="C203" s="3" t="s">
        <v>1585</v>
      </c>
      <c r="D203" s="3"/>
      <c r="E203" s="3" t="s">
        <v>51</v>
      </c>
      <c r="F203" s="3" t="s">
        <v>51</v>
      </c>
      <c r="G203" s="27"/>
      <c r="H203" s="11" t="s">
        <v>1303</v>
      </c>
      <c r="I203" s="16" t="s">
        <v>1124</v>
      </c>
      <c r="J203" s="3" t="s">
        <v>2137</v>
      </c>
      <c r="K203" s="3" t="s">
        <v>2303</v>
      </c>
      <c r="L203" s="3"/>
      <c r="M203" s="3" t="b">
        <v>0</v>
      </c>
      <c r="N203" s="3" t="s">
        <v>1497</v>
      </c>
      <c r="O203" s="3" t="b">
        <v>0</v>
      </c>
      <c r="P203" s="35"/>
    </row>
    <row r="204" spans="1:16" hidden="1" x14ac:dyDescent="0.3">
      <c r="A204" s="27" t="s">
        <v>2177</v>
      </c>
      <c r="B204" s="3"/>
      <c r="C204" s="3" t="s">
        <v>1585</v>
      </c>
      <c r="D204" s="3"/>
      <c r="E204" s="3" t="s">
        <v>51</v>
      </c>
      <c r="F204" s="3" t="s">
        <v>51</v>
      </c>
      <c r="G204" s="27"/>
      <c r="H204" s="11" t="s">
        <v>1303</v>
      </c>
      <c r="I204" s="16" t="s">
        <v>1124</v>
      </c>
      <c r="J204" s="3" t="s">
        <v>2138</v>
      </c>
      <c r="K204" s="3" t="s">
        <v>2303</v>
      </c>
      <c r="L204" s="3"/>
      <c r="M204" s="3" t="b">
        <v>0</v>
      </c>
      <c r="N204" s="3" t="s">
        <v>1497</v>
      </c>
      <c r="O204" s="3" t="b">
        <v>0</v>
      </c>
      <c r="P204" s="35"/>
    </row>
    <row r="205" spans="1:16" hidden="1" x14ac:dyDescent="0.3">
      <c r="A205" s="27" t="s">
        <v>2177</v>
      </c>
      <c r="B205" s="3"/>
      <c r="C205" s="3" t="s">
        <v>1585</v>
      </c>
      <c r="D205" s="3"/>
      <c r="E205" s="3" t="s">
        <v>51</v>
      </c>
      <c r="F205" s="3" t="s">
        <v>51</v>
      </c>
      <c r="G205" s="27"/>
      <c r="H205" s="11" t="s">
        <v>1303</v>
      </c>
      <c r="I205" s="16" t="s">
        <v>1124</v>
      </c>
      <c r="J205" s="3" t="s">
        <v>2139</v>
      </c>
      <c r="K205" s="3" t="s">
        <v>2303</v>
      </c>
      <c r="L205" s="3"/>
      <c r="M205" s="3" t="b">
        <v>0</v>
      </c>
      <c r="N205" s="3" t="s">
        <v>1497</v>
      </c>
      <c r="O205" s="3" t="b">
        <v>0</v>
      </c>
      <c r="P205" s="35"/>
    </row>
    <row r="206" spans="1:16" hidden="1" x14ac:dyDescent="0.3">
      <c r="A206" s="27" t="s">
        <v>2177</v>
      </c>
      <c r="B206" s="3"/>
      <c r="C206" s="3" t="s">
        <v>1585</v>
      </c>
      <c r="D206" s="3"/>
      <c r="E206" s="3" t="s">
        <v>51</v>
      </c>
      <c r="F206" s="3" t="s">
        <v>51</v>
      </c>
      <c r="G206" s="27"/>
      <c r="H206" s="11" t="s">
        <v>1303</v>
      </c>
      <c r="I206" s="16" t="s">
        <v>1124</v>
      </c>
      <c r="J206" s="3" t="s">
        <v>2140</v>
      </c>
      <c r="K206" s="3" t="s">
        <v>2303</v>
      </c>
      <c r="L206" s="3"/>
      <c r="M206" s="3" t="b">
        <v>0</v>
      </c>
      <c r="N206" s="3" t="s">
        <v>1497</v>
      </c>
      <c r="O206" s="3" t="b">
        <v>0</v>
      </c>
      <c r="P206" s="35"/>
    </row>
    <row r="207" spans="1:16" hidden="1" x14ac:dyDescent="0.3">
      <c r="A207" s="27" t="s">
        <v>2177</v>
      </c>
      <c r="B207" s="3"/>
      <c r="C207" s="3" t="s">
        <v>1585</v>
      </c>
      <c r="D207" s="3"/>
      <c r="E207" s="3" t="s">
        <v>51</v>
      </c>
      <c r="F207" s="3" t="s">
        <v>51</v>
      </c>
      <c r="G207" s="27"/>
      <c r="H207" s="11" t="s">
        <v>1303</v>
      </c>
      <c r="I207" s="16" t="s">
        <v>1124</v>
      </c>
      <c r="J207" s="3" t="s">
        <v>2141</v>
      </c>
      <c r="K207" s="3" t="s">
        <v>2303</v>
      </c>
      <c r="L207" s="3"/>
      <c r="M207" s="3" t="b">
        <v>0</v>
      </c>
      <c r="N207" s="3" t="s">
        <v>1497</v>
      </c>
      <c r="O207" s="3" t="b">
        <v>0</v>
      </c>
      <c r="P207" s="35"/>
    </row>
    <row r="208" spans="1:16" hidden="1" x14ac:dyDescent="0.3">
      <c r="A208" s="27" t="s">
        <v>2177</v>
      </c>
      <c r="B208" s="3"/>
      <c r="C208" s="3" t="s">
        <v>1585</v>
      </c>
      <c r="D208" s="3"/>
      <c r="E208" s="3" t="s">
        <v>51</v>
      </c>
      <c r="F208" s="3" t="s">
        <v>51</v>
      </c>
      <c r="G208" s="27"/>
      <c r="H208" s="11" t="s">
        <v>1303</v>
      </c>
      <c r="I208" s="16" t="s">
        <v>1124</v>
      </c>
      <c r="J208" s="3" t="s">
        <v>2142</v>
      </c>
      <c r="K208" s="3" t="s">
        <v>2303</v>
      </c>
      <c r="L208" s="3"/>
      <c r="M208" s="3" t="b">
        <v>0</v>
      </c>
      <c r="N208" s="3" t="s">
        <v>1497</v>
      </c>
      <c r="O208" s="3" t="b">
        <v>0</v>
      </c>
      <c r="P208" s="35"/>
    </row>
    <row r="209" spans="1:16" hidden="1" x14ac:dyDescent="0.3">
      <c r="A209" s="27" t="s">
        <v>2177</v>
      </c>
      <c r="B209" s="3"/>
      <c r="C209" s="3" t="s">
        <v>1585</v>
      </c>
      <c r="D209" s="3"/>
      <c r="E209" s="3" t="s">
        <v>51</v>
      </c>
      <c r="F209" s="3" t="s">
        <v>51</v>
      </c>
      <c r="G209" s="27"/>
      <c r="H209" s="11" t="s">
        <v>1303</v>
      </c>
      <c r="I209" s="16" t="s">
        <v>1124</v>
      </c>
      <c r="J209" s="3" t="s">
        <v>2143</v>
      </c>
      <c r="K209" s="3" t="s">
        <v>2303</v>
      </c>
      <c r="L209" s="3"/>
      <c r="M209" s="3" t="b">
        <v>0</v>
      </c>
      <c r="N209" s="3" t="s">
        <v>1497</v>
      </c>
      <c r="O209" s="3" t="b">
        <v>0</v>
      </c>
      <c r="P209" s="35"/>
    </row>
    <row r="210" spans="1:16" hidden="1" x14ac:dyDescent="0.3">
      <c r="A210" s="27" t="s">
        <v>2177</v>
      </c>
      <c r="B210" s="3"/>
      <c r="C210" s="3" t="s">
        <v>1585</v>
      </c>
      <c r="D210" s="3"/>
      <c r="E210" s="3" t="s">
        <v>51</v>
      </c>
      <c r="F210" s="3" t="s">
        <v>51</v>
      </c>
      <c r="G210" s="27"/>
      <c r="H210" s="11" t="s">
        <v>1303</v>
      </c>
      <c r="I210" s="16" t="s">
        <v>1124</v>
      </c>
      <c r="J210" s="3" t="s">
        <v>2144</v>
      </c>
      <c r="K210" s="3" t="s">
        <v>2303</v>
      </c>
      <c r="L210" s="3"/>
      <c r="M210" s="3" t="b">
        <v>0</v>
      </c>
      <c r="N210" s="3" t="s">
        <v>1497</v>
      </c>
      <c r="O210" s="3" t="b">
        <v>0</v>
      </c>
      <c r="P210" s="35"/>
    </row>
    <row r="211" spans="1:16" hidden="1" x14ac:dyDescent="0.3">
      <c r="A211" s="27" t="s">
        <v>2177</v>
      </c>
      <c r="B211" s="3"/>
      <c r="C211" s="3" t="s">
        <v>1585</v>
      </c>
      <c r="D211" s="3"/>
      <c r="E211" s="3" t="s">
        <v>51</v>
      </c>
      <c r="F211" s="3" t="s">
        <v>51</v>
      </c>
      <c r="G211" s="27"/>
      <c r="H211" s="11" t="s">
        <v>1303</v>
      </c>
      <c r="I211" s="16" t="s">
        <v>1124</v>
      </c>
      <c r="J211" s="3" t="s">
        <v>2145</v>
      </c>
      <c r="K211" s="3" t="s">
        <v>2303</v>
      </c>
      <c r="L211" s="3"/>
      <c r="M211" s="3" t="b">
        <v>0</v>
      </c>
      <c r="N211" s="3" t="s">
        <v>1497</v>
      </c>
      <c r="O211" s="3" t="b">
        <v>0</v>
      </c>
      <c r="P211" s="35"/>
    </row>
    <row r="212" spans="1:16" hidden="1" x14ac:dyDescent="0.3">
      <c r="A212" s="27" t="s">
        <v>2177</v>
      </c>
      <c r="B212" s="3"/>
      <c r="C212" s="3" t="s">
        <v>1585</v>
      </c>
      <c r="D212" s="3"/>
      <c r="E212" s="3" t="s">
        <v>51</v>
      </c>
      <c r="F212" s="3" t="s">
        <v>51</v>
      </c>
      <c r="G212" s="27"/>
      <c r="H212" s="11" t="s">
        <v>1435</v>
      </c>
      <c r="I212" s="16" t="s">
        <v>1124</v>
      </c>
      <c r="J212" s="3" t="s">
        <v>2174</v>
      </c>
      <c r="K212" s="3" t="s">
        <v>2311</v>
      </c>
      <c r="L212" s="3"/>
      <c r="M212" s="3" t="b">
        <v>1</v>
      </c>
      <c r="N212" s="3" t="s">
        <v>1497</v>
      </c>
      <c r="O212" s="3" t="b">
        <v>1</v>
      </c>
      <c r="P212" s="35"/>
    </row>
    <row r="213" spans="1:16" hidden="1" x14ac:dyDescent="0.3">
      <c r="A213" s="27" t="s">
        <v>2177</v>
      </c>
      <c r="B213" s="3"/>
      <c r="C213" s="3" t="s">
        <v>1585</v>
      </c>
      <c r="D213" s="3"/>
      <c r="E213" s="3" t="s">
        <v>51</v>
      </c>
      <c r="F213" s="3" t="s">
        <v>51</v>
      </c>
      <c r="G213" s="27"/>
      <c r="H213" s="11" t="s">
        <v>1303</v>
      </c>
      <c r="I213" s="16" t="s">
        <v>1124</v>
      </c>
      <c r="J213" s="3" t="s">
        <v>2165</v>
      </c>
      <c r="K213" s="3" t="s">
        <v>2303</v>
      </c>
      <c r="L213" s="3"/>
      <c r="M213" s="3" t="b">
        <v>0</v>
      </c>
      <c r="N213" s="3" t="s">
        <v>1497</v>
      </c>
      <c r="O213" s="3" t="b">
        <v>0</v>
      </c>
      <c r="P213" s="35"/>
    </row>
    <row r="214" spans="1:16" hidden="1" x14ac:dyDescent="0.3">
      <c r="A214" s="27" t="s">
        <v>2177</v>
      </c>
      <c r="B214" s="3"/>
      <c r="C214" s="3" t="s">
        <v>1585</v>
      </c>
      <c r="D214" s="3"/>
      <c r="E214" s="3" t="s">
        <v>51</v>
      </c>
      <c r="F214" s="3" t="s">
        <v>51</v>
      </c>
      <c r="G214" s="27"/>
      <c r="H214" s="11" t="s">
        <v>1303</v>
      </c>
      <c r="I214" s="16" t="s">
        <v>1124</v>
      </c>
      <c r="J214" s="3" t="s">
        <v>2146</v>
      </c>
      <c r="K214" s="3" t="s">
        <v>2303</v>
      </c>
      <c r="L214" s="3"/>
      <c r="M214" s="3" t="b">
        <v>0</v>
      </c>
      <c r="N214" s="3" t="s">
        <v>1497</v>
      </c>
      <c r="O214" s="3" t="b">
        <v>0</v>
      </c>
      <c r="P214" s="35"/>
    </row>
    <row r="215" spans="1:16" hidden="1" x14ac:dyDescent="0.3">
      <c r="A215" s="27" t="s">
        <v>2177</v>
      </c>
      <c r="B215" s="3"/>
      <c r="C215" s="3" t="s">
        <v>1585</v>
      </c>
      <c r="D215" s="3"/>
      <c r="E215" s="3" t="s">
        <v>51</v>
      </c>
      <c r="F215" s="3" t="s">
        <v>51</v>
      </c>
      <c r="G215" s="27"/>
      <c r="H215" s="11" t="s">
        <v>1303</v>
      </c>
      <c r="I215" s="16" t="s">
        <v>1124</v>
      </c>
      <c r="J215" s="3" t="s">
        <v>2147</v>
      </c>
      <c r="K215" s="3" t="s">
        <v>2303</v>
      </c>
      <c r="L215" s="3"/>
      <c r="M215" s="3" t="b">
        <v>0</v>
      </c>
      <c r="N215" s="3" t="s">
        <v>1497</v>
      </c>
      <c r="O215" s="3" t="b">
        <v>0</v>
      </c>
      <c r="P215" s="35"/>
    </row>
    <row r="216" spans="1:16" hidden="1" x14ac:dyDescent="0.3">
      <c r="A216" s="27" t="s">
        <v>2177</v>
      </c>
      <c r="B216" s="3"/>
      <c r="C216" s="3" t="s">
        <v>1585</v>
      </c>
      <c r="D216" s="3"/>
      <c r="E216" s="3" t="s">
        <v>51</v>
      </c>
      <c r="F216" s="3" t="s">
        <v>51</v>
      </c>
      <c r="G216" s="27"/>
      <c r="H216" s="11"/>
      <c r="I216" s="16" t="s">
        <v>1124</v>
      </c>
      <c r="J216" s="3" t="s">
        <v>2148</v>
      </c>
      <c r="K216" s="3" t="s">
        <v>2303</v>
      </c>
      <c r="L216" s="3"/>
      <c r="M216" s="3" t="b">
        <v>0</v>
      </c>
      <c r="N216" s="3" t="s">
        <v>1497</v>
      </c>
      <c r="O216" s="3" t="b">
        <v>0</v>
      </c>
      <c r="P216" s="35"/>
    </row>
    <row r="217" spans="1:16" hidden="1" x14ac:dyDescent="0.3">
      <c r="A217" s="27" t="s">
        <v>2177</v>
      </c>
      <c r="B217" s="3"/>
      <c r="C217" s="3" t="s">
        <v>1585</v>
      </c>
      <c r="D217" s="3"/>
      <c r="E217" s="3" t="s">
        <v>51</v>
      </c>
      <c r="F217" s="3" t="s">
        <v>51</v>
      </c>
      <c r="G217" s="27"/>
      <c r="H217" s="11"/>
      <c r="I217" s="16" t="s">
        <v>1124</v>
      </c>
      <c r="J217" s="3" t="s">
        <v>2149</v>
      </c>
      <c r="K217" s="3" t="s">
        <v>2303</v>
      </c>
      <c r="L217" s="3"/>
      <c r="M217" s="3" t="b">
        <v>0</v>
      </c>
      <c r="N217" s="3" t="s">
        <v>1497</v>
      </c>
      <c r="O217" s="3" t="b">
        <v>0</v>
      </c>
      <c r="P217" s="35"/>
    </row>
    <row r="218" spans="1:16" hidden="1" x14ac:dyDescent="0.3">
      <c r="A218" s="27" t="s">
        <v>2177</v>
      </c>
      <c r="B218" s="3"/>
      <c r="C218" s="3" t="s">
        <v>1585</v>
      </c>
      <c r="D218" s="3"/>
      <c r="E218" s="3" t="s">
        <v>51</v>
      </c>
      <c r="F218" s="3" t="s">
        <v>51</v>
      </c>
      <c r="G218" s="27"/>
      <c r="H218" s="11"/>
      <c r="I218" s="16" t="s">
        <v>1124</v>
      </c>
      <c r="J218" s="3" t="s">
        <v>2150</v>
      </c>
      <c r="K218" s="3" t="s">
        <v>2314</v>
      </c>
      <c r="L218" s="3"/>
      <c r="M218" s="3" t="b">
        <v>0</v>
      </c>
      <c r="N218" s="3" t="s">
        <v>1497</v>
      </c>
      <c r="O218" s="3" t="b">
        <v>0</v>
      </c>
      <c r="P218" s="35"/>
    </row>
    <row r="219" spans="1:16" hidden="1" x14ac:dyDescent="0.3">
      <c r="A219" s="27" t="s">
        <v>2177</v>
      </c>
      <c r="B219" s="3"/>
      <c r="C219" s="3" t="s">
        <v>906</v>
      </c>
      <c r="D219" s="3"/>
      <c r="E219" s="3" t="s">
        <v>51</v>
      </c>
      <c r="F219" s="3" t="s">
        <v>51</v>
      </c>
      <c r="G219" s="27"/>
      <c r="H219" s="11" t="s">
        <v>1205</v>
      </c>
      <c r="I219" s="16" t="s">
        <v>1124</v>
      </c>
      <c r="J219" s="3" t="s">
        <v>1609</v>
      </c>
      <c r="K219" s="3" t="s">
        <v>2305</v>
      </c>
      <c r="L219" s="3"/>
      <c r="M219" s="3" t="b">
        <v>1</v>
      </c>
      <c r="N219" s="3" t="s">
        <v>1497</v>
      </c>
      <c r="O219" s="3" t="b">
        <v>1</v>
      </c>
      <c r="P219" s="35"/>
    </row>
    <row r="220" spans="1:16" hidden="1" x14ac:dyDescent="0.3">
      <c r="A220" s="27" t="s">
        <v>2177</v>
      </c>
      <c r="B220" s="3"/>
      <c r="C220" s="3" t="s">
        <v>906</v>
      </c>
      <c r="D220" s="3"/>
      <c r="E220" s="3" t="s">
        <v>51</v>
      </c>
      <c r="F220" s="3" t="s">
        <v>51</v>
      </c>
      <c r="G220" s="27"/>
      <c r="H220" s="11" t="s">
        <v>1209</v>
      </c>
      <c r="I220" s="16" t="s">
        <v>1124</v>
      </c>
      <c r="J220" s="3" t="s">
        <v>1437</v>
      </c>
      <c r="K220" s="3" t="s">
        <v>2310</v>
      </c>
      <c r="L220" s="3"/>
      <c r="M220" s="3" t="b">
        <v>1</v>
      </c>
      <c r="N220" s="3" t="s">
        <v>1497</v>
      </c>
      <c r="O220" s="3" t="b">
        <v>1</v>
      </c>
      <c r="P220" s="35"/>
    </row>
    <row r="221" spans="1:16" hidden="1" x14ac:dyDescent="0.3">
      <c r="A221" s="27" t="s">
        <v>2177</v>
      </c>
      <c r="B221" s="3"/>
      <c r="C221" s="3" t="s">
        <v>1940</v>
      </c>
      <c r="D221" s="3"/>
      <c r="E221" s="3" t="s">
        <v>51</v>
      </c>
      <c r="F221" s="3" t="s">
        <v>51</v>
      </c>
      <c r="G221" s="27"/>
      <c r="H221" s="11" t="s">
        <v>1949</v>
      </c>
      <c r="I221" s="16" t="s">
        <v>1124</v>
      </c>
      <c r="J221" s="3" t="s">
        <v>1942</v>
      </c>
      <c r="K221" s="3" t="s">
        <v>1955</v>
      </c>
      <c r="L221" s="3"/>
      <c r="M221" s="3" t="b">
        <v>0</v>
      </c>
      <c r="N221" s="3" t="s">
        <v>1497</v>
      </c>
      <c r="O221" s="3" t="b">
        <v>1</v>
      </c>
      <c r="P221" s="35"/>
    </row>
    <row r="222" spans="1:16" hidden="1" x14ac:dyDescent="0.3">
      <c r="A222" s="27" t="s">
        <v>2177</v>
      </c>
      <c r="B222" s="3"/>
      <c r="C222" s="3" t="s">
        <v>914</v>
      </c>
      <c r="D222" s="3"/>
      <c r="E222" s="3" t="s">
        <v>51</v>
      </c>
      <c r="F222" s="3" t="s">
        <v>51</v>
      </c>
      <c r="G222" s="27"/>
      <c r="H222" s="11" t="s">
        <v>1284</v>
      </c>
      <c r="I222" s="16" t="s">
        <v>1124</v>
      </c>
      <c r="J222" s="3" t="s">
        <v>915</v>
      </c>
      <c r="K222" s="3" t="s">
        <v>1694</v>
      </c>
      <c r="L222" s="3"/>
      <c r="M222" s="3" t="b">
        <v>0</v>
      </c>
      <c r="N222" s="3" t="s">
        <v>1497</v>
      </c>
      <c r="O222" s="3" t="b">
        <v>1</v>
      </c>
      <c r="P222" s="35"/>
    </row>
    <row r="223" spans="1:16" hidden="1" x14ac:dyDescent="0.3">
      <c r="A223" s="27" t="s">
        <v>2177</v>
      </c>
      <c r="B223" s="3"/>
      <c r="C223" s="3" t="s">
        <v>918</v>
      </c>
      <c r="D223" s="3"/>
      <c r="E223" s="3" t="s">
        <v>51</v>
      </c>
      <c r="F223" s="3" t="s">
        <v>51</v>
      </c>
      <c r="G223" s="27"/>
      <c r="H223" s="11" t="s">
        <v>1288</v>
      </c>
      <c r="I223" s="16" t="s">
        <v>1124</v>
      </c>
      <c r="J223" s="3" t="s">
        <v>919</v>
      </c>
      <c r="K223" s="3" t="s">
        <v>1696</v>
      </c>
      <c r="L223" s="3"/>
      <c r="M223" s="3" t="b">
        <v>0</v>
      </c>
      <c r="N223" s="3" t="s">
        <v>1497</v>
      </c>
      <c r="O223" s="3" t="b">
        <v>1</v>
      </c>
      <c r="P223" s="35"/>
    </row>
    <row r="224" spans="1:16" hidden="1" x14ac:dyDescent="0.3">
      <c r="A224" s="27" t="s">
        <v>2177</v>
      </c>
      <c r="B224" s="3"/>
      <c r="C224" s="3" t="s">
        <v>912</v>
      </c>
      <c r="D224" s="3"/>
      <c r="E224" s="3" t="s">
        <v>51</v>
      </c>
      <c r="F224" s="3" t="s">
        <v>51</v>
      </c>
      <c r="G224" s="27"/>
      <c r="H224" s="11" t="s">
        <v>1017</v>
      </c>
      <c r="I224" s="16" t="s">
        <v>1124</v>
      </c>
      <c r="J224" s="3" t="s">
        <v>1233</v>
      </c>
      <c r="K224" s="3" t="s">
        <v>1686</v>
      </c>
      <c r="L224" s="3"/>
      <c r="M224" s="3" t="b">
        <v>1</v>
      </c>
      <c r="N224" s="3" t="s">
        <v>1497</v>
      </c>
      <c r="O224" s="3" t="b">
        <v>1</v>
      </c>
      <c r="P224" s="35"/>
    </row>
    <row r="225" spans="1:16" hidden="1" x14ac:dyDescent="0.3">
      <c r="A225" s="27" t="s">
        <v>2177</v>
      </c>
      <c r="B225" s="3"/>
      <c r="C225" s="3" t="s">
        <v>912</v>
      </c>
      <c r="D225" s="3"/>
      <c r="E225" s="3" t="s">
        <v>51</v>
      </c>
      <c r="F225" s="3" t="s">
        <v>51</v>
      </c>
      <c r="G225" s="27"/>
      <c r="H225" s="11" t="s">
        <v>1019</v>
      </c>
      <c r="I225" s="16" t="s">
        <v>1124</v>
      </c>
      <c r="J225" s="3" t="s">
        <v>1436</v>
      </c>
      <c r="K225" s="3" t="s">
        <v>1693</v>
      </c>
      <c r="L225" s="3"/>
      <c r="M225" s="3" t="b">
        <v>1</v>
      </c>
      <c r="N225" s="3" t="s">
        <v>1497</v>
      </c>
      <c r="O225" s="3" t="b">
        <v>1</v>
      </c>
      <c r="P225" s="35"/>
    </row>
    <row r="226" spans="1:16" hidden="1" x14ac:dyDescent="0.3">
      <c r="A226" s="27" t="s">
        <v>2180</v>
      </c>
      <c r="B226" s="3"/>
      <c r="C226" s="3" t="s">
        <v>898</v>
      </c>
      <c r="D226" s="3"/>
      <c r="E226" s="3" t="s">
        <v>51</v>
      </c>
      <c r="F226" s="3" t="s">
        <v>51</v>
      </c>
      <c r="G226" s="27"/>
      <c r="H226" s="11" t="s">
        <v>999</v>
      </c>
      <c r="I226" s="16" t="s">
        <v>1124</v>
      </c>
      <c r="J226" s="3" t="s">
        <v>1000</v>
      </c>
      <c r="K226" s="3" t="s">
        <v>1686</v>
      </c>
      <c r="L226" s="3"/>
      <c r="M226" s="3" t="b">
        <v>1</v>
      </c>
      <c r="N226" s="3" t="s">
        <v>1497</v>
      </c>
      <c r="O226" s="3" t="b">
        <v>1</v>
      </c>
      <c r="P226" s="35"/>
    </row>
    <row r="227" spans="1:16" hidden="1" x14ac:dyDescent="0.3">
      <c r="A227" s="27" t="s">
        <v>2180</v>
      </c>
      <c r="B227" s="3"/>
      <c r="C227" s="3" t="s">
        <v>898</v>
      </c>
      <c r="D227" s="3"/>
      <c r="E227" s="3" t="s">
        <v>51</v>
      </c>
      <c r="F227" s="3" t="s">
        <v>51</v>
      </c>
      <c r="G227" s="27"/>
      <c r="H227" s="11" t="s">
        <v>1003</v>
      </c>
      <c r="I227" s="16" t="s">
        <v>1124</v>
      </c>
      <c r="J227" s="3" t="s">
        <v>1438</v>
      </c>
      <c r="K227" s="3" t="s">
        <v>1689</v>
      </c>
      <c r="L227" s="3"/>
      <c r="M227" s="3" t="b">
        <v>0</v>
      </c>
      <c r="N227" s="3" t="s">
        <v>1497</v>
      </c>
      <c r="O227" s="3" t="b">
        <v>1</v>
      </c>
      <c r="P227" s="35"/>
    </row>
    <row r="228" spans="1:16" hidden="1" x14ac:dyDescent="0.3">
      <c r="A228" s="27" t="s">
        <v>2180</v>
      </c>
      <c r="B228" s="3"/>
      <c r="C228" s="3" t="s">
        <v>898</v>
      </c>
      <c r="D228" s="3"/>
      <c r="E228" s="3" t="s">
        <v>51</v>
      </c>
      <c r="F228" s="3" t="s">
        <v>51</v>
      </c>
      <c r="G228" s="27"/>
      <c r="H228" s="11" t="s">
        <v>1005</v>
      </c>
      <c r="I228" s="16" t="s">
        <v>1124</v>
      </c>
      <c r="J228" s="3" t="s">
        <v>1439</v>
      </c>
      <c r="K228" s="3" t="s">
        <v>1690</v>
      </c>
      <c r="L228" s="3"/>
      <c r="M228" s="3" t="b">
        <v>0</v>
      </c>
      <c r="N228" s="3" t="s">
        <v>1497</v>
      </c>
      <c r="O228" s="3" t="b">
        <v>1</v>
      </c>
      <c r="P228" s="35"/>
    </row>
    <row r="229" spans="1:16" hidden="1" x14ac:dyDescent="0.3">
      <c r="A229" s="27" t="s">
        <v>2180</v>
      </c>
      <c r="B229" s="3"/>
      <c r="C229" s="3" t="s">
        <v>2094</v>
      </c>
      <c r="D229" s="3"/>
      <c r="E229" s="3" t="s">
        <v>51</v>
      </c>
      <c r="F229" s="3" t="s">
        <v>51</v>
      </c>
      <c r="G229" s="27"/>
      <c r="H229" s="11" t="s">
        <v>2094</v>
      </c>
      <c r="I229" s="16" t="s">
        <v>1124</v>
      </c>
      <c r="J229" s="3" t="s">
        <v>2102</v>
      </c>
      <c r="K229" s="3" t="s">
        <v>1692</v>
      </c>
      <c r="L229" s="3"/>
      <c r="M229" s="3" t="b">
        <v>1</v>
      </c>
      <c r="N229" s="3" t="s">
        <v>1497</v>
      </c>
      <c r="O229" s="3" t="b">
        <v>1</v>
      </c>
      <c r="P229" s="35"/>
    </row>
    <row r="230" spans="1:16" hidden="1" x14ac:dyDescent="0.3">
      <c r="A230" s="27" t="s">
        <v>2180</v>
      </c>
      <c r="B230" s="3"/>
      <c r="C230" s="3" t="s">
        <v>1585</v>
      </c>
      <c r="D230" s="3"/>
      <c r="E230" s="3" t="s">
        <v>51</v>
      </c>
      <c r="F230" s="3" t="s">
        <v>51</v>
      </c>
      <c r="G230" s="27"/>
      <c r="H230" s="11" t="s">
        <v>2332</v>
      </c>
      <c r="I230" s="16" t="s">
        <v>1124</v>
      </c>
      <c r="J230" s="3" t="s">
        <v>2105</v>
      </c>
      <c r="K230" s="3" t="s">
        <v>2301</v>
      </c>
      <c r="L230" s="3"/>
      <c r="M230" s="3" t="b">
        <v>1</v>
      </c>
      <c r="N230" s="3" t="s">
        <v>1497</v>
      </c>
      <c r="O230" s="3" t="b">
        <v>1</v>
      </c>
      <c r="P230" s="35"/>
    </row>
    <row r="231" spans="1:16" hidden="1" x14ac:dyDescent="0.3">
      <c r="A231" s="27" t="s">
        <v>2180</v>
      </c>
      <c r="B231" s="3"/>
      <c r="C231" s="3" t="s">
        <v>1585</v>
      </c>
      <c r="D231" s="3"/>
      <c r="E231" s="3" t="s">
        <v>51</v>
      </c>
      <c r="F231" s="3" t="s">
        <v>51</v>
      </c>
      <c r="G231" s="27"/>
      <c r="H231" s="11" t="s">
        <v>2333</v>
      </c>
      <c r="I231" s="16" t="s">
        <v>1124</v>
      </c>
      <c r="J231" s="3" t="s">
        <v>2103</v>
      </c>
      <c r="K231" s="3" t="s">
        <v>2300</v>
      </c>
      <c r="L231" s="3"/>
      <c r="M231" s="3" t="b">
        <v>1</v>
      </c>
      <c r="N231" s="3" t="s">
        <v>1497</v>
      </c>
      <c r="O231" s="3" t="b">
        <v>1</v>
      </c>
      <c r="P231" s="35"/>
    </row>
    <row r="232" spans="1:16" hidden="1" x14ac:dyDescent="0.3">
      <c r="A232" s="27" t="s">
        <v>2180</v>
      </c>
      <c r="B232" s="3"/>
      <c r="C232" s="3" t="s">
        <v>1585</v>
      </c>
      <c r="D232" s="3"/>
      <c r="E232" s="3" t="s">
        <v>51</v>
      </c>
      <c r="F232" s="3" t="s">
        <v>51</v>
      </c>
      <c r="G232" s="27"/>
      <c r="H232" s="11" t="s">
        <v>1303</v>
      </c>
      <c r="I232" s="16" t="s">
        <v>1124</v>
      </c>
      <c r="J232" s="3" t="s">
        <v>2106</v>
      </c>
      <c r="K232" s="3" t="s">
        <v>2303</v>
      </c>
      <c r="L232" s="3"/>
      <c r="M232" s="3" t="b">
        <v>0</v>
      </c>
      <c r="N232" s="3" t="s">
        <v>1497</v>
      </c>
      <c r="O232" s="3" t="b">
        <v>0</v>
      </c>
      <c r="P232" s="35"/>
    </row>
    <row r="233" spans="1:16" hidden="1" x14ac:dyDescent="0.3">
      <c r="A233" s="27" t="s">
        <v>2180</v>
      </c>
      <c r="B233" s="3"/>
      <c r="C233" s="3" t="s">
        <v>1585</v>
      </c>
      <c r="D233" s="3"/>
      <c r="E233" s="3" t="s">
        <v>51</v>
      </c>
      <c r="F233" s="3" t="s">
        <v>51</v>
      </c>
      <c r="G233" s="27"/>
      <c r="H233" s="11" t="s">
        <v>1303</v>
      </c>
      <c r="I233" s="16" t="s">
        <v>1124</v>
      </c>
      <c r="J233" s="3" t="s">
        <v>2107</v>
      </c>
      <c r="K233" s="3" t="s">
        <v>2303</v>
      </c>
      <c r="L233" s="3"/>
      <c r="M233" s="3" t="b">
        <v>0</v>
      </c>
      <c r="N233" s="3" t="s">
        <v>1497</v>
      </c>
      <c r="O233" s="3" t="b">
        <v>0</v>
      </c>
      <c r="P233" s="35"/>
    </row>
    <row r="234" spans="1:16" hidden="1" x14ac:dyDescent="0.3">
      <c r="A234" s="27" t="s">
        <v>2180</v>
      </c>
      <c r="B234" s="3"/>
      <c r="C234" s="3" t="s">
        <v>1585</v>
      </c>
      <c r="D234" s="3"/>
      <c r="E234" s="3" t="s">
        <v>51</v>
      </c>
      <c r="F234" s="3" t="s">
        <v>51</v>
      </c>
      <c r="G234" s="27"/>
      <c r="H234" s="11" t="s">
        <v>1303</v>
      </c>
      <c r="I234" s="16" t="s">
        <v>1124</v>
      </c>
      <c r="J234" s="3" t="s">
        <v>2108</v>
      </c>
      <c r="K234" s="3" t="s">
        <v>2303</v>
      </c>
      <c r="L234" s="3"/>
      <c r="M234" s="3" t="b">
        <v>0</v>
      </c>
      <c r="N234" s="3" t="s">
        <v>1497</v>
      </c>
      <c r="O234" s="3" t="b">
        <v>0</v>
      </c>
      <c r="P234" s="35"/>
    </row>
    <row r="235" spans="1:16" hidden="1" x14ac:dyDescent="0.3">
      <c r="A235" s="27" t="s">
        <v>2180</v>
      </c>
      <c r="B235" s="3"/>
      <c r="C235" s="3" t="s">
        <v>1585</v>
      </c>
      <c r="D235" s="3"/>
      <c r="E235" s="3" t="s">
        <v>51</v>
      </c>
      <c r="F235" s="3" t="s">
        <v>51</v>
      </c>
      <c r="G235" s="27"/>
      <c r="H235" s="11" t="s">
        <v>1303</v>
      </c>
      <c r="I235" s="16" t="s">
        <v>1124</v>
      </c>
      <c r="J235" s="3" t="s">
        <v>2125</v>
      </c>
      <c r="K235" s="3" t="s">
        <v>2303</v>
      </c>
      <c r="L235" s="3"/>
      <c r="M235" s="3" t="b">
        <v>0</v>
      </c>
      <c r="N235" s="3" t="s">
        <v>1497</v>
      </c>
      <c r="O235" s="3" t="b">
        <v>0</v>
      </c>
      <c r="P235" s="35"/>
    </row>
    <row r="236" spans="1:16" hidden="1" x14ac:dyDescent="0.3">
      <c r="A236" s="27" t="s">
        <v>2180</v>
      </c>
      <c r="B236" s="3"/>
      <c r="C236" s="3" t="s">
        <v>1585</v>
      </c>
      <c r="D236" s="3"/>
      <c r="E236" s="3" t="s">
        <v>51</v>
      </c>
      <c r="F236" s="3" t="s">
        <v>51</v>
      </c>
      <c r="G236" s="27"/>
      <c r="H236" s="11" t="s">
        <v>1303</v>
      </c>
      <c r="I236" s="16" t="s">
        <v>1124</v>
      </c>
      <c r="J236" s="3" t="s">
        <v>2109</v>
      </c>
      <c r="K236" s="3" t="s">
        <v>2303</v>
      </c>
      <c r="L236" s="3"/>
      <c r="M236" s="3" t="b">
        <v>0</v>
      </c>
      <c r="N236" s="3" t="s">
        <v>1497</v>
      </c>
      <c r="O236" s="3" t="b">
        <v>0</v>
      </c>
      <c r="P236" s="35"/>
    </row>
    <row r="237" spans="1:16" hidden="1" x14ac:dyDescent="0.3">
      <c r="A237" s="27" t="s">
        <v>2180</v>
      </c>
      <c r="B237" s="3"/>
      <c r="C237" s="3" t="s">
        <v>1585</v>
      </c>
      <c r="D237" s="3"/>
      <c r="E237" s="3" t="s">
        <v>51</v>
      </c>
      <c r="F237" s="3" t="s">
        <v>51</v>
      </c>
      <c r="G237" s="27"/>
      <c r="H237" s="11" t="s">
        <v>1303</v>
      </c>
      <c r="I237" s="16" t="s">
        <v>1124</v>
      </c>
      <c r="J237" s="3" t="s">
        <v>2110</v>
      </c>
      <c r="K237" s="3" t="s">
        <v>2303</v>
      </c>
      <c r="L237" s="3"/>
      <c r="M237" s="3" t="b">
        <v>0</v>
      </c>
      <c r="N237" s="3" t="s">
        <v>1497</v>
      </c>
      <c r="O237" s="3" t="b">
        <v>0</v>
      </c>
      <c r="P237" s="35"/>
    </row>
    <row r="238" spans="1:16" hidden="1" x14ac:dyDescent="0.3">
      <c r="A238" s="27" t="s">
        <v>2180</v>
      </c>
      <c r="B238" s="3"/>
      <c r="C238" s="3" t="s">
        <v>1585</v>
      </c>
      <c r="D238" s="3"/>
      <c r="E238" s="3" t="s">
        <v>51</v>
      </c>
      <c r="F238" s="3" t="s">
        <v>51</v>
      </c>
      <c r="G238" s="27"/>
      <c r="H238" s="11" t="s">
        <v>1303</v>
      </c>
      <c r="I238" s="16" t="s">
        <v>1124</v>
      </c>
      <c r="J238" s="3" t="s">
        <v>2111</v>
      </c>
      <c r="K238" s="3" t="s">
        <v>2303</v>
      </c>
      <c r="L238" s="3"/>
      <c r="M238" s="3" t="b">
        <v>0</v>
      </c>
      <c r="N238" s="3" t="s">
        <v>1497</v>
      </c>
      <c r="O238" s="3" t="b">
        <v>0</v>
      </c>
      <c r="P238" s="35"/>
    </row>
    <row r="239" spans="1:16" hidden="1" x14ac:dyDescent="0.3">
      <c r="A239" s="27" t="s">
        <v>2180</v>
      </c>
      <c r="B239" s="3"/>
      <c r="C239" s="3" t="s">
        <v>1585</v>
      </c>
      <c r="D239" s="3"/>
      <c r="E239" s="3" t="s">
        <v>51</v>
      </c>
      <c r="F239" s="3" t="s">
        <v>51</v>
      </c>
      <c r="G239" s="27"/>
      <c r="H239" s="11" t="s">
        <v>1303</v>
      </c>
      <c r="I239" s="16" t="s">
        <v>1124</v>
      </c>
      <c r="J239" s="3" t="s">
        <v>2112</v>
      </c>
      <c r="K239" s="3" t="s">
        <v>2303</v>
      </c>
      <c r="L239" s="3"/>
      <c r="M239" s="3" t="b">
        <v>0</v>
      </c>
      <c r="N239" s="3" t="s">
        <v>1497</v>
      </c>
      <c r="O239" s="3" t="b">
        <v>0</v>
      </c>
      <c r="P239" s="35"/>
    </row>
    <row r="240" spans="1:16" hidden="1" x14ac:dyDescent="0.3">
      <c r="A240" s="27" t="s">
        <v>2180</v>
      </c>
      <c r="B240" s="3"/>
      <c r="C240" s="3" t="s">
        <v>1585</v>
      </c>
      <c r="D240" s="3"/>
      <c r="E240" s="3" t="s">
        <v>51</v>
      </c>
      <c r="F240" s="3" t="s">
        <v>51</v>
      </c>
      <c r="G240" s="27"/>
      <c r="H240" s="11" t="s">
        <v>1303</v>
      </c>
      <c r="I240" s="16" t="s">
        <v>1124</v>
      </c>
      <c r="J240" s="3" t="s">
        <v>2113</v>
      </c>
      <c r="K240" s="3" t="s">
        <v>2303</v>
      </c>
      <c r="L240" s="3"/>
      <c r="M240" s="3" t="b">
        <v>0</v>
      </c>
      <c r="N240" s="3" t="s">
        <v>1497</v>
      </c>
      <c r="O240" s="3" t="b">
        <v>0</v>
      </c>
      <c r="P240" s="35"/>
    </row>
    <row r="241" spans="1:16" hidden="1" x14ac:dyDescent="0.3">
      <c r="A241" s="27" t="s">
        <v>2180</v>
      </c>
      <c r="B241" s="3"/>
      <c r="C241" s="3" t="s">
        <v>1585</v>
      </c>
      <c r="D241" s="3"/>
      <c r="E241" s="3" t="s">
        <v>51</v>
      </c>
      <c r="F241" s="3" t="s">
        <v>51</v>
      </c>
      <c r="G241" s="27"/>
      <c r="H241" s="11" t="s">
        <v>1303</v>
      </c>
      <c r="I241" s="16" t="s">
        <v>1124</v>
      </c>
      <c r="J241" s="3" t="s">
        <v>2114</v>
      </c>
      <c r="K241" s="3" t="s">
        <v>2303</v>
      </c>
      <c r="L241" s="3"/>
      <c r="M241" s="3" t="b">
        <v>0</v>
      </c>
      <c r="N241" s="3" t="s">
        <v>1497</v>
      </c>
      <c r="O241" s="3" t="b">
        <v>0</v>
      </c>
      <c r="P241" s="35"/>
    </row>
    <row r="242" spans="1:16" hidden="1" x14ac:dyDescent="0.3">
      <c r="A242" s="27" t="s">
        <v>2180</v>
      </c>
      <c r="B242" s="3"/>
      <c r="C242" s="3" t="s">
        <v>1585</v>
      </c>
      <c r="D242" s="3"/>
      <c r="E242" s="3" t="s">
        <v>51</v>
      </c>
      <c r="F242" s="3" t="s">
        <v>51</v>
      </c>
      <c r="G242" s="27"/>
      <c r="H242" s="11" t="s">
        <v>1303</v>
      </c>
      <c r="I242" s="16" t="s">
        <v>1124</v>
      </c>
      <c r="J242" s="3" t="s">
        <v>2115</v>
      </c>
      <c r="K242" s="3" t="s">
        <v>2303</v>
      </c>
      <c r="L242" s="3"/>
      <c r="M242" s="3" t="b">
        <v>0</v>
      </c>
      <c r="N242" s="3" t="s">
        <v>1497</v>
      </c>
      <c r="O242" s="3" t="b">
        <v>0</v>
      </c>
      <c r="P242" s="35"/>
    </row>
    <row r="243" spans="1:16" hidden="1" x14ac:dyDescent="0.3">
      <c r="A243" s="27" t="s">
        <v>2180</v>
      </c>
      <c r="B243" s="3"/>
      <c r="C243" s="3" t="s">
        <v>1585</v>
      </c>
      <c r="D243" s="3"/>
      <c r="E243" s="3" t="s">
        <v>51</v>
      </c>
      <c r="F243" s="3" t="s">
        <v>51</v>
      </c>
      <c r="G243" s="27"/>
      <c r="H243" s="11" t="s">
        <v>1303</v>
      </c>
      <c r="I243" s="16" t="s">
        <v>1124</v>
      </c>
      <c r="J243" s="3" t="s">
        <v>2116</v>
      </c>
      <c r="K243" s="3" t="s">
        <v>2303</v>
      </c>
      <c r="L243" s="3"/>
      <c r="M243" s="3" t="b">
        <v>0</v>
      </c>
      <c r="N243" s="3" t="s">
        <v>1497</v>
      </c>
      <c r="O243" s="3" t="b">
        <v>0</v>
      </c>
      <c r="P243" s="35"/>
    </row>
    <row r="244" spans="1:16" hidden="1" x14ac:dyDescent="0.3">
      <c r="A244" s="27" t="s">
        <v>2180</v>
      </c>
      <c r="B244" s="3"/>
      <c r="C244" s="3" t="s">
        <v>1585</v>
      </c>
      <c r="D244" s="3"/>
      <c r="E244" s="3" t="s">
        <v>51</v>
      </c>
      <c r="F244" s="3" t="s">
        <v>51</v>
      </c>
      <c r="G244" s="27"/>
      <c r="H244" s="11" t="s">
        <v>1303</v>
      </c>
      <c r="I244" s="16" t="s">
        <v>1124</v>
      </c>
      <c r="J244" s="3" t="s">
        <v>2117</v>
      </c>
      <c r="K244" s="3" t="s">
        <v>2303</v>
      </c>
      <c r="L244" s="3"/>
      <c r="M244" s="3" t="b">
        <v>0</v>
      </c>
      <c r="N244" s="3" t="s">
        <v>1497</v>
      </c>
      <c r="O244" s="3" t="b">
        <v>0</v>
      </c>
      <c r="P244" s="35"/>
    </row>
    <row r="245" spans="1:16" hidden="1" x14ac:dyDescent="0.3">
      <c r="A245" s="27" t="s">
        <v>2180</v>
      </c>
      <c r="B245" s="3"/>
      <c r="C245" s="3" t="s">
        <v>1585</v>
      </c>
      <c r="D245" s="3"/>
      <c r="E245" s="3" t="s">
        <v>51</v>
      </c>
      <c r="F245" s="3" t="s">
        <v>51</v>
      </c>
      <c r="G245" s="27"/>
      <c r="H245" s="11" t="s">
        <v>1303</v>
      </c>
      <c r="I245" s="16" t="s">
        <v>1124</v>
      </c>
      <c r="J245" s="3" t="s">
        <v>2118</v>
      </c>
      <c r="K245" s="3" t="s">
        <v>2303</v>
      </c>
      <c r="L245" s="3"/>
      <c r="M245" s="3" t="b">
        <v>0</v>
      </c>
      <c r="N245" s="3" t="s">
        <v>1497</v>
      </c>
      <c r="O245" s="3" t="b">
        <v>0</v>
      </c>
      <c r="P245" s="35"/>
    </row>
    <row r="246" spans="1:16" hidden="1" x14ac:dyDescent="0.3">
      <c r="A246" s="27" t="s">
        <v>2180</v>
      </c>
      <c r="B246" s="3"/>
      <c r="C246" s="3" t="s">
        <v>1585</v>
      </c>
      <c r="D246" s="3"/>
      <c r="E246" s="3" t="s">
        <v>51</v>
      </c>
      <c r="F246" s="3" t="s">
        <v>51</v>
      </c>
      <c r="G246" s="27"/>
      <c r="H246" s="11" t="s">
        <v>1303</v>
      </c>
      <c r="I246" s="16" t="s">
        <v>1124</v>
      </c>
      <c r="J246" s="3" t="s">
        <v>2119</v>
      </c>
      <c r="K246" s="3" t="s">
        <v>2303</v>
      </c>
      <c r="L246" s="3"/>
      <c r="M246" s="3" t="b">
        <v>0</v>
      </c>
      <c r="N246" s="3" t="s">
        <v>1497</v>
      </c>
      <c r="O246" s="3" t="b">
        <v>0</v>
      </c>
      <c r="P246" s="35"/>
    </row>
    <row r="247" spans="1:16" hidden="1" x14ac:dyDescent="0.3">
      <c r="A247" s="27" t="s">
        <v>2180</v>
      </c>
      <c r="B247" s="3"/>
      <c r="C247" s="3" t="s">
        <v>1585</v>
      </c>
      <c r="D247" s="3"/>
      <c r="E247" s="3" t="s">
        <v>51</v>
      </c>
      <c r="F247" s="3" t="s">
        <v>51</v>
      </c>
      <c r="G247" s="27"/>
      <c r="H247" s="11" t="s">
        <v>1303</v>
      </c>
      <c r="I247" s="16" t="s">
        <v>1124</v>
      </c>
      <c r="J247" s="3" t="s">
        <v>2120</v>
      </c>
      <c r="K247" s="3" t="s">
        <v>2303</v>
      </c>
      <c r="L247" s="3"/>
      <c r="M247" s="3" t="b">
        <v>0</v>
      </c>
      <c r="N247" s="3" t="s">
        <v>1497</v>
      </c>
      <c r="O247" s="3" t="b">
        <v>0</v>
      </c>
      <c r="P247" s="35"/>
    </row>
    <row r="248" spans="1:16" hidden="1" x14ac:dyDescent="0.3">
      <c r="A248" s="27" t="s">
        <v>2180</v>
      </c>
      <c r="B248" s="3"/>
      <c r="C248" s="3" t="s">
        <v>1585</v>
      </c>
      <c r="D248" s="3"/>
      <c r="E248" s="3" t="s">
        <v>51</v>
      </c>
      <c r="F248" s="3" t="s">
        <v>51</v>
      </c>
      <c r="G248" s="27"/>
      <c r="H248" s="11" t="s">
        <v>1303</v>
      </c>
      <c r="I248" s="16" t="s">
        <v>1124</v>
      </c>
      <c r="J248" s="3" t="s">
        <v>2121</v>
      </c>
      <c r="K248" s="3" t="s">
        <v>2303</v>
      </c>
      <c r="L248" s="3"/>
      <c r="M248" s="3" t="b">
        <v>0</v>
      </c>
      <c r="N248" s="3" t="s">
        <v>1497</v>
      </c>
      <c r="O248" s="3" t="b">
        <v>0</v>
      </c>
      <c r="P248" s="35"/>
    </row>
    <row r="249" spans="1:16" hidden="1" x14ac:dyDescent="0.3">
      <c r="A249" s="27" t="s">
        <v>2180</v>
      </c>
      <c r="B249" s="3"/>
      <c r="C249" s="3" t="s">
        <v>1585</v>
      </c>
      <c r="D249" s="3"/>
      <c r="E249" s="3" t="s">
        <v>51</v>
      </c>
      <c r="F249" s="3" t="s">
        <v>51</v>
      </c>
      <c r="G249" s="27"/>
      <c r="H249" s="11" t="s">
        <v>1303</v>
      </c>
      <c r="I249" s="16" t="s">
        <v>1124</v>
      </c>
      <c r="J249" s="3" t="s">
        <v>2122</v>
      </c>
      <c r="K249" s="3" t="s">
        <v>2303</v>
      </c>
      <c r="L249" s="3"/>
      <c r="M249" s="3" t="b">
        <v>0</v>
      </c>
      <c r="N249" s="3" t="s">
        <v>1497</v>
      </c>
      <c r="O249" s="3" t="b">
        <v>0</v>
      </c>
      <c r="P249" s="35"/>
    </row>
    <row r="250" spans="1:16" hidden="1" x14ac:dyDescent="0.3">
      <c r="A250" s="27" t="s">
        <v>2180</v>
      </c>
      <c r="B250" s="3"/>
      <c r="C250" s="3" t="s">
        <v>1585</v>
      </c>
      <c r="D250" s="3"/>
      <c r="E250" s="3" t="s">
        <v>51</v>
      </c>
      <c r="F250" s="3" t="s">
        <v>51</v>
      </c>
      <c r="G250" s="27"/>
      <c r="H250" s="11" t="s">
        <v>1303</v>
      </c>
      <c r="I250" s="16" t="s">
        <v>1124</v>
      </c>
      <c r="J250" s="3" t="s">
        <v>2123</v>
      </c>
      <c r="K250" s="3" t="s">
        <v>2303</v>
      </c>
      <c r="L250" s="3"/>
      <c r="M250" s="3" t="b">
        <v>0</v>
      </c>
      <c r="N250" s="3" t="s">
        <v>1497</v>
      </c>
      <c r="O250" s="3" t="b">
        <v>0</v>
      </c>
      <c r="P250" s="35"/>
    </row>
    <row r="251" spans="1:16" hidden="1" x14ac:dyDescent="0.3">
      <c r="A251" s="27" t="s">
        <v>2180</v>
      </c>
      <c r="B251" s="3"/>
      <c r="C251" s="3" t="s">
        <v>1585</v>
      </c>
      <c r="D251" s="3"/>
      <c r="E251" s="3" t="s">
        <v>51</v>
      </c>
      <c r="F251" s="3" t="s">
        <v>51</v>
      </c>
      <c r="G251" s="27"/>
      <c r="H251" s="11" t="s">
        <v>1303</v>
      </c>
      <c r="I251" s="16" t="s">
        <v>1124</v>
      </c>
      <c r="J251" s="3" t="s">
        <v>2124</v>
      </c>
      <c r="K251" s="3" t="s">
        <v>2303</v>
      </c>
      <c r="L251" s="3"/>
      <c r="M251" s="3" t="b">
        <v>0</v>
      </c>
      <c r="N251" s="3" t="s">
        <v>1497</v>
      </c>
      <c r="O251" s="3" t="b">
        <v>0</v>
      </c>
      <c r="P251" s="35"/>
    </row>
    <row r="252" spans="1:16" hidden="1" x14ac:dyDescent="0.3">
      <c r="A252" s="27" t="s">
        <v>2180</v>
      </c>
      <c r="B252" s="3"/>
      <c r="C252" s="3" t="s">
        <v>1585</v>
      </c>
      <c r="D252" s="3"/>
      <c r="E252" s="3" t="s">
        <v>51</v>
      </c>
      <c r="F252" s="3" t="s">
        <v>51</v>
      </c>
      <c r="G252" s="27"/>
      <c r="H252" s="11" t="s">
        <v>1303</v>
      </c>
      <c r="I252" s="16" t="s">
        <v>1124</v>
      </c>
      <c r="J252" s="3" t="s">
        <v>2126</v>
      </c>
      <c r="K252" s="3" t="s">
        <v>2303</v>
      </c>
      <c r="L252" s="3"/>
      <c r="M252" s="3" t="b">
        <v>0</v>
      </c>
      <c r="N252" s="3" t="s">
        <v>1497</v>
      </c>
      <c r="O252" s="3" t="b">
        <v>0</v>
      </c>
      <c r="P252" s="35"/>
    </row>
    <row r="253" spans="1:16" hidden="1" x14ac:dyDescent="0.3">
      <c r="A253" s="27" t="s">
        <v>2180</v>
      </c>
      <c r="B253" s="3"/>
      <c r="C253" s="3" t="s">
        <v>1585</v>
      </c>
      <c r="D253" s="3"/>
      <c r="E253" s="3" t="s">
        <v>51</v>
      </c>
      <c r="F253" s="3" t="s">
        <v>51</v>
      </c>
      <c r="G253" s="27"/>
      <c r="H253" s="11" t="s">
        <v>1303</v>
      </c>
      <c r="I253" s="16" t="s">
        <v>1124</v>
      </c>
      <c r="J253" s="3" t="s">
        <v>2127</v>
      </c>
      <c r="K253" s="3" t="s">
        <v>2303</v>
      </c>
      <c r="L253" s="3"/>
      <c r="M253" s="3" t="b">
        <v>0</v>
      </c>
      <c r="N253" s="3" t="s">
        <v>1497</v>
      </c>
      <c r="O253" s="3" t="b">
        <v>0</v>
      </c>
      <c r="P253" s="35"/>
    </row>
    <row r="254" spans="1:16" hidden="1" x14ac:dyDescent="0.3">
      <c r="A254" s="27" t="s">
        <v>2180</v>
      </c>
      <c r="B254" s="3"/>
      <c r="C254" s="3" t="s">
        <v>1585</v>
      </c>
      <c r="D254" s="3"/>
      <c r="E254" s="3" t="s">
        <v>51</v>
      </c>
      <c r="F254" s="3" t="s">
        <v>51</v>
      </c>
      <c r="G254" s="27"/>
      <c r="H254" s="11" t="s">
        <v>1303</v>
      </c>
      <c r="I254" s="16" t="s">
        <v>1124</v>
      </c>
      <c r="J254" s="3" t="s">
        <v>2128</v>
      </c>
      <c r="K254" s="3" t="s">
        <v>2303</v>
      </c>
      <c r="L254" s="3"/>
      <c r="M254" s="3" t="b">
        <v>0</v>
      </c>
      <c r="N254" s="3" t="s">
        <v>1497</v>
      </c>
      <c r="O254" s="3" t="b">
        <v>0</v>
      </c>
      <c r="P254" s="35"/>
    </row>
    <row r="255" spans="1:16" hidden="1" x14ac:dyDescent="0.3">
      <c r="A255" s="27" t="s">
        <v>2180</v>
      </c>
      <c r="B255" s="3"/>
      <c r="C255" s="3" t="s">
        <v>1585</v>
      </c>
      <c r="D255" s="3"/>
      <c r="E255" s="3" t="s">
        <v>51</v>
      </c>
      <c r="F255" s="3" t="s">
        <v>51</v>
      </c>
      <c r="G255" s="27"/>
      <c r="H255" s="11" t="s">
        <v>1435</v>
      </c>
      <c r="I255" s="16" t="s">
        <v>1124</v>
      </c>
      <c r="J255" s="3" t="s">
        <v>2172</v>
      </c>
      <c r="K255" s="3" t="s">
        <v>2311</v>
      </c>
      <c r="L255" s="3"/>
      <c r="M255" s="3" t="b">
        <v>1</v>
      </c>
      <c r="N255" s="3" t="s">
        <v>1497</v>
      </c>
      <c r="O255" s="3" t="b">
        <v>1</v>
      </c>
      <c r="P255" s="35"/>
    </row>
    <row r="256" spans="1:16" hidden="1" x14ac:dyDescent="0.3">
      <c r="A256" s="27" t="s">
        <v>2180</v>
      </c>
      <c r="B256" s="3"/>
      <c r="C256" s="3" t="s">
        <v>1585</v>
      </c>
      <c r="D256" s="3"/>
      <c r="E256" s="3" t="s">
        <v>51</v>
      </c>
      <c r="F256" s="3" t="s">
        <v>51</v>
      </c>
      <c r="G256" s="27"/>
      <c r="H256" s="11" t="s">
        <v>1433</v>
      </c>
      <c r="I256" s="16" t="s">
        <v>1124</v>
      </c>
      <c r="J256" s="3" t="s">
        <v>2173</v>
      </c>
      <c r="K256" s="3" t="s">
        <v>2311</v>
      </c>
      <c r="L256" s="3"/>
      <c r="M256" s="3" t="b">
        <v>1</v>
      </c>
      <c r="N256" s="3" t="s">
        <v>1497</v>
      </c>
      <c r="O256" s="3" t="b">
        <v>1</v>
      </c>
      <c r="P256" s="35"/>
    </row>
    <row r="257" spans="1:16" hidden="1" x14ac:dyDescent="0.3">
      <c r="A257" s="27" t="s">
        <v>2180</v>
      </c>
      <c r="B257" s="3"/>
      <c r="C257" s="3" t="s">
        <v>1585</v>
      </c>
      <c r="D257" s="3"/>
      <c r="E257" s="3" t="s">
        <v>51</v>
      </c>
      <c r="F257" s="3" t="s">
        <v>51</v>
      </c>
      <c r="G257" s="27"/>
      <c r="H257" s="11" t="s">
        <v>1303</v>
      </c>
      <c r="I257" s="16" t="s">
        <v>1124</v>
      </c>
      <c r="J257" s="3" t="s">
        <v>2171</v>
      </c>
      <c r="K257" s="3" t="s">
        <v>2303</v>
      </c>
      <c r="L257" s="3"/>
      <c r="M257" s="3" t="b">
        <v>0</v>
      </c>
      <c r="N257" s="3" t="s">
        <v>1497</v>
      </c>
      <c r="O257" s="3" t="b">
        <v>0</v>
      </c>
      <c r="P257" s="35"/>
    </row>
    <row r="258" spans="1:16" hidden="1" x14ac:dyDescent="0.3">
      <c r="A258" s="27" t="s">
        <v>2180</v>
      </c>
      <c r="B258" s="3"/>
      <c r="C258" s="3" t="s">
        <v>1585</v>
      </c>
      <c r="D258" s="3"/>
      <c r="E258" s="3" t="s">
        <v>51</v>
      </c>
      <c r="F258" s="3" t="s">
        <v>51</v>
      </c>
      <c r="G258" s="27"/>
      <c r="H258" s="11" t="s">
        <v>1303</v>
      </c>
      <c r="I258" s="16" t="s">
        <v>1124</v>
      </c>
      <c r="J258" s="3" t="s">
        <v>2129</v>
      </c>
      <c r="K258" s="3" t="s">
        <v>2303</v>
      </c>
      <c r="L258" s="3"/>
      <c r="M258" s="3" t="b">
        <v>0</v>
      </c>
      <c r="N258" s="3" t="s">
        <v>1497</v>
      </c>
      <c r="O258" s="3" t="b">
        <v>0</v>
      </c>
      <c r="P258" s="35"/>
    </row>
    <row r="259" spans="1:16" hidden="1" x14ac:dyDescent="0.3">
      <c r="A259" s="27" t="s">
        <v>2180</v>
      </c>
      <c r="B259" s="3"/>
      <c r="C259" s="3" t="s">
        <v>1585</v>
      </c>
      <c r="D259" s="3"/>
      <c r="E259" s="3" t="s">
        <v>51</v>
      </c>
      <c r="F259" s="3" t="s">
        <v>51</v>
      </c>
      <c r="G259" s="27"/>
      <c r="H259" s="11" t="s">
        <v>1303</v>
      </c>
      <c r="I259" s="16" t="s">
        <v>1124</v>
      </c>
      <c r="J259" s="3" t="s">
        <v>2130</v>
      </c>
      <c r="K259" s="3" t="s">
        <v>2303</v>
      </c>
      <c r="L259" s="3"/>
      <c r="M259" s="3" t="b">
        <v>0</v>
      </c>
      <c r="N259" s="3" t="s">
        <v>1497</v>
      </c>
      <c r="O259" s="3" t="b">
        <v>0</v>
      </c>
      <c r="P259" s="35"/>
    </row>
    <row r="260" spans="1:16" hidden="1" x14ac:dyDescent="0.3">
      <c r="A260" s="27" t="s">
        <v>2180</v>
      </c>
      <c r="B260" s="3"/>
      <c r="C260" s="3" t="s">
        <v>1585</v>
      </c>
      <c r="D260" s="3"/>
      <c r="E260" s="3" t="s">
        <v>51</v>
      </c>
      <c r="F260" s="3" t="s">
        <v>51</v>
      </c>
      <c r="G260" s="27"/>
      <c r="H260" s="11"/>
      <c r="I260" s="16" t="s">
        <v>1124</v>
      </c>
      <c r="J260" s="3" t="s">
        <v>2131</v>
      </c>
      <c r="K260" s="3" t="s">
        <v>2303</v>
      </c>
      <c r="L260" s="3"/>
      <c r="M260" s="3" t="b">
        <v>0</v>
      </c>
      <c r="N260" s="3" t="s">
        <v>1497</v>
      </c>
      <c r="O260" s="3" t="b">
        <v>0</v>
      </c>
      <c r="P260" s="35"/>
    </row>
    <row r="261" spans="1:16" hidden="1" x14ac:dyDescent="0.3">
      <c r="A261" s="27" t="s">
        <v>2180</v>
      </c>
      <c r="B261" s="3"/>
      <c r="C261" s="3" t="s">
        <v>1585</v>
      </c>
      <c r="D261" s="3"/>
      <c r="E261" s="3" t="s">
        <v>51</v>
      </c>
      <c r="F261" s="3" t="s">
        <v>51</v>
      </c>
      <c r="G261" s="27"/>
      <c r="H261" s="11"/>
      <c r="I261" s="16" t="s">
        <v>1124</v>
      </c>
      <c r="J261" s="3" t="s">
        <v>2132</v>
      </c>
      <c r="K261" s="3" t="s">
        <v>2303</v>
      </c>
      <c r="L261" s="3"/>
      <c r="M261" s="3" t="b">
        <v>0</v>
      </c>
      <c r="N261" s="3" t="s">
        <v>1497</v>
      </c>
      <c r="O261" s="3" t="b">
        <v>0</v>
      </c>
      <c r="P261" s="35"/>
    </row>
    <row r="262" spans="1:16" hidden="1" x14ac:dyDescent="0.3">
      <c r="A262" s="27" t="s">
        <v>2180</v>
      </c>
      <c r="B262" s="3"/>
      <c r="C262" s="3" t="s">
        <v>1585</v>
      </c>
      <c r="D262" s="3"/>
      <c r="E262" s="3" t="s">
        <v>51</v>
      </c>
      <c r="F262" s="3" t="s">
        <v>51</v>
      </c>
      <c r="G262" s="27"/>
      <c r="H262" s="11"/>
      <c r="I262" s="16" t="s">
        <v>1124</v>
      </c>
      <c r="J262" s="3" t="s">
        <v>2133</v>
      </c>
      <c r="K262" s="3" t="s">
        <v>2314</v>
      </c>
      <c r="L262" s="3"/>
      <c r="M262" s="3" t="b">
        <v>0</v>
      </c>
      <c r="N262" s="3" t="s">
        <v>1497</v>
      </c>
      <c r="O262" s="3" t="b">
        <v>0</v>
      </c>
      <c r="P262" s="35"/>
    </row>
    <row r="263" spans="1:16" hidden="1" x14ac:dyDescent="0.3">
      <c r="A263" s="27" t="s">
        <v>2180</v>
      </c>
      <c r="B263" s="3"/>
      <c r="C263" s="3" t="s">
        <v>906</v>
      </c>
      <c r="D263" s="3"/>
      <c r="E263" s="3" t="s">
        <v>51</v>
      </c>
      <c r="F263" s="3" t="s">
        <v>51</v>
      </c>
      <c r="G263" s="27"/>
      <c r="H263" s="11" t="s">
        <v>1205</v>
      </c>
      <c r="I263" s="16" t="s">
        <v>1124</v>
      </c>
      <c r="J263" s="3" t="s">
        <v>1609</v>
      </c>
      <c r="K263" s="3" t="s">
        <v>2305</v>
      </c>
      <c r="L263" s="3"/>
      <c r="M263" s="3" t="b">
        <v>1</v>
      </c>
      <c r="N263" s="3" t="s">
        <v>1497</v>
      </c>
      <c r="O263" s="3" t="b">
        <v>1</v>
      </c>
      <c r="P263" s="35"/>
    </row>
    <row r="264" spans="1:16" hidden="1" x14ac:dyDescent="0.3">
      <c r="A264" s="27" t="s">
        <v>2180</v>
      </c>
      <c r="B264" s="3"/>
      <c r="C264" s="3" t="s">
        <v>906</v>
      </c>
      <c r="D264" s="3"/>
      <c r="E264" s="3" t="s">
        <v>51</v>
      </c>
      <c r="F264" s="3" t="s">
        <v>51</v>
      </c>
      <c r="G264" s="27"/>
      <c r="H264" s="11" t="s">
        <v>1209</v>
      </c>
      <c r="I264" s="16" t="s">
        <v>1124</v>
      </c>
      <c r="J264" s="3" t="s">
        <v>1437</v>
      </c>
      <c r="K264" s="3" t="s">
        <v>2310</v>
      </c>
      <c r="L264" s="3"/>
      <c r="M264" s="3" t="b">
        <v>1</v>
      </c>
      <c r="N264" s="3" t="s">
        <v>1497</v>
      </c>
      <c r="O264" s="3" t="b">
        <v>1</v>
      </c>
      <c r="P264" s="35"/>
    </row>
    <row r="265" spans="1:16" hidden="1" x14ac:dyDescent="0.3">
      <c r="A265" s="27" t="s">
        <v>2180</v>
      </c>
      <c r="B265" s="3"/>
      <c r="C265" s="3" t="s">
        <v>1940</v>
      </c>
      <c r="D265" s="3"/>
      <c r="E265" s="3" t="s">
        <v>51</v>
      </c>
      <c r="F265" s="3" t="s">
        <v>51</v>
      </c>
      <c r="G265" s="27"/>
      <c r="H265" s="11" t="s">
        <v>1949</v>
      </c>
      <c r="I265" s="16" t="s">
        <v>1124</v>
      </c>
      <c r="J265" s="3" t="s">
        <v>1942</v>
      </c>
      <c r="K265" s="3" t="s">
        <v>1955</v>
      </c>
      <c r="L265" s="3"/>
      <c r="M265" s="3" t="b">
        <v>0</v>
      </c>
      <c r="N265" s="3" t="s">
        <v>1497</v>
      </c>
      <c r="O265" s="3" t="b">
        <v>1</v>
      </c>
      <c r="P265" s="35"/>
    </row>
    <row r="266" spans="1:16" hidden="1" x14ac:dyDescent="0.3">
      <c r="A266" s="27" t="s">
        <v>2180</v>
      </c>
      <c r="B266" s="3"/>
      <c r="C266" s="3" t="s">
        <v>914</v>
      </c>
      <c r="D266" s="3"/>
      <c r="E266" s="3" t="s">
        <v>51</v>
      </c>
      <c r="F266" s="3" t="s">
        <v>51</v>
      </c>
      <c r="G266" s="27"/>
      <c r="H266" s="11" t="s">
        <v>1284</v>
      </c>
      <c r="I266" s="16" t="s">
        <v>1124</v>
      </c>
      <c r="J266" s="3" t="s">
        <v>915</v>
      </c>
      <c r="K266" s="3" t="s">
        <v>1694</v>
      </c>
      <c r="L266" s="3"/>
      <c r="M266" s="3" t="b">
        <v>0</v>
      </c>
      <c r="N266" s="3" t="s">
        <v>1497</v>
      </c>
      <c r="O266" s="3" t="b">
        <v>1</v>
      </c>
      <c r="P266" s="35"/>
    </row>
    <row r="267" spans="1:16" hidden="1" x14ac:dyDescent="0.3">
      <c r="A267" s="27" t="s">
        <v>2180</v>
      </c>
      <c r="B267" s="3"/>
      <c r="C267" s="3" t="s">
        <v>916</v>
      </c>
      <c r="D267" s="3"/>
      <c r="E267" s="3" t="s">
        <v>51</v>
      </c>
      <c r="F267" s="3" t="s">
        <v>51</v>
      </c>
      <c r="G267" s="27"/>
      <c r="H267" s="11" t="s">
        <v>1286</v>
      </c>
      <c r="I267" s="16" t="s">
        <v>1124</v>
      </c>
      <c r="J267" s="3" t="s">
        <v>917</v>
      </c>
      <c r="K267" s="3" t="s">
        <v>1695</v>
      </c>
      <c r="L267" s="3"/>
      <c r="M267" s="3" t="b">
        <v>0</v>
      </c>
      <c r="N267" s="3" t="s">
        <v>1497</v>
      </c>
      <c r="O267" s="3" t="b">
        <v>1</v>
      </c>
      <c r="P267" s="35"/>
    </row>
    <row r="268" spans="1:16" hidden="1" x14ac:dyDescent="0.3">
      <c r="A268" s="27" t="s">
        <v>2180</v>
      </c>
      <c r="B268" s="3"/>
      <c r="C268" s="3" t="s">
        <v>918</v>
      </c>
      <c r="D268" s="3"/>
      <c r="E268" s="3" t="s">
        <v>51</v>
      </c>
      <c r="F268" s="3" t="s">
        <v>51</v>
      </c>
      <c r="G268" s="27"/>
      <c r="H268" s="11" t="s">
        <v>1288</v>
      </c>
      <c r="I268" s="16" t="s">
        <v>1124</v>
      </c>
      <c r="J268" s="3" t="s">
        <v>919</v>
      </c>
      <c r="K268" s="3" t="s">
        <v>1696</v>
      </c>
      <c r="L268" s="3"/>
      <c r="M268" s="3" t="b">
        <v>0</v>
      </c>
      <c r="N268" s="3" t="s">
        <v>1497</v>
      </c>
      <c r="O268" s="3" t="b">
        <v>1</v>
      </c>
      <c r="P268" s="35"/>
    </row>
    <row r="269" spans="1:16" hidden="1" x14ac:dyDescent="0.3">
      <c r="A269" s="27" t="s">
        <v>2180</v>
      </c>
      <c r="B269" s="3"/>
      <c r="C269" s="3" t="s">
        <v>912</v>
      </c>
      <c r="D269" s="3"/>
      <c r="E269" s="3" t="s">
        <v>51</v>
      </c>
      <c r="F269" s="3" t="s">
        <v>51</v>
      </c>
      <c r="G269" s="27"/>
      <c r="H269" s="11" t="s">
        <v>1017</v>
      </c>
      <c r="I269" s="16" t="s">
        <v>1124</v>
      </c>
      <c r="J269" s="3" t="s">
        <v>1233</v>
      </c>
      <c r="K269" s="3" t="s">
        <v>1686</v>
      </c>
      <c r="L269" s="3"/>
      <c r="M269" s="3" t="b">
        <v>1</v>
      </c>
      <c r="N269" s="3" t="s">
        <v>1497</v>
      </c>
      <c r="O269" s="3" t="b">
        <v>1</v>
      </c>
      <c r="P269" s="35"/>
    </row>
    <row r="270" spans="1:16" hidden="1" x14ac:dyDescent="0.3">
      <c r="A270" s="27" t="s">
        <v>2180</v>
      </c>
      <c r="B270" s="3"/>
      <c r="C270" s="3" t="s">
        <v>912</v>
      </c>
      <c r="D270" s="3"/>
      <c r="E270" s="3" t="s">
        <v>51</v>
      </c>
      <c r="F270" s="3" t="s">
        <v>51</v>
      </c>
      <c r="G270" s="27"/>
      <c r="H270" s="11" t="s">
        <v>1019</v>
      </c>
      <c r="I270" s="16" t="s">
        <v>1124</v>
      </c>
      <c r="J270" s="3" t="s">
        <v>1436</v>
      </c>
      <c r="K270" s="3" t="s">
        <v>1693</v>
      </c>
      <c r="L270" s="3"/>
      <c r="M270" s="3" t="b">
        <v>1</v>
      </c>
      <c r="N270" s="3" t="s">
        <v>1497</v>
      </c>
      <c r="O270" s="3" t="b">
        <v>1</v>
      </c>
      <c r="P270" s="35"/>
    </row>
    <row r="271" spans="1:16" hidden="1" x14ac:dyDescent="0.3">
      <c r="A271" s="27" t="s">
        <v>2181</v>
      </c>
      <c r="B271" s="3"/>
      <c r="C271" s="3" t="s">
        <v>898</v>
      </c>
      <c r="D271" s="3"/>
      <c r="E271" s="3" t="s">
        <v>51</v>
      </c>
      <c r="F271" s="3" t="s">
        <v>51</v>
      </c>
      <c r="G271" s="27"/>
      <c r="H271" s="11" t="s">
        <v>999</v>
      </c>
      <c r="I271" s="16" t="s">
        <v>1124</v>
      </c>
      <c r="J271" s="3" t="s">
        <v>1000</v>
      </c>
      <c r="K271" s="3" t="s">
        <v>1686</v>
      </c>
      <c r="L271" s="3"/>
      <c r="M271" s="3" t="b">
        <v>1</v>
      </c>
      <c r="N271" s="3" t="s">
        <v>1497</v>
      </c>
      <c r="O271" s="3" t="b">
        <v>1</v>
      </c>
      <c r="P271" s="35"/>
    </row>
    <row r="272" spans="1:16" hidden="1" x14ac:dyDescent="0.3">
      <c r="A272" s="27" t="s">
        <v>2181</v>
      </c>
      <c r="B272" s="3"/>
      <c r="C272" s="3" t="s">
        <v>898</v>
      </c>
      <c r="D272" s="3"/>
      <c r="E272" s="3" t="s">
        <v>51</v>
      </c>
      <c r="F272" s="3" t="s">
        <v>51</v>
      </c>
      <c r="G272" s="27"/>
      <c r="H272" s="11" t="s">
        <v>1517</v>
      </c>
      <c r="I272" s="16" t="s">
        <v>1124</v>
      </c>
      <c r="J272" s="3" t="s">
        <v>1521</v>
      </c>
      <c r="K272" s="3" t="s">
        <v>1687</v>
      </c>
      <c r="L272" s="3"/>
      <c r="M272" s="3" t="b">
        <v>0</v>
      </c>
      <c r="N272" s="3" t="s">
        <v>1497</v>
      </c>
      <c r="O272" s="3" t="b">
        <v>1</v>
      </c>
      <c r="P272" s="35"/>
    </row>
    <row r="273" spans="1:16" hidden="1" x14ac:dyDescent="0.3">
      <c r="A273" s="27" t="s">
        <v>2422</v>
      </c>
      <c r="B273" s="3"/>
      <c r="C273" s="3" t="s">
        <v>898</v>
      </c>
      <c r="D273" s="3"/>
      <c r="E273" s="3" t="s">
        <v>51</v>
      </c>
      <c r="F273" s="3" t="s">
        <v>51</v>
      </c>
      <c r="G273" s="27"/>
      <c r="H273" s="11" t="s">
        <v>999</v>
      </c>
      <c r="I273" s="16" t="s">
        <v>1124</v>
      </c>
      <c r="J273" s="3" t="s">
        <v>1000</v>
      </c>
      <c r="K273" s="3" t="s">
        <v>1686</v>
      </c>
      <c r="L273" s="3"/>
      <c r="M273" s="3" t="b">
        <v>1</v>
      </c>
      <c r="N273" s="3" t="s">
        <v>1497</v>
      </c>
      <c r="O273" s="3" t="b">
        <v>1</v>
      </c>
      <c r="P273" s="35"/>
    </row>
    <row r="274" spans="1:16" hidden="1" x14ac:dyDescent="0.3">
      <c r="A274" s="27" t="s">
        <v>2422</v>
      </c>
      <c r="B274" s="3"/>
      <c r="C274" s="3" t="s">
        <v>898</v>
      </c>
      <c r="D274" s="3"/>
      <c r="E274" s="3" t="s">
        <v>51</v>
      </c>
      <c r="F274" s="3" t="s">
        <v>51</v>
      </c>
      <c r="G274" s="27"/>
      <c r="H274" s="11" t="s">
        <v>1003</v>
      </c>
      <c r="I274" s="16" t="s">
        <v>1124</v>
      </c>
      <c r="J274" s="3" t="s">
        <v>1438</v>
      </c>
      <c r="K274" s="3" t="s">
        <v>1689</v>
      </c>
      <c r="L274" s="3"/>
      <c r="M274" s="3" t="b">
        <v>0</v>
      </c>
      <c r="N274" s="3" t="s">
        <v>1497</v>
      </c>
      <c r="O274" s="3" t="b">
        <v>1</v>
      </c>
      <c r="P274" s="35"/>
    </row>
    <row r="275" spans="1:16" hidden="1" x14ac:dyDescent="0.3">
      <c r="A275" s="27" t="s">
        <v>2422</v>
      </c>
      <c r="B275" s="3"/>
      <c r="C275" s="3" t="s">
        <v>2094</v>
      </c>
      <c r="D275" s="3"/>
      <c r="E275" s="3" t="s">
        <v>51</v>
      </c>
      <c r="F275" s="3" t="s">
        <v>51</v>
      </c>
      <c r="G275" s="27"/>
      <c r="H275" s="11" t="s">
        <v>2094</v>
      </c>
      <c r="I275" s="16" t="s">
        <v>1124</v>
      </c>
      <c r="J275" s="3" t="s">
        <v>2102</v>
      </c>
      <c r="K275" s="3" t="s">
        <v>1692</v>
      </c>
      <c r="L275" s="3"/>
      <c r="M275" s="3" t="b">
        <v>1</v>
      </c>
      <c r="N275" s="3" t="s">
        <v>1497</v>
      </c>
      <c r="O275" s="3" t="b">
        <v>1</v>
      </c>
      <c r="P275" s="35"/>
    </row>
    <row r="276" spans="1:16" hidden="1" x14ac:dyDescent="0.3">
      <c r="A276" s="27" t="s">
        <v>2422</v>
      </c>
      <c r="B276" s="3"/>
      <c r="C276" s="1" t="s">
        <v>1585</v>
      </c>
      <c r="D276" s="3"/>
      <c r="E276" s="3" t="s">
        <v>51</v>
      </c>
      <c r="F276" s="3" t="s">
        <v>51</v>
      </c>
      <c r="G276" s="27"/>
      <c r="H276" s="11" t="s">
        <v>2332</v>
      </c>
      <c r="I276" s="16" t="s">
        <v>1124</v>
      </c>
      <c r="J276" s="3" t="s">
        <v>2105</v>
      </c>
      <c r="K276" s="3" t="s">
        <v>2301</v>
      </c>
      <c r="L276" s="3"/>
      <c r="M276" s="3" t="b">
        <v>1</v>
      </c>
      <c r="N276" s="3" t="s">
        <v>1497</v>
      </c>
      <c r="O276" s="3" t="b">
        <v>1</v>
      </c>
      <c r="P276" s="35"/>
    </row>
    <row r="277" spans="1:16" hidden="1" x14ac:dyDescent="0.3">
      <c r="A277" s="27" t="s">
        <v>2422</v>
      </c>
      <c r="B277" s="3"/>
      <c r="C277" s="1" t="s">
        <v>1585</v>
      </c>
      <c r="D277" s="3"/>
      <c r="E277" s="3" t="s">
        <v>51</v>
      </c>
      <c r="F277" s="3" t="s">
        <v>51</v>
      </c>
      <c r="G277" s="27"/>
      <c r="H277" s="11" t="s">
        <v>1303</v>
      </c>
      <c r="I277" s="16" t="s">
        <v>1124</v>
      </c>
      <c r="J277" s="3" t="s">
        <v>2134</v>
      </c>
      <c r="K277" s="3" t="s">
        <v>2303</v>
      </c>
      <c r="L277" s="3"/>
      <c r="M277" s="3" t="b">
        <v>0</v>
      </c>
      <c r="N277" s="3" t="s">
        <v>1497</v>
      </c>
      <c r="O277" s="3" t="b">
        <v>0</v>
      </c>
      <c r="P277" s="35"/>
    </row>
    <row r="278" spans="1:16" hidden="1" x14ac:dyDescent="0.3">
      <c r="A278" s="27" t="s">
        <v>2422</v>
      </c>
      <c r="B278" s="3"/>
      <c r="C278" s="1" t="s">
        <v>1585</v>
      </c>
      <c r="D278" s="3"/>
      <c r="E278" s="3" t="s">
        <v>51</v>
      </c>
      <c r="F278" s="3" t="s">
        <v>51</v>
      </c>
      <c r="G278" s="27"/>
      <c r="H278" s="11" t="s">
        <v>1303</v>
      </c>
      <c r="I278" s="16" t="s">
        <v>1124</v>
      </c>
      <c r="J278" s="3" t="s">
        <v>2135</v>
      </c>
      <c r="K278" s="3" t="s">
        <v>2303</v>
      </c>
      <c r="L278" s="3"/>
      <c r="M278" s="3" t="b">
        <v>0</v>
      </c>
      <c r="N278" s="3" t="s">
        <v>1497</v>
      </c>
      <c r="O278" s="3" t="b">
        <v>0</v>
      </c>
      <c r="P278" s="35"/>
    </row>
    <row r="279" spans="1:16" hidden="1" x14ac:dyDescent="0.3">
      <c r="A279" s="27" t="s">
        <v>2422</v>
      </c>
      <c r="B279" s="3"/>
      <c r="C279" s="1" t="s">
        <v>1585</v>
      </c>
      <c r="D279" s="3"/>
      <c r="E279" s="3" t="s">
        <v>51</v>
      </c>
      <c r="F279" s="3" t="s">
        <v>51</v>
      </c>
      <c r="G279" s="27"/>
      <c r="H279" s="22" t="s">
        <v>1303</v>
      </c>
      <c r="I279" s="16" t="s">
        <v>1124</v>
      </c>
      <c r="J279" s="3" t="s">
        <v>2136</v>
      </c>
      <c r="K279" s="3" t="s">
        <v>2303</v>
      </c>
      <c r="L279" s="3"/>
      <c r="M279" s="3" t="b">
        <v>0</v>
      </c>
      <c r="N279" s="3" t="s">
        <v>1497</v>
      </c>
      <c r="O279" s="3" t="b">
        <v>0</v>
      </c>
      <c r="P279" s="35"/>
    </row>
    <row r="280" spans="1:16" hidden="1" x14ac:dyDescent="0.3">
      <c r="A280" s="27" t="s">
        <v>2422</v>
      </c>
      <c r="B280" s="3"/>
      <c r="C280" s="1" t="s">
        <v>1585</v>
      </c>
      <c r="D280" s="3"/>
      <c r="E280" s="3" t="s">
        <v>51</v>
      </c>
      <c r="F280" s="3" t="s">
        <v>51</v>
      </c>
      <c r="G280" s="27"/>
      <c r="H280" s="22" t="s">
        <v>1303</v>
      </c>
      <c r="I280" s="16" t="s">
        <v>1124</v>
      </c>
      <c r="J280" s="3" t="s">
        <v>2137</v>
      </c>
      <c r="K280" s="3" t="s">
        <v>2303</v>
      </c>
      <c r="L280" s="3"/>
      <c r="M280" s="3" t="b">
        <v>0</v>
      </c>
      <c r="N280" s="3" t="s">
        <v>1497</v>
      </c>
      <c r="O280" s="3" t="b">
        <v>0</v>
      </c>
      <c r="P280" s="35"/>
    </row>
    <row r="281" spans="1:16" hidden="1" x14ac:dyDescent="0.3">
      <c r="A281" s="27" t="s">
        <v>2422</v>
      </c>
      <c r="B281" s="3"/>
      <c r="C281" s="1" t="s">
        <v>1585</v>
      </c>
      <c r="D281" s="3"/>
      <c r="E281" s="3" t="s">
        <v>51</v>
      </c>
      <c r="F281" s="3" t="s">
        <v>51</v>
      </c>
      <c r="G281" s="27"/>
      <c r="H281" s="22" t="s">
        <v>1303</v>
      </c>
      <c r="I281" s="16" t="s">
        <v>1124</v>
      </c>
      <c r="J281" s="3" t="s">
        <v>2138</v>
      </c>
      <c r="K281" s="3" t="s">
        <v>2303</v>
      </c>
      <c r="L281" s="3"/>
      <c r="M281" s="3" t="b">
        <v>0</v>
      </c>
      <c r="N281" s="3" t="s">
        <v>1497</v>
      </c>
      <c r="O281" s="3" t="b">
        <v>0</v>
      </c>
      <c r="P281" s="35"/>
    </row>
    <row r="282" spans="1:16" hidden="1" x14ac:dyDescent="0.3">
      <c r="A282" s="27" t="s">
        <v>2422</v>
      </c>
      <c r="B282" s="3"/>
      <c r="C282" s="1" t="s">
        <v>1585</v>
      </c>
      <c r="D282" s="3"/>
      <c r="E282" s="3" t="s">
        <v>51</v>
      </c>
      <c r="F282" s="3" t="s">
        <v>51</v>
      </c>
      <c r="G282" s="27"/>
      <c r="H282" s="22" t="s">
        <v>1303</v>
      </c>
      <c r="I282" s="16" t="s">
        <v>1124</v>
      </c>
      <c r="J282" s="3" t="s">
        <v>2139</v>
      </c>
      <c r="K282" s="3" t="s">
        <v>2303</v>
      </c>
      <c r="L282" s="3"/>
      <c r="M282" s="3" t="b">
        <v>0</v>
      </c>
      <c r="N282" s="3" t="s">
        <v>1497</v>
      </c>
      <c r="O282" s="3" t="b">
        <v>0</v>
      </c>
      <c r="P282" s="35"/>
    </row>
    <row r="283" spans="1:16" hidden="1" x14ac:dyDescent="0.3">
      <c r="A283" s="27" t="s">
        <v>2422</v>
      </c>
      <c r="B283" s="3"/>
      <c r="C283" s="1" t="s">
        <v>1585</v>
      </c>
      <c r="D283" s="3"/>
      <c r="E283" s="3" t="s">
        <v>51</v>
      </c>
      <c r="F283" s="3" t="s">
        <v>51</v>
      </c>
      <c r="G283" s="27"/>
      <c r="H283" s="11" t="s">
        <v>1303</v>
      </c>
      <c r="I283" s="16" t="s">
        <v>1124</v>
      </c>
      <c r="J283" s="3" t="s">
        <v>2140</v>
      </c>
      <c r="K283" s="3" t="s">
        <v>2303</v>
      </c>
      <c r="L283" s="3"/>
      <c r="M283" s="3" t="b">
        <v>0</v>
      </c>
      <c r="N283" s="3" t="s">
        <v>1497</v>
      </c>
      <c r="O283" s="3" t="b">
        <v>0</v>
      </c>
      <c r="P283" s="35"/>
    </row>
    <row r="284" spans="1:16" hidden="1" x14ac:dyDescent="0.3">
      <c r="A284" s="27" t="s">
        <v>2422</v>
      </c>
      <c r="B284" s="3"/>
      <c r="C284" s="1" t="s">
        <v>1585</v>
      </c>
      <c r="D284" s="3"/>
      <c r="E284" s="3" t="s">
        <v>51</v>
      </c>
      <c r="F284" s="3" t="s">
        <v>51</v>
      </c>
      <c r="G284" s="27"/>
      <c r="H284" s="11" t="s">
        <v>1303</v>
      </c>
      <c r="I284" s="16" t="s">
        <v>1124</v>
      </c>
      <c r="J284" s="3" t="s">
        <v>2141</v>
      </c>
      <c r="K284" s="3" t="s">
        <v>2303</v>
      </c>
      <c r="L284" s="3"/>
      <c r="M284" s="3" t="b">
        <v>0</v>
      </c>
      <c r="N284" s="3" t="s">
        <v>1497</v>
      </c>
      <c r="O284" s="3" t="b">
        <v>0</v>
      </c>
      <c r="P284" s="35"/>
    </row>
    <row r="285" spans="1:16" hidden="1" x14ac:dyDescent="0.3">
      <c r="A285" s="27" t="s">
        <v>2422</v>
      </c>
      <c r="B285" s="3"/>
      <c r="C285" s="1" t="s">
        <v>1585</v>
      </c>
      <c r="D285" s="3"/>
      <c r="E285" s="3" t="s">
        <v>51</v>
      </c>
      <c r="F285" s="3" t="s">
        <v>51</v>
      </c>
      <c r="G285" s="27"/>
      <c r="H285" s="11" t="s">
        <v>1303</v>
      </c>
      <c r="I285" s="16" t="s">
        <v>1124</v>
      </c>
      <c r="J285" s="3" t="s">
        <v>2142</v>
      </c>
      <c r="K285" s="3" t="s">
        <v>2303</v>
      </c>
      <c r="L285" s="3"/>
      <c r="M285" s="3" t="b">
        <v>0</v>
      </c>
      <c r="N285" s="3" t="s">
        <v>1497</v>
      </c>
      <c r="O285" s="3" t="b">
        <v>0</v>
      </c>
      <c r="P285" s="35"/>
    </row>
    <row r="286" spans="1:16" hidden="1" x14ac:dyDescent="0.3">
      <c r="A286" s="27" t="s">
        <v>2422</v>
      </c>
      <c r="B286" s="3"/>
      <c r="C286" s="1" t="s">
        <v>1585</v>
      </c>
      <c r="D286" s="3"/>
      <c r="E286" s="3" t="s">
        <v>51</v>
      </c>
      <c r="F286" s="3" t="s">
        <v>51</v>
      </c>
      <c r="G286" s="27"/>
      <c r="H286" s="11" t="s">
        <v>1303</v>
      </c>
      <c r="I286" s="16" t="s">
        <v>1124</v>
      </c>
      <c r="J286" s="3" t="s">
        <v>2143</v>
      </c>
      <c r="K286" s="3" t="s">
        <v>2303</v>
      </c>
      <c r="L286" s="3"/>
      <c r="M286" s="3" t="b">
        <v>0</v>
      </c>
      <c r="N286" s="3" t="s">
        <v>1497</v>
      </c>
      <c r="O286" s="3" t="b">
        <v>0</v>
      </c>
      <c r="P286" s="35"/>
    </row>
    <row r="287" spans="1:16" hidden="1" x14ac:dyDescent="0.3">
      <c r="A287" s="27" t="s">
        <v>2422</v>
      </c>
      <c r="B287" s="3"/>
      <c r="C287" s="1" t="s">
        <v>1585</v>
      </c>
      <c r="D287" s="3"/>
      <c r="E287" s="3" t="s">
        <v>51</v>
      </c>
      <c r="F287" s="3" t="s">
        <v>51</v>
      </c>
      <c r="G287" s="27"/>
      <c r="H287" s="11" t="s">
        <v>1303</v>
      </c>
      <c r="I287" s="16" t="s">
        <v>1124</v>
      </c>
      <c r="J287" s="3" t="s">
        <v>2144</v>
      </c>
      <c r="K287" s="3" t="s">
        <v>2303</v>
      </c>
      <c r="L287" s="3"/>
      <c r="M287" s="3" t="b">
        <v>0</v>
      </c>
      <c r="N287" s="3" t="s">
        <v>1497</v>
      </c>
      <c r="O287" s="3" t="b">
        <v>0</v>
      </c>
      <c r="P287" s="35"/>
    </row>
    <row r="288" spans="1:16" hidden="1" x14ac:dyDescent="0.3">
      <c r="A288" s="27" t="s">
        <v>2422</v>
      </c>
      <c r="B288" s="3"/>
      <c r="C288" s="1" t="s">
        <v>1585</v>
      </c>
      <c r="D288" s="3"/>
      <c r="E288" s="3" t="s">
        <v>51</v>
      </c>
      <c r="F288" s="3" t="s">
        <v>51</v>
      </c>
      <c r="G288" s="27"/>
      <c r="H288" s="11" t="s">
        <v>1303</v>
      </c>
      <c r="I288" s="16" t="s">
        <v>1124</v>
      </c>
      <c r="J288" s="3" t="s">
        <v>2145</v>
      </c>
      <c r="K288" s="3" t="s">
        <v>2303</v>
      </c>
      <c r="L288" s="3"/>
      <c r="M288" s="3" t="b">
        <v>0</v>
      </c>
      <c r="N288" s="3" t="s">
        <v>1497</v>
      </c>
      <c r="O288" s="3" t="b">
        <v>0</v>
      </c>
      <c r="P288" s="35"/>
    </row>
    <row r="289" spans="1:16" hidden="1" x14ac:dyDescent="0.3">
      <c r="A289" s="27" t="s">
        <v>2422</v>
      </c>
      <c r="B289" s="3"/>
      <c r="C289" s="1" t="s">
        <v>1585</v>
      </c>
      <c r="D289" s="3"/>
      <c r="E289" s="3" t="s">
        <v>51</v>
      </c>
      <c r="F289" s="3" t="s">
        <v>51</v>
      </c>
      <c r="G289" s="27"/>
      <c r="H289" s="11" t="s">
        <v>1435</v>
      </c>
      <c r="I289" s="16" t="s">
        <v>1124</v>
      </c>
      <c r="J289" s="3" t="s">
        <v>2174</v>
      </c>
      <c r="K289" s="3" t="s">
        <v>2311</v>
      </c>
      <c r="L289" s="3"/>
      <c r="M289" s="3" t="b">
        <v>1</v>
      </c>
      <c r="N289" s="3" t="s">
        <v>1497</v>
      </c>
      <c r="O289" s="3" t="b">
        <v>1</v>
      </c>
      <c r="P289" s="35"/>
    </row>
    <row r="290" spans="1:16" hidden="1" x14ac:dyDescent="0.3">
      <c r="A290" s="27" t="s">
        <v>2422</v>
      </c>
      <c r="B290" s="3"/>
      <c r="C290" s="1" t="s">
        <v>1585</v>
      </c>
      <c r="D290" s="3"/>
      <c r="E290" s="3" t="s">
        <v>51</v>
      </c>
      <c r="F290" s="3" t="s">
        <v>51</v>
      </c>
      <c r="G290" s="27"/>
      <c r="H290" s="11" t="s">
        <v>1303</v>
      </c>
      <c r="I290" s="16" t="s">
        <v>1124</v>
      </c>
      <c r="J290" s="3" t="s">
        <v>2165</v>
      </c>
      <c r="K290" s="3" t="s">
        <v>2303</v>
      </c>
      <c r="L290" s="3"/>
      <c r="M290" s="3" t="b">
        <v>0</v>
      </c>
      <c r="N290" s="3" t="s">
        <v>1497</v>
      </c>
      <c r="O290" s="3" t="b">
        <v>0</v>
      </c>
      <c r="P290" s="35"/>
    </row>
    <row r="291" spans="1:16" hidden="1" x14ac:dyDescent="0.3">
      <c r="A291" s="27" t="s">
        <v>2422</v>
      </c>
      <c r="B291" s="3"/>
      <c r="C291" s="1" t="s">
        <v>1585</v>
      </c>
      <c r="D291" s="3"/>
      <c r="E291" s="3" t="s">
        <v>51</v>
      </c>
      <c r="F291" s="3" t="s">
        <v>51</v>
      </c>
      <c r="G291" s="27"/>
      <c r="H291" s="11" t="s">
        <v>1303</v>
      </c>
      <c r="I291" s="16" t="s">
        <v>1124</v>
      </c>
      <c r="J291" s="3" t="s">
        <v>2146</v>
      </c>
      <c r="K291" s="3" t="s">
        <v>2303</v>
      </c>
      <c r="L291" s="3"/>
      <c r="M291" s="3" t="b">
        <v>0</v>
      </c>
      <c r="N291" s="3" t="s">
        <v>1497</v>
      </c>
      <c r="O291" s="3" t="b">
        <v>0</v>
      </c>
      <c r="P291" s="35"/>
    </row>
    <row r="292" spans="1:16" hidden="1" x14ac:dyDescent="0.3">
      <c r="A292" s="27" t="s">
        <v>2422</v>
      </c>
      <c r="B292" s="3"/>
      <c r="C292" s="1" t="s">
        <v>1585</v>
      </c>
      <c r="D292" s="3"/>
      <c r="E292" s="3" t="s">
        <v>51</v>
      </c>
      <c r="F292" s="3" t="s">
        <v>51</v>
      </c>
      <c r="G292" s="27"/>
      <c r="H292" s="11" t="s">
        <v>1303</v>
      </c>
      <c r="I292" s="16" t="s">
        <v>1124</v>
      </c>
      <c r="J292" s="3" t="s">
        <v>2147</v>
      </c>
      <c r="K292" s="3" t="s">
        <v>2303</v>
      </c>
      <c r="L292" s="3"/>
      <c r="M292" s="3" t="b">
        <v>0</v>
      </c>
      <c r="N292" s="3" t="s">
        <v>1497</v>
      </c>
      <c r="O292" s="3" t="b">
        <v>0</v>
      </c>
      <c r="P292" s="35"/>
    </row>
    <row r="293" spans="1:16" hidden="1" x14ac:dyDescent="0.3">
      <c r="A293" s="27" t="s">
        <v>2422</v>
      </c>
      <c r="B293" s="3"/>
      <c r="C293" s="1" t="s">
        <v>1585</v>
      </c>
      <c r="D293" s="3"/>
      <c r="E293" s="3" t="s">
        <v>51</v>
      </c>
      <c r="F293" s="3" t="s">
        <v>51</v>
      </c>
      <c r="G293" s="27"/>
      <c r="H293" s="11"/>
      <c r="I293" s="16" t="s">
        <v>1124</v>
      </c>
      <c r="J293" s="3" t="s">
        <v>2148</v>
      </c>
      <c r="K293" s="3" t="s">
        <v>2303</v>
      </c>
      <c r="L293" s="3"/>
      <c r="M293" s="3" t="b">
        <v>0</v>
      </c>
      <c r="N293" s="3" t="s">
        <v>1497</v>
      </c>
      <c r="O293" s="3" t="b">
        <v>0</v>
      </c>
      <c r="P293" s="35"/>
    </row>
    <row r="294" spans="1:16" hidden="1" x14ac:dyDescent="0.3">
      <c r="A294" s="27" t="s">
        <v>2422</v>
      </c>
      <c r="B294" s="3"/>
      <c r="C294" s="3" t="s">
        <v>1585</v>
      </c>
      <c r="D294" s="3"/>
      <c r="E294" s="3" t="s">
        <v>51</v>
      </c>
      <c r="F294" s="3" t="s">
        <v>51</v>
      </c>
      <c r="G294" s="27"/>
      <c r="H294" s="11"/>
      <c r="I294" s="16" t="s">
        <v>1124</v>
      </c>
      <c r="J294" s="3" t="s">
        <v>2149</v>
      </c>
      <c r="K294" s="3" t="s">
        <v>2303</v>
      </c>
      <c r="L294" s="3"/>
      <c r="M294" s="3" t="b">
        <v>0</v>
      </c>
      <c r="N294" s="3" t="s">
        <v>1497</v>
      </c>
      <c r="O294" s="3" t="b">
        <v>0</v>
      </c>
      <c r="P294" s="35"/>
    </row>
    <row r="295" spans="1:16" hidden="1" x14ac:dyDescent="0.3">
      <c r="A295" s="27" t="s">
        <v>2422</v>
      </c>
      <c r="B295" s="3"/>
      <c r="C295" s="1" t="s">
        <v>1585</v>
      </c>
      <c r="D295" s="3"/>
      <c r="E295" s="3" t="s">
        <v>51</v>
      </c>
      <c r="F295" s="3" t="s">
        <v>51</v>
      </c>
      <c r="G295" s="27"/>
      <c r="H295" s="11"/>
      <c r="I295" s="16" t="s">
        <v>1124</v>
      </c>
      <c r="J295" s="3" t="s">
        <v>2150</v>
      </c>
      <c r="K295" s="3" t="s">
        <v>2314</v>
      </c>
      <c r="L295" s="3"/>
      <c r="M295" s="3" t="b">
        <v>0</v>
      </c>
      <c r="N295" s="3" t="s">
        <v>1497</v>
      </c>
      <c r="O295" s="3" t="b">
        <v>0</v>
      </c>
      <c r="P295" s="35"/>
    </row>
    <row r="296" spans="1:16" hidden="1" x14ac:dyDescent="0.3">
      <c r="A296" s="27" t="s">
        <v>2422</v>
      </c>
      <c r="B296" s="3"/>
      <c r="C296" s="3" t="s">
        <v>906</v>
      </c>
      <c r="D296" s="3"/>
      <c r="E296" s="3" t="s">
        <v>51</v>
      </c>
      <c r="F296" s="3" t="s">
        <v>51</v>
      </c>
      <c r="G296" s="27"/>
      <c r="H296" s="11" t="s">
        <v>1205</v>
      </c>
      <c r="I296" s="16" t="s">
        <v>1124</v>
      </c>
      <c r="J296" s="3" t="s">
        <v>1609</v>
      </c>
      <c r="K296" s="3" t="s">
        <v>2305</v>
      </c>
      <c r="L296" s="3"/>
      <c r="M296" s="3" t="b">
        <v>1</v>
      </c>
      <c r="N296" s="3" t="s">
        <v>1497</v>
      </c>
      <c r="O296" s="3" t="b">
        <v>1</v>
      </c>
      <c r="P296" s="35"/>
    </row>
    <row r="297" spans="1:16" hidden="1" x14ac:dyDescent="0.3">
      <c r="A297" s="27" t="s">
        <v>2422</v>
      </c>
      <c r="B297" s="3"/>
      <c r="C297" s="3" t="s">
        <v>906</v>
      </c>
      <c r="D297" s="3"/>
      <c r="E297" s="3" t="s">
        <v>51</v>
      </c>
      <c r="F297" s="3" t="s">
        <v>51</v>
      </c>
      <c r="G297" s="27"/>
      <c r="H297" s="11" t="s">
        <v>1209</v>
      </c>
      <c r="I297" s="16" t="s">
        <v>1124</v>
      </c>
      <c r="J297" s="3" t="s">
        <v>1437</v>
      </c>
      <c r="K297" s="3" t="s">
        <v>2310</v>
      </c>
      <c r="L297" s="3"/>
      <c r="M297" s="3" t="b">
        <v>1</v>
      </c>
      <c r="N297" s="3" t="s">
        <v>1497</v>
      </c>
      <c r="O297" s="3" t="b">
        <v>1</v>
      </c>
      <c r="P297" s="35"/>
    </row>
    <row r="298" spans="1:16" hidden="1" x14ac:dyDescent="0.3">
      <c r="A298" s="27" t="s">
        <v>2422</v>
      </c>
      <c r="B298" s="3"/>
      <c r="C298" s="3" t="s">
        <v>1940</v>
      </c>
      <c r="D298" s="3"/>
      <c r="E298" s="3" t="s">
        <v>51</v>
      </c>
      <c r="F298" s="3" t="s">
        <v>51</v>
      </c>
      <c r="G298" s="27"/>
      <c r="H298" s="11" t="s">
        <v>1949</v>
      </c>
      <c r="I298" s="16" t="s">
        <v>1124</v>
      </c>
      <c r="J298" s="3" t="s">
        <v>1942</v>
      </c>
      <c r="K298" s="3" t="s">
        <v>1955</v>
      </c>
      <c r="L298" s="3"/>
      <c r="M298" s="3" t="b">
        <v>0</v>
      </c>
      <c r="N298" s="3" t="s">
        <v>1497</v>
      </c>
      <c r="O298" s="3" t="b">
        <v>1</v>
      </c>
      <c r="P298" s="35"/>
    </row>
    <row r="299" spans="1:16" hidden="1" x14ac:dyDescent="0.3">
      <c r="A299" s="27" t="s">
        <v>2422</v>
      </c>
      <c r="B299" s="3"/>
      <c r="C299" s="3" t="s">
        <v>914</v>
      </c>
      <c r="D299" s="3"/>
      <c r="E299" s="3" t="s">
        <v>51</v>
      </c>
      <c r="F299" s="3" t="s">
        <v>51</v>
      </c>
      <c r="G299" s="27"/>
      <c r="H299" s="11" t="s">
        <v>1284</v>
      </c>
      <c r="I299" s="16" t="s">
        <v>1124</v>
      </c>
      <c r="J299" s="3" t="s">
        <v>915</v>
      </c>
      <c r="K299" s="3" t="s">
        <v>1694</v>
      </c>
      <c r="L299" s="3"/>
      <c r="M299" s="3" t="b">
        <v>0</v>
      </c>
      <c r="N299" s="3" t="s">
        <v>1497</v>
      </c>
      <c r="O299" s="3" t="b">
        <v>1</v>
      </c>
      <c r="P299" s="35"/>
    </row>
    <row r="300" spans="1:16" hidden="1" x14ac:dyDescent="0.3">
      <c r="A300" s="27" t="s">
        <v>2422</v>
      </c>
      <c r="B300" s="3"/>
      <c r="C300" s="3" t="s">
        <v>918</v>
      </c>
      <c r="D300" s="3"/>
      <c r="E300" s="3" t="s">
        <v>51</v>
      </c>
      <c r="F300" s="3" t="s">
        <v>51</v>
      </c>
      <c r="G300" s="27"/>
      <c r="H300" s="11" t="s">
        <v>1288</v>
      </c>
      <c r="I300" s="16" t="s">
        <v>1124</v>
      </c>
      <c r="J300" s="3" t="s">
        <v>919</v>
      </c>
      <c r="K300" s="3" t="s">
        <v>1696</v>
      </c>
      <c r="L300" s="3"/>
      <c r="M300" s="3" t="b">
        <v>0</v>
      </c>
      <c r="N300" s="3" t="s">
        <v>1497</v>
      </c>
      <c r="O300" s="3" t="b">
        <v>1</v>
      </c>
      <c r="P300" s="35"/>
    </row>
    <row r="301" spans="1:16" hidden="1" x14ac:dyDescent="0.3">
      <c r="A301" s="27" t="s">
        <v>2422</v>
      </c>
      <c r="B301" s="3"/>
      <c r="C301" s="3" t="s">
        <v>912</v>
      </c>
      <c r="D301" s="3"/>
      <c r="E301" s="3" t="s">
        <v>51</v>
      </c>
      <c r="F301" s="3" t="s">
        <v>51</v>
      </c>
      <c r="G301" s="27"/>
      <c r="H301" s="11" t="s">
        <v>1017</v>
      </c>
      <c r="I301" s="16" t="s">
        <v>1124</v>
      </c>
      <c r="J301" s="3" t="s">
        <v>1233</v>
      </c>
      <c r="K301" s="3" t="s">
        <v>1686</v>
      </c>
      <c r="L301" s="3"/>
      <c r="M301" s="3" t="b">
        <v>1</v>
      </c>
      <c r="N301" s="3" t="s">
        <v>1497</v>
      </c>
      <c r="O301" s="3" t="b">
        <v>1</v>
      </c>
      <c r="P301" s="35"/>
    </row>
    <row r="302" spans="1:16" hidden="1" x14ac:dyDescent="0.3">
      <c r="A302" s="27" t="s">
        <v>2422</v>
      </c>
      <c r="B302" s="3"/>
      <c r="C302" s="3" t="s">
        <v>912</v>
      </c>
      <c r="D302" s="3"/>
      <c r="E302" s="3" t="s">
        <v>51</v>
      </c>
      <c r="F302" s="3" t="s">
        <v>51</v>
      </c>
      <c r="G302" s="27"/>
      <c r="H302" s="11" t="s">
        <v>1019</v>
      </c>
      <c r="I302" s="16" t="s">
        <v>1124</v>
      </c>
      <c r="J302" s="3" t="s">
        <v>1436</v>
      </c>
      <c r="K302" s="3" t="s">
        <v>1693</v>
      </c>
      <c r="L302" s="3"/>
      <c r="M302" s="3" t="b">
        <v>1</v>
      </c>
      <c r="N302" s="3" t="s">
        <v>1497</v>
      </c>
      <c r="O302" s="3" t="b">
        <v>1</v>
      </c>
      <c r="P302" s="35"/>
    </row>
    <row r="303" spans="1:16" hidden="1" x14ac:dyDescent="0.3">
      <c r="A303" s="27" t="s">
        <v>2422</v>
      </c>
      <c r="B303" s="3"/>
      <c r="C303" s="3" t="s">
        <v>1623</v>
      </c>
      <c r="D303" s="3"/>
      <c r="E303" s="3" t="s">
        <v>51</v>
      </c>
      <c r="F303" s="3" t="s">
        <v>51</v>
      </c>
      <c r="G303" s="27"/>
      <c r="H303" s="11" t="s">
        <v>1296</v>
      </c>
      <c r="I303" s="16" t="s">
        <v>1124</v>
      </c>
      <c r="J303" s="3" t="s">
        <v>1625</v>
      </c>
      <c r="K303" s="3" t="s">
        <v>1697</v>
      </c>
      <c r="L303" s="3"/>
      <c r="M303" s="3" t="b">
        <v>1</v>
      </c>
      <c r="N303" s="3" t="s">
        <v>1497</v>
      </c>
      <c r="O303" s="3" t="b">
        <v>1</v>
      </c>
      <c r="P303" s="35"/>
    </row>
    <row r="304" spans="1:16" hidden="1" x14ac:dyDescent="0.3">
      <c r="A304" s="27" t="s">
        <v>2422</v>
      </c>
      <c r="B304" s="3"/>
      <c r="C304" s="3" t="s">
        <v>1558</v>
      </c>
      <c r="D304" s="3"/>
      <c r="E304" s="3" t="s">
        <v>51</v>
      </c>
      <c r="F304" s="3" t="s">
        <v>51</v>
      </c>
      <c r="G304" s="27"/>
      <c r="H304" s="11" t="s">
        <v>1558</v>
      </c>
      <c r="I304" s="16" t="s">
        <v>1124</v>
      </c>
      <c r="J304" s="3" t="s">
        <v>1562</v>
      </c>
      <c r="K304" s="3" t="s">
        <v>2054</v>
      </c>
      <c r="L304" s="3"/>
      <c r="M304" s="3" t="b">
        <v>1</v>
      </c>
      <c r="N304" s="3" t="s">
        <v>1497</v>
      </c>
      <c r="O304" s="3" t="b">
        <v>1</v>
      </c>
      <c r="P304" s="35"/>
    </row>
    <row r="305" spans="1:16" hidden="1" x14ac:dyDescent="0.3">
      <c r="A305" s="27" t="s">
        <v>2422</v>
      </c>
      <c r="B305" s="3"/>
      <c r="C305" s="3" t="s">
        <v>1560</v>
      </c>
      <c r="D305" s="3"/>
      <c r="E305" s="3" t="s">
        <v>51</v>
      </c>
      <c r="F305" s="3" t="s">
        <v>51</v>
      </c>
      <c r="G305" s="27"/>
      <c r="H305" s="11" t="s">
        <v>1560</v>
      </c>
      <c r="I305" s="16" t="s">
        <v>1124</v>
      </c>
      <c r="J305" s="3" t="s">
        <v>1561</v>
      </c>
      <c r="K305" s="3" t="s">
        <v>1698</v>
      </c>
      <c r="L305" s="3"/>
      <c r="M305" s="3" t="b">
        <v>1</v>
      </c>
      <c r="N305" s="3" t="s">
        <v>1497</v>
      </c>
      <c r="O305" s="3" t="b">
        <v>1</v>
      </c>
      <c r="P305" s="35"/>
    </row>
    <row r="306" spans="1:16" hidden="1" x14ac:dyDescent="0.3">
      <c r="A306" s="27" t="s">
        <v>2431</v>
      </c>
      <c r="B306" s="3"/>
      <c r="C306" s="3" t="s">
        <v>898</v>
      </c>
      <c r="D306" s="3"/>
      <c r="E306" s="3" t="s">
        <v>51</v>
      </c>
      <c r="F306" s="3" t="s">
        <v>51</v>
      </c>
      <c r="G306" s="27"/>
      <c r="H306" s="11" t="s">
        <v>999</v>
      </c>
      <c r="I306" s="16" t="s">
        <v>1124</v>
      </c>
      <c r="J306" s="3" t="s">
        <v>1000</v>
      </c>
      <c r="K306" s="3" t="s">
        <v>1686</v>
      </c>
      <c r="L306" s="3"/>
      <c r="M306" s="3" t="b">
        <v>1</v>
      </c>
      <c r="N306" s="3" t="s">
        <v>1497</v>
      </c>
      <c r="O306" s="3" t="b">
        <v>1</v>
      </c>
      <c r="P306" s="35"/>
    </row>
    <row r="307" spans="1:16" hidden="1" x14ac:dyDescent="0.3">
      <c r="A307" s="27" t="s">
        <v>2431</v>
      </c>
      <c r="B307" s="3"/>
      <c r="C307" s="3" t="s">
        <v>898</v>
      </c>
      <c r="D307" s="3"/>
      <c r="E307" s="3" t="s">
        <v>51</v>
      </c>
      <c r="F307" s="3" t="s">
        <v>51</v>
      </c>
      <c r="G307" s="27"/>
      <c r="H307" s="11" t="s">
        <v>1005</v>
      </c>
      <c r="I307" s="16" t="s">
        <v>1124</v>
      </c>
      <c r="J307" s="3" t="s">
        <v>1439</v>
      </c>
      <c r="K307" s="3" t="s">
        <v>1690</v>
      </c>
      <c r="L307" s="3"/>
      <c r="M307" s="3" t="b">
        <v>0</v>
      </c>
      <c r="N307" s="3" t="s">
        <v>1497</v>
      </c>
      <c r="O307" s="3" t="b">
        <v>1</v>
      </c>
      <c r="P307" s="35"/>
    </row>
    <row r="308" spans="1:16" hidden="1" x14ac:dyDescent="0.3">
      <c r="A308" s="27" t="s">
        <v>2431</v>
      </c>
      <c r="B308" s="3"/>
      <c r="C308" s="3" t="s">
        <v>2094</v>
      </c>
      <c r="D308" s="3"/>
      <c r="E308" s="3" t="s">
        <v>51</v>
      </c>
      <c r="F308" s="3" t="s">
        <v>51</v>
      </c>
      <c r="G308" s="27"/>
      <c r="H308" s="11" t="s">
        <v>2094</v>
      </c>
      <c r="I308" s="16" t="s">
        <v>1124</v>
      </c>
      <c r="J308" s="3" t="s">
        <v>2102</v>
      </c>
      <c r="K308" s="3" t="s">
        <v>1692</v>
      </c>
      <c r="L308" s="3"/>
      <c r="M308" s="3" t="b">
        <v>1</v>
      </c>
      <c r="N308" s="3" t="s">
        <v>1497</v>
      </c>
      <c r="O308" s="3" t="b">
        <v>1</v>
      </c>
      <c r="P308" s="35"/>
    </row>
    <row r="309" spans="1:16" hidden="1" x14ac:dyDescent="0.3">
      <c r="A309" s="27" t="s">
        <v>2431</v>
      </c>
      <c r="B309" s="3"/>
      <c r="C309" s="1" t="s">
        <v>1585</v>
      </c>
      <c r="D309" s="3"/>
      <c r="E309" s="3" t="s">
        <v>51</v>
      </c>
      <c r="F309" s="3" t="s">
        <v>51</v>
      </c>
      <c r="G309" s="27"/>
      <c r="H309" s="11" t="s">
        <v>2333</v>
      </c>
      <c r="I309" s="16" t="s">
        <v>1124</v>
      </c>
      <c r="J309" s="3" t="s">
        <v>2151</v>
      </c>
      <c r="K309" s="3" t="s">
        <v>2300</v>
      </c>
      <c r="L309" s="3"/>
      <c r="M309" s="3" t="b">
        <v>1</v>
      </c>
      <c r="N309" s="3" t="s">
        <v>1497</v>
      </c>
      <c r="O309" s="3" t="b">
        <v>1</v>
      </c>
      <c r="P309" s="35"/>
    </row>
    <row r="310" spans="1:16" hidden="1" x14ac:dyDescent="0.3">
      <c r="A310" s="27" t="s">
        <v>2431</v>
      </c>
      <c r="B310" s="3"/>
      <c r="C310" s="1" t="s">
        <v>1585</v>
      </c>
      <c r="D310" s="3"/>
      <c r="E310" s="3" t="s">
        <v>51</v>
      </c>
      <c r="F310" s="3" t="s">
        <v>51</v>
      </c>
      <c r="G310" s="27"/>
      <c r="H310" s="11" t="s">
        <v>2334</v>
      </c>
      <c r="I310" s="16" t="s">
        <v>1124</v>
      </c>
      <c r="J310" s="3" t="s">
        <v>2152</v>
      </c>
      <c r="K310" s="3" t="s">
        <v>2302</v>
      </c>
      <c r="L310" s="3"/>
      <c r="M310" s="3" t="b">
        <v>1</v>
      </c>
      <c r="N310" s="3" t="s">
        <v>1497</v>
      </c>
      <c r="O310" s="3" t="b">
        <v>1</v>
      </c>
      <c r="P310" s="35"/>
    </row>
    <row r="311" spans="1:16" hidden="1" x14ac:dyDescent="0.3">
      <c r="A311" s="27" t="s">
        <v>2431</v>
      </c>
      <c r="B311" s="3"/>
      <c r="C311" s="1" t="s">
        <v>1585</v>
      </c>
      <c r="D311" s="3"/>
      <c r="E311" s="3" t="s">
        <v>51</v>
      </c>
      <c r="F311" s="3" t="s">
        <v>51</v>
      </c>
      <c r="G311" s="27"/>
      <c r="H311" s="22" t="s">
        <v>1303</v>
      </c>
      <c r="I311" s="16" t="s">
        <v>1124</v>
      </c>
      <c r="J311" s="3" t="s">
        <v>2153</v>
      </c>
      <c r="K311" s="3" t="s">
        <v>2303</v>
      </c>
      <c r="L311" s="3"/>
      <c r="M311" s="3" t="b">
        <v>0</v>
      </c>
      <c r="N311" s="3" t="s">
        <v>1497</v>
      </c>
      <c r="O311" s="3" t="b">
        <v>0</v>
      </c>
      <c r="P311" s="35"/>
    </row>
    <row r="312" spans="1:16" hidden="1" x14ac:dyDescent="0.3">
      <c r="A312" s="27" t="s">
        <v>2431</v>
      </c>
      <c r="B312" s="3"/>
      <c r="C312" s="1" t="s">
        <v>1585</v>
      </c>
      <c r="D312" s="3"/>
      <c r="E312" s="3" t="s">
        <v>51</v>
      </c>
      <c r="F312" s="3" t="s">
        <v>51</v>
      </c>
      <c r="G312" s="27"/>
      <c r="H312" s="22" t="s">
        <v>1303</v>
      </c>
      <c r="I312" s="16" t="s">
        <v>1124</v>
      </c>
      <c r="J312" s="3" t="s">
        <v>2154</v>
      </c>
      <c r="K312" s="3" t="s">
        <v>2303</v>
      </c>
      <c r="L312" s="3"/>
      <c r="M312" s="3" t="b">
        <v>0</v>
      </c>
      <c r="N312" s="3" t="s">
        <v>1497</v>
      </c>
      <c r="O312" s="3" t="b">
        <v>0</v>
      </c>
      <c r="P312" s="35"/>
    </row>
    <row r="313" spans="1:16" hidden="1" x14ac:dyDescent="0.3">
      <c r="A313" s="27" t="s">
        <v>2431</v>
      </c>
      <c r="B313" s="3"/>
      <c r="C313" s="1" t="s">
        <v>1585</v>
      </c>
      <c r="D313" s="3"/>
      <c r="E313" s="3" t="s">
        <v>51</v>
      </c>
      <c r="F313" s="3" t="s">
        <v>51</v>
      </c>
      <c r="G313" s="27"/>
      <c r="H313" s="22" t="s">
        <v>1303</v>
      </c>
      <c r="I313" s="16" t="s">
        <v>1124</v>
      </c>
      <c r="J313" s="3" t="s">
        <v>2155</v>
      </c>
      <c r="K313" s="3" t="s">
        <v>2303</v>
      </c>
      <c r="L313" s="3"/>
      <c r="M313" s="3" t="b">
        <v>0</v>
      </c>
      <c r="N313" s="3" t="s">
        <v>1497</v>
      </c>
      <c r="O313" s="3" t="b">
        <v>0</v>
      </c>
      <c r="P313" s="35"/>
    </row>
    <row r="314" spans="1:16" hidden="1" x14ac:dyDescent="0.3">
      <c r="A314" s="27" t="s">
        <v>2431</v>
      </c>
      <c r="B314" s="3"/>
      <c r="C314" s="1" t="s">
        <v>1585</v>
      </c>
      <c r="D314" s="3"/>
      <c r="E314" s="3" t="s">
        <v>51</v>
      </c>
      <c r="F314" s="3" t="s">
        <v>51</v>
      </c>
      <c r="G314" s="27"/>
      <c r="H314" s="22" t="s">
        <v>1303</v>
      </c>
      <c r="I314" s="16" t="s">
        <v>1124</v>
      </c>
      <c r="J314" s="3" t="s">
        <v>2156</v>
      </c>
      <c r="K314" s="3" t="s">
        <v>2303</v>
      </c>
      <c r="L314" s="3"/>
      <c r="M314" s="3" t="b">
        <v>0</v>
      </c>
      <c r="N314" s="3" t="s">
        <v>1497</v>
      </c>
      <c r="O314" s="3" t="b">
        <v>0</v>
      </c>
      <c r="P314" s="35"/>
    </row>
    <row r="315" spans="1:16" hidden="1" x14ac:dyDescent="0.3">
      <c r="A315" s="27" t="s">
        <v>2431</v>
      </c>
      <c r="B315" s="3"/>
      <c r="C315" s="1" t="s">
        <v>1585</v>
      </c>
      <c r="D315" s="3"/>
      <c r="E315" s="3" t="s">
        <v>51</v>
      </c>
      <c r="F315" s="3" t="s">
        <v>51</v>
      </c>
      <c r="G315" s="27"/>
      <c r="H315" s="22" t="s">
        <v>1303</v>
      </c>
      <c r="I315" s="16" t="s">
        <v>1124</v>
      </c>
      <c r="J315" s="3" t="s">
        <v>2157</v>
      </c>
      <c r="K315" s="3" t="s">
        <v>2303</v>
      </c>
      <c r="L315" s="3"/>
      <c r="M315" s="3" t="b">
        <v>0</v>
      </c>
      <c r="N315" s="3" t="s">
        <v>1497</v>
      </c>
      <c r="O315" s="3" t="b">
        <v>0</v>
      </c>
      <c r="P315" s="35"/>
    </row>
    <row r="316" spans="1:16" hidden="1" x14ac:dyDescent="0.3">
      <c r="A316" s="27" t="s">
        <v>2431</v>
      </c>
      <c r="B316" s="3"/>
      <c r="C316" s="1" t="s">
        <v>1585</v>
      </c>
      <c r="D316" s="3"/>
      <c r="E316" s="3" t="s">
        <v>51</v>
      </c>
      <c r="F316" s="3" t="s">
        <v>51</v>
      </c>
      <c r="G316" s="27"/>
      <c r="H316" s="11" t="s">
        <v>1303</v>
      </c>
      <c r="I316" s="16" t="s">
        <v>1124</v>
      </c>
      <c r="J316" s="3" t="s">
        <v>2158</v>
      </c>
      <c r="K316" s="3" t="s">
        <v>2303</v>
      </c>
      <c r="L316" s="3"/>
      <c r="M316" s="3" t="b">
        <v>0</v>
      </c>
      <c r="N316" s="3" t="s">
        <v>1497</v>
      </c>
      <c r="O316" s="3" t="b">
        <v>0</v>
      </c>
      <c r="P316" s="35"/>
    </row>
    <row r="317" spans="1:16" hidden="1" x14ac:dyDescent="0.3">
      <c r="A317" s="27" t="s">
        <v>2431</v>
      </c>
      <c r="B317" s="3"/>
      <c r="C317" s="1" t="s">
        <v>1585</v>
      </c>
      <c r="D317" s="3"/>
      <c r="E317" s="3" t="s">
        <v>51</v>
      </c>
      <c r="F317" s="3" t="s">
        <v>51</v>
      </c>
      <c r="G317" s="27"/>
      <c r="H317" s="11" t="s">
        <v>1303</v>
      </c>
      <c r="I317" s="16" t="s">
        <v>1124</v>
      </c>
      <c r="J317" s="3" t="s">
        <v>2159</v>
      </c>
      <c r="K317" s="3" t="s">
        <v>2303</v>
      </c>
      <c r="L317" s="3"/>
      <c r="M317" s="3" t="b">
        <v>0</v>
      </c>
      <c r="N317" s="3" t="s">
        <v>1497</v>
      </c>
      <c r="O317" s="3" t="b">
        <v>0</v>
      </c>
      <c r="P317" s="35"/>
    </row>
    <row r="318" spans="1:16" hidden="1" x14ac:dyDescent="0.3">
      <c r="A318" s="27" t="s">
        <v>2431</v>
      </c>
      <c r="B318" s="3"/>
      <c r="C318" s="1" t="s">
        <v>1585</v>
      </c>
      <c r="D318" s="3"/>
      <c r="E318" s="3" t="s">
        <v>51</v>
      </c>
      <c r="F318" s="3" t="s">
        <v>51</v>
      </c>
      <c r="G318" s="27"/>
      <c r="H318" s="11" t="s">
        <v>1303</v>
      </c>
      <c r="I318" s="16" t="s">
        <v>1124</v>
      </c>
      <c r="J318" s="3" t="s">
        <v>2160</v>
      </c>
      <c r="K318" s="3" t="s">
        <v>2303</v>
      </c>
      <c r="L318" s="3"/>
      <c r="M318" s="3" t="b">
        <v>0</v>
      </c>
      <c r="N318" s="3" t="s">
        <v>1497</v>
      </c>
      <c r="O318" s="3" t="b">
        <v>0</v>
      </c>
      <c r="P318" s="35"/>
    </row>
    <row r="319" spans="1:16" hidden="1" x14ac:dyDescent="0.3">
      <c r="A319" s="27" t="s">
        <v>2431</v>
      </c>
      <c r="B319" s="3"/>
      <c r="C319" s="1" t="s">
        <v>1585</v>
      </c>
      <c r="D319" s="3"/>
      <c r="E319" s="3" t="s">
        <v>51</v>
      </c>
      <c r="F319" s="3" t="s">
        <v>51</v>
      </c>
      <c r="G319" s="27"/>
      <c r="H319" s="11" t="s">
        <v>1303</v>
      </c>
      <c r="I319" s="16" t="s">
        <v>1124</v>
      </c>
      <c r="J319" s="3" t="s">
        <v>2161</v>
      </c>
      <c r="K319" s="3" t="s">
        <v>2303</v>
      </c>
      <c r="L319" s="3"/>
      <c r="M319" s="3" t="b">
        <v>0</v>
      </c>
      <c r="N319" s="3" t="s">
        <v>1497</v>
      </c>
      <c r="O319" s="3" t="b">
        <v>0</v>
      </c>
      <c r="P319" s="35"/>
    </row>
    <row r="320" spans="1:16" hidden="1" x14ac:dyDescent="0.3">
      <c r="A320" s="27" t="s">
        <v>2431</v>
      </c>
      <c r="B320" s="3"/>
      <c r="C320" s="1" t="s">
        <v>1585</v>
      </c>
      <c r="D320" s="3"/>
      <c r="E320" s="3" t="s">
        <v>51</v>
      </c>
      <c r="F320" s="3" t="s">
        <v>51</v>
      </c>
      <c r="G320" s="27"/>
      <c r="H320" s="11" t="s">
        <v>1303</v>
      </c>
      <c r="I320" s="16" t="s">
        <v>1124</v>
      </c>
      <c r="J320" s="3" t="s">
        <v>2162</v>
      </c>
      <c r="K320" s="3" t="s">
        <v>2303</v>
      </c>
      <c r="L320" s="3"/>
      <c r="M320" s="3" t="b">
        <v>0</v>
      </c>
      <c r="N320" s="3" t="s">
        <v>1497</v>
      </c>
      <c r="O320" s="3" t="b">
        <v>0</v>
      </c>
      <c r="P320" s="35"/>
    </row>
    <row r="321" spans="1:16" hidden="1" x14ac:dyDescent="0.3">
      <c r="A321" s="27" t="s">
        <v>2431</v>
      </c>
      <c r="B321" s="3"/>
      <c r="C321" s="1" t="s">
        <v>1585</v>
      </c>
      <c r="D321" s="3"/>
      <c r="E321" s="3" t="s">
        <v>51</v>
      </c>
      <c r="F321" s="3" t="s">
        <v>51</v>
      </c>
      <c r="G321" s="27"/>
      <c r="H321" s="11" t="s">
        <v>1303</v>
      </c>
      <c r="I321" s="16" t="s">
        <v>1124</v>
      </c>
      <c r="J321" s="3" t="s">
        <v>2163</v>
      </c>
      <c r="K321" s="3" t="s">
        <v>2303</v>
      </c>
      <c r="L321" s="3"/>
      <c r="M321" s="3" t="b">
        <v>0</v>
      </c>
      <c r="N321" s="3" t="s">
        <v>1497</v>
      </c>
      <c r="O321" s="3" t="b">
        <v>0</v>
      </c>
      <c r="P321" s="35"/>
    </row>
    <row r="322" spans="1:16" hidden="1" x14ac:dyDescent="0.3">
      <c r="A322" s="27" t="s">
        <v>2431</v>
      </c>
      <c r="B322" s="3"/>
      <c r="C322" s="1" t="s">
        <v>1585</v>
      </c>
      <c r="D322" s="3"/>
      <c r="E322" s="3" t="s">
        <v>51</v>
      </c>
      <c r="F322" s="3" t="s">
        <v>51</v>
      </c>
      <c r="G322" s="27"/>
      <c r="H322" s="11" t="s">
        <v>1303</v>
      </c>
      <c r="I322" s="16" t="s">
        <v>1124</v>
      </c>
      <c r="J322" s="3" t="s">
        <v>2164</v>
      </c>
      <c r="K322" s="3" t="s">
        <v>2303</v>
      </c>
      <c r="L322" s="3"/>
      <c r="M322" s="3" t="b">
        <v>0</v>
      </c>
      <c r="N322" s="3" t="s">
        <v>1497</v>
      </c>
      <c r="O322" s="3" t="b">
        <v>0</v>
      </c>
      <c r="P322" s="35"/>
    </row>
    <row r="323" spans="1:16" hidden="1" x14ac:dyDescent="0.3">
      <c r="A323" s="27" t="s">
        <v>2431</v>
      </c>
      <c r="B323" s="3"/>
      <c r="C323" s="1" t="s">
        <v>1585</v>
      </c>
      <c r="D323" s="3"/>
      <c r="E323" s="3" t="s">
        <v>51</v>
      </c>
      <c r="F323" s="3" t="s">
        <v>51</v>
      </c>
      <c r="G323" s="27"/>
      <c r="H323" s="11" t="s">
        <v>1433</v>
      </c>
      <c r="I323" s="16" t="s">
        <v>1124</v>
      </c>
      <c r="J323" s="3" t="s">
        <v>2176</v>
      </c>
      <c r="K323" s="3" t="s">
        <v>2311</v>
      </c>
      <c r="L323" s="3"/>
      <c r="M323" s="3" t="b">
        <v>1</v>
      </c>
      <c r="N323" s="3" t="s">
        <v>1497</v>
      </c>
      <c r="O323" s="3" t="b">
        <v>1</v>
      </c>
      <c r="P323" s="35"/>
    </row>
    <row r="324" spans="1:16" hidden="1" x14ac:dyDescent="0.3">
      <c r="A324" s="27" t="s">
        <v>2431</v>
      </c>
      <c r="B324" s="3"/>
      <c r="C324" s="1" t="s">
        <v>1585</v>
      </c>
      <c r="D324" s="3"/>
      <c r="E324" s="3" t="s">
        <v>51</v>
      </c>
      <c r="F324" s="3" t="s">
        <v>51</v>
      </c>
      <c r="G324" s="27"/>
      <c r="H324" s="11" t="s">
        <v>1303</v>
      </c>
      <c r="I324" s="16" t="s">
        <v>1124</v>
      </c>
      <c r="J324" s="3" t="s">
        <v>2175</v>
      </c>
      <c r="K324" s="3" t="s">
        <v>2303</v>
      </c>
      <c r="L324" s="3"/>
      <c r="M324" s="3" t="b">
        <v>0</v>
      </c>
      <c r="N324" s="3" t="s">
        <v>1497</v>
      </c>
      <c r="O324" s="3" t="b">
        <v>0</v>
      </c>
      <c r="P324" s="35"/>
    </row>
    <row r="325" spans="1:16" hidden="1" x14ac:dyDescent="0.3">
      <c r="A325" s="27" t="s">
        <v>2431</v>
      </c>
      <c r="B325" s="3"/>
      <c r="C325" s="1" t="s">
        <v>1585</v>
      </c>
      <c r="D325" s="3"/>
      <c r="E325" s="3" t="s">
        <v>51</v>
      </c>
      <c r="F325" s="3" t="s">
        <v>51</v>
      </c>
      <c r="G325" s="27"/>
      <c r="H325" s="11" t="s">
        <v>1303</v>
      </c>
      <c r="I325" s="16" t="s">
        <v>1124</v>
      </c>
      <c r="J325" s="3" t="s">
        <v>2166</v>
      </c>
      <c r="K325" s="3" t="s">
        <v>2303</v>
      </c>
      <c r="L325" s="3"/>
      <c r="M325" s="3" t="b">
        <v>0</v>
      </c>
      <c r="N325" s="3" t="s">
        <v>1497</v>
      </c>
      <c r="O325" s="3" t="b">
        <v>0</v>
      </c>
      <c r="P325" s="35"/>
    </row>
    <row r="326" spans="1:16" hidden="1" x14ac:dyDescent="0.3">
      <c r="A326" s="27" t="s">
        <v>2431</v>
      </c>
      <c r="B326" s="3"/>
      <c r="C326" s="1" t="s">
        <v>1585</v>
      </c>
      <c r="D326" s="3"/>
      <c r="E326" s="3" t="s">
        <v>51</v>
      </c>
      <c r="F326" s="3" t="s">
        <v>51</v>
      </c>
      <c r="G326" s="27"/>
      <c r="H326" s="11" t="s">
        <v>1303</v>
      </c>
      <c r="I326" s="16" t="s">
        <v>1124</v>
      </c>
      <c r="J326" s="3" t="s">
        <v>2167</v>
      </c>
      <c r="K326" s="3" t="s">
        <v>2303</v>
      </c>
      <c r="L326" s="3"/>
      <c r="M326" s="3" t="b">
        <v>0</v>
      </c>
      <c r="N326" s="3" t="s">
        <v>1497</v>
      </c>
      <c r="O326" s="3" t="b">
        <v>0</v>
      </c>
      <c r="P326" s="35"/>
    </row>
    <row r="327" spans="1:16" hidden="1" x14ac:dyDescent="0.3">
      <c r="A327" s="27" t="s">
        <v>2431</v>
      </c>
      <c r="B327" s="3"/>
      <c r="C327" s="3" t="s">
        <v>1585</v>
      </c>
      <c r="D327" s="3"/>
      <c r="E327" s="3" t="s">
        <v>51</v>
      </c>
      <c r="F327" s="3" t="s">
        <v>51</v>
      </c>
      <c r="G327" s="27"/>
      <c r="H327" s="11"/>
      <c r="I327" s="16" t="s">
        <v>1124</v>
      </c>
      <c r="J327" s="3" t="s">
        <v>2168</v>
      </c>
      <c r="K327" s="3" t="s">
        <v>2303</v>
      </c>
      <c r="L327" s="3"/>
      <c r="M327" s="3" t="b">
        <v>0</v>
      </c>
      <c r="N327" s="3" t="s">
        <v>1497</v>
      </c>
      <c r="O327" s="3" t="b">
        <v>0</v>
      </c>
      <c r="P327" s="35"/>
    </row>
    <row r="328" spans="1:16" hidden="1" x14ac:dyDescent="0.3">
      <c r="A328" s="27" t="s">
        <v>2431</v>
      </c>
      <c r="B328" s="3"/>
      <c r="C328" s="1" t="s">
        <v>1585</v>
      </c>
      <c r="D328" s="3"/>
      <c r="E328" s="3" t="s">
        <v>51</v>
      </c>
      <c r="F328" s="3" t="s">
        <v>51</v>
      </c>
      <c r="G328" s="27"/>
      <c r="H328" s="11"/>
      <c r="I328" s="16" t="s">
        <v>1124</v>
      </c>
      <c r="J328" s="3" t="s">
        <v>2169</v>
      </c>
      <c r="K328" s="3" t="s">
        <v>2303</v>
      </c>
      <c r="L328" s="3"/>
      <c r="M328" s="3" t="b">
        <v>0</v>
      </c>
      <c r="N328" s="3" t="s">
        <v>1497</v>
      </c>
      <c r="O328" s="3" t="b">
        <v>0</v>
      </c>
      <c r="P328" s="35"/>
    </row>
    <row r="329" spans="1:16" hidden="1" x14ac:dyDescent="0.3">
      <c r="A329" s="27" t="s">
        <v>2431</v>
      </c>
      <c r="B329" s="3"/>
      <c r="C329" s="1" t="s">
        <v>1585</v>
      </c>
      <c r="D329" s="3"/>
      <c r="E329" s="3" t="s">
        <v>51</v>
      </c>
      <c r="F329" s="3" t="s">
        <v>51</v>
      </c>
      <c r="G329" s="27"/>
      <c r="H329" s="11"/>
      <c r="I329" s="16" t="s">
        <v>1124</v>
      </c>
      <c r="J329" s="3" t="s">
        <v>2170</v>
      </c>
      <c r="K329" s="3" t="s">
        <v>2314</v>
      </c>
      <c r="L329" s="3"/>
      <c r="M329" s="3" t="b">
        <v>0</v>
      </c>
      <c r="N329" s="3" t="s">
        <v>1497</v>
      </c>
      <c r="O329" s="3" t="b">
        <v>0</v>
      </c>
      <c r="P329" s="35"/>
    </row>
    <row r="330" spans="1:16" hidden="1" x14ac:dyDescent="0.3">
      <c r="A330" s="27" t="s">
        <v>2431</v>
      </c>
      <c r="B330" s="3"/>
      <c r="C330" s="3" t="s">
        <v>906</v>
      </c>
      <c r="D330" s="3"/>
      <c r="E330" s="3" t="s">
        <v>51</v>
      </c>
      <c r="F330" s="3" t="s">
        <v>51</v>
      </c>
      <c r="G330" s="27"/>
      <c r="H330" s="11" t="s">
        <v>1205</v>
      </c>
      <c r="I330" s="16" t="s">
        <v>1124</v>
      </c>
      <c r="J330" s="3" t="s">
        <v>1609</v>
      </c>
      <c r="K330" s="3" t="s">
        <v>2305</v>
      </c>
      <c r="L330" s="3"/>
      <c r="M330" s="3" t="b">
        <v>1</v>
      </c>
      <c r="N330" s="3" t="s">
        <v>1497</v>
      </c>
      <c r="O330" s="3" t="b">
        <v>1</v>
      </c>
      <c r="P330" s="35"/>
    </row>
    <row r="331" spans="1:16" hidden="1" x14ac:dyDescent="0.3">
      <c r="A331" s="27" t="s">
        <v>2431</v>
      </c>
      <c r="B331" s="3"/>
      <c r="C331" s="3" t="s">
        <v>906</v>
      </c>
      <c r="D331" s="3"/>
      <c r="E331" s="3" t="s">
        <v>51</v>
      </c>
      <c r="F331" s="3" t="s">
        <v>51</v>
      </c>
      <c r="G331" s="27"/>
      <c r="H331" s="11" t="s">
        <v>1209</v>
      </c>
      <c r="I331" s="16" t="s">
        <v>1124</v>
      </c>
      <c r="J331" s="3" t="s">
        <v>1437</v>
      </c>
      <c r="K331" s="3" t="s">
        <v>2310</v>
      </c>
      <c r="L331" s="3"/>
      <c r="M331" s="3" t="b">
        <v>1</v>
      </c>
      <c r="N331" s="3" t="s">
        <v>1497</v>
      </c>
      <c r="O331" s="3" t="b">
        <v>1</v>
      </c>
      <c r="P331" s="35"/>
    </row>
    <row r="332" spans="1:16" hidden="1" x14ac:dyDescent="0.3">
      <c r="A332" s="27" t="s">
        <v>2431</v>
      </c>
      <c r="B332" s="3"/>
      <c r="C332" s="3" t="s">
        <v>1940</v>
      </c>
      <c r="D332" s="3"/>
      <c r="E332" s="3" t="s">
        <v>51</v>
      </c>
      <c r="F332" s="3" t="s">
        <v>51</v>
      </c>
      <c r="G332" s="27"/>
      <c r="H332" s="11" t="s">
        <v>1949</v>
      </c>
      <c r="I332" s="16" t="s">
        <v>1124</v>
      </c>
      <c r="J332" s="3" t="s">
        <v>1942</v>
      </c>
      <c r="K332" s="3" t="s">
        <v>1955</v>
      </c>
      <c r="L332" s="3"/>
      <c r="M332" s="3" t="b">
        <v>0</v>
      </c>
      <c r="N332" s="3" t="s">
        <v>1497</v>
      </c>
      <c r="O332" s="3" t="b">
        <v>1</v>
      </c>
      <c r="P332" s="35"/>
    </row>
    <row r="333" spans="1:16" hidden="1" x14ac:dyDescent="0.3">
      <c r="A333" s="27" t="s">
        <v>2431</v>
      </c>
      <c r="B333" s="3"/>
      <c r="C333" s="3" t="s">
        <v>916</v>
      </c>
      <c r="D333" s="3"/>
      <c r="E333" s="3" t="s">
        <v>51</v>
      </c>
      <c r="F333" s="3" t="s">
        <v>51</v>
      </c>
      <c r="G333" s="27"/>
      <c r="H333" s="11" t="s">
        <v>1286</v>
      </c>
      <c r="I333" s="16" t="s">
        <v>1124</v>
      </c>
      <c r="J333" s="3" t="s">
        <v>917</v>
      </c>
      <c r="K333" s="3" t="s">
        <v>1695</v>
      </c>
      <c r="L333" s="3"/>
      <c r="M333" s="3" t="b">
        <v>0</v>
      </c>
      <c r="N333" s="3" t="s">
        <v>1497</v>
      </c>
      <c r="O333" s="3" t="b">
        <v>1</v>
      </c>
      <c r="P333" s="35"/>
    </row>
    <row r="334" spans="1:16" hidden="1" x14ac:dyDescent="0.3">
      <c r="A334" s="27" t="s">
        <v>2431</v>
      </c>
      <c r="B334" s="3"/>
      <c r="C334" s="3" t="s">
        <v>918</v>
      </c>
      <c r="D334" s="3"/>
      <c r="E334" s="3" t="s">
        <v>51</v>
      </c>
      <c r="F334" s="3" t="s">
        <v>51</v>
      </c>
      <c r="G334" s="27"/>
      <c r="H334" s="11" t="s">
        <v>1288</v>
      </c>
      <c r="I334" s="16" t="s">
        <v>1124</v>
      </c>
      <c r="J334" s="3" t="s">
        <v>919</v>
      </c>
      <c r="K334" s="3" t="s">
        <v>1696</v>
      </c>
      <c r="L334" s="3"/>
      <c r="M334" s="3" t="b">
        <v>0</v>
      </c>
      <c r="N334" s="3" t="s">
        <v>1497</v>
      </c>
      <c r="O334" s="3" t="b">
        <v>1</v>
      </c>
      <c r="P334" s="35"/>
    </row>
  </sheetData>
  <phoneticPr fontId="2" type="noConversion"/>
  <dataValidations count="1">
    <dataValidation type="list" allowBlank="1" showInputMessage="1" showErrorMessage="1" sqref="I23 I2:I19" xr:uid="{182794CA-CB24-459F-9578-162326EFE74C}">
      <formula1>#REF!</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6">
        <x14:dataValidation type="list" allowBlank="1" showInputMessage="1" showErrorMessage="1" xr:uid="{0F471D30-A1AB-460E-922A-BB3155418B6C}">
          <x14:formula1>
            <xm:f>Funds!#REF!</xm:f>
          </x14:formula1>
          <xm:sqref>G2:G19 G23</xm:sqref>
        </x14:dataValidation>
        <x14:dataValidation type="list" allowBlank="1" showInputMessage="1" showErrorMessage="1" xr:uid="{AC84CA16-F8C6-4696-B28B-E343F527B33D}">
          <x14:formula1>
            <xm:f>Depts!#REF!</xm:f>
          </x14:formula1>
          <xm:sqref>F2:F19 F23</xm:sqref>
        </x14:dataValidation>
        <x14:dataValidation type="list" allowBlank="1" showInputMessage="1" showErrorMessage="1" xr:uid="{4B651398-7604-4BED-A64E-CDA44A1CBD01}">
          <x14:formula1>
            <xm:f>CalculatorsTempl!$F:$F</xm:f>
          </x14:formula1>
          <xm:sqref>H3 H17:H20</xm:sqref>
        </x14:dataValidation>
        <x14:dataValidation type="list" allowBlank="1" showInputMessage="1" showErrorMessage="1" xr:uid="{965EB15F-4BD2-410C-8C15-9B39081FCBE5}">
          <x14:formula1>
            <xm:f>Validation!$G$2:$G$4</xm:f>
          </x14:formula1>
          <xm:sqref>O2:O334 M2:M334</xm:sqref>
        </x14:dataValidation>
        <x14:dataValidation type="list" allowBlank="1" showInputMessage="1" showErrorMessage="1" xr:uid="{26B2F3C2-E84E-40CF-B718-26442FF331B1}">
          <x14:formula1>
            <xm:f>Validation!$A$15:$A$26</xm:f>
          </x14:formula1>
          <xm:sqref>A2:A334</xm:sqref>
        </x14:dataValidation>
        <x14:dataValidation type="list" allowBlank="1" showInputMessage="1" showErrorMessage="1" xr:uid="{BB3D263A-9CA4-4A32-99AB-3474C182771E}">
          <x14:formula1>
            <xm:f>Schools!#REF!</xm:f>
          </x14:formula1>
          <xm:sqref>D2:D334</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BA279-F257-43C6-A228-651F535F6BCE}">
  <sheetPr codeName="Sheet30">
    <tabColor rgb="FFDCCEE4"/>
  </sheetPr>
  <dimension ref="A1:AL52"/>
  <sheetViews>
    <sheetView topLeftCell="V1" zoomScale="80" zoomScaleNormal="80" workbookViewId="0">
      <selection activeCell="Y7" sqref="Y7:Y14"/>
    </sheetView>
  </sheetViews>
  <sheetFormatPr defaultRowHeight="14.4" outlineLevelCol="1" x14ac:dyDescent="0.3"/>
  <cols>
    <col min="1" max="1" width="81.109375" hidden="1" customWidth="1" outlineLevel="1"/>
    <col min="2" max="2" width="15.5546875" hidden="1" customWidth="1" outlineLevel="1"/>
    <col min="3" max="3" width="19.5546875" hidden="1" customWidth="1" outlineLevel="1"/>
    <col min="4" max="4" width="15.44140625" hidden="1" customWidth="1" outlineLevel="1"/>
    <col min="5" max="5" width="13.88671875" hidden="1" customWidth="1" outlineLevel="1"/>
    <col min="6" max="6" width="20.109375" hidden="1" customWidth="1" outlineLevel="1"/>
    <col min="7" max="7" width="18.6640625" hidden="1" customWidth="1" outlineLevel="1"/>
    <col min="8" max="8" width="21.44140625" hidden="1" customWidth="1" outlineLevel="1"/>
    <col min="9" max="9" width="21.109375" hidden="1" customWidth="1" outlineLevel="1"/>
    <col min="10" max="10" width="11.88671875" hidden="1" customWidth="1" outlineLevel="1"/>
    <col min="11" max="11" width="18.88671875" hidden="1" customWidth="1" outlineLevel="1"/>
    <col min="12" max="12" width="20.6640625" hidden="1" customWidth="1" outlineLevel="1"/>
    <col min="13" max="13" width="17.6640625" hidden="1" customWidth="1" outlineLevel="1"/>
    <col min="14" max="14" width="18" hidden="1" customWidth="1" outlineLevel="1"/>
    <col min="15" max="15" width="22.109375" hidden="1" customWidth="1" outlineLevel="1"/>
    <col min="16" max="16" width="26" hidden="1" customWidth="1" outlineLevel="1"/>
    <col min="17" max="17" width="22.109375" hidden="1" customWidth="1" outlineLevel="1"/>
    <col min="18" max="19" width="25.33203125" hidden="1" customWidth="1" outlineLevel="1"/>
    <col min="20" max="20" width="25.88671875" hidden="1" customWidth="1" outlineLevel="1"/>
    <col min="21" max="21" width="24.33203125" hidden="1" customWidth="1" outlineLevel="1"/>
    <col min="22" max="22" width="17.6640625" bestFit="1" customWidth="1" collapsed="1"/>
    <col min="23" max="23" width="37.6640625" bestFit="1" customWidth="1"/>
    <col min="24" max="24" width="15.88671875" bestFit="1" customWidth="1"/>
    <col min="25" max="25" width="18" bestFit="1" customWidth="1"/>
    <col min="26" max="26" width="14.109375" bestFit="1" customWidth="1"/>
    <col min="27" max="27" width="14.33203125" bestFit="1" customWidth="1"/>
    <col min="28" max="28" width="19.33203125" bestFit="1" customWidth="1"/>
    <col min="29" max="29" width="12.6640625" bestFit="1" customWidth="1"/>
    <col min="30" max="30" width="17.33203125" bestFit="1" customWidth="1"/>
    <col min="31" max="31" width="20.109375" bestFit="1" customWidth="1"/>
    <col min="32" max="32" width="40" bestFit="1" customWidth="1"/>
    <col min="33" max="33" width="81.109375" bestFit="1" customWidth="1"/>
    <col min="34" max="34" width="13.109375" bestFit="1" customWidth="1"/>
    <col min="35" max="35" width="15.109375" bestFit="1" customWidth="1"/>
    <col min="36" max="36" width="20.33203125" bestFit="1" customWidth="1"/>
    <col min="37" max="37" width="13.109375" bestFit="1" customWidth="1"/>
    <col min="38" max="38" width="13" bestFit="1" customWidth="1"/>
    <col min="39" max="39" width="12.5546875" bestFit="1" customWidth="1"/>
    <col min="40" max="41" width="20.5546875" bestFit="1" customWidth="1"/>
    <col min="42" max="42" width="20.33203125" bestFit="1" customWidth="1"/>
    <col min="43" max="43" width="18.88671875" bestFit="1" customWidth="1"/>
    <col min="44" max="44" width="33.33203125" bestFit="1" customWidth="1"/>
    <col min="45" max="45" width="8.109375" bestFit="1" customWidth="1"/>
    <col min="46" max="46" width="11.5546875" bestFit="1" customWidth="1"/>
    <col min="47" max="47" width="13.5546875" bestFit="1" customWidth="1"/>
    <col min="48" max="48" width="21.109375" bestFit="1" customWidth="1"/>
    <col min="49" max="49" width="18.5546875" bestFit="1" customWidth="1"/>
    <col min="50" max="50" width="12" bestFit="1" customWidth="1"/>
    <col min="51" max="51" width="11.5546875" bestFit="1" customWidth="1"/>
    <col min="52" max="52" width="20.33203125" bestFit="1" customWidth="1"/>
  </cols>
  <sheetData>
    <row r="1" spans="1:38" x14ac:dyDescent="0.3">
      <c r="A1" s="92" t="s">
        <v>43</v>
      </c>
      <c r="B1" s="82" t="s">
        <v>1375</v>
      </c>
      <c r="C1" s="93" t="s">
        <v>1376</v>
      </c>
      <c r="D1" s="93" t="s">
        <v>1377</v>
      </c>
      <c r="E1" s="93" t="s">
        <v>883</v>
      </c>
      <c r="F1" s="93" t="s">
        <v>1378</v>
      </c>
      <c r="G1" s="93" t="s">
        <v>1372</v>
      </c>
      <c r="H1" s="93" t="s">
        <v>1379</v>
      </c>
      <c r="I1" s="93" t="s">
        <v>1380</v>
      </c>
      <c r="J1" s="93" t="s">
        <v>1381</v>
      </c>
      <c r="K1" s="93" t="s">
        <v>1747</v>
      </c>
      <c r="L1" s="93" t="s">
        <v>1748</v>
      </c>
      <c r="M1" s="93" t="s">
        <v>1749</v>
      </c>
      <c r="N1" s="93" t="s">
        <v>1750</v>
      </c>
      <c r="O1" s="93" t="s">
        <v>1927</v>
      </c>
      <c r="P1" s="93" t="s">
        <v>2038</v>
      </c>
      <c r="Q1" s="93" t="s">
        <v>1989</v>
      </c>
      <c r="R1" s="93" t="s">
        <v>1990</v>
      </c>
      <c r="S1" s="93" t="s">
        <v>1996</v>
      </c>
      <c r="T1" s="93" t="s">
        <v>1932</v>
      </c>
      <c r="U1" s="93" t="s">
        <v>2090</v>
      </c>
      <c r="V1" s="82" t="s">
        <v>867</v>
      </c>
      <c r="W1" s="94" t="s">
        <v>1606</v>
      </c>
      <c r="X1" t="s">
        <v>1331</v>
      </c>
      <c r="Y1" t="s">
        <v>893</v>
      </c>
      <c r="Z1" t="s">
        <v>871</v>
      </c>
      <c r="AA1" t="s">
        <v>857</v>
      </c>
      <c r="AB1" t="s">
        <v>884</v>
      </c>
      <c r="AC1" t="s">
        <v>49</v>
      </c>
      <c r="AD1" t="s">
        <v>1136</v>
      </c>
      <c r="AE1" t="s">
        <v>1382</v>
      </c>
      <c r="AF1" t="s">
        <v>1383</v>
      </c>
      <c r="AG1" t="s">
        <v>44</v>
      </c>
      <c r="AH1" t="s">
        <v>1384</v>
      </c>
      <c r="AI1" t="s">
        <v>1374</v>
      </c>
      <c r="AJ1" t="s">
        <v>1385</v>
      </c>
      <c r="AK1" t="s">
        <v>1386</v>
      </c>
      <c r="AL1" t="s">
        <v>1387</v>
      </c>
    </row>
    <row r="2" spans="1:38" hidden="1" x14ac:dyDescent="0.3">
      <c r="A2" s="121" t="str">
        <f t="shared" ref="A2:A33" si="0">Y2&amp;Z2&amp;TRIM(AF2)&amp;AJ2&amp;AB2</f>
        <v>FTE_NURBBPFTE for Nursery Pupils2025/26DEFAULT</v>
      </c>
      <c r="B2" s="95">
        <f>COUNTIF(Pupils_import[Column1],Pupils_import[[#This Row],[Column1]])-1</f>
        <v>0</v>
      </c>
      <c r="C2" s="80" cm="1">
        <f t="array" ref="C2">IF(_xlfn.XLOOKUP(Pupils_import[[#This Row],[FinanceCode]],FC_import[FinanceCode],FC_import[AvailableToAllSchools],1,0,)=TRUE,0,IF(ISERROR(FIND(Pupils_import[[#This Row],[SchoolCode]],_xlfn.TEXTJOIN(",",TRUE,_xlfn.UNIQUE(IF(FC_import[FinanceCode]=Pupils_import[[#This Row],[FinanceCode]],FC_import[SchoolCodes],""))))),1,0))</f>
        <v>0</v>
      </c>
      <c r="D2" s="95">
        <f>IF(COUNTIF(SCHOOLS[SchoolCode],Pupils_import[[#This Row],[SchoolCode]])&gt;0,0,1)</f>
        <v>0</v>
      </c>
      <c r="E2" s="95">
        <f>IF(COUNTIF(LEDGER[LedgerCode],Pupils_import[[#This Row],[LedgerCode]])&gt;0,0,1)</f>
        <v>0</v>
      </c>
      <c r="F2" s="95">
        <f>IF(ISBLANK(Pupils_import[[#This Row],[MonthProfileCode]]),1,IF(COUNTIF(MONTHPRF[Code],Pupils_import[[#This Row],[MonthProfileCode]])&gt;0,0,1))</f>
        <v>0</v>
      </c>
      <c r="G2" s="80" cm="1">
        <f t="array" ref="G2">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2" s="80" t="e" cm="1">
        <f t="array" ref="H2">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2" s="95">
        <f>IF(ISBLANK(Pupils_import[[#This Row],[YearValue]])=Pupils_import[[#This Row],[Calculated]],0,1)</f>
        <v>0</v>
      </c>
      <c r="J2" s="95">
        <f>IF(ISBLANK(Pupils_import[[#This Row],[CalculatorCode]]),0,IF(COUNTIF(Calculators[CalculatorCode],Pupils_import[[#This Row],[CalculatorCode]])&gt;0,0,1))</f>
        <v>0</v>
      </c>
      <c r="K2" s="95">
        <f>IF(TRIM(Pupils_import[[#This Row],[Description]])="",1,0)</f>
        <v>0</v>
      </c>
      <c r="L2" s="95">
        <f>IF(ISBLANK(Pupils_import[[#This Row],[MatEditOnly]]),1,0)</f>
        <v>0</v>
      </c>
      <c r="M2" s="95">
        <f>IF(ISBLANK(Pupils_import[[#This Row],[FinancialYearCode]]),1,0)</f>
        <v>0</v>
      </c>
      <c r="N2" s="95">
        <f>IF(ISBLANK(Pupils_import[[#This Row],[Calculated]]),1,0)</f>
        <v>0</v>
      </c>
      <c r="O2" s="95">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2" s="95">
        <f>IF(LEN(Pupils_import[[#This Row],[Description]])&lt;100,0,1)</f>
        <v>0</v>
      </c>
      <c r="Q2" s="95">
        <f>IF(LEN(Pupils_import[[#This Row],[Notes]])&lt;4000,0,1)</f>
        <v>0</v>
      </c>
      <c r="R2" s="95">
        <f>IF(LEN(Pupils_import[[#This Row],[YearNotes]])&lt;4000,0,1)</f>
        <v>0</v>
      </c>
      <c r="S2" s="95">
        <f>IF(OR(Pupils_import[[#This Row],[MatEditOnly]]=TRUE,Pupils_import[[#This Row],[MatEditOnly]]=FALSE),IF(OR(Pupils_import[[#This Row],[Calculated]]=TRUE,Pupils_import[[#This Row],[Calculated]]=FALSE),0,1),1)</f>
        <v>0</v>
      </c>
      <c r="T2" s="95">
        <f>IF(_xlfn.XLOOKUP(Pupils_import[[#This Row],[FinancialYearCode]],Years[Years],Years[Years],1)=Pupils_import[[#This Row],[FinancialYearCode]],0,1)</f>
        <v>0</v>
      </c>
      <c r="U2" s="95">
        <f>IF(Pupils_import[[#This Row],[CalculatorCode]]="",0,IF(IF(_xlfn.XLOOKUP(Pupils_import[[#This Row],[CalculatorCode]],Calculators[CalculatorCode],Calculators[LockCheck])=1,TRUE,FALSE)=Pupils_import[[#This Row],[MatEditOnly]],0,1))</f>
        <v>0</v>
      </c>
      <c r="V2" s="95" t="e">
        <f>SUM(Pupils_import[[#This Row],[DuplicateLine]:[MAT edit only required]])</f>
        <v>#N/A</v>
      </c>
      <c r="W2" s="80" t="str">
        <f>_xlfn.XLOOKUP(Pupils_import[[#This Row],[SchoolCode]],SCHOOLS[SchoolCode],SCHOOLS[Title])</f>
        <v>Bolton Brow Primary Academy</v>
      </c>
      <c r="Y2" t="s">
        <v>2084</v>
      </c>
      <c r="Z2" t="s">
        <v>2588</v>
      </c>
      <c r="AA2" t="s">
        <v>51</v>
      </c>
      <c r="AB2" t="s">
        <v>51</v>
      </c>
      <c r="AD2" t="s">
        <v>2084</v>
      </c>
      <c r="AE2" t="s">
        <v>1124</v>
      </c>
      <c r="AF2" t="s">
        <v>2085</v>
      </c>
      <c r="AG2" t="s">
        <v>2088</v>
      </c>
      <c r="AI2" t="b">
        <v>0</v>
      </c>
      <c r="AJ2" t="s">
        <v>1497</v>
      </c>
      <c r="AK2" t="b">
        <v>1</v>
      </c>
    </row>
    <row r="3" spans="1:38" hidden="1" x14ac:dyDescent="0.3">
      <c r="A3" s="120" t="str">
        <f t="shared" si="0"/>
        <v>FUNDED_FSBBPFunded Pupil Numbers Foundation2025/26DEFAULT</v>
      </c>
      <c r="B3" s="85">
        <f>COUNTIF(Pupils_import[Column1],Pupils_import[[#This Row],[Column1]])-1</f>
        <v>0</v>
      </c>
      <c r="C3" s="80" cm="1">
        <f t="array" ref="C3">IF(_xlfn.XLOOKUP(Pupils_import[[#This Row],[FinanceCode]],FC_import[FinanceCode],FC_import[AvailableToAllSchools],1,0,)=TRUE,0,IF(ISERROR(FIND(Pupils_import[[#This Row],[SchoolCode]],_xlfn.TEXTJOIN(",",TRUE,_xlfn.UNIQUE(IF(FC_import[FinanceCode]=Pupils_import[[#This Row],[FinanceCode]],FC_import[SchoolCodes],""))))),1,0))</f>
        <v>0</v>
      </c>
      <c r="D3" s="85">
        <f>IF(COUNTIF(SCHOOLS[SchoolCode],Pupils_import[[#This Row],[SchoolCode]])&gt;0,0,1)</f>
        <v>0</v>
      </c>
      <c r="E3" s="85">
        <f>IF(COUNTIF(LEDGER[LedgerCode],Pupils_import[[#This Row],[LedgerCode]])&gt;0,0,1)</f>
        <v>0</v>
      </c>
      <c r="F3" s="85">
        <f>IF(ISBLANK(Pupils_import[[#This Row],[MonthProfileCode]]),1,IF(COUNTIF(MONTHPRF[Code],Pupils_import[[#This Row],[MonthProfileCode]])&gt;0,0,1))</f>
        <v>0</v>
      </c>
      <c r="G3" s="80" cm="1">
        <f t="array" ref="G3">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3" s="80" t="e" cm="1">
        <f t="array" ref="H3">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3" s="85">
        <f>IF(ISBLANK(Pupils_import[[#This Row],[YearValue]])=Pupils_import[[#This Row],[Calculated]],0,1)</f>
        <v>0</v>
      </c>
      <c r="J3" s="80">
        <f>IF(ISBLANK(Pupils_import[[#This Row],[CalculatorCode]]),0,IF(COUNTIF(Calculators[CalculatorCode],Pupils_import[[#This Row],[CalculatorCode]])&gt;0,0,1))</f>
        <v>0</v>
      </c>
      <c r="K3" s="80">
        <f>IF(TRIM(Pupils_import[[#This Row],[Description]])="",1,0)</f>
        <v>0</v>
      </c>
      <c r="L3" s="80">
        <f>IF(ISBLANK(Pupils_import[[#This Row],[MatEditOnly]]),1,0)</f>
        <v>0</v>
      </c>
      <c r="M3" s="80">
        <f>IF(ISBLANK(Pupils_import[[#This Row],[FinancialYearCode]]),1,0)</f>
        <v>0</v>
      </c>
      <c r="N3" s="80">
        <f>IF(ISBLANK(Pupils_import[[#This Row],[Calculated]]),1,0)</f>
        <v>0</v>
      </c>
      <c r="O3"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3" s="80">
        <f>IF(LEN(Pupils_import[[#This Row],[Description]])&lt;100,0,1)</f>
        <v>0</v>
      </c>
      <c r="Q3" s="80">
        <f>IF(LEN(Pupils_import[[#This Row],[Notes]])&lt;4000,0,1)</f>
        <v>0</v>
      </c>
      <c r="R3" s="80">
        <f>IF(LEN(Pupils_import[[#This Row],[YearNotes]])&lt;4000,0,1)</f>
        <v>0</v>
      </c>
      <c r="S3" s="80">
        <f>IF(OR(Pupils_import[[#This Row],[MatEditOnly]]=TRUE,Pupils_import[[#This Row],[MatEditOnly]]=FALSE),IF(OR(Pupils_import[[#This Row],[Calculated]]=TRUE,Pupils_import[[#This Row],[Calculated]]=FALSE),0,1),1)</f>
        <v>0</v>
      </c>
      <c r="T3" s="80">
        <f>IF(_xlfn.XLOOKUP(Pupils_import[[#This Row],[FinancialYearCode]],Years[Years],Years[Years],1)=Pupils_import[[#This Row],[FinancialYearCode]],0,1)</f>
        <v>0</v>
      </c>
      <c r="U3" s="80">
        <f>IF(Pupils_import[[#This Row],[CalculatorCode]]="",0,IF(IF(_xlfn.XLOOKUP(Pupils_import[[#This Row],[CalculatorCode]],Calculators[CalculatorCode],Calculators[LockCheck])=1,TRUE,FALSE)=Pupils_import[[#This Row],[MatEditOnly]],0,1))</f>
        <v>0</v>
      </c>
      <c r="V3" s="85" t="e">
        <f>SUM(Pupils_import[[#This Row],[DuplicateLine]:[MAT edit only required]])</f>
        <v>#N/A</v>
      </c>
      <c r="W3" s="80" t="str">
        <f>_xlfn.XLOOKUP(Pupils_import[[#This Row],[SchoolCode]],SCHOOLS[SchoolCode],SCHOOLS[Title])</f>
        <v>Bolton Brow Primary Academy</v>
      </c>
      <c r="Y3" t="s">
        <v>920</v>
      </c>
      <c r="Z3" t="s">
        <v>2588</v>
      </c>
      <c r="AA3" t="s">
        <v>51</v>
      </c>
      <c r="AB3" t="s">
        <v>51</v>
      </c>
      <c r="AD3" t="s">
        <v>920</v>
      </c>
      <c r="AE3" t="s">
        <v>1124</v>
      </c>
      <c r="AF3" t="s">
        <v>921</v>
      </c>
      <c r="AG3" t="s">
        <v>1633</v>
      </c>
      <c r="AI3" t="b">
        <v>1</v>
      </c>
      <c r="AJ3" t="s">
        <v>1497</v>
      </c>
      <c r="AK3" t="b">
        <v>1</v>
      </c>
    </row>
    <row r="4" spans="1:38" hidden="1" x14ac:dyDescent="0.3">
      <c r="A4" s="120" t="str">
        <f t="shared" si="0"/>
        <v>FUNDED_KS1BBPFunded Pupil Numbers KS12025/26DEFAULT</v>
      </c>
      <c r="B4" s="85">
        <f>COUNTIF(Pupils_import[Column1],Pupils_import[[#This Row],[Column1]])-1</f>
        <v>0</v>
      </c>
      <c r="C4" s="80" cm="1">
        <f t="array" ref="C4">IF(_xlfn.XLOOKUP(Pupils_import[[#This Row],[FinanceCode]],FC_import[FinanceCode],FC_import[AvailableToAllSchools],1,0,)=TRUE,0,IF(ISERROR(FIND(Pupils_import[[#This Row],[SchoolCode]],_xlfn.TEXTJOIN(",",TRUE,_xlfn.UNIQUE(IF(FC_import[FinanceCode]=Pupils_import[[#This Row],[FinanceCode]],FC_import[SchoolCodes],""))))),1,0))</f>
        <v>0</v>
      </c>
      <c r="D4" s="85">
        <f>IF(COUNTIF(SCHOOLS[SchoolCode],Pupils_import[[#This Row],[SchoolCode]])&gt;0,0,1)</f>
        <v>0</v>
      </c>
      <c r="E4" s="85">
        <f>IF(COUNTIF(LEDGER[LedgerCode],Pupils_import[[#This Row],[LedgerCode]])&gt;0,0,1)</f>
        <v>0</v>
      </c>
      <c r="F4" s="85">
        <f>IF(ISBLANK(Pupils_import[[#This Row],[MonthProfileCode]]),1,IF(COUNTIF(MONTHPRF[Code],Pupils_import[[#This Row],[MonthProfileCode]])&gt;0,0,1))</f>
        <v>0</v>
      </c>
      <c r="G4" s="80" cm="1">
        <f t="array" ref="G4">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4" s="80" t="e" cm="1">
        <f t="array" ref="H4">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4" s="85">
        <f>IF(ISBLANK(Pupils_import[[#This Row],[YearValue]])=Pupils_import[[#This Row],[Calculated]],0,1)</f>
        <v>0</v>
      </c>
      <c r="J4" s="80">
        <f>IF(ISBLANK(Pupils_import[[#This Row],[CalculatorCode]]),0,IF(COUNTIF(Calculators[CalculatorCode],Pupils_import[[#This Row],[CalculatorCode]])&gt;0,0,1))</f>
        <v>0</v>
      </c>
      <c r="K4" s="80">
        <f>IF(TRIM(Pupils_import[[#This Row],[Description]])="",1,0)</f>
        <v>0</v>
      </c>
      <c r="L4" s="80">
        <f>IF(ISBLANK(Pupils_import[[#This Row],[MatEditOnly]]),1,0)</f>
        <v>0</v>
      </c>
      <c r="M4" s="80">
        <f>IF(ISBLANK(Pupils_import[[#This Row],[FinancialYearCode]]),1,0)</f>
        <v>0</v>
      </c>
      <c r="N4" s="80">
        <f>IF(ISBLANK(Pupils_import[[#This Row],[Calculated]]),1,0)</f>
        <v>0</v>
      </c>
      <c r="O4"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4" s="80">
        <f>IF(LEN(Pupils_import[[#This Row],[Description]])&lt;100,0,1)</f>
        <v>0</v>
      </c>
      <c r="Q4" s="80">
        <f>IF(LEN(Pupils_import[[#This Row],[Notes]])&lt;4000,0,1)</f>
        <v>0</v>
      </c>
      <c r="R4" s="80">
        <f>IF(LEN(Pupils_import[[#This Row],[YearNotes]])&lt;4000,0,1)</f>
        <v>0</v>
      </c>
      <c r="S4" s="80">
        <f>IF(OR(Pupils_import[[#This Row],[MatEditOnly]]=TRUE,Pupils_import[[#This Row],[MatEditOnly]]=FALSE),IF(OR(Pupils_import[[#This Row],[Calculated]]=TRUE,Pupils_import[[#This Row],[Calculated]]=FALSE),0,1),1)</f>
        <v>0</v>
      </c>
      <c r="T4" s="80">
        <f>IF(_xlfn.XLOOKUP(Pupils_import[[#This Row],[FinancialYearCode]],Years[Years],Years[Years],1)=Pupils_import[[#This Row],[FinancialYearCode]],0,1)</f>
        <v>0</v>
      </c>
      <c r="U4" s="80">
        <f>IF(Pupils_import[[#This Row],[CalculatorCode]]="",0,IF(IF(_xlfn.XLOOKUP(Pupils_import[[#This Row],[CalculatorCode]],Calculators[CalculatorCode],Calculators[LockCheck])=1,TRUE,FALSE)=Pupils_import[[#This Row],[MatEditOnly]],0,1))</f>
        <v>0</v>
      </c>
      <c r="V4" s="85" t="e">
        <f>SUM(Pupils_import[[#This Row],[DuplicateLine]:[MAT edit only required]])</f>
        <v>#N/A</v>
      </c>
      <c r="W4" s="80" t="str">
        <f>_xlfn.XLOOKUP(Pupils_import[[#This Row],[SchoolCode]],SCHOOLS[SchoolCode],SCHOOLS[Title])</f>
        <v>Bolton Brow Primary Academy</v>
      </c>
      <c r="Y4" t="s">
        <v>923</v>
      </c>
      <c r="Z4" t="s">
        <v>2588</v>
      </c>
      <c r="AA4" t="s">
        <v>51</v>
      </c>
      <c r="AB4" t="s">
        <v>51</v>
      </c>
      <c r="AD4" t="s">
        <v>923</v>
      </c>
      <c r="AE4" t="s">
        <v>1124</v>
      </c>
      <c r="AF4" t="s">
        <v>924</v>
      </c>
      <c r="AG4" t="s">
        <v>1634</v>
      </c>
      <c r="AI4" t="b">
        <v>1</v>
      </c>
      <c r="AJ4" t="s">
        <v>1497</v>
      </c>
      <c r="AK4" t="b">
        <v>1</v>
      </c>
    </row>
    <row r="5" spans="1:38" hidden="1" x14ac:dyDescent="0.3">
      <c r="A5" s="120" t="str">
        <f t="shared" si="0"/>
        <v>FUNDED_KS2BBPFunded Pupil Numbers KS22025/26DEFAULT</v>
      </c>
      <c r="B5" s="85">
        <f>COUNTIF(Pupils_import[Column1],Pupils_import[[#This Row],[Column1]])-1</f>
        <v>0</v>
      </c>
      <c r="C5" s="80" cm="1">
        <f t="array" ref="C5">IF(_xlfn.XLOOKUP(Pupils_import[[#This Row],[FinanceCode]],FC_import[FinanceCode],FC_import[AvailableToAllSchools],1,0,)=TRUE,0,IF(ISERROR(FIND(Pupils_import[[#This Row],[SchoolCode]],_xlfn.TEXTJOIN(",",TRUE,_xlfn.UNIQUE(IF(FC_import[FinanceCode]=Pupils_import[[#This Row],[FinanceCode]],FC_import[SchoolCodes],""))))),1,0))</f>
        <v>0</v>
      </c>
      <c r="D5" s="85">
        <f>IF(COUNTIF(SCHOOLS[SchoolCode],Pupils_import[[#This Row],[SchoolCode]])&gt;0,0,1)</f>
        <v>0</v>
      </c>
      <c r="E5" s="85">
        <f>IF(COUNTIF(LEDGER[LedgerCode],Pupils_import[[#This Row],[LedgerCode]])&gt;0,0,1)</f>
        <v>0</v>
      </c>
      <c r="F5" s="85">
        <f>IF(ISBLANK(Pupils_import[[#This Row],[MonthProfileCode]]),1,IF(COUNTIF(MONTHPRF[Code],Pupils_import[[#This Row],[MonthProfileCode]])&gt;0,0,1))</f>
        <v>0</v>
      </c>
      <c r="G5" s="80" cm="1">
        <f t="array" ref="G5">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5" s="80" t="e" cm="1">
        <f t="array" ref="H5">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5" s="85">
        <f>IF(ISBLANK(Pupils_import[[#This Row],[YearValue]])=Pupils_import[[#This Row],[Calculated]],0,1)</f>
        <v>0</v>
      </c>
      <c r="J5" s="80">
        <f>IF(ISBLANK(Pupils_import[[#This Row],[CalculatorCode]]),0,IF(COUNTIF(Calculators[CalculatorCode],Pupils_import[[#This Row],[CalculatorCode]])&gt;0,0,1))</f>
        <v>0</v>
      </c>
      <c r="K5" s="80">
        <f>IF(TRIM(Pupils_import[[#This Row],[Description]])="",1,0)</f>
        <v>0</v>
      </c>
      <c r="L5" s="80">
        <f>IF(ISBLANK(Pupils_import[[#This Row],[MatEditOnly]]),1,0)</f>
        <v>0</v>
      </c>
      <c r="M5" s="80">
        <f>IF(ISBLANK(Pupils_import[[#This Row],[FinancialYearCode]]),1,0)</f>
        <v>0</v>
      </c>
      <c r="N5" s="80">
        <f>IF(ISBLANK(Pupils_import[[#This Row],[Calculated]]),1,0)</f>
        <v>0</v>
      </c>
      <c r="O5"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5" s="80">
        <f>IF(LEN(Pupils_import[[#This Row],[Description]])&lt;100,0,1)</f>
        <v>0</v>
      </c>
      <c r="Q5" s="80">
        <f>IF(LEN(Pupils_import[[#This Row],[Notes]])&lt;4000,0,1)</f>
        <v>0</v>
      </c>
      <c r="R5" s="80">
        <f>IF(LEN(Pupils_import[[#This Row],[YearNotes]])&lt;4000,0,1)</f>
        <v>0</v>
      </c>
      <c r="S5" s="80">
        <f>IF(OR(Pupils_import[[#This Row],[MatEditOnly]]=TRUE,Pupils_import[[#This Row],[MatEditOnly]]=FALSE),IF(OR(Pupils_import[[#This Row],[Calculated]]=TRUE,Pupils_import[[#This Row],[Calculated]]=FALSE),0,1),1)</f>
        <v>0</v>
      </c>
      <c r="T5" s="80">
        <f>IF(_xlfn.XLOOKUP(Pupils_import[[#This Row],[FinancialYearCode]],Years[Years],Years[Years],1)=Pupils_import[[#This Row],[FinancialYearCode]],0,1)</f>
        <v>0</v>
      </c>
      <c r="U5" s="80">
        <f>IF(Pupils_import[[#This Row],[CalculatorCode]]="",0,IF(IF(_xlfn.XLOOKUP(Pupils_import[[#This Row],[CalculatorCode]],Calculators[CalculatorCode],Calculators[LockCheck])=1,TRUE,FALSE)=Pupils_import[[#This Row],[MatEditOnly]],0,1))</f>
        <v>0</v>
      </c>
      <c r="V5" s="85" t="e">
        <f>SUM(Pupils_import[[#This Row],[DuplicateLine]:[MAT edit only required]])</f>
        <v>#N/A</v>
      </c>
      <c r="W5" s="80" t="str">
        <f>_xlfn.XLOOKUP(Pupils_import[[#This Row],[SchoolCode]],SCHOOLS[SchoolCode],SCHOOLS[Title])</f>
        <v>Bolton Brow Primary Academy</v>
      </c>
      <c r="Y5" t="s">
        <v>925</v>
      </c>
      <c r="Z5" t="s">
        <v>2588</v>
      </c>
      <c r="AA5" t="s">
        <v>51</v>
      </c>
      <c r="AB5" t="s">
        <v>51</v>
      </c>
      <c r="AD5" t="s">
        <v>925</v>
      </c>
      <c r="AE5" t="s">
        <v>1124</v>
      </c>
      <c r="AF5" t="s">
        <v>926</v>
      </c>
      <c r="AG5" t="s">
        <v>1635</v>
      </c>
      <c r="AI5" t="b">
        <v>1</v>
      </c>
      <c r="AJ5" t="s">
        <v>1497</v>
      </c>
      <c r="AK5" t="b">
        <v>1</v>
      </c>
    </row>
    <row r="6" spans="1:38" hidden="1" x14ac:dyDescent="0.3">
      <c r="A6" s="120" t="str">
        <f t="shared" si="0"/>
        <v>FUNDED_PRIBBPFunded Pupil Numbers Primary Total2025/26DEFAULT</v>
      </c>
      <c r="B6" s="85">
        <f>COUNTIF(Pupils_import[Column1],Pupils_import[[#This Row],[Column1]])-1</f>
        <v>0</v>
      </c>
      <c r="C6" s="80" cm="1">
        <f t="array" ref="C6">IF(_xlfn.XLOOKUP(Pupils_import[[#This Row],[FinanceCode]],FC_import[FinanceCode],FC_import[AvailableToAllSchools],1,0,)=TRUE,0,IF(ISERROR(FIND(Pupils_import[[#This Row],[SchoolCode]],_xlfn.TEXTJOIN(",",TRUE,_xlfn.UNIQUE(IF(FC_import[FinanceCode]=Pupils_import[[#This Row],[FinanceCode]],FC_import[SchoolCodes],""))))),1,0))</f>
        <v>0</v>
      </c>
      <c r="D6" s="85">
        <f>IF(COUNTIF(SCHOOLS[SchoolCode],Pupils_import[[#This Row],[SchoolCode]])&gt;0,0,1)</f>
        <v>0</v>
      </c>
      <c r="E6" s="85">
        <f>IF(COUNTIF(LEDGER[LedgerCode],Pupils_import[[#This Row],[LedgerCode]])&gt;0,0,1)</f>
        <v>0</v>
      </c>
      <c r="F6" s="85">
        <f>IF(ISBLANK(Pupils_import[[#This Row],[MonthProfileCode]]),1,IF(COUNTIF(MONTHPRF[Code],Pupils_import[[#This Row],[MonthProfileCode]])&gt;0,0,1))</f>
        <v>0</v>
      </c>
      <c r="G6" s="80" cm="1">
        <f t="array" ref="G6">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6" s="80" t="e" cm="1">
        <f t="array" ref="H6">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6" s="85">
        <f>IF(ISBLANK(Pupils_import[[#This Row],[YearValue]])=Pupils_import[[#This Row],[Calculated]],0,1)</f>
        <v>0</v>
      </c>
      <c r="J6" s="80">
        <f>IF(ISBLANK(Pupils_import[[#This Row],[CalculatorCode]]),0,IF(COUNTIF(Calculators[CalculatorCode],Pupils_import[[#This Row],[CalculatorCode]])&gt;0,0,1))</f>
        <v>0</v>
      </c>
      <c r="K6" s="80">
        <f>IF(TRIM(Pupils_import[[#This Row],[Description]])="",1,0)</f>
        <v>0</v>
      </c>
      <c r="L6" s="80">
        <f>IF(ISBLANK(Pupils_import[[#This Row],[MatEditOnly]]),1,0)</f>
        <v>0</v>
      </c>
      <c r="M6" s="80">
        <f>IF(ISBLANK(Pupils_import[[#This Row],[FinancialYearCode]]),1,0)</f>
        <v>0</v>
      </c>
      <c r="N6" s="80">
        <f>IF(ISBLANK(Pupils_import[[#This Row],[Calculated]]),1,0)</f>
        <v>0</v>
      </c>
      <c r="O6"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6" s="80">
        <f>IF(LEN(Pupils_import[[#This Row],[Description]])&lt;100,0,1)</f>
        <v>0</v>
      </c>
      <c r="Q6" s="80">
        <f>IF(LEN(Pupils_import[[#This Row],[Notes]])&lt;4000,0,1)</f>
        <v>0</v>
      </c>
      <c r="R6" s="80">
        <f>IF(LEN(Pupils_import[[#This Row],[YearNotes]])&lt;4000,0,1)</f>
        <v>0</v>
      </c>
      <c r="S6" s="80">
        <f>IF(OR(Pupils_import[[#This Row],[MatEditOnly]]=TRUE,Pupils_import[[#This Row],[MatEditOnly]]=FALSE),IF(OR(Pupils_import[[#This Row],[Calculated]]=TRUE,Pupils_import[[#This Row],[Calculated]]=FALSE),0,1),1)</f>
        <v>0</v>
      </c>
      <c r="T6" s="80">
        <f>IF(_xlfn.XLOOKUP(Pupils_import[[#This Row],[FinancialYearCode]],Years[Years],Years[Years],1)=Pupils_import[[#This Row],[FinancialYearCode]],0,1)</f>
        <v>0</v>
      </c>
      <c r="U6" s="80">
        <f>IF(Pupils_import[[#This Row],[CalculatorCode]]="",0,IF(IF(_xlfn.XLOOKUP(Pupils_import[[#This Row],[CalculatorCode]],Calculators[CalculatorCode],Calculators[LockCheck])=1,TRUE,FALSE)=Pupils_import[[#This Row],[MatEditOnly]],0,1))</f>
        <v>0</v>
      </c>
      <c r="V6" s="85" t="e">
        <f>SUM(Pupils_import[[#This Row],[DuplicateLine]:[MAT edit only required]])</f>
        <v>#N/A</v>
      </c>
      <c r="W6" s="80" t="str">
        <f>_xlfn.XLOOKUP(Pupils_import[[#This Row],[SchoolCode]],SCHOOLS[SchoolCode],SCHOOLS[Title])</f>
        <v>Bolton Brow Primary Academy</v>
      </c>
      <c r="Y6" t="s">
        <v>1563</v>
      </c>
      <c r="Z6" t="s">
        <v>2588</v>
      </c>
      <c r="AA6" t="s">
        <v>51</v>
      </c>
      <c r="AB6" t="s">
        <v>51</v>
      </c>
      <c r="AD6" t="s">
        <v>1563</v>
      </c>
      <c r="AE6" t="s">
        <v>1124</v>
      </c>
      <c r="AF6" t="s">
        <v>1564</v>
      </c>
      <c r="AG6" t="s">
        <v>1643</v>
      </c>
      <c r="AI6" t="b">
        <v>1</v>
      </c>
      <c r="AJ6" t="s">
        <v>1497</v>
      </c>
      <c r="AK6" t="b">
        <v>1</v>
      </c>
    </row>
    <row r="7" spans="1:38" x14ac:dyDescent="0.3">
      <c r="A7" s="120" t="str">
        <f t="shared" si="0"/>
        <v>FUNDED_PRI_ADJBBPFunding Statement Adjustment Primary2025/26DEFAULT</v>
      </c>
      <c r="B7" s="85">
        <f>COUNTIF(Pupils_import[Column1],Pupils_import[[#This Row],[Column1]])-1</f>
        <v>0</v>
      </c>
      <c r="C7" s="80" cm="1">
        <f t="array" ref="C7">IF(_xlfn.XLOOKUP(Pupils_import[[#This Row],[FinanceCode]],FC_import[FinanceCode],FC_import[AvailableToAllSchools],1,0,)=TRUE,0,IF(ISERROR(FIND(Pupils_import[[#This Row],[SchoolCode]],_xlfn.TEXTJOIN(",",TRUE,_xlfn.UNIQUE(IF(FC_import[FinanceCode]=Pupils_import[[#This Row],[FinanceCode]],FC_import[SchoolCodes],""))))),1,0))</f>
        <v>0</v>
      </c>
      <c r="D7" s="85">
        <f>IF(COUNTIF(SCHOOLS[SchoolCode],Pupils_import[[#This Row],[SchoolCode]])&gt;0,0,1)</f>
        <v>0</v>
      </c>
      <c r="E7" s="85">
        <f>IF(COUNTIF(LEDGER[LedgerCode],Pupils_import[[#This Row],[LedgerCode]])&gt;0,0,1)</f>
        <v>0</v>
      </c>
      <c r="F7" s="85">
        <f>IF(ISBLANK(Pupils_import[[#This Row],[MonthProfileCode]]),1,IF(COUNTIF(MONTHPRF[Code],Pupils_import[[#This Row],[MonthProfileCode]])&gt;0,0,1))</f>
        <v>0</v>
      </c>
      <c r="G7" s="80" cm="1">
        <f t="array" ref="G7">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7" s="80" t="e" cm="1">
        <f t="array" ref="H7">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7" s="85">
        <f>IF(ISBLANK(Pupils_import[[#This Row],[YearValue]])=Pupils_import[[#This Row],[Calculated]],0,1)</f>
        <v>0</v>
      </c>
      <c r="J7" s="80">
        <f>IF(ISBLANK(Pupils_import[[#This Row],[CalculatorCode]]),0,IF(COUNTIF(Calculators[CalculatorCode],Pupils_import[[#This Row],[CalculatorCode]])&gt;0,0,1))</f>
        <v>0</v>
      </c>
      <c r="K7" s="80">
        <f>IF(TRIM(Pupils_import[[#This Row],[Description]])="",1,0)</f>
        <v>0</v>
      </c>
      <c r="L7" s="80">
        <f>IF(ISBLANK(Pupils_import[[#This Row],[MatEditOnly]]),1,0)</f>
        <v>0</v>
      </c>
      <c r="M7" s="80">
        <f>IF(ISBLANK(Pupils_import[[#This Row],[FinancialYearCode]]),1,0)</f>
        <v>0</v>
      </c>
      <c r="N7" s="80">
        <f>IF(ISBLANK(Pupils_import[[#This Row],[Calculated]]),1,0)</f>
        <v>0</v>
      </c>
      <c r="O7"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7" s="80">
        <f>IF(LEN(Pupils_import[[#This Row],[Description]])&lt;100,0,1)</f>
        <v>0</v>
      </c>
      <c r="Q7" s="80">
        <f>IF(LEN(Pupils_import[[#This Row],[Notes]])&lt;4000,0,1)</f>
        <v>0</v>
      </c>
      <c r="R7" s="80">
        <f>IF(LEN(Pupils_import[[#This Row],[YearNotes]])&lt;4000,0,1)</f>
        <v>0</v>
      </c>
      <c r="S7" s="80">
        <f>IF(OR(Pupils_import[[#This Row],[MatEditOnly]]=TRUE,Pupils_import[[#This Row],[MatEditOnly]]=FALSE),IF(OR(Pupils_import[[#This Row],[Calculated]]=TRUE,Pupils_import[[#This Row],[Calculated]]=FALSE),0,1),1)</f>
        <v>0</v>
      </c>
      <c r="T7" s="80">
        <f>IF(_xlfn.XLOOKUP(Pupils_import[[#This Row],[FinancialYearCode]],Years[Years],Years[Years],1)=Pupils_import[[#This Row],[FinancialYearCode]],0,1)</f>
        <v>0</v>
      </c>
      <c r="U7" s="80">
        <f>IF(Pupils_import[[#This Row],[CalculatorCode]]="",0,IF(IF(_xlfn.XLOOKUP(Pupils_import[[#This Row],[CalculatorCode]],Calculators[CalculatorCode],Calculators[LockCheck])=1,TRUE,FALSE)=Pupils_import[[#This Row],[MatEditOnly]],0,1))</f>
        <v>0</v>
      </c>
      <c r="V7" s="85" t="e">
        <f>SUM(Pupils_import[[#This Row],[DuplicateLine]:[MAT edit only required]])</f>
        <v>#N/A</v>
      </c>
      <c r="W7" s="80" t="str">
        <f>_xlfn.XLOOKUP(Pupils_import[[#This Row],[SchoolCode]],SCHOOLS[SchoolCode],SCHOOLS[Title])</f>
        <v>Bolton Brow Primary Academy</v>
      </c>
      <c r="Y7" t="s">
        <v>1503</v>
      </c>
      <c r="Z7" t="s">
        <v>2588</v>
      </c>
      <c r="AA7" t="s">
        <v>51</v>
      </c>
      <c r="AB7" t="s">
        <v>51</v>
      </c>
      <c r="AE7" t="s">
        <v>1124</v>
      </c>
      <c r="AF7" t="s">
        <v>1507</v>
      </c>
      <c r="AG7" t="s">
        <v>1644</v>
      </c>
      <c r="AI7" t="b">
        <v>0</v>
      </c>
      <c r="AJ7" t="s">
        <v>1497</v>
      </c>
      <c r="AK7" t="b">
        <v>1</v>
      </c>
    </row>
    <row r="8" spans="1:38" hidden="1" x14ac:dyDescent="0.3">
      <c r="A8" s="120" t="str">
        <f t="shared" si="0"/>
        <v>FTE_KS5BBSFTE for Post 16 Pupils2025/26DEFAULT</v>
      </c>
      <c r="B8" s="85">
        <f>COUNTIF(Pupils_import[Column1],Pupils_import[[#This Row],[Column1]])-1</f>
        <v>0</v>
      </c>
      <c r="C8" s="80" cm="1">
        <f t="array" ref="C8">IF(_xlfn.XLOOKUP(Pupils_import[[#This Row],[FinanceCode]],FC_import[FinanceCode],FC_import[AvailableToAllSchools],1,0,)=TRUE,0,IF(ISERROR(FIND(Pupils_import[[#This Row],[SchoolCode]],_xlfn.TEXTJOIN(",",TRUE,_xlfn.UNIQUE(IF(FC_import[FinanceCode]=Pupils_import[[#This Row],[FinanceCode]],FC_import[SchoolCodes],""))))),1,0))</f>
        <v>1</v>
      </c>
      <c r="D8" s="85">
        <f>IF(COUNTIF(SCHOOLS[SchoolCode],Pupils_import[[#This Row],[SchoolCode]])&gt;0,0,1)</f>
        <v>0</v>
      </c>
      <c r="E8" s="85">
        <f>IF(COUNTIF(LEDGER[LedgerCode],Pupils_import[[#This Row],[LedgerCode]])&gt;0,0,1)</f>
        <v>0</v>
      </c>
      <c r="F8" s="85">
        <f>IF(ISBLANK(Pupils_import[[#This Row],[MonthProfileCode]]),1,IF(COUNTIF(MONTHPRF[Code],Pupils_import[[#This Row],[MonthProfileCode]])&gt;0,0,1))</f>
        <v>0</v>
      </c>
      <c r="G8" s="80" cm="1">
        <f t="array" ref="G8">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8" s="80" t="e" cm="1">
        <f t="array" ref="H8">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8" s="85">
        <f>IF(ISBLANK(Pupils_import[[#This Row],[YearValue]])=Pupils_import[[#This Row],[Calculated]],0,1)</f>
        <v>0</v>
      </c>
      <c r="J8" s="80">
        <f>IF(ISBLANK(Pupils_import[[#This Row],[CalculatorCode]]),0,IF(COUNTIF(Calculators[CalculatorCode],Pupils_import[[#This Row],[CalculatorCode]])&gt;0,0,1))</f>
        <v>1</v>
      </c>
      <c r="K8" s="80">
        <f>IF(TRIM(Pupils_import[[#This Row],[Description]])="",1,0)</f>
        <v>0</v>
      </c>
      <c r="L8" s="80">
        <f>IF(ISBLANK(Pupils_import[[#This Row],[MatEditOnly]]),1,0)</f>
        <v>0</v>
      </c>
      <c r="M8" s="80">
        <f>IF(ISBLANK(Pupils_import[[#This Row],[FinancialYearCode]]),1,0)</f>
        <v>0</v>
      </c>
      <c r="N8" s="80">
        <f>IF(ISBLANK(Pupils_import[[#This Row],[Calculated]]),1,0)</f>
        <v>0</v>
      </c>
      <c r="O8"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8" s="80">
        <f>IF(LEN(Pupils_import[[#This Row],[Description]])&lt;100,0,1)</f>
        <v>0</v>
      </c>
      <c r="Q8" s="80">
        <f>IF(LEN(Pupils_import[[#This Row],[Notes]])&lt;4000,0,1)</f>
        <v>0</v>
      </c>
      <c r="R8" s="80">
        <f>IF(LEN(Pupils_import[[#This Row],[YearNotes]])&lt;4000,0,1)</f>
        <v>0</v>
      </c>
      <c r="S8" s="80">
        <f>IF(OR(Pupils_import[[#This Row],[MatEditOnly]]=TRUE,Pupils_import[[#This Row],[MatEditOnly]]=FALSE),IF(OR(Pupils_import[[#This Row],[Calculated]]=TRUE,Pupils_import[[#This Row],[Calculated]]=FALSE),0,1),1)</f>
        <v>0</v>
      </c>
      <c r="T8" s="80">
        <f>IF(_xlfn.XLOOKUP(Pupils_import[[#This Row],[FinancialYearCode]],Years[Years],Years[Years],1)=Pupils_import[[#This Row],[FinancialYearCode]],0,1)</f>
        <v>0</v>
      </c>
      <c r="U8" s="80" t="e">
        <f>IF(Pupils_import[[#This Row],[CalculatorCode]]="",0,IF(IF(_xlfn.XLOOKUP(Pupils_import[[#This Row],[CalculatorCode]],Calculators[CalculatorCode],Calculators[LockCheck])=1,TRUE,FALSE)=Pupils_import[[#This Row],[MatEditOnly]],0,1))</f>
        <v>#N/A</v>
      </c>
      <c r="V8" s="85" t="e">
        <f>SUM(Pupils_import[[#This Row],[DuplicateLine]:[MAT edit only required]])</f>
        <v>#N/A</v>
      </c>
      <c r="W8" s="80" t="str">
        <f>_xlfn.XLOOKUP(Pupils_import[[#This Row],[SchoolCode]],SCHOOLS[SchoolCode],SCHOOLS[Title])</f>
        <v>The Brooksbank School</v>
      </c>
      <c r="Y8" t="s">
        <v>2001</v>
      </c>
      <c r="Z8" t="s">
        <v>2591</v>
      </c>
      <c r="AA8" t="s">
        <v>51</v>
      </c>
      <c r="AB8" t="s">
        <v>51</v>
      </c>
      <c r="AD8" t="s">
        <v>2001</v>
      </c>
      <c r="AE8" t="s">
        <v>1124</v>
      </c>
      <c r="AF8" t="s">
        <v>2002</v>
      </c>
      <c r="AG8" t="s">
        <v>2035</v>
      </c>
      <c r="AI8" t="b">
        <v>0</v>
      </c>
      <c r="AJ8" t="s">
        <v>1497</v>
      </c>
      <c r="AK8" t="b">
        <v>1</v>
      </c>
    </row>
    <row r="9" spans="1:38" hidden="1" x14ac:dyDescent="0.3">
      <c r="A9" s="120" t="str">
        <f t="shared" si="0"/>
        <v>FUNDED_KS3BBSFunded Pupil Numbers KS32025/26DEFAULT</v>
      </c>
      <c r="B9" s="85">
        <f>COUNTIF(Pupils_import[Column1],Pupils_import[[#This Row],[Column1]])-1</f>
        <v>0</v>
      </c>
      <c r="C9" s="80" cm="1">
        <f t="array" ref="C9">IF(_xlfn.XLOOKUP(Pupils_import[[#This Row],[FinanceCode]],FC_import[FinanceCode],FC_import[AvailableToAllSchools],1,0,)=TRUE,0,IF(ISERROR(FIND(Pupils_import[[#This Row],[SchoolCode]],_xlfn.TEXTJOIN(",",TRUE,_xlfn.UNIQUE(IF(FC_import[FinanceCode]=Pupils_import[[#This Row],[FinanceCode]],FC_import[SchoolCodes],""))))),1,0))</f>
        <v>1</v>
      </c>
      <c r="D9" s="85">
        <f>IF(COUNTIF(SCHOOLS[SchoolCode],Pupils_import[[#This Row],[SchoolCode]])&gt;0,0,1)</f>
        <v>0</v>
      </c>
      <c r="E9" s="85">
        <f>IF(COUNTIF(LEDGER[LedgerCode],Pupils_import[[#This Row],[LedgerCode]])&gt;0,0,1)</f>
        <v>0</v>
      </c>
      <c r="F9" s="85">
        <f>IF(ISBLANK(Pupils_import[[#This Row],[MonthProfileCode]]),1,IF(COUNTIF(MONTHPRF[Code],Pupils_import[[#This Row],[MonthProfileCode]])&gt;0,0,1))</f>
        <v>0</v>
      </c>
      <c r="G9" s="80" cm="1">
        <f t="array" ref="G9">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9" s="80" t="e" cm="1">
        <f t="array" ref="H9">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9" s="85">
        <f>IF(ISBLANK(Pupils_import[[#This Row],[YearValue]])=Pupils_import[[#This Row],[Calculated]],0,1)</f>
        <v>0</v>
      </c>
      <c r="J9" s="80">
        <f>IF(ISBLANK(Pupils_import[[#This Row],[CalculatorCode]]),0,IF(COUNTIF(Calculators[CalculatorCode],Pupils_import[[#This Row],[CalculatorCode]])&gt;0,0,1))</f>
        <v>1</v>
      </c>
      <c r="K9" s="80">
        <f>IF(TRIM(Pupils_import[[#This Row],[Description]])="",1,0)</f>
        <v>0</v>
      </c>
      <c r="L9" s="80">
        <f>IF(ISBLANK(Pupils_import[[#This Row],[MatEditOnly]]),1,0)</f>
        <v>0</v>
      </c>
      <c r="M9" s="80">
        <f>IF(ISBLANK(Pupils_import[[#This Row],[FinancialYearCode]]),1,0)</f>
        <v>0</v>
      </c>
      <c r="N9" s="80">
        <f>IF(ISBLANK(Pupils_import[[#This Row],[Calculated]]),1,0)</f>
        <v>0</v>
      </c>
      <c r="O9"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9" s="80">
        <f>IF(LEN(Pupils_import[[#This Row],[Description]])&lt;100,0,1)</f>
        <v>0</v>
      </c>
      <c r="Q9" s="80">
        <f>IF(LEN(Pupils_import[[#This Row],[Notes]])&lt;4000,0,1)</f>
        <v>0</v>
      </c>
      <c r="R9" s="80">
        <f>IF(LEN(Pupils_import[[#This Row],[YearNotes]])&lt;4000,0,1)</f>
        <v>0</v>
      </c>
      <c r="S9" s="80">
        <f>IF(OR(Pupils_import[[#This Row],[MatEditOnly]]=TRUE,Pupils_import[[#This Row],[MatEditOnly]]=FALSE),IF(OR(Pupils_import[[#This Row],[Calculated]]=TRUE,Pupils_import[[#This Row],[Calculated]]=FALSE),0,1),1)</f>
        <v>0</v>
      </c>
      <c r="T9" s="80">
        <f>IF(_xlfn.XLOOKUP(Pupils_import[[#This Row],[FinancialYearCode]],Years[Years],Years[Years],1)=Pupils_import[[#This Row],[FinancialYearCode]],0,1)</f>
        <v>0</v>
      </c>
      <c r="U9" s="80" t="e">
        <f>IF(Pupils_import[[#This Row],[CalculatorCode]]="",0,IF(IF(_xlfn.XLOOKUP(Pupils_import[[#This Row],[CalculatorCode]],Calculators[CalculatorCode],Calculators[LockCheck])=1,TRUE,FALSE)=Pupils_import[[#This Row],[MatEditOnly]],0,1))</f>
        <v>#N/A</v>
      </c>
      <c r="V9" s="85" t="e">
        <f>SUM(Pupils_import[[#This Row],[DuplicateLine]:[MAT edit only required]])</f>
        <v>#N/A</v>
      </c>
      <c r="W9" s="80" t="str">
        <f>_xlfn.XLOOKUP(Pupils_import[[#This Row],[SchoolCode]],SCHOOLS[SchoolCode],SCHOOLS[Title])</f>
        <v>The Brooksbank School</v>
      </c>
      <c r="Y9" t="s">
        <v>927</v>
      </c>
      <c r="Z9" t="s">
        <v>2591</v>
      </c>
      <c r="AA9" t="s">
        <v>51</v>
      </c>
      <c r="AB9" t="s">
        <v>51</v>
      </c>
      <c r="AD9" t="s">
        <v>927</v>
      </c>
      <c r="AE9" t="s">
        <v>1124</v>
      </c>
      <c r="AF9" t="s">
        <v>928</v>
      </c>
      <c r="AG9" t="s">
        <v>1636</v>
      </c>
      <c r="AI9" t="b">
        <v>1</v>
      </c>
      <c r="AJ9" t="s">
        <v>1497</v>
      </c>
      <c r="AK9" t="b">
        <v>1</v>
      </c>
    </row>
    <row r="10" spans="1:38" x14ac:dyDescent="0.3">
      <c r="A10" s="120" t="str">
        <f t="shared" si="0"/>
        <v>FUNDED_KS3_ADJBBSFunding Statement Adjustment KS32025/26DEFAULT</v>
      </c>
      <c r="B10" s="85">
        <f>COUNTIF(Pupils_import[Column1],Pupils_import[[#This Row],[Column1]])-1</f>
        <v>0</v>
      </c>
      <c r="C10" s="80" cm="1">
        <f t="array" ref="C10">IF(_xlfn.XLOOKUP(Pupils_import[[#This Row],[FinanceCode]],FC_import[FinanceCode],FC_import[AvailableToAllSchools],1,0,)=TRUE,0,IF(ISERROR(FIND(Pupils_import[[#This Row],[SchoolCode]],_xlfn.TEXTJOIN(",",TRUE,_xlfn.UNIQUE(IF(FC_import[FinanceCode]=Pupils_import[[#This Row],[FinanceCode]],FC_import[SchoolCodes],""))))),1,0))</f>
        <v>1</v>
      </c>
      <c r="D10" s="85">
        <f>IF(COUNTIF(SCHOOLS[SchoolCode],Pupils_import[[#This Row],[SchoolCode]])&gt;0,0,1)</f>
        <v>0</v>
      </c>
      <c r="E10" s="85">
        <f>IF(COUNTIF(LEDGER[LedgerCode],Pupils_import[[#This Row],[LedgerCode]])&gt;0,0,1)</f>
        <v>0</v>
      </c>
      <c r="F10" s="85">
        <f>IF(ISBLANK(Pupils_import[[#This Row],[MonthProfileCode]]),1,IF(COUNTIF(MONTHPRF[Code],Pupils_import[[#This Row],[MonthProfileCode]])&gt;0,0,1))</f>
        <v>0</v>
      </c>
      <c r="G10" s="80" cm="1">
        <f t="array" ref="G10">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10" s="80" t="e" cm="1">
        <f t="array" ref="H10">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10" s="85">
        <f>IF(ISBLANK(Pupils_import[[#This Row],[YearValue]])=Pupils_import[[#This Row],[Calculated]],0,1)</f>
        <v>0</v>
      </c>
      <c r="J10" s="80">
        <f>IF(ISBLANK(Pupils_import[[#This Row],[CalculatorCode]]),0,IF(COUNTIF(Calculators[CalculatorCode],Pupils_import[[#This Row],[CalculatorCode]])&gt;0,0,1))</f>
        <v>0</v>
      </c>
      <c r="K10" s="80">
        <f>IF(TRIM(Pupils_import[[#This Row],[Description]])="",1,0)</f>
        <v>0</v>
      </c>
      <c r="L10" s="80">
        <f>IF(ISBLANK(Pupils_import[[#This Row],[MatEditOnly]]),1,0)</f>
        <v>0</v>
      </c>
      <c r="M10" s="80">
        <f>IF(ISBLANK(Pupils_import[[#This Row],[FinancialYearCode]]),1,0)</f>
        <v>0</v>
      </c>
      <c r="N10" s="80">
        <f>IF(ISBLANK(Pupils_import[[#This Row],[Calculated]]),1,0)</f>
        <v>0</v>
      </c>
      <c r="O10"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10" s="80">
        <f>IF(LEN(Pupils_import[[#This Row],[Description]])&lt;100,0,1)</f>
        <v>0</v>
      </c>
      <c r="Q10" s="80">
        <f>IF(LEN(Pupils_import[[#This Row],[Notes]])&lt;4000,0,1)</f>
        <v>0</v>
      </c>
      <c r="R10" s="80">
        <f>IF(LEN(Pupils_import[[#This Row],[YearNotes]])&lt;4000,0,1)</f>
        <v>0</v>
      </c>
      <c r="S10" s="80">
        <f>IF(OR(Pupils_import[[#This Row],[MatEditOnly]]=TRUE,Pupils_import[[#This Row],[MatEditOnly]]=FALSE),IF(OR(Pupils_import[[#This Row],[Calculated]]=TRUE,Pupils_import[[#This Row],[Calculated]]=FALSE),0,1),1)</f>
        <v>0</v>
      </c>
      <c r="T10" s="80">
        <f>IF(_xlfn.XLOOKUP(Pupils_import[[#This Row],[FinancialYearCode]],Years[Years],Years[Years],1)=Pupils_import[[#This Row],[FinancialYearCode]],0,1)</f>
        <v>0</v>
      </c>
      <c r="U10" s="80">
        <f>IF(Pupils_import[[#This Row],[CalculatorCode]]="",0,IF(IF(_xlfn.XLOOKUP(Pupils_import[[#This Row],[CalculatorCode]],Calculators[CalculatorCode],Calculators[LockCheck])=1,TRUE,FALSE)=Pupils_import[[#This Row],[MatEditOnly]],0,1))</f>
        <v>0</v>
      </c>
      <c r="V10" s="85" t="e">
        <f>SUM(Pupils_import[[#This Row],[DuplicateLine]:[MAT edit only required]])</f>
        <v>#N/A</v>
      </c>
      <c r="W10" s="80" t="str">
        <f>_xlfn.XLOOKUP(Pupils_import[[#This Row],[SchoolCode]],SCHOOLS[SchoolCode],SCHOOLS[Title])</f>
        <v>The Brooksbank School</v>
      </c>
      <c r="Y10" t="s">
        <v>1504</v>
      </c>
      <c r="Z10" t="s">
        <v>2591</v>
      </c>
      <c r="AA10" t="s">
        <v>51</v>
      </c>
      <c r="AB10" t="s">
        <v>51</v>
      </c>
      <c r="AE10" t="s">
        <v>1124</v>
      </c>
      <c r="AF10" t="s">
        <v>1508</v>
      </c>
      <c r="AG10" t="s">
        <v>1637</v>
      </c>
      <c r="AI10" t="b">
        <v>0</v>
      </c>
      <c r="AJ10" t="s">
        <v>1497</v>
      </c>
      <c r="AK10" t="b">
        <v>1</v>
      </c>
    </row>
    <row r="11" spans="1:38" hidden="1" x14ac:dyDescent="0.3">
      <c r="A11" s="120" t="str">
        <f t="shared" si="0"/>
        <v>FUNDED_KS4BBSFunded Pupil Numbers KS42025/26DEFAULT</v>
      </c>
      <c r="B11" s="85">
        <f>COUNTIF(Pupils_import[Column1],Pupils_import[[#This Row],[Column1]])-1</f>
        <v>0</v>
      </c>
      <c r="C11" s="80" cm="1">
        <f t="array" ref="C11">IF(_xlfn.XLOOKUP(Pupils_import[[#This Row],[FinanceCode]],FC_import[FinanceCode],FC_import[AvailableToAllSchools],1,0,)=TRUE,0,IF(ISERROR(FIND(Pupils_import[[#This Row],[SchoolCode]],_xlfn.TEXTJOIN(",",TRUE,_xlfn.UNIQUE(IF(FC_import[FinanceCode]=Pupils_import[[#This Row],[FinanceCode]],FC_import[SchoolCodes],""))))),1,0))</f>
        <v>1</v>
      </c>
      <c r="D11" s="85">
        <f>IF(COUNTIF(SCHOOLS[SchoolCode],Pupils_import[[#This Row],[SchoolCode]])&gt;0,0,1)</f>
        <v>0</v>
      </c>
      <c r="E11" s="85">
        <f>IF(COUNTIF(LEDGER[LedgerCode],Pupils_import[[#This Row],[LedgerCode]])&gt;0,0,1)</f>
        <v>0</v>
      </c>
      <c r="F11" s="85">
        <f>IF(ISBLANK(Pupils_import[[#This Row],[MonthProfileCode]]),1,IF(COUNTIF(MONTHPRF[Code],Pupils_import[[#This Row],[MonthProfileCode]])&gt;0,0,1))</f>
        <v>0</v>
      </c>
      <c r="G11" s="80" cm="1">
        <f t="array" ref="G11">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11" s="80" t="e" cm="1">
        <f t="array" ref="H11">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11" s="85">
        <f>IF(ISBLANK(Pupils_import[[#This Row],[YearValue]])=Pupils_import[[#This Row],[Calculated]],0,1)</f>
        <v>0</v>
      </c>
      <c r="J11" s="80">
        <f>IF(ISBLANK(Pupils_import[[#This Row],[CalculatorCode]]),0,IF(COUNTIF(Calculators[CalculatorCode],Pupils_import[[#This Row],[CalculatorCode]])&gt;0,0,1))</f>
        <v>1</v>
      </c>
      <c r="K11" s="80">
        <f>IF(TRIM(Pupils_import[[#This Row],[Description]])="",1,0)</f>
        <v>0</v>
      </c>
      <c r="L11" s="80">
        <f>IF(ISBLANK(Pupils_import[[#This Row],[MatEditOnly]]),1,0)</f>
        <v>0</v>
      </c>
      <c r="M11" s="80">
        <f>IF(ISBLANK(Pupils_import[[#This Row],[FinancialYearCode]]),1,0)</f>
        <v>0</v>
      </c>
      <c r="N11" s="80">
        <f>IF(ISBLANK(Pupils_import[[#This Row],[Calculated]]),1,0)</f>
        <v>0</v>
      </c>
      <c r="O11"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11" s="80">
        <f>IF(LEN(Pupils_import[[#This Row],[Description]])&lt;100,0,1)</f>
        <v>0</v>
      </c>
      <c r="Q11" s="80">
        <f>IF(LEN(Pupils_import[[#This Row],[Notes]])&lt;4000,0,1)</f>
        <v>0</v>
      </c>
      <c r="R11" s="80">
        <f>IF(LEN(Pupils_import[[#This Row],[YearNotes]])&lt;4000,0,1)</f>
        <v>0</v>
      </c>
      <c r="S11" s="80">
        <f>IF(OR(Pupils_import[[#This Row],[MatEditOnly]]=TRUE,Pupils_import[[#This Row],[MatEditOnly]]=FALSE),IF(OR(Pupils_import[[#This Row],[Calculated]]=TRUE,Pupils_import[[#This Row],[Calculated]]=FALSE),0,1),1)</f>
        <v>0</v>
      </c>
      <c r="T11" s="80">
        <f>IF(_xlfn.XLOOKUP(Pupils_import[[#This Row],[FinancialYearCode]],Years[Years],Years[Years],1)=Pupils_import[[#This Row],[FinancialYearCode]],0,1)</f>
        <v>0</v>
      </c>
      <c r="U11" s="80" t="e">
        <f>IF(Pupils_import[[#This Row],[CalculatorCode]]="",0,IF(IF(_xlfn.XLOOKUP(Pupils_import[[#This Row],[CalculatorCode]],Calculators[CalculatorCode],Calculators[LockCheck])=1,TRUE,FALSE)=Pupils_import[[#This Row],[MatEditOnly]],0,1))</f>
        <v>#N/A</v>
      </c>
      <c r="V11" s="85" t="e">
        <f>SUM(Pupils_import[[#This Row],[DuplicateLine]:[MAT edit only required]])</f>
        <v>#N/A</v>
      </c>
      <c r="W11" s="80" t="str">
        <f>_xlfn.XLOOKUP(Pupils_import[[#This Row],[SchoolCode]],SCHOOLS[SchoolCode],SCHOOLS[Title])</f>
        <v>The Brooksbank School</v>
      </c>
      <c r="Y11" t="s">
        <v>929</v>
      </c>
      <c r="Z11" t="s">
        <v>2591</v>
      </c>
      <c r="AA11" t="s">
        <v>51</v>
      </c>
      <c r="AB11" t="s">
        <v>51</v>
      </c>
      <c r="AD11" t="s">
        <v>929</v>
      </c>
      <c r="AE11" t="s">
        <v>1124</v>
      </c>
      <c r="AF11" t="s">
        <v>930</v>
      </c>
      <c r="AG11" t="s">
        <v>1638</v>
      </c>
      <c r="AI11" t="b">
        <v>1</v>
      </c>
      <c r="AJ11" t="s">
        <v>1497</v>
      </c>
      <c r="AK11" t="b">
        <v>1</v>
      </c>
    </row>
    <row r="12" spans="1:38" x14ac:dyDescent="0.3">
      <c r="A12" s="120" t="str">
        <f t="shared" si="0"/>
        <v>FUNDED_KS4_ADJBBSFunding Statement Adjustment KS42025/26DEFAULT</v>
      </c>
      <c r="B12" s="85">
        <f>COUNTIF(Pupils_import[Column1],Pupils_import[[#This Row],[Column1]])-1</f>
        <v>0</v>
      </c>
      <c r="C12" s="80" cm="1">
        <f t="array" ref="C12">IF(_xlfn.XLOOKUP(Pupils_import[[#This Row],[FinanceCode]],FC_import[FinanceCode],FC_import[AvailableToAllSchools],1,0,)=TRUE,0,IF(ISERROR(FIND(Pupils_import[[#This Row],[SchoolCode]],_xlfn.TEXTJOIN(",",TRUE,_xlfn.UNIQUE(IF(FC_import[FinanceCode]=Pupils_import[[#This Row],[FinanceCode]],FC_import[SchoolCodes],""))))),1,0))</f>
        <v>1</v>
      </c>
      <c r="D12" s="85">
        <f>IF(COUNTIF(SCHOOLS[SchoolCode],Pupils_import[[#This Row],[SchoolCode]])&gt;0,0,1)</f>
        <v>0</v>
      </c>
      <c r="E12" s="85">
        <f>IF(COUNTIF(LEDGER[LedgerCode],Pupils_import[[#This Row],[LedgerCode]])&gt;0,0,1)</f>
        <v>0</v>
      </c>
      <c r="F12" s="85">
        <f>IF(ISBLANK(Pupils_import[[#This Row],[MonthProfileCode]]),1,IF(COUNTIF(MONTHPRF[Code],Pupils_import[[#This Row],[MonthProfileCode]])&gt;0,0,1))</f>
        <v>0</v>
      </c>
      <c r="G12" s="80" cm="1">
        <f t="array" ref="G12">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12" s="80" t="e" cm="1">
        <f t="array" ref="H12">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12" s="85">
        <f>IF(ISBLANK(Pupils_import[[#This Row],[YearValue]])=Pupils_import[[#This Row],[Calculated]],0,1)</f>
        <v>0</v>
      </c>
      <c r="J12" s="80">
        <f>IF(ISBLANK(Pupils_import[[#This Row],[CalculatorCode]]),0,IF(COUNTIF(Calculators[CalculatorCode],Pupils_import[[#This Row],[CalculatorCode]])&gt;0,0,1))</f>
        <v>0</v>
      </c>
      <c r="K12" s="80">
        <f>IF(TRIM(Pupils_import[[#This Row],[Description]])="",1,0)</f>
        <v>0</v>
      </c>
      <c r="L12" s="80">
        <f>IF(ISBLANK(Pupils_import[[#This Row],[MatEditOnly]]),1,0)</f>
        <v>0</v>
      </c>
      <c r="M12" s="80">
        <f>IF(ISBLANK(Pupils_import[[#This Row],[FinancialYearCode]]),1,0)</f>
        <v>0</v>
      </c>
      <c r="N12" s="80">
        <f>IF(ISBLANK(Pupils_import[[#This Row],[Calculated]]),1,0)</f>
        <v>0</v>
      </c>
      <c r="O12"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12" s="80">
        <f>IF(LEN(Pupils_import[[#This Row],[Description]])&lt;100,0,1)</f>
        <v>0</v>
      </c>
      <c r="Q12" s="80">
        <f>IF(LEN(Pupils_import[[#This Row],[Notes]])&lt;4000,0,1)</f>
        <v>0</v>
      </c>
      <c r="R12" s="80">
        <f>IF(LEN(Pupils_import[[#This Row],[YearNotes]])&lt;4000,0,1)</f>
        <v>0</v>
      </c>
      <c r="S12" s="80">
        <f>IF(OR(Pupils_import[[#This Row],[MatEditOnly]]=TRUE,Pupils_import[[#This Row],[MatEditOnly]]=FALSE),IF(OR(Pupils_import[[#This Row],[Calculated]]=TRUE,Pupils_import[[#This Row],[Calculated]]=FALSE),0,1),1)</f>
        <v>0</v>
      </c>
      <c r="T12" s="80">
        <f>IF(_xlfn.XLOOKUP(Pupils_import[[#This Row],[FinancialYearCode]],Years[Years],Years[Years],1)=Pupils_import[[#This Row],[FinancialYearCode]],0,1)</f>
        <v>0</v>
      </c>
      <c r="U12" s="80">
        <f>IF(Pupils_import[[#This Row],[CalculatorCode]]="",0,IF(IF(_xlfn.XLOOKUP(Pupils_import[[#This Row],[CalculatorCode]],Calculators[CalculatorCode],Calculators[LockCheck])=1,TRUE,FALSE)=Pupils_import[[#This Row],[MatEditOnly]],0,1))</f>
        <v>0</v>
      </c>
      <c r="V12" s="85" t="e">
        <f>SUM(Pupils_import[[#This Row],[DuplicateLine]:[MAT edit only required]])</f>
        <v>#N/A</v>
      </c>
      <c r="W12" s="80" t="str">
        <f>_xlfn.XLOOKUP(Pupils_import[[#This Row],[SchoolCode]],SCHOOLS[SchoolCode],SCHOOLS[Title])</f>
        <v>The Brooksbank School</v>
      </c>
      <c r="Y12" t="s">
        <v>1505</v>
      </c>
      <c r="Z12" t="s">
        <v>2591</v>
      </c>
      <c r="AA12" t="s">
        <v>51</v>
      </c>
      <c r="AB12" t="s">
        <v>51</v>
      </c>
      <c r="AE12" t="s">
        <v>1124</v>
      </c>
      <c r="AF12" t="s">
        <v>1510</v>
      </c>
      <c r="AG12" t="s">
        <v>1639</v>
      </c>
      <c r="AI12" t="b">
        <v>0</v>
      </c>
      <c r="AJ12" t="s">
        <v>1497</v>
      </c>
      <c r="AK12" t="b">
        <v>1</v>
      </c>
    </row>
    <row r="13" spans="1:38" hidden="1" x14ac:dyDescent="0.3">
      <c r="A13" s="120" t="str">
        <f t="shared" si="0"/>
        <v>FUNDED_KS5BBSFunded Pupil Numbers KS52025/26DEFAULT</v>
      </c>
      <c r="B13" s="85">
        <f>COUNTIF(Pupils_import[Column1],Pupils_import[[#This Row],[Column1]])-1</f>
        <v>0</v>
      </c>
      <c r="C13" s="80" cm="1">
        <f t="array" ref="C13">IF(_xlfn.XLOOKUP(Pupils_import[[#This Row],[FinanceCode]],FC_import[FinanceCode],FC_import[AvailableToAllSchools],1,0,)=TRUE,0,IF(ISERROR(FIND(Pupils_import[[#This Row],[SchoolCode]],_xlfn.TEXTJOIN(",",TRUE,_xlfn.UNIQUE(IF(FC_import[FinanceCode]=Pupils_import[[#This Row],[FinanceCode]],FC_import[SchoolCodes],""))))),1,0))</f>
        <v>1</v>
      </c>
      <c r="D13" s="85">
        <f>IF(COUNTIF(SCHOOLS[SchoolCode],Pupils_import[[#This Row],[SchoolCode]])&gt;0,0,1)</f>
        <v>0</v>
      </c>
      <c r="E13" s="85">
        <f>IF(COUNTIF(LEDGER[LedgerCode],Pupils_import[[#This Row],[LedgerCode]])&gt;0,0,1)</f>
        <v>0</v>
      </c>
      <c r="F13" s="85">
        <f>IF(ISBLANK(Pupils_import[[#This Row],[MonthProfileCode]]),1,IF(COUNTIF(MONTHPRF[Code],Pupils_import[[#This Row],[MonthProfileCode]])&gt;0,0,1))</f>
        <v>0</v>
      </c>
      <c r="G13" s="80" cm="1">
        <f t="array" ref="G13">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13" s="80" t="e" cm="1">
        <f t="array" ref="H13">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13" s="85">
        <f>IF(ISBLANK(Pupils_import[[#This Row],[YearValue]])=Pupils_import[[#This Row],[Calculated]],0,1)</f>
        <v>0</v>
      </c>
      <c r="J13" s="80">
        <f>IF(ISBLANK(Pupils_import[[#This Row],[CalculatorCode]]),0,IF(COUNTIF(Calculators[CalculatorCode],Pupils_import[[#This Row],[CalculatorCode]])&gt;0,0,1))</f>
        <v>1</v>
      </c>
      <c r="K13" s="80">
        <f>IF(TRIM(Pupils_import[[#This Row],[Description]])="",1,0)</f>
        <v>0</v>
      </c>
      <c r="L13" s="80">
        <f>IF(ISBLANK(Pupils_import[[#This Row],[MatEditOnly]]),1,0)</f>
        <v>0</v>
      </c>
      <c r="M13" s="80">
        <f>IF(ISBLANK(Pupils_import[[#This Row],[FinancialYearCode]]),1,0)</f>
        <v>0</v>
      </c>
      <c r="N13" s="80">
        <f>IF(ISBLANK(Pupils_import[[#This Row],[Calculated]]),1,0)</f>
        <v>0</v>
      </c>
      <c r="O13"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13" s="80">
        <f>IF(LEN(Pupils_import[[#This Row],[Description]])&lt;100,0,1)</f>
        <v>0</v>
      </c>
      <c r="Q13" s="80">
        <f>IF(LEN(Pupils_import[[#This Row],[Notes]])&lt;4000,0,1)</f>
        <v>0</v>
      </c>
      <c r="R13" s="80">
        <f>IF(LEN(Pupils_import[[#This Row],[YearNotes]])&lt;4000,0,1)</f>
        <v>0</v>
      </c>
      <c r="S13" s="80">
        <f>IF(OR(Pupils_import[[#This Row],[MatEditOnly]]=TRUE,Pupils_import[[#This Row],[MatEditOnly]]=FALSE),IF(OR(Pupils_import[[#This Row],[Calculated]]=TRUE,Pupils_import[[#This Row],[Calculated]]=FALSE),0,1),1)</f>
        <v>0</v>
      </c>
      <c r="T13" s="80">
        <f>IF(_xlfn.XLOOKUP(Pupils_import[[#This Row],[FinancialYearCode]],Years[Years],Years[Years],1)=Pupils_import[[#This Row],[FinancialYearCode]],0,1)</f>
        <v>0</v>
      </c>
      <c r="U13" s="80" t="e">
        <f>IF(Pupils_import[[#This Row],[CalculatorCode]]="",0,IF(IF(_xlfn.XLOOKUP(Pupils_import[[#This Row],[CalculatorCode]],Calculators[CalculatorCode],Calculators[LockCheck])=1,TRUE,FALSE)=Pupils_import[[#This Row],[MatEditOnly]],0,1))</f>
        <v>#N/A</v>
      </c>
      <c r="V13" s="85" t="e">
        <f>SUM(Pupils_import[[#This Row],[DuplicateLine]:[MAT edit only required]])</f>
        <v>#N/A</v>
      </c>
      <c r="W13" s="80" t="str">
        <f>_xlfn.XLOOKUP(Pupils_import[[#This Row],[SchoolCode]],SCHOOLS[SchoolCode],SCHOOLS[Title])</f>
        <v>The Brooksbank School</v>
      </c>
      <c r="Y13" t="s">
        <v>931</v>
      </c>
      <c r="Z13" t="s">
        <v>2591</v>
      </c>
      <c r="AA13" t="s">
        <v>51</v>
      </c>
      <c r="AB13" t="s">
        <v>51</v>
      </c>
      <c r="AD13" t="s">
        <v>931</v>
      </c>
      <c r="AE13" t="s">
        <v>1124</v>
      </c>
      <c r="AF13" t="s">
        <v>932</v>
      </c>
      <c r="AG13" t="s">
        <v>1640</v>
      </c>
      <c r="AI13" t="b">
        <v>1</v>
      </c>
      <c r="AJ13" t="s">
        <v>1497</v>
      </c>
      <c r="AK13" t="b">
        <v>1</v>
      </c>
    </row>
    <row r="14" spans="1:38" x14ac:dyDescent="0.3">
      <c r="A14" s="120" t="str">
        <f t="shared" si="0"/>
        <v>FUNDED_KS5_ADJBBSFunding Statement Adjustment KS52025/26DEFAULT</v>
      </c>
      <c r="B14" s="85">
        <f>COUNTIF(Pupils_import[Column1],Pupils_import[[#This Row],[Column1]])-1</f>
        <v>0</v>
      </c>
      <c r="C14" s="80" cm="1">
        <f t="array" ref="C14">IF(_xlfn.XLOOKUP(Pupils_import[[#This Row],[FinanceCode]],FC_import[FinanceCode],FC_import[AvailableToAllSchools],1,0,)=TRUE,0,IF(ISERROR(FIND(Pupils_import[[#This Row],[SchoolCode]],_xlfn.TEXTJOIN(",",TRUE,_xlfn.UNIQUE(IF(FC_import[FinanceCode]=Pupils_import[[#This Row],[FinanceCode]],FC_import[SchoolCodes],""))))),1,0))</f>
        <v>1</v>
      </c>
      <c r="D14" s="85">
        <f>IF(COUNTIF(SCHOOLS[SchoolCode],Pupils_import[[#This Row],[SchoolCode]])&gt;0,0,1)</f>
        <v>0</v>
      </c>
      <c r="E14" s="85">
        <f>IF(COUNTIF(LEDGER[LedgerCode],Pupils_import[[#This Row],[LedgerCode]])&gt;0,0,1)</f>
        <v>0</v>
      </c>
      <c r="F14" s="85">
        <f>IF(ISBLANK(Pupils_import[[#This Row],[MonthProfileCode]]),1,IF(COUNTIF(MONTHPRF[Code],Pupils_import[[#This Row],[MonthProfileCode]])&gt;0,0,1))</f>
        <v>0</v>
      </c>
      <c r="G14" s="80" cm="1">
        <f t="array" ref="G14">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14" s="80" t="e" cm="1">
        <f t="array" ref="H14">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14" s="85">
        <f>IF(ISBLANK(Pupils_import[[#This Row],[YearValue]])=Pupils_import[[#This Row],[Calculated]],0,1)</f>
        <v>0</v>
      </c>
      <c r="J14" s="80">
        <f>IF(ISBLANK(Pupils_import[[#This Row],[CalculatorCode]]),0,IF(COUNTIF(Calculators[CalculatorCode],Pupils_import[[#This Row],[CalculatorCode]])&gt;0,0,1))</f>
        <v>0</v>
      </c>
      <c r="K14" s="80">
        <f>IF(TRIM(Pupils_import[[#This Row],[Description]])="",1,0)</f>
        <v>0</v>
      </c>
      <c r="L14" s="80">
        <f>IF(ISBLANK(Pupils_import[[#This Row],[MatEditOnly]]),1,0)</f>
        <v>0</v>
      </c>
      <c r="M14" s="80">
        <f>IF(ISBLANK(Pupils_import[[#This Row],[FinancialYearCode]]),1,0)</f>
        <v>0</v>
      </c>
      <c r="N14" s="80">
        <f>IF(ISBLANK(Pupils_import[[#This Row],[Calculated]]),1,0)</f>
        <v>0</v>
      </c>
      <c r="O14"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14" s="80">
        <f>IF(LEN(Pupils_import[[#This Row],[Description]])&lt;100,0,1)</f>
        <v>0</v>
      </c>
      <c r="Q14" s="80">
        <f>IF(LEN(Pupils_import[[#This Row],[Notes]])&lt;4000,0,1)</f>
        <v>0</v>
      </c>
      <c r="R14" s="80">
        <f>IF(LEN(Pupils_import[[#This Row],[YearNotes]])&lt;4000,0,1)</f>
        <v>0</v>
      </c>
      <c r="S14" s="80">
        <f>IF(OR(Pupils_import[[#This Row],[MatEditOnly]]=TRUE,Pupils_import[[#This Row],[MatEditOnly]]=FALSE),IF(OR(Pupils_import[[#This Row],[Calculated]]=TRUE,Pupils_import[[#This Row],[Calculated]]=FALSE),0,1),1)</f>
        <v>0</v>
      </c>
      <c r="T14" s="80">
        <f>IF(_xlfn.XLOOKUP(Pupils_import[[#This Row],[FinancialYearCode]],Years[Years],Years[Years],1)=Pupils_import[[#This Row],[FinancialYearCode]],0,1)</f>
        <v>0</v>
      </c>
      <c r="U14" s="80">
        <f>IF(Pupils_import[[#This Row],[CalculatorCode]]="",0,IF(IF(_xlfn.XLOOKUP(Pupils_import[[#This Row],[CalculatorCode]],Calculators[CalculatorCode],Calculators[LockCheck])=1,TRUE,FALSE)=Pupils_import[[#This Row],[MatEditOnly]],0,1))</f>
        <v>0</v>
      </c>
      <c r="V14" s="85" t="e">
        <f>SUM(Pupils_import[[#This Row],[DuplicateLine]:[MAT edit only required]])</f>
        <v>#N/A</v>
      </c>
      <c r="W14" s="80" t="str">
        <f>_xlfn.XLOOKUP(Pupils_import[[#This Row],[SchoolCode]],SCHOOLS[SchoolCode],SCHOOLS[Title])</f>
        <v>The Brooksbank School</v>
      </c>
      <c r="Y14" t="s">
        <v>1506</v>
      </c>
      <c r="Z14" t="s">
        <v>2591</v>
      </c>
      <c r="AA14" t="s">
        <v>51</v>
      </c>
      <c r="AB14" t="s">
        <v>51</v>
      </c>
      <c r="AE14" t="s">
        <v>1124</v>
      </c>
      <c r="AF14" t="s">
        <v>1509</v>
      </c>
      <c r="AG14" t="s">
        <v>1641</v>
      </c>
      <c r="AI14" t="b">
        <v>0</v>
      </c>
      <c r="AJ14" t="s">
        <v>1497</v>
      </c>
      <c r="AK14" t="b">
        <v>1</v>
      </c>
    </row>
    <row r="15" spans="1:38" hidden="1" x14ac:dyDescent="0.3">
      <c r="A15" s="120" t="str">
        <f t="shared" si="0"/>
        <v>FTE_KS5HHSFTE for Post 16 Pupils2025/26DEFAULT</v>
      </c>
      <c r="B15" s="85">
        <f>COUNTIF(Pupils_import[Column1],Pupils_import[[#This Row],[Column1]])-1</f>
        <v>0</v>
      </c>
      <c r="C15" s="80" cm="1">
        <f t="array" ref="C15">IF(_xlfn.XLOOKUP(Pupils_import[[#This Row],[FinanceCode]],FC_import[FinanceCode],FC_import[AvailableToAllSchools],1,0,)=TRUE,0,IF(ISERROR(FIND(Pupils_import[[#This Row],[SchoolCode]],_xlfn.TEXTJOIN(",",TRUE,_xlfn.UNIQUE(IF(FC_import[FinanceCode]=Pupils_import[[#This Row],[FinanceCode]],FC_import[SchoolCodes],""))))),1,0))</f>
        <v>1</v>
      </c>
      <c r="D15" s="85">
        <f>IF(COUNTIF(SCHOOLS[SchoolCode],Pupils_import[[#This Row],[SchoolCode]])&gt;0,0,1)</f>
        <v>0</v>
      </c>
      <c r="E15" s="85">
        <f>IF(COUNTIF(LEDGER[LedgerCode],Pupils_import[[#This Row],[LedgerCode]])&gt;0,0,1)</f>
        <v>0</v>
      </c>
      <c r="F15" s="85">
        <f>IF(ISBLANK(Pupils_import[[#This Row],[MonthProfileCode]]),1,IF(COUNTIF(MONTHPRF[Code],Pupils_import[[#This Row],[MonthProfileCode]])&gt;0,0,1))</f>
        <v>0</v>
      </c>
      <c r="G15" s="80" cm="1">
        <f t="array" ref="G15">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15" s="80" t="e" cm="1">
        <f t="array" ref="H15">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15" s="85">
        <f>IF(ISBLANK(Pupils_import[[#This Row],[YearValue]])=Pupils_import[[#This Row],[Calculated]],0,1)</f>
        <v>0</v>
      </c>
      <c r="J15" s="80">
        <f>IF(ISBLANK(Pupils_import[[#This Row],[CalculatorCode]]),0,IF(COUNTIF(Calculators[CalculatorCode],Pupils_import[[#This Row],[CalculatorCode]])&gt;0,0,1))</f>
        <v>1</v>
      </c>
      <c r="K15" s="80">
        <f>IF(TRIM(Pupils_import[[#This Row],[Description]])="",1,0)</f>
        <v>0</v>
      </c>
      <c r="L15" s="80">
        <f>IF(ISBLANK(Pupils_import[[#This Row],[MatEditOnly]]),1,0)</f>
        <v>0</v>
      </c>
      <c r="M15" s="80">
        <f>IF(ISBLANK(Pupils_import[[#This Row],[FinancialYearCode]]),1,0)</f>
        <v>0</v>
      </c>
      <c r="N15" s="80">
        <f>IF(ISBLANK(Pupils_import[[#This Row],[Calculated]]),1,0)</f>
        <v>0</v>
      </c>
      <c r="O15"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15" s="80">
        <f>IF(LEN(Pupils_import[[#This Row],[Description]])&lt;100,0,1)</f>
        <v>0</v>
      </c>
      <c r="Q15" s="80">
        <f>IF(LEN(Pupils_import[[#This Row],[Notes]])&lt;4000,0,1)</f>
        <v>0</v>
      </c>
      <c r="R15" s="80">
        <f>IF(LEN(Pupils_import[[#This Row],[YearNotes]])&lt;4000,0,1)</f>
        <v>0</v>
      </c>
      <c r="S15" s="80">
        <f>IF(OR(Pupils_import[[#This Row],[MatEditOnly]]=TRUE,Pupils_import[[#This Row],[MatEditOnly]]=FALSE),IF(OR(Pupils_import[[#This Row],[Calculated]]=TRUE,Pupils_import[[#This Row],[Calculated]]=FALSE),0,1),1)</f>
        <v>0</v>
      </c>
      <c r="T15" s="80">
        <f>IF(_xlfn.XLOOKUP(Pupils_import[[#This Row],[FinancialYearCode]],Years[Years],Years[Years],1)=Pupils_import[[#This Row],[FinancialYearCode]],0,1)</f>
        <v>0</v>
      </c>
      <c r="U15" s="80" t="e">
        <f>IF(Pupils_import[[#This Row],[CalculatorCode]]="",0,IF(IF(_xlfn.XLOOKUP(Pupils_import[[#This Row],[CalculatorCode]],Calculators[CalculatorCode],Calculators[LockCheck])=1,TRUE,FALSE)=Pupils_import[[#This Row],[MatEditOnly]],0,1))</f>
        <v>#N/A</v>
      </c>
      <c r="V15" s="85" t="e">
        <f>SUM(Pupils_import[[#This Row],[DuplicateLine]:[MAT edit only required]])</f>
        <v>#N/A</v>
      </c>
      <c r="W15" s="80" t="str">
        <f>_xlfn.XLOOKUP(Pupils_import[[#This Row],[SchoolCode]],SCHOOLS[SchoolCode],SCHOOLS[Title])</f>
        <v>Honley High School</v>
      </c>
      <c r="Y15" t="s">
        <v>2001</v>
      </c>
      <c r="Z15" t="s">
        <v>2597</v>
      </c>
      <c r="AA15" t="s">
        <v>51</v>
      </c>
      <c r="AB15" t="s">
        <v>51</v>
      </c>
      <c r="AD15" t="s">
        <v>2001</v>
      </c>
      <c r="AE15" t="s">
        <v>1124</v>
      </c>
      <c r="AF15" t="s">
        <v>2002</v>
      </c>
      <c r="AG15" t="s">
        <v>2035</v>
      </c>
      <c r="AI15" t="b">
        <v>0</v>
      </c>
      <c r="AJ15" t="s">
        <v>1497</v>
      </c>
      <c r="AK15" t="b">
        <v>1</v>
      </c>
    </row>
    <row r="16" spans="1:38" hidden="1" x14ac:dyDescent="0.3">
      <c r="A16" s="120" t="str">
        <f t="shared" si="0"/>
        <v>FUNDED_KS3HHSFunded Pupil Numbers KS32025/26DEFAULT</v>
      </c>
      <c r="B16" s="85">
        <f>COUNTIF(Pupils_import[Column1],Pupils_import[[#This Row],[Column1]])-1</f>
        <v>0</v>
      </c>
      <c r="C16" s="80" cm="1">
        <f t="array" ref="C16">IF(_xlfn.XLOOKUP(Pupils_import[[#This Row],[FinanceCode]],FC_import[FinanceCode],FC_import[AvailableToAllSchools],1,0,)=TRUE,0,IF(ISERROR(FIND(Pupils_import[[#This Row],[SchoolCode]],_xlfn.TEXTJOIN(",",TRUE,_xlfn.UNIQUE(IF(FC_import[FinanceCode]=Pupils_import[[#This Row],[FinanceCode]],FC_import[SchoolCodes],""))))),1,0))</f>
        <v>1</v>
      </c>
      <c r="D16" s="85">
        <f>IF(COUNTIF(SCHOOLS[SchoolCode],Pupils_import[[#This Row],[SchoolCode]])&gt;0,0,1)</f>
        <v>0</v>
      </c>
      <c r="E16" s="85">
        <f>IF(COUNTIF(LEDGER[LedgerCode],Pupils_import[[#This Row],[LedgerCode]])&gt;0,0,1)</f>
        <v>0</v>
      </c>
      <c r="F16" s="85">
        <f>IF(ISBLANK(Pupils_import[[#This Row],[MonthProfileCode]]),1,IF(COUNTIF(MONTHPRF[Code],Pupils_import[[#This Row],[MonthProfileCode]])&gt;0,0,1))</f>
        <v>0</v>
      </c>
      <c r="G16" s="80" cm="1">
        <f t="array" ref="G16">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16" s="80" t="e" cm="1">
        <f t="array" ref="H16">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16" s="85">
        <f>IF(ISBLANK(Pupils_import[[#This Row],[YearValue]])=Pupils_import[[#This Row],[Calculated]],0,1)</f>
        <v>0</v>
      </c>
      <c r="J16" s="80">
        <f>IF(ISBLANK(Pupils_import[[#This Row],[CalculatorCode]]),0,IF(COUNTIF(Calculators[CalculatorCode],Pupils_import[[#This Row],[CalculatorCode]])&gt;0,0,1))</f>
        <v>1</v>
      </c>
      <c r="K16" s="80">
        <f>IF(TRIM(Pupils_import[[#This Row],[Description]])="",1,0)</f>
        <v>0</v>
      </c>
      <c r="L16" s="80">
        <f>IF(ISBLANK(Pupils_import[[#This Row],[MatEditOnly]]),1,0)</f>
        <v>0</v>
      </c>
      <c r="M16" s="80">
        <f>IF(ISBLANK(Pupils_import[[#This Row],[FinancialYearCode]]),1,0)</f>
        <v>0</v>
      </c>
      <c r="N16" s="80">
        <f>IF(ISBLANK(Pupils_import[[#This Row],[Calculated]]),1,0)</f>
        <v>0</v>
      </c>
      <c r="O16"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16" s="80">
        <f>IF(LEN(Pupils_import[[#This Row],[Description]])&lt;100,0,1)</f>
        <v>0</v>
      </c>
      <c r="Q16" s="80">
        <f>IF(LEN(Pupils_import[[#This Row],[Notes]])&lt;4000,0,1)</f>
        <v>0</v>
      </c>
      <c r="R16" s="80">
        <f>IF(LEN(Pupils_import[[#This Row],[YearNotes]])&lt;4000,0,1)</f>
        <v>0</v>
      </c>
      <c r="S16" s="80">
        <f>IF(OR(Pupils_import[[#This Row],[MatEditOnly]]=TRUE,Pupils_import[[#This Row],[MatEditOnly]]=FALSE),IF(OR(Pupils_import[[#This Row],[Calculated]]=TRUE,Pupils_import[[#This Row],[Calculated]]=FALSE),0,1),1)</f>
        <v>0</v>
      </c>
      <c r="T16" s="80">
        <f>IF(_xlfn.XLOOKUP(Pupils_import[[#This Row],[FinancialYearCode]],Years[Years],Years[Years],1)=Pupils_import[[#This Row],[FinancialYearCode]],0,1)</f>
        <v>0</v>
      </c>
      <c r="U16" s="80" t="e">
        <f>IF(Pupils_import[[#This Row],[CalculatorCode]]="",0,IF(IF(_xlfn.XLOOKUP(Pupils_import[[#This Row],[CalculatorCode]],Calculators[CalculatorCode],Calculators[LockCheck])=1,TRUE,FALSE)=Pupils_import[[#This Row],[MatEditOnly]],0,1))</f>
        <v>#N/A</v>
      </c>
      <c r="V16" s="85" t="e">
        <f>SUM(Pupils_import[[#This Row],[DuplicateLine]:[MAT edit only required]])</f>
        <v>#N/A</v>
      </c>
      <c r="W16" s="80" t="str">
        <f>_xlfn.XLOOKUP(Pupils_import[[#This Row],[SchoolCode]],SCHOOLS[SchoolCode],SCHOOLS[Title])</f>
        <v>Honley High School</v>
      </c>
      <c r="Y16" t="s">
        <v>927</v>
      </c>
      <c r="Z16" t="s">
        <v>2597</v>
      </c>
      <c r="AA16" t="s">
        <v>51</v>
      </c>
      <c r="AB16" t="s">
        <v>51</v>
      </c>
      <c r="AD16" t="s">
        <v>927</v>
      </c>
      <c r="AE16" t="s">
        <v>1124</v>
      </c>
      <c r="AF16" t="s">
        <v>928</v>
      </c>
      <c r="AG16" t="s">
        <v>1636</v>
      </c>
      <c r="AI16" t="b">
        <v>1</v>
      </c>
      <c r="AJ16" t="s">
        <v>1497</v>
      </c>
      <c r="AK16" t="b">
        <v>1</v>
      </c>
    </row>
    <row r="17" spans="1:37" x14ac:dyDescent="0.3">
      <c r="A17" s="120" t="str">
        <f t="shared" si="0"/>
        <v>FUNDED_KS3_ADJHHSFunding Statement Adjustment KS32025/26DEFAULT</v>
      </c>
      <c r="B17" s="85">
        <f>COUNTIF(Pupils_import[Column1],Pupils_import[[#This Row],[Column1]])-1</f>
        <v>0</v>
      </c>
      <c r="C17" s="80" cm="1">
        <f t="array" ref="C17">IF(_xlfn.XLOOKUP(Pupils_import[[#This Row],[FinanceCode]],FC_import[FinanceCode],FC_import[AvailableToAllSchools],1,0,)=TRUE,0,IF(ISERROR(FIND(Pupils_import[[#This Row],[SchoolCode]],_xlfn.TEXTJOIN(",",TRUE,_xlfn.UNIQUE(IF(FC_import[FinanceCode]=Pupils_import[[#This Row],[FinanceCode]],FC_import[SchoolCodes],""))))),1,0))</f>
        <v>1</v>
      </c>
      <c r="D17" s="85">
        <f>IF(COUNTIF(SCHOOLS[SchoolCode],Pupils_import[[#This Row],[SchoolCode]])&gt;0,0,1)</f>
        <v>0</v>
      </c>
      <c r="E17" s="85">
        <f>IF(COUNTIF(LEDGER[LedgerCode],Pupils_import[[#This Row],[LedgerCode]])&gt;0,0,1)</f>
        <v>0</v>
      </c>
      <c r="F17" s="85">
        <f>IF(ISBLANK(Pupils_import[[#This Row],[MonthProfileCode]]),1,IF(COUNTIF(MONTHPRF[Code],Pupils_import[[#This Row],[MonthProfileCode]])&gt;0,0,1))</f>
        <v>0</v>
      </c>
      <c r="G17" s="80" cm="1">
        <f t="array" ref="G17">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17" s="80" t="e" cm="1">
        <f t="array" ref="H17">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17" s="85">
        <f>IF(ISBLANK(Pupils_import[[#This Row],[YearValue]])=Pupils_import[[#This Row],[Calculated]],0,1)</f>
        <v>0</v>
      </c>
      <c r="J17" s="80">
        <f>IF(ISBLANK(Pupils_import[[#This Row],[CalculatorCode]]),0,IF(COUNTIF(Calculators[CalculatorCode],Pupils_import[[#This Row],[CalculatorCode]])&gt;0,0,1))</f>
        <v>0</v>
      </c>
      <c r="K17" s="80">
        <f>IF(TRIM(Pupils_import[[#This Row],[Description]])="",1,0)</f>
        <v>0</v>
      </c>
      <c r="L17" s="80">
        <f>IF(ISBLANK(Pupils_import[[#This Row],[MatEditOnly]]),1,0)</f>
        <v>0</v>
      </c>
      <c r="M17" s="80">
        <f>IF(ISBLANK(Pupils_import[[#This Row],[FinancialYearCode]]),1,0)</f>
        <v>0</v>
      </c>
      <c r="N17" s="80">
        <f>IF(ISBLANK(Pupils_import[[#This Row],[Calculated]]),1,0)</f>
        <v>0</v>
      </c>
      <c r="O17"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17" s="80">
        <f>IF(LEN(Pupils_import[[#This Row],[Description]])&lt;100,0,1)</f>
        <v>0</v>
      </c>
      <c r="Q17" s="80">
        <f>IF(LEN(Pupils_import[[#This Row],[Notes]])&lt;4000,0,1)</f>
        <v>0</v>
      </c>
      <c r="R17" s="80">
        <f>IF(LEN(Pupils_import[[#This Row],[YearNotes]])&lt;4000,0,1)</f>
        <v>0</v>
      </c>
      <c r="S17" s="80">
        <f>IF(OR(Pupils_import[[#This Row],[MatEditOnly]]=TRUE,Pupils_import[[#This Row],[MatEditOnly]]=FALSE),IF(OR(Pupils_import[[#This Row],[Calculated]]=TRUE,Pupils_import[[#This Row],[Calculated]]=FALSE),0,1),1)</f>
        <v>0</v>
      </c>
      <c r="T17" s="80">
        <f>IF(_xlfn.XLOOKUP(Pupils_import[[#This Row],[FinancialYearCode]],Years[Years],Years[Years],1)=Pupils_import[[#This Row],[FinancialYearCode]],0,1)</f>
        <v>0</v>
      </c>
      <c r="U17" s="80">
        <f>IF(Pupils_import[[#This Row],[CalculatorCode]]="",0,IF(IF(_xlfn.XLOOKUP(Pupils_import[[#This Row],[CalculatorCode]],Calculators[CalculatorCode],Calculators[LockCheck])=1,TRUE,FALSE)=Pupils_import[[#This Row],[MatEditOnly]],0,1))</f>
        <v>0</v>
      </c>
      <c r="V17" s="85" t="e">
        <f>SUM(Pupils_import[[#This Row],[DuplicateLine]:[MAT edit only required]])</f>
        <v>#N/A</v>
      </c>
      <c r="W17" s="80" t="str">
        <f>_xlfn.XLOOKUP(Pupils_import[[#This Row],[SchoolCode]],SCHOOLS[SchoolCode],SCHOOLS[Title])</f>
        <v>Honley High School</v>
      </c>
      <c r="Y17" t="s">
        <v>1504</v>
      </c>
      <c r="Z17" t="s">
        <v>2597</v>
      </c>
      <c r="AA17" t="s">
        <v>51</v>
      </c>
      <c r="AB17" t="s">
        <v>51</v>
      </c>
      <c r="AE17" t="s">
        <v>1124</v>
      </c>
      <c r="AF17" t="s">
        <v>1508</v>
      </c>
      <c r="AG17" t="s">
        <v>1637</v>
      </c>
      <c r="AI17" t="b">
        <v>0</v>
      </c>
      <c r="AJ17" t="s">
        <v>1497</v>
      </c>
      <c r="AK17" t="b">
        <v>1</v>
      </c>
    </row>
    <row r="18" spans="1:37" hidden="1" x14ac:dyDescent="0.3">
      <c r="A18" s="120" t="str">
        <f t="shared" si="0"/>
        <v>FUNDED_KS4HHSFunded Pupil Numbers KS42025/26DEFAULT</v>
      </c>
      <c r="B18" s="85">
        <f>COUNTIF(Pupils_import[Column1],Pupils_import[[#This Row],[Column1]])-1</f>
        <v>0</v>
      </c>
      <c r="C18" s="80" cm="1">
        <f t="array" ref="C18">IF(_xlfn.XLOOKUP(Pupils_import[[#This Row],[FinanceCode]],FC_import[FinanceCode],FC_import[AvailableToAllSchools],1,0,)=TRUE,0,IF(ISERROR(FIND(Pupils_import[[#This Row],[SchoolCode]],_xlfn.TEXTJOIN(",",TRUE,_xlfn.UNIQUE(IF(FC_import[FinanceCode]=Pupils_import[[#This Row],[FinanceCode]],FC_import[SchoolCodes],""))))),1,0))</f>
        <v>1</v>
      </c>
      <c r="D18" s="85">
        <f>IF(COUNTIF(SCHOOLS[SchoolCode],Pupils_import[[#This Row],[SchoolCode]])&gt;0,0,1)</f>
        <v>0</v>
      </c>
      <c r="E18" s="85">
        <f>IF(COUNTIF(LEDGER[LedgerCode],Pupils_import[[#This Row],[LedgerCode]])&gt;0,0,1)</f>
        <v>0</v>
      </c>
      <c r="F18" s="85">
        <f>IF(ISBLANK(Pupils_import[[#This Row],[MonthProfileCode]]),1,IF(COUNTIF(MONTHPRF[Code],Pupils_import[[#This Row],[MonthProfileCode]])&gt;0,0,1))</f>
        <v>0</v>
      </c>
      <c r="G18" s="80" cm="1">
        <f t="array" ref="G18">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18" s="80" t="e" cm="1">
        <f t="array" ref="H18">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18" s="85">
        <f>IF(ISBLANK(Pupils_import[[#This Row],[YearValue]])=Pupils_import[[#This Row],[Calculated]],0,1)</f>
        <v>0</v>
      </c>
      <c r="J18" s="80">
        <f>IF(ISBLANK(Pupils_import[[#This Row],[CalculatorCode]]),0,IF(COUNTIF(Calculators[CalculatorCode],Pupils_import[[#This Row],[CalculatorCode]])&gt;0,0,1))</f>
        <v>1</v>
      </c>
      <c r="K18" s="80">
        <f>IF(TRIM(Pupils_import[[#This Row],[Description]])="",1,0)</f>
        <v>0</v>
      </c>
      <c r="L18" s="80">
        <f>IF(ISBLANK(Pupils_import[[#This Row],[MatEditOnly]]),1,0)</f>
        <v>0</v>
      </c>
      <c r="M18" s="80">
        <f>IF(ISBLANK(Pupils_import[[#This Row],[FinancialYearCode]]),1,0)</f>
        <v>0</v>
      </c>
      <c r="N18" s="80">
        <f>IF(ISBLANK(Pupils_import[[#This Row],[Calculated]]),1,0)</f>
        <v>0</v>
      </c>
      <c r="O18"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18" s="80">
        <f>IF(LEN(Pupils_import[[#This Row],[Description]])&lt;100,0,1)</f>
        <v>0</v>
      </c>
      <c r="Q18" s="80">
        <f>IF(LEN(Pupils_import[[#This Row],[Notes]])&lt;4000,0,1)</f>
        <v>0</v>
      </c>
      <c r="R18" s="80">
        <f>IF(LEN(Pupils_import[[#This Row],[YearNotes]])&lt;4000,0,1)</f>
        <v>0</v>
      </c>
      <c r="S18" s="80">
        <f>IF(OR(Pupils_import[[#This Row],[MatEditOnly]]=TRUE,Pupils_import[[#This Row],[MatEditOnly]]=FALSE),IF(OR(Pupils_import[[#This Row],[Calculated]]=TRUE,Pupils_import[[#This Row],[Calculated]]=FALSE),0,1),1)</f>
        <v>0</v>
      </c>
      <c r="T18" s="80">
        <f>IF(_xlfn.XLOOKUP(Pupils_import[[#This Row],[FinancialYearCode]],Years[Years],Years[Years],1)=Pupils_import[[#This Row],[FinancialYearCode]],0,1)</f>
        <v>0</v>
      </c>
      <c r="U18" s="80" t="e">
        <f>IF(Pupils_import[[#This Row],[CalculatorCode]]="",0,IF(IF(_xlfn.XLOOKUP(Pupils_import[[#This Row],[CalculatorCode]],Calculators[CalculatorCode],Calculators[LockCheck])=1,TRUE,FALSE)=Pupils_import[[#This Row],[MatEditOnly]],0,1))</f>
        <v>#N/A</v>
      </c>
      <c r="V18" s="85" t="e">
        <f>SUM(Pupils_import[[#This Row],[DuplicateLine]:[MAT edit only required]])</f>
        <v>#N/A</v>
      </c>
      <c r="W18" s="80" t="str">
        <f>_xlfn.XLOOKUP(Pupils_import[[#This Row],[SchoolCode]],SCHOOLS[SchoolCode],SCHOOLS[Title])</f>
        <v>Honley High School</v>
      </c>
      <c r="Y18" t="s">
        <v>929</v>
      </c>
      <c r="Z18" t="s">
        <v>2597</v>
      </c>
      <c r="AA18" t="s">
        <v>51</v>
      </c>
      <c r="AB18" t="s">
        <v>51</v>
      </c>
      <c r="AD18" t="s">
        <v>929</v>
      </c>
      <c r="AE18" t="s">
        <v>1124</v>
      </c>
      <c r="AF18" t="s">
        <v>930</v>
      </c>
      <c r="AG18" t="s">
        <v>1638</v>
      </c>
      <c r="AI18" t="b">
        <v>1</v>
      </c>
      <c r="AJ18" t="s">
        <v>1497</v>
      </c>
      <c r="AK18" t="b">
        <v>1</v>
      </c>
    </row>
    <row r="19" spans="1:37" x14ac:dyDescent="0.3">
      <c r="A19" s="120" t="str">
        <f t="shared" si="0"/>
        <v>FUNDED_KS4_ADJHHSFunding Statement Adjustment KS42025/26DEFAULT</v>
      </c>
      <c r="B19" s="85">
        <f>COUNTIF(Pupils_import[Column1],Pupils_import[[#This Row],[Column1]])-1</f>
        <v>0</v>
      </c>
      <c r="C19" s="80" cm="1">
        <f t="array" ref="C19">IF(_xlfn.XLOOKUP(Pupils_import[[#This Row],[FinanceCode]],FC_import[FinanceCode],FC_import[AvailableToAllSchools],1,0,)=TRUE,0,IF(ISERROR(FIND(Pupils_import[[#This Row],[SchoolCode]],_xlfn.TEXTJOIN(",",TRUE,_xlfn.UNIQUE(IF(FC_import[FinanceCode]=Pupils_import[[#This Row],[FinanceCode]],FC_import[SchoolCodes],""))))),1,0))</f>
        <v>1</v>
      </c>
      <c r="D19" s="85">
        <f>IF(COUNTIF(SCHOOLS[SchoolCode],Pupils_import[[#This Row],[SchoolCode]])&gt;0,0,1)</f>
        <v>0</v>
      </c>
      <c r="E19" s="85">
        <f>IF(COUNTIF(LEDGER[LedgerCode],Pupils_import[[#This Row],[LedgerCode]])&gt;0,0,1)</f>
        <v>0</v>
      </c>
      <c r="F19" s="85">
        <f>IF(ISBLANK(Pupils_import[[#This Row],[MonthProfileCode]]),1,IF(COUNTIF(MONTHPRF[Code],Pupils_import[[#This Row],[MonthProfileCode]])&gt;0,0,1))</f>
        <v>0</v>
      </c>
      <c r="G19" s="80" cm="1">
        <f t="array" ref="G19">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19" s="80" t="e" cm="1">
        <f t="array" ref="H19">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19" s="85">
        <f>IF(ISBLANK(Pupils_import[[#This Row],[YearValue]])=Pupils_import[[#This Row],[Calculated]],0,1)</f>
        <v>0</v>
      </c>
      <c r="J19" s="80">
        <f>IF(ISBLANK(Pupils_import[[#This Row],[CalculatorCode]]),0,IF(COUNTIF(Calculators[CalculatorCode],Pupils_import[[#This Row],[CalculatorCode]])&gt;0,0,1))</f>
        <v>0</v>
      </c>
      <c r="K19" s="80">
        <f>IF(TRIM(Pupils_import[[#This Row],[Description]])="",1,0)</f>
        <v>0</v>
      </c>
      <c r="L19" s="80">
        <f>IF(ISBLANK(Pupils_import[[#This Row],[MatEditOnly]]),1,0)</f>
        <v>0</v>
      </c>
      <c r="M19" s="80">
        <f>IF(ISBLANK(Pupils_import[[#This Row],[FinancialYearCode]]),1,0)</f>
        <v>0</v>
      </c>
      <c r="N19" s="80">
        <f>IF(ISBLANK(Pupils_import[[#This Row],[Calculated]]),1,0)</f>
        <v>0</v>
      </c>
      <c r="O19"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19" s="80">
        <f>IF(LEN(Pupils_import[[#This Row],[Description]])&lt;100,0,1)</f>
        <v>0</v>
      </c>
      <c r="Q19" s="80">
        <f>IF(LEN(Pupils_import[[#This Row],[Notes]])&lt;4000,0,1)</f>
        <v>0</v>
      </c>
      <c r="R19" s="80">
        <f>IF(LEN(Pupils_import[[#This Row],[YearNotes]])&lt;4000,0,1)</f>
        <v>0</v>
      </c>
      <c r="S19" s="80">
        <f>IF(OR(Pupils_import[[#This Row],[MatEditOnly]]=TRUE,Pupils_import[[#This Row],[MatEditOnly]]=FALSE),IF(OR(Pupils_import[[#This Row],[Calculated]]=TRUE,Pupils_import[[#This Row],[Calculated]]=FALSE),0,1),1)</f>
        <v>0</v>
      </c>
      <c r="T19" s="80">
        <f>IF(_xlfn.XLOOKUP(Pupils_import[[#This Row],[FinancialYearCode]],Years[Years],Years[Years],1)=Pupils_import[[#This Row],[FinancialYearCode]],0,1)</f>
        <v>0</v>
      </c>
      <c r="U19" s="80">
        <f>IF(Pupils_import[[#This Row],[CalculatorCode]]="",0,IF(IF(_xlfn.XLOOKUP(Pupils_import[[#This Row],[CalculatorCode]],Calculators[CalculatorCode],Calculators[LockCheck])=1,TRUE,FALSE)=Pupils_import[[#This Row],[MatEditOnly]],0,1))</f>
        <v>0</v>
      </c>
      <c r="V19" s="85" t="e">
        <f>SUM(Pupils_import[[#This Row],[DuplicateLine]:[MAT edit only required]])</f>
        <v>#N/A</v>
      </c>
      <c r="W19" s="80" t="str">
        <f>_xlfn.XLOOKUP(Pupils_import[[#This Row],[SchoolCode]],SCHOOLS[SchoolCode],SCHOOLS[Title])</f>
        <v>Honley High School</v>
      </c>
      <c r="Y19" t="s">
        <v>1505</v>
      </c>
      <c r="Z19" t="s">
        <v>2597</v>
      </c>
      <c r="AA19" t="s">
        <v>51</v>
      </c>
      <c r="AB19" t="s">
        <v>51</v>
      </c>
      <c r="AE19" t="s">
        <v>1124</v>
      </c>
      <c r="AF19" t="s">
        <v>1510</v>
      </c>
      <c r="AG19" t="s">
        <v>1639</v>
      </c>
      <c r="AI19" t="b">
        <v>0</v>
      </c>
      <c r="AJ19" t="s">
        <v>1497</v>
      </c>
      <c r="AK19" t="b">
        <v>1</v>
      </c>
    </row>
    <row r="20" spans="1:37" hidden="1" x14ac:dyDescent="0.3">
      <c r="A20" s="120" t="str">
        <f t="shared" si="0"/>
        <v>FUNDED_KS5HHSFunded Pupil Numbers KS52025/26DEFAULT</v>
      </c>
      <c r="B20" s="85">
        <f>COUNTIF(Pupils_import[Column1],Pupils_import[[#This Row],[Column1]])-1</f>
        <v>0</v>
      </c>
      <c r="C20" s="80" cm="1">
        <f t="array" ref="C20">IF(_xlfn.XLOOKUP(Pupils_import[[#This Row],[FinanceCode]],FC_import[FinanceCode],FC_import[AvailableToAllSchools],1,0,)=TRUE,0,IF(ISERROR(FIND(Pupils_import[[#This Row],[SchoolCode]],_xlfn.TEXTJOIN(",",TRUE,_xlfn.UNIQUE(IF(FC_import[FinanceCode]=Pupils_import[[#This Row],[FinanceCode]],FC_import[SchoolCodes],""))))),1,0))</f>
        <v>1</v>
      </c>
      <c r="D20" s="85">
        <f>IF(COUNTIF(SCHOOLS[SchoolCode],Pupils_import[[#This Row],[SchoolCode]])&gt;0,0,1)</f>
        <v>0</v>
      </c>
      <c r="E20" s="85">
        <f>IF(COUNTIF(LEDGER[LedgerCode],Pupils_import[[#This Row],[LedgerCode]])&gt;0,0,1)</f>
        <v>0</v>
      </c>
      <c r="F20" s="85">
        <f>IF(ISBLANK(Pupils_import[[#This Row],[MonthProfileCode]]),1,IF(COUNTIF(MONTHPRF[Code],Pupils_import[[#This Row],[MonthProfileCode]])&gt;0,0,1))</f>
        <v>0</v>
      </c>
      <c r="G20" s="80" cm="1">
        <f t="array" ref="G20">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20" s="80" t="e" cm="1">
        <f t="array" ref="H20">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20" s="85">
        <f>IF(ISBLANK(Pupils_import[[#This Row],[YearValue]])=Pupils_import[[#This Row],[Calculated]],0,1)</f>
        <v>0</v>
      </c>
      <c r="J20" s="80">
        <f>IF(ISBLANK(Pupils_import[[#This Row],[CalculatorCode]]),0,IF(COUNTIF(Calculators[CalculatorCode],Pupils_import[[#This Row],[CalculatorCode]])&gt;0,0,1))</f>
        <v>1</v>
      </c>
      <c r="K20" s="80">
        <f>IF(TRIM(Pupils_import[[#This Row],[Description]])="",1,0)</f>
        <v>0</v>
      </c>
      <c r="L20" s="80">
        <f>IF(ISBLANK(Pupils_import[[#This Row],[MatEditOnly]]),1,0)</f>
        <v>0</v>
      </c>
      <c r="M20" s="80">
        <f>IF(ISBLANK(Pupils_import[[#This Row],[FinancialYearCode]]),1,0)</f>
        <v>0</v>
      </c>
      <c r="N20" s="80">
        <f>IF(ISBLANK(Pupils_import[[#This Row],[Calculated]]),1,0)</f>
        <v>0</v>
      </c>
      <c r="O20"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20" s="80">
        <f>IF(LEN(Pupils_import[[#This Row],[Description]])&lt;100,0,1)</f>
        <v>0</v>
      </c>
      <c r="Q20" s="80">
        <f>IF(LEN(Pupils_import[[#This Row],[Notes]])&lt;4000,0,1)</f>
        <v>0</v>
      </c>
      <c r="R20" s="80">
        <f>IF(LEN(Pupils_import[[#This Row],[YearNotes]])&lt;4000,0,1)</f>
        <v>0</v>
      </c>
      <c r="S20" s="80">
        <f>IF(OR(Pupils_import[[#This Row],[MatEditOnly]]=TRUE,Pupils_import[[#This Row],[MatEditOnly]]=FALSE),IF(OR(Pupils_import[[#This Row],[Calculated]]=TRUE,Pupils_import[[#This Row],[Calculated]]=FALSE),0,1),1)</f>
        <v>0</v>
      </c>
      <c r="T20" s="80">
        <f>IF(_xlfn.XLOOKUP(Pupils_import[[#This Row],[FinancialYearCode]],Years[Years],Years[Years],1)=Pupils_import[[#This Row],[FinancialYearCode]],0,1)</f>
        <v>0</v>
      </c>
      <c r="U20" s="80" t="e">
        <f>IF(Pupils_import[[#This Row],[CalculatorCode]]="",0,IF(IF(_xlfn.XLOOKUP(Pupils_import[[#This Row],[CalculatorCode]],Calculators[CalculatorCode],Calculators[LockCheck])=1,TRUE,FALSE)=Pupils_import[[#This Row],[MatEditOnly]],0,1))</f>
        <v>#N/A</v>
      </c>
      <c r="V20" s="85" t="e">
        <f>SUM(Pupils_import[[#This Row],[DuplicateLine]:[MAT edit only required]])</f>
        <v>#N/A</v>
      </c>
      <c r="W20" s="80" t="str">
        <f>_xlfn.XLOOKUP(Pupils_import[[#This Row],[SchoolCode]],SCHOOLS[SchoolCode],SCHOOLS[Title])</f>
        <v>Honley High School</v>
      </c>
      <c r="Y20" t="s">
        <v>931</v>
      </c>
      <c r="Z20" t="s">
        <v>2597</v>
      </c>
      <c r="AA20" t="s">
        <v>51</v>
      </c>
      <c r="AB20" t="s">
        <v>51</v>
      </c>
      <c r="AD20" t="s">
        <v>931</v>
      </c>
      <c r="AE20" t="s">
        <v>1124</v>
      </c>
      <c r="AF20" t="s">
        <v>932</v>
      </c>
      <c r="AG20" t="s">
        <v>1640</v>
      </c>
      <c r="AI20" t="b">
        <v>1</v>
      </c>
      <c r="AJ20" t="s">
        <v>1497</v>
      </c>
      <c r="AK20" t="b">
        <v>1</v>
      </c>
    </row>
    <row r="21" spans="1:37" x14ac:dyDescent="0.3">
      <c r="A21" s="120" t="str">
        <f t="shared" si="0"/>
        <v>FUNDED_KS5_ADJHHSFunding Statement Adjustment KS52025/26DEFAULT</v>
      </c>
      <c r="B21" s="85">
        <f>COUNTIF(Pupils_import[Column1],Pupils_import[[#This Row],[Column1]])-1</f>
        <v>0</v>
      </c>
      <c r="C21" s="80" cm="1">
        <f t="array" ref="C21">IF(_xlfn.XLOOKUP(Pupils_import[[#This Row],[FinanceCode]],FC_import[FinanceCode],FC_import[AvailableToAllSchools],1,0,)=TRUE,0,IF(ISERROR(FIND(Pupils_import[[#This Row],[SchoolCode]],_xlfn.TEXTJOIN(",",TRUE,_xlfn.UNIQUE(IF(FC_import[FinanceCode]=Pupils_import[[#This Row],[FinanceCode]],FC_import[SchoolCodes],""))))),1,0))</f>
        <v>1</v>
      </c>
      <c r="D21" s="85">
        <f>IF(COUNTIF(SCHOOLS[SchoolCode],Pupils_import[[#This Row],[SchoolCode]])&gt;0,0,1)</f>
        <v>0</v>
      </c>
      <c r="E21" s="85">
        <f>IF(COUNTIF(LEDGER[LedgerCode],Pupils_import[[#This Row],[LedgerCode]])&gt;0,0,1)</f>
        <v>0</v>
      </c>
      <c r="F21" s="85">
        <f>IF(ISBLANK(Pupils_import[[#This Row],[MonthProfileCode]]),1,IF(COUNTIF(MONTHPRF[Code],Pupils_import[[#This Row],[MonthProfileCode]])&gt;0,0,1))</f>
        <v>0</v>
      </c>
      <c r="G21" s="80" cm="1">
        <f t="array" ref="G21">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21" s="80" t="e" cm="1">
        <f t="array" ref="H21">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21" s="85">
        <f>IF(ISBLANK(Pupils_import[[#This Row],[YearValue]])=Pupils_import[[#This Row],[Calculated]],0,1)</f>
        <v>0</v>
      </c>
      <c r="J21" s="80">
        <f>IF(ISBLANK(Pupils_import[[#This Row],[CalculatorCode]]),0,IF(COUNTIF(Calculators[CalculatorCode],Pupils_import[[#This Row],[CalculatorCode]])&gt;0,0,1))</f>
        <v>0</v>
      </c>
      <c r="K21" s="80">
        <f>IF(TRIM(Pupils_import[[#This Row],[Description]])="",1,0)</f>
        <v>0</v>
      </c>
      <c r="L21" s="80">
        <f>IF(ISBLANK(Pupils_import[[#This Row],[MatEditOnly]]),1,0)</f>
        <v>0</v>
      </c>
      <c r="M21" s="80">
        <f>IF(ISBLANK(Pupils_import[[#This Row],[FinancialYearCode]]),1,0)</f>
        <v>0</v>
      </c>
      <c r="N21" s="80">
        <f>IF(ISBLANK(Pupils_import[[#This Row],[Calculated]]),1,0)</f>
        <v>0</v>
      </c>
      <c r="O21"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21" s="80">
        <f>IF(LEN(Pupils_import[[#This Row],[Description]])&lt;100,0,1)</f>
        <v>0</v>
      </c>
      <c r="Q21" s="80">
        <f>IF(LEN(Pupils_import[[#This Row],[Notes]])&lt;4000,0,1)</f>
        <v>0</v>
      </c>
      <c r="R21" s="80">
        <f>IF(LEN(Pupils_import[[#This Row],[YearNotes]])&lt;4000,0,1)</f>
        <v>0</v>
      </c>
      <c r="S21" s="80">
        <f>IF(OR(Pupils_import[[#This Row],[MatEditOnly]]=TRUE,Pupils_import[[#This Row],[MatEditOnly]]=FALSE),IF(OR(Pupils_import[[#This Row],[Calculated]]=TRUE,Pupils_import[[#This Row],[Calculated]]=FALSE),0,1),1)</f>
        <v>0</v>
      </c>
      <c r="T21" s="80">
        <f>IF(_xlfn.XLOOKUP(Pupils_import[[#This Row],[FinancialYearCode]],Years[Years],Years[Years],1)=Pupils_import[[#This Row],[FinancialYearCode]],0,1)</f>
        <v>0</v>
      </c>
      <c r="U21" s="80">
        <f>IF(Pupils_import[[#This Row],[CalculatorCode]]="",0,IF(IF(_xlfn.XLOOKUP(Pupils_import[[#This Row],[CalculatorCode]],Calculators[CalculatorCode],Calculators[LockCheck])=1,TRUE,FALSE)=Pupils_import[[#This Row],[MatEditOnly]],0,1))</f>
        <v>0</v>
      </c>
      <c r="V21" s="85" t="e">
        <f>SUM(Pupils_import[[#This Row],[DuplicateLine]:[MAT edit only required]])</f>
        <v>#N/A</v>
      </c>
      <c r="W21" s="80" t="str">
        <f>_xlfn.XLOOKUP(Pupils_import[[#This Row],[SchoolCode]],SCHOOLS[SchoolCode],SCHOOLS[Title])</f>
        <v>Honley High School</v>
      </c>
      <c r="Y21" t="s">
        <v>1506</v>
      </c>
      <c r="Z21" t="s">
        <v>2597</v>
      </c>
      <c r="AA21" t="s">
        <v>51</v>
      </c>
      <c r="AB21" t="s">
        <v>51</v>
      </c>
      <c r="AE21" t="s">
        <v>1124</v>
      </c>
      <c r="AF21" t="s">
        <v>1509</v>
      </c>
      <c r="AG21" t="s">
        <v>1641</v>
      </c>
      <c r="AI21" t="b">
        <v>0</v>
      </c>
      <c r="AJ21" t="s">
        <v>1497</v>
      </c>
      <c r="AK21" t="b">
        <v>1</v>
      </c>
    </row>
    <row r="22" spans="1:37" hidden="1" x14ac:dyDescent="0.3">
      <c r="A22" s="120" t="str">
        <f t="shared" si="0"/>
        <v>FTE_NURLCPFTE for Nursery Pupils2025/26DEFAULT</v>
      </c>
      <c r="B22" s="85">
        <f>COUNTIF(Pupils_import[Column1],Pupils_import[[#This Row],[Column1]])-1</f>
        <v>0</v>
      </c>
      <c r="C22" s="80" cm="1">
        <f t="array" ref="C22">IF(_xlfn.XLOOKUP(Pupils_import[[#This Row],[FinanceCode]],FC_import[FinanceCode],FC_import[AvailableToAllSchools],1,0,)=TRUE,0,IF(ISERROR(FIND(Pupils_import[[#This Row],[SchoolCode]],_xlfn.TEXTJOIN(",",TRUE,_xlfn.UNIQUE(IF(FC_import[FinanceCode]=Pupils_import[[#This Row],[FinanceCode]],FC_import[SchoolCodes],""))))),1,0))</f>
        <v>0</v>
      </c>
      <c r="D22" s="85">
        <f>IF(COUNTIF(SCHOOLS[SchoolCode],Pupils_import[[#This Row],[SchoolCode]])&gt;0,0,1)</f>
        <v>0</v>
      </c>
      <c r="E22" s="85">
        <f>IF(COUNTIF(LEDGER[LedgerCode],Pupils_import[[#This Row],[LedgerCode]])&gt;0,0,1)</f>
        <v>0</v>
      </c>
      <c r="F22" s="85">
        <f>IF(ISBLANK(Pupils_import[[#This Row],[MonthProfileCode]]),1,IF(COUNTIF(MONTHPRF[Code],Pupils_import[[#This Row],[MonthProfileCode]])&gt;0,0,1))</f>
        <v>0</v>
      </c>
      <c r="G22" s="80" cm="1">
        <f t="array" ref="G22">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22" s="80" t="e" cm="1">
        <f t="array" ref="H22">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22" s="85">
        <f>IF(ISBLANK(Pupils_import[[#This Row],[YearValue]])=Pupils_import[[#This Row],[Calculated]],0,1)</f>
        <v>0</v>
      </c>
      <c r="J22" s="80">
        <f>IF(ISBLANK(Pupils_import[[#This Row],[CalculatorCode]]),0,IF(COUNTIF(Calculators[CalculatorCode],Pupils_import[[#This Row],[CalculatorCode]])&gt;0,0,1))</f>
        <v>0</v>
      </c>
      <c r="K22" s="80">
        <f>IF(TRIM(Pupils_import[[#This Row],[Description]])="",1,0)</f>
        <v>0</v>
      </c>
      <c r="L22" s="80">
        <f>IF(ISBLANK(Pupils_import[[#This Row],[MatEditOnly]]),1,0)</f>
        <v>0</v>
      </c>
      <c r="M22" s="80">
        <f>IF(ISBLANK(Pupils_import[[#This Row],[FinancialYearCode]]),1,0)</f>
        <v>0</v>
      </c>
      <c r="N22" s="80">
        <f>IF(ISBLANK(Pupils_import[[#This Row],[Calculated]]),1,0)</f>
        <v>0</v>
      </c>
      <c r="O22"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22" s="80">
        <f>IF(LEN(Pupils_import[[#This Row],[Description]])&lt;100,0,1)</f>
        <v>0</v>
      </c>
      <c r="Q22" s="80">
        <f>IF(LEN(Pupils_import[[#This Row],[Notes]])&lt;4000,0,1)</f>
        <v>0</v>
      </c>
      <c r="R22" s="80">
        <f>IF(LEN(Pupils_import[[#This Row],[YearNotes]])&lt;4000,0,1)</f>
        <v>0</v>
      </c>
      <c r="S22" s="80">
        <f>IF(OR(Pupils_import[[#This Row],[MatEditOnly]]=TRUE,Pupils_import[[#This Row],[MatEditOnly]]=FALSE),IF(OR(Pupils_import[[#This Row],[Calculated]]=TRUE,Pupils_import[[#This Row],[Calculated]]=FALSE),0,1),1)</f>
        <v>0</v>
      </c>
      <c r="T22" s="80">
        <f>IF(_xlfn.XLOOKUP(Pupils_import[[#This Row],[FinancialYearCode]],Years[Years],Years[Years],1)=Pupils_import[[#This Row],[FinancialYearCode]],0,1)</f>
        <v>0</v>
      </c>
      <c r="U22" s="80">
        <f>IF(Pupils_import[[#This Row],[CalculatorCode]]="",0,IF(IF(_xlfn.XLOOKUP(Pupils_import[[#This Row],[CalculatorCode]],Calculators[CalculatorCode],Calculators[LockCheck])=1,TRUE,FALSE)=Pupils_import[[#This Row],[MatEditOnly]],0,1))</f>
        <v>0</v>
      </c>
      <c r="V22" s="85" t="e">
        <f>SUM(Pupils_import[[#This Row],[DuplicateLine]:[MAT edit only required]])</f>
        <v>#N/A</v>
      </c>
      <c r="W22" s="80" t="str">
        <f>_xlfn.XLOOKUP(Pupils_import[[#This Row],[SchoolCode]],SCHOOLS[SchoolCode],SCHOOLS[Title])</f>
        <v>Linthwaite Clough Primary School</v>
      </c>
      <c r="Y22" t="s">
        <v>2084</v>
      </c>
      <c r="Z22" t="s">
        <v>2599</v>
      </c>
      <c r="AA22" t="s">
        <v>51</v>
      </c>
      <c r="AB22" t="s">
        <v>51</v>
      </c>
      <c r="AD22" t="s">
        <v>2084</v>
      </c>
      <c r="AE22" t="s">
        <v>1124</v>
      </c>
      <c r="AF22" t="s">
        <v>2085</v>
      </c>
      <c r="AG22" t="s">
        <v>2088</v>
      </c>
      <c r="AI22" t="b">
        <v>0</v>
      </c>
      <c r="AJ22" t="s">
        <v>1497</v>
      </c>
      <c r="AK22" t="b">
        <v>1</v>
      </c>
    </row>
    <row r="23" spans="1:37" hidden="1" x14ac:dyDescent="0.3">
      <c r="A23" s="120" t="str">
        <f t="shared" si="0"/>
        <v>FUNDED_FSLCPFunded Pupil Numbers Foundation2025/26DEFAULT</v>
      </c>
      <c r="B23" s="85">
        <f>COUNTIF(Pupils_import[Column1],Pupils_import[[#This Row],[Column1]])-1</f>
        <v>0</v>
      </c>
      <c r="C23" s="80" cm="1">
        <f t="array" ref="C23">IF(_xlfn.XLOOKUP(Pupils_import[[#This Row],[FinanceCode]],FC_import[FinanceCode],FC_import[AvailableToAllSchools],1,0,)=TRUE,0,IF(ISERROR(FIND(Pupils_import[[#This Row],[SchoolCode]],_xlfn.TEXTJOIN(",",TRUE,_xlfn.UNIQUE(IF(FC_import[FinanceCode]=Pupils_import[[#This Row],[FinanceCode]],FC_import[SchoolCodes],""))))),1,0))</f>
        <v>0</v>
      </c>
      <c r="D23" s="85">
        <f>IF(COUNTIF(SCHOOLS[SchoolCode],Pupils_import[[#This Row],[SchoolCode]])&gt;0,0,1)</f>
        <v>0</v>
      </c>
      <c r="E23" s="85">
        <f>IF(COUNTIF(LEDGER[LedgerCode],Pupils_import[[#This Row],[LedgerCode]])&gt;0,0,1)</f>
        <v>0</v>
      </c>
      <c r="F23" s="85">
        <f>IF(ISBLANK(Pupils_import[[#This Row],[MonthProfileCode]]),1,IF(COUNTIF(MONTHPRF[Code],Pupils_import[[#This Row],[MonthProfileCode]])&gt;0,0,1))</f>
        <v>0</v>
      </c>
      <c r="G23" s="80" cm="1">
        <f t="array" ref="G23">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23" s="80" t="e" cm="1">
        <f t="array" ref="H23">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23" s="85">
        <f>IF(ISBLANK(Pupils_import[[#This Row],[YearValue]])=Pupils_import[[#This Row],[Calculated]],0,1)</f>
        <v>0</v>
      </c>
      <c r="J23" s="80">
        <f>IF(ISBLANK(Pupils_import[[#This Row],[CalculatorCode]]),0,IF(COUNTIF(Calculators[CalculatorCode],Pupils_import[[#This Row],[CalculatorCode]])&gt;0,0,1))</f>
        <v>0</v>
      </c>
      <c r="K23" s="80">
        <f>IF(TRIM(Pupils_import[[#This Row],[Description]])="",1,0)</f>
        <v>0</v>
      </c>
      <c r="L23" s="80">
        <f>IF(ISBLANK(Pupils_import[[#This Row],[MatEditOnly]]),1,0)</f>
        <v>0</v>
      </c>
      <c r="M23" s="80">
        <f>IF(ISBLANK(Pupils_import[[#This Row],[FinancialYearCode]]),1,0)</f>
        <v>0</v>
      </c>
      <c r="N23" s="80">
        <f>IF(ISBLANK(Pupils_import[[#This Row],[Calculated]]),1,0)</f>
        <v>0</v>
      </c>
      <c r="O23"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23" s="80">
        <f>IF(LEN(Pupils_import[[#This Row],[Description]])&lt;100,0,1)</f>
        <v>0</v>
      </c>
      <c r="Q23" s="80">
        <f>IF(LEN(Pupils_import[[#This Row],[Notes]])&lt;4000,0,1)</f>
        <v>0</v>
      </c>
      <c r="R23" s="80">
        <f>IF(LEN(Pupils_import[[#This Row],[YearNotes]])&lt;4000,0,1)</f>
        <v>0</v>
      </c>
      <c r="S23" s="80">
        <f>IF(OR(Pupils_import[[#This Row],[MatEditOnly]]=TRUE,Pupils_import[[#This Row],[MatEditOnly]]=FALSE),IF(OR(Pupils_import[[#This Row],[Calculated]]=TRUE,Pupils_import[[#This Row],[Calculated]]=FALSE),0,1),1)</f>
        <v>0</v>
      </c>
      <c r="T23" s="80">
        <f>IF(_xlfn.XLOOKUP(Pupils_import[[#This Row],[FinancialYearCode]],Years[Years],Years[Years],1)=Pupils_import[[#This Row],[FinancialYearCode]],0,1)</f>
        <v>0</v>
      </c>
      <c r="U23" s="80">
        <f>IF(Pupils_import[[#This Row],[CalculatorCode]]="",0,IF(IF(_xlfn.XLOOKUP(Pupils_import[[#This Row],[CalculatorCode]],Calculators[CalculatorCode],Calculators[LockCheck])=1,TRUE,FALSE)=Pupils_import[[#This Row],[MatEditOnly]],0,1))</f>
        <v>0</v>
      </c>
      <c r="V23" s="85" t="e">
        <f>SUM(Pupils_import[[#This Row],[DuplicateLine]:[MAT edit only required]])</f>
        <v>#N/A</v>
      </c>
      <c r="W23" s="80" t="str">
        <f>_xlfn.XLOOKUP(Pupils_import[[#This Row],[SchoolCode]],SCHOOLS[SchoolCode],SCHOOLS[Title])</f>
        <v>Linthwaite Clough Primary School</v>
      </c>
      <c r="Y23" t="s">
        <v>920</v>
      </c>
      <c r="Z23" t="s">
        <v>2599</v>
      </c>
      <c r="AA23" t="s">
        <v>51</v>
      </c>
      <c r="AB23" t="s">
        <v>51</v>
      </c>
      <c r="AD23" t="s">
        <v>920</v>
      </c>
      <c r="AE23" t="s">
        <v>1124</v>
      </c>
      <c r="AF23" t="s">
        <v>921</v>
      </c>
      <c r="AG23" t="s">
        <v>1633</v>
      </c>
      <c r="AI23" t="b">
        <v>1</v>
      </c>
      <c r="AJ23" t="s">
        <v>1497</v>
      </c>
      <c r="AK23" t="b">
        <v>1</v>
      </c>
    </row>
    <row r="24" spans="1:37" hidden="1" x14ac:dyDescent="0.3">
      <c r="A24" s="120" t="str">
        <f t="shared" si="0"/>
        <v>FUNDED_KS1LCPFunded Pupil Numbers KS12025/26DEFAULT</v>
      </c>
      <c r="B24" s="85">
        <f>COUNTIF(Pupils_import[Column1],Pupils_import[[#This Row],[Column1]])-1</f>
        <v>0</v>
      </c>
      <c r="C24" s="80" cm="1">
        <f t="array" ref="C24">IF(_xlfn.XLOOKUP(Pupils_import[[#This Row],[FinanceCode]],FC_import[FinanceCode],FC_import[AvailableToAllSchools],1,0,)=TRUE,0,IF(ISERROR(FIND(Pupils_import[[#This Row],[SchoolCode]],_xlfn.TEXTJOIN(",",TRUE,_xlfn.UNIQUE(IF(FC_import[FinanceCode]=Pupils_import[[#This Row],[FinanceCode]],FC_import[SchoolCodes],""))))),1,0))</f>
        <v>0</v>
      </c>
      <c r="D24" s="85">
        <f>IF(COUNTIF(SCHOOLS[SchoolCode],Pupils_import[[#This Row],[SchoolCode]])&gt;0,0,1)</f>
        <v>0</v>
      </c>
      <c r="E24" s="85">
        <f>IF(COUNTIF(LEDGER[LedgerCode],Pupils_import[[#This Row],[LedgerCode]])&gt;0,0,1)</f>
        <v>0</v>
      </c>
      <c r="F24" s="85">
        <f>IF(ISBLANK(Pupils_import[[#This Row],[MonthProfileCode]]),1,IF(COUNTIF(MONTHPRF[Code],Pupils_import[[#This Row],[MonthProfileCode]])&gt;0,0,1))</f>
        <v>0</v>
      </c>
      <c r="G24" s="80" cm="1">
        <f t="array" ref="G24">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24" s="80" t="e" cm="1">
        <f t="array" ref="H24">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24" s="85">
        <f>IF(ISBLANK(Pupils_import[[#This Row],[YearValue]])=Pupils_import[[#This Row],[Calculated]],0,1)</f>
        <v>0</v>
      </c>
      <c r="J24" s="80">
        <f>IF(ISBLANK(Pupils_import[[#This Row],[CalculatorCode]]),0,IF(COUNTIF(Calculators[CalculatorCode],Pupils_import[[#This Row],[CalculatorCode]])&gt;0,0,1))</f>
        <v>0</v>
      </c>
      <c r="K24" s="80">
        <f>IF(TRIM(Pupils_import[[#This Row],[Description]])="",1,0)</f>
        <v>0</v>
      </c>
      <c r="L24" s="80">
        <f>IF(ISBLANK(Pupils_import[[#This Row],[MatEditOnly]]),1,0)</f>
        <v>0</v>
      </c>
      <c r="M24" s="80">
        <f>IF(ISBLANK(Pupils_import[[#This Row],[FinancialYearCode]]),1,0)</f>
        <v>0</v>
      </c>
      <c r="N24" s="80">
        <f>IF(ISBLANK(Pupils_import[[#This Row],[Calculated]]),1,0)</f>
        <v>0</v>
      </c>
      <c r="O24"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24" s="80">
        <f>IF(LEN(Pupils_import[[#This Row],[Description]])&lt;100,0,1)</f>
        <v>0</v>
      </c>
      <c r="Q24" s="80">
        <f>IF(LEN(Pupils_import[[#This Row],[Notes]])&lt;4000,0,1)</f>
        <v>0</v>
      </c>
      <c r="R24" s="80">
        <f>IF(LEN(Pupils_import[[#This Row],[YearNotes]])&lt;4000,0,1)</f>
        <v>0</v>
      </c>
      <c r="S24" s="80">
        <f>IF(OR(Pupils_import[[#This Row],[MatEditOnly]]=TRUE,Pupils_import[[#This Row],[MatEditOnly]]=FALSE),IF(OR(Pupils_import[[#This Row],[Calculated]]=TRUE,Pupils_import[[#This Row],[Calculated]]=FALSE),0,1),1)</f>
        <v>0</v>
      </c>
      <c r="T24" s="80">
        <f>IF(_xlfn.XLOOKUP(Pupils_import[[#This Row],[FinancialYearCode]],Years[Years],Years[Years],1)=Pupils_import[[#This Row],[FinancialYearCode]],0,1)</f>
        <v>0</v>
      </c>
      <c r="U24" s="80">
        <f>IF(Pupils_import[[#This Row],[CalculatorCode]]="",0,IF(IF(_xlfn.XLOOKUP(Pupils_import[[#This Row],[CalculatorCode]],Calculators[CalculatorCode],Calculators[LockCheck])=1,TRUE,FALSE)=Pupils_import[[#This Row],[MatEditOnly]],0,1))</f>
        <v>0</v>
      </c>
      <c r="V24" s="85" t="e">
        <f>SUM(Pupils_import[[#This Row],[DuplicateLine]:[MAT edit only required]])</f>
        <v>#N/A</v>
      </c>
      <c r="W24" s="80" t="str">
        <f>_xlfn.XLOOKUP(Pupils_import[[#This Row],[SchoolCode]],SCHOOLS[SchoolCode],SCHOOLS[Title])</f>
        <v>Linthwaite Clough Primary School</v>
      </c>
      <c r="Y24" t="s">
        <v>923</v>
      </c>
      <c r="Z24" t="s">
        <v>2599</v>
      </c>
      <c r="AA24" t="s">
        <v>51</v>
      </c>
      <c r="AB24" t="s">
        <v>51</v>
      </c>
      <c r="AD24" t="s">
        <v>923</v>
      </c>
      <c r="AE24" t="s">
        <v>1124</v>
      </c>
      <c r="AF24" t="s">
        <v>924</v>
      </c>
      <c r="AG24" t="s">
        <v>1634</v>
      </c>
      <c r="AI24" t="b">
        <v>1</v>
      </c>
      <c r="AJ24" t="s">
        <v>1497</v>
      </c>
      <c r="AK24" t="b">
        <v>1</v>
      </c>
    </row>
    <row r="25" spans="1:37" hidden="1" x14ac:dyDescent="0.3">
      <c r="A25" s="120" t="str">
        <f t="shared" si="0"/>
        <v>FUNDED_KS2LCPFunded Pupil Numbers KS22025/26DEFAULT</v>
      </c>
      <c r="B25" s="85">
        <f>COUNTIF(Pupils_import[Column1],Pupils_import[[#This Row],[Column1]])-1</f>
        <v>0</v>
      </c>
      <c r="C25" s="80" cm="1">
        <f t="array" ref="C25">IF(_xlfn.XLOOKUP(Pupils_import[[#This Row],[FinanceCode]],FC_import[FinanceCode],FC_import[AvailableToAllSchools],1,0,)=TRUE,0,IF(ISERROR(FIND(Pupils_import[[#This Row],[SchoolCode]],_xlfn.TEXTJOIN(",",TRUE,_xlfn.UNIQUE(IF(FC_import[FinanceCode]=Pupils_import[[#This Row],[FinanceCode]],FC_import[SchoolCodes],""))))),1,0))</f>
        <v>0</v>
      </c>
      <c r="D25" s="85">
        <f>IF(COUNTIF(SCHOOLS[SchoolCode],Pupils_import[[#This Row],[SchoolCode]])&gt;0,0,1)</f>
        <v>0</v>
      </c>
      <c r="E25" s="85">
        <f>IF(COUNTIF(LEDGER[LedgerCode],Pupils_import[[#This Row],[LedgerCode]])&gt;0,0,1)</f>
        <v>0</v>
      </c>
      <c r="F25" s="85">
        <f>IF(ISBLANK(Pupils_import[[#This Row],[MonthProfileCode]]),1,IF(COUNTIF(MONTHPRF[Code],Pupils_import[[#This Row],[MonthProfileCode]])&gt;0,0,1))</f>
        <v>0</v>
      </c>
      <c r="G25" s="80" cm="1">
        <f t="array" ref="G25">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25" s="80" t="e" cm="1">
        <f t="array" ref="H25">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25" s="85">
        <f>IF(ISBLANK(Pupils_import[[#This Row],[YearValue]])=Pupils_import[[#This Row],[Calculated]],0,1)</f>
        <v>0</v>
      </c>
      <c r="J25" s="80">
        <f>IF(ISBLANK(Pupils_import[[#This Row],[CalculatorCode]]),0,IF(COUNTIF(Calculators[CalculatorCode],Pupils_import[[#This Row],[CalculatorCode]])&gt;0,0,1))</f>
        <v>0</v>
      </c>
      <c r="K25" s="80">
        <f>IF(TRIM(Pupils_import[[#This Row],[Description]])="",1,0)</f>
        <v>0</v>
      </c>
      <c r="L25" s="80">
        <f>IF(ISBLANK(Pupils_import[[#This Row],[MatEditOnly]]),1,0)</f>
        <v>0</v>
      </c>
      <c r="M25" s="80">
        <f>IF(ISBLANK(Pupils_import[[#This Row],[FinancialYearCode]]),1,0)</f>
        <v>0</v>
      </c>
      <c r="N25" s="80">
        <f>IF(ISBLANK(Pupils_import[[#This Row],[Calculated]]),1,0)</f>
        <v>0</v>
      </c>
      <c r="O25"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25" s="80">
        <f>IF(LEN(Pupils_import[[#This Row],[Description]])&lt;100,0,1)</f>
        <v>0</v>
      </c>
      <c r="Q25" s="80">
        <f>IF(LEN(Pupils_import[[#This Row],[Notes]])&lt;4000,0,1)</f>
        <v>0</v>
      </c>
      <c r="R25" s="80">
        <f>IF(LEN(Pupils_import[[#This Row],[YearNotes]])&lt;4000,0,1)</f>
        <v>0</v>
      </c>
      <c r="S25" s="80">
        <f>IF(OR(Pupils_import[[#This Row],[MatEditOnly]]=TRUE,Pupils_import[[#This Row],[MatEditOnly]]=FALSE),IF(OR(Pupils_import[[#This Row],[Calculated]]=TRUE,Pupils_import[[#This Row],[Calculated]]=FALSE),0,1),1)</f>
        <v>0</v>
      </c>
      <c r="T25" s="80">
        <f>IF(_xlfn.XLOOKUP(Pupils_import[[#This Row],[FinancialYearCode]],Years[Years],Years[Years],1)=Pupils_import[[#This Row],[FinancialYearCode]],0,1)</f>
        <v>0</v>
      </c>
      <c r="U25" s="80">
        <f>IF(Pupils_import[[#This Row],[CalculatorCode]]="",0,IF(IF(_xlfn.XLOOKUP(Pupils_import[[#This Row],[CalculatorCode]],Calculators[CalculatorCode],Calculators[LockCheck])=1,TRUE,FALSE)=Pupils_import[[#This Row],[MatEditOnly]],0,1))</f>
        <v>0</v>
      </c>
      <c r="V25" s="85" t="e">
        <f>SUM(Pupils_import[[#This Row],[DuplicateLine]:[MAT edit only required]])</f>
        <v>#N/A</v>
      </c>
      <c r="W25" s="80" t="str">
        <f>_xlfn.XLOOKUP(Pupils_import[[#This Row],[SchoolCode]],SCHOOLS[SchoolCode],SCHOOLS[Title])</f>
        <v>Linthwaite Clough Primary School</v>
      </c>
      <c r="Y25" t="s">
        <v>925</v>
      </c>
      <c r="Z25" t="s">
        <v>2599</v>
      </c>
      <c r="AA25" t="s">
        <v>51</v>
      </c>
      <c r="AB25" t="s">
        <v>51</v>
      </c>
      <c r="AD25" t="s">
        <v>925</v>
      </c>
      <c r="AE25" t="s">
        <v>1124</v>
      </c>
      <c r="AF25" t="s">
        <v>926</v>
      </c>
      <c r="AG25" t="s">
        <v>1635</v>
      </c>
      <c r="AI25" t="b">
        <v>1</v>
      </c>
      <c r="AJ25" t="s">
        <v>1497</v>
      </c>
      <c r="AK25" t="b">
        <v>1</v>
      </c>
    </row>
    <row r="26" spans="1:37" hidden="1" x14ac:dyDescent="0.3">
      <c r="A26" s="120" t="str">
        <f t="shared" si="0"/>
        <v>FUNDED_PRILCPFunded Pupil Numbers Primary Total2025/26DEFAULT</v>
      </c>
      <c r="B26" s="85">
        <f>COUNTIF(Pupils_import[Column1],Pupils_import[[#This Row],[Column1]])-1</f>
        <v>0</v>
      </c>
      <c r="C26" s="80" cm="1">
        <f t="array" ref="C26">IF(_xlfn.XLOOKUP(Pupils_import[[#This Row],[FinanceCode]],FC_import[FinanceCode],FC_import[AvailableToAllSchools],1,0,)=TRUE,0,IF(ISERROR(FIND(Pupils_import[[#This Row],[SchoolCode]],_xlfn.TEXTJOIN(",",TRUE,_xlfn.UNIQUE(IF(FC_import[FinanceCode]=Pupils_import[[#This Row],[FinanceCode]],FC_import[SchoolCodes],""))))),1,0))</f>
        <v>0</v>
      </c>
      <c r="D26" s="85">
        <f>IF(COUNTIF(SCHOOLS[SchoolCode],Pupils_import[[#This Row],[SchoolCode]])&gt;0,0,1)</f>
        <v>0</v>
      </c>
      <c r="E26" s="85">
        <f>IF(COUNTIF(LEDGER[LedgerCode],Pupils_import[[#This Row],[LedgerCode]])&gt;0,0,1)</f>
        <v>0</v>
      </c>
      <c r="F26" s="85">
        <f>IF(ISBLANK(Pupils_import[[#This Row],[MonthProfileCode]]),1,IF(COUNTIF(MONTHPRF[Code],Pupils_import[[#This Row],[MonthProfileCode]])&gt;0,0,1))</f>
        <v>0</v>
      </c>
      <c r="G26" s="80" cm="1">
        <f t="array" ref="G26">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26" s="80" t="e" cm="1">
        <f t="array" ref="H26">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26" s="85">
        <f>IF(ISBLANK(Pupils_import[[#This Row],[YearValue]])=Pupils_import[[#This Row],[Calculated]],0,1)</f>
        <v>0</v>
      </c>
      <c r="J26" s="80">
        <f>IF(ISBLANK(Pupils_import[[#This Row],[CalculatorCode]]),0,IF(COUNTIF(Calculators[CalculatorCode],Pupils_import[[#This Row],[CalculatorCode]])&gt;0,0,1))</f>
        <v>0</v>
      </c>
      <c r="K26" s="80">
        <f>IF(TRIM(Pupils_import[[#This Row],[Description]])="",1,0)</f>
        <v>0</v>
      </c>
      <c r="L26" s="80">
        <f>IF(ISBLANK(Pupils_import[[#This Row],[MatEditOnly]]),1,0)</f>
        <v>0</v>
      </c>
      <c r="M26" s="80">
        <f>IF(ISBLANK(Pupils_import[[#This Row],[FinancialYearCode]]),1,0)</f>
        <v>0</v>
      </c>
      <c r="N26" s="80">
        <f>IF(ISBLANK(Pupils_import[[#This Row],[Calculated]]),1,0)</f>
        <v>0</v>
      </c>
      <c r="O26"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26" s="80">
        <f>IF(LEN(Pupils_import[[#This Row],[Description]])&lt;100,0,1)</f>
        <v>0</v>
      </c>
      <c r="Q26" s="80">
        <f>IF(LEN(Pupils_import[[#This Row],[Notes]])&lt;4000,0,1)</f>
        <v>0</v>
      </c>
      <c r="R26" s="80">
        <f>IF(LEN(Pupils_import[[#This Row],[YearNotes]])&lt;4000,0,1)</f>
        <v>0</v>
      </c>
      <c r="S26" s="80">
        <f>IF(OR(Pupils_import[[#This Row],[MatEditOnly]]=TRUE,Pupils_import[[#This Row],[MatEditOnly]]=FALSE),IF(OR(Pupils_import[[#This Row],[Calculated]]=TRUE,Pupils_import[[#This Row],[Calculated]]=FALSE),0,1),1)</f>
        <v>0</v>
      </c>
      <c r="T26" s="80">
        <f>IF(_xlfn.XLOOKUP(Pupils_import[[#This Row],[FinancialYearCode]],Years[Years],Years[Years],1)=Pupils_import[[#This Row],[FinancialYearCode]],0,1)</f>
        <v>0</v>
      </c>
      <c r="U26" s="80">
        <f>IF(Pupils_import[[#This Row],[CalculatorCode]]="",0,IF(IF(_xlfn.XLOOKUP(Pupils_import[[#This Row],[CalculatorCode]],Calculators[CalculatorCode],Calculators[LockCheck])=1,TRUE,FALSE)=Pupils_import[[#This Row],[MatEditOnly]],0,1))</f>
        <v>0</v>
      </c>
      <c r="V26" s="85" t="e">
        <f>SUM(Pupils_import[[#This Row],[DuplicateLine]:[MAT edit only required]])</f>
        <v>#N/A</v>
      </c>
      <c r="W26" s="80" t="str">
        <f>_xlfn.XLOOKUP(Pupils_import[[#This Row],[SchoolCode]],SCHOOLS[SchoolCode],SCHOOLS[Title])</f>
        <v>Linthwaite Clough Primary School</v>
      </c>
      <c r="Y26" t="s">
        <v>1563</v>
      </c>
      <c r="Z26" t="s">
        <v>2599</v>
      </c>
      <c r="AA26" t="s">
        <v>51</v>
      </c>
      <c r="AB26" t="s">
        <v>51</v>
      </c>
      <c r="AD26" t="s">
        <v>1563</v>
      </c>
      <c r="AE26" t="s">
        <v>1124</v>
      </c>
      <c r="AF26" t="s">
        <v>1564</v>
      </c>
      <c r="AG26" t="s">
        <v>1643</v>
      </c>
      <c r="AI26" t="b">
        <v>1</v>
      </c>
      <c r="AJ26" t="s">
        <v>1497</v>
      </c>
      <c r="AK26" t="b">
        <v>1</v>
      </c>
    </row>
    <row r="27" spans="1:37" x14ac:dyDescent="0.3">
      <c r="A27" s="120" t="str">
        <f t="shared" si="0"/>
        <v>FUNDED_PRI_ADJLCPFunding Statement Adjustment Primary2025/26DEFAULT</v>
      </c>
      <c r="B27" s="85">
        <f>COUNTIF(Pupils_import[Column1],Pupils_import[[#This Row],[Column1]])-1</f>
        <v>0</v>
      </c>
      <c r="C27" s="80" cm="1">
        <f t="array" ref="C27">IF(_xlfn.XLOOKUP(Pupils_import[[#This Row],[FinanceCode]],FC_import[FinanceCode],FC_import[AvailableToAllSchools],1,0,)=TRUE,0,IF(ISERROR(FIND(Pupils_import[[#This Row],[SchoolCode]],_xlfn.TEXTJOIN(",",TRUE,_xlfn.UNIQUE(IF(FC_import[FinanceCode]=Pupils_import[[#This Row],[FinanceCode]],FC_import[SchoolCodes],""))))),1,0))</f>
        <v>0</v>
      </c>
      <c r="D27" s="85">
        <f>IF(COUNTIF(SCHOOLS[SchoolCode],Pupils_import[[#This Row],[SchoolCode]])&gt;0,0,1)</f>
        <v>0</v>
      </c>
      <c r="E27" s="85">
        <f>IF(COUNTIF(LEDGER[LedgerCode],Pupils_import[[#This Row],[LedgerCode]])&gt;0,0,1)</f>
        <v>0</v>
      </c>
      <c r="F27" s="85">
        <f>IF(ISBLANK(Pupils_import[[#This Row],[MonthProfileCode]]),1,IF(COUNTIF(MONTHPRF[Code],Pupils_import[[#This Row],[MonthProfileCode]])&gt;0,0,1))</f>
        <v>0</v>
      </c>
      <c r="G27" s="80" cm="1">
        <f t="array" ref="G27">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27" s="80" t="e" cm="1">
        <f t="array" ref="H27">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27" s="85">
        <f>IF(ISBLANK(Pupils_import[[#This Row],[YearValue]])=Pupils_import[[#This Row],[Calculated]],0,1)</f>
        <v>0</v>
      </c>
      <c r="J27" s="80">
        <f>IF(ISBLANK(Pupils_import[[#This Row],[CalculatorCode]]),0,IF(COUNTIF(Calculators[CalculatorCode],Pupils_import[[#This Row],[CalculatorCode]])&gt;0,0,1))</f>
        <v>0</v>
      </c>
      <c r="K27" s="80">
        <f>IF(TRIM(Pupils_import[[#This Row],[Description]])="",1,0)</f>
        <v>0</v>
      </c>
      <c r="L27" s="80">
        <f>IF(ISBLANK(Pupils_import[[#This Row],[MatEditOnly]]),1,0)</f>
        <v>0</v>
      </c>
      <c r="M27" s="80">
        <f>IF(ISBLANK(Pupils_import[[#This Row],[FinancialYearCode]]),1,0)</f>
        <v>0</v>
      </c>
      <c r="N27" s="80">
        <f>IF(ISBLANK(Pupils_import[[#This Row],[Calculated]]),1,0)</f>
        <v>0</v>
      </c>
      <c r="O27"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27" s="80">
        <f>IF(LEN(Pupils_import[[#This Row],[Description]])&lt;100,0,1)</f>
        <v>0</v>
      </c>
      <c r="Q27" s="80">
        <f>IF(LEN(Pupils_import[[#This Row],[Notes]])&lt;4000,0,1)</f>
        <v>0</v>
      </c>
      <c r="R27" s="80">
        <f>IF(LEN(Pupils_import[[#This Row],[YearNotes]])&lt;4000,0,1)</f>
        <v>0</v>
      </c>
      <c r="S27" s="80">
        <f>IF(OR(Pupils_import[[#This Row],[MatEditOnly]]=TRUE,Pupils_import[[#This Row],[MatEditOnly]]=FALSE),IF(OR(Pupils_import[[#This Row],[Calculated]]=TRUE,Pupils_import[[#This Row],[Calculated]]=FALSE),0,1),1)</f>
        <v>0</v>
      </c>
      <c r="T27" s="80">
        <f>IF(_xlfn.XLOOKUP(Pupils_import[[#This Row],[FinancialYearCode]],Years[Years],Years[Years],1)=Pupils_import[[#This Row],[FinancialYearCode]],0,1)</f>
        <v>0</v>
      </c>
      <c r="U27" s="80">
        <f>IF(Pupils_import[[#This Row],[CalculatorCode]]="",0,IF(IF(_xlfn.XLOOKUP(Pupils_import[[#This Row],[CalculatorCode]],Calculators[CalculatorCode],Calculators[LockCheck])=1,TRUE,FALSE)=Pupils_import[[#This Row],[MatEditOnly]],0,1))</f>
        <v>0</v>
      </c>
      <c r="V27" s="85" t="e">
        <f>SUM(Pupils_import[[#This Row],[DuplicateLine]:[MAT edit only required]])</f>
        <v>#N/A</v>
      </c>
      <c r="W27" s="80" t="str">
        <f>_xlfn.XLOOKUP(Pupils_import[[#This Row],[SchoolCode]],SCHOOLS[SchoolCode],SCHOOLS[Title])</f>
        <v>Linthwaite Clough Primary School</v>
      </c>
      <c r="Y27" t="s">
        <v>1503</v>
      </c>
      <c r="Z27" t="s">
        <v>2599</v>
      </c>
      <c r="AA27" t="s">
        <v>51</v>
      </c>
      <c r="AB27" t="s">
        <v>51</v>
      </c>
      <c r="AE27" t="s">
        <v>1124</v>
      </c>
      <c r="AF27" t="s">
        <v>1507</v>
      </c>
      <c r="AG27" t="s">
        <v>1644</v>
      </c>
      <c r="AI27" t="b">
        <v>0</v>
      </c>
      <c r="AJ27" t="s">
        <v>1497</v>
      </c>
      <c r="AK27" t="b">
        <v>1</v>
      </c>
    </row>
    <row r="28" spans="1:37" hidden="1" x14ac:dyDescent="0.3">
      <c r="A28" s="120" t="str">
        <f t="shared" si="0"/>
        <v>FTE_NURMMPFTE for Nursery Pupils2025/26DEFAULT</v>
      </c>
      <c r="B28" s="85">
        <f>COUNTIF(Pupils_import[Column1],Pupils_import[[#This Row],[Column1]])-1</f>
        <v>0</v>
      </c>
      <c r="C28" s="80" cm="1">
        <f t="array" ref="C28">IF(_xlfn.XLOOKUP(Pupils_import[[#This Row],[FinanceCode]],FC_import[FinanceCode],FC_import[AvailableToAllSchools],1,0,)=TRUE,0,IF(ISERROR(FIND(Pupils_import[[#This Row],[SchoolCode]],_xlfn.TEXTJOIN(",",TRUE,_xlfn.UNIQUE(IF(FC_import[FinanceCode]=Pupils_import[[#This Row],[FinanceCode]],FC_import[SchoolCodes],""))))),1,0))</f>
        <v>0</v>
      </c>
      <c r="D28" s="85">
        <f>IF(COUNTIF(SCHOOLS[SchoolCode],Pupils_import[[#This Row],[SchoolCode]])&gt;0,0,1)</f>
        <v>0</v>
      </c>
      <c r="E28" s="85">
        <f>IF(COUNTIF(LEDGER[LedgerCode],Pupils_import[[#This Row],[LedgerCode]])&gt;0,0,1)</f>
        <v>0</v>
      </c>
      <c r="F28" s="85">
        <f>IF(ISBLANK(Pupils_import[[#This Row],[MonthProfileCode]]),1,IF(COUNTIF(MONTHPRF[Code],Pupils_import[[#This Row],[MonthProfileCode]])&gt;0,0,1))</f>
        <v>0</v>
      </c>
      <c r="G28" s="80" cm="1">
        <f t="array" ref="G28">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28" s="80" t="e" cm="1">
        <f t="array" ref="H28">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28" s="85">
        <f>IF(ISBLANK(Pupils_import[[#This Row],[YearValue]])=Pupils_import[[#This Row],[Calculated]],0,1)</f>
        <v>0</v>
      </c>
      <c r="J28" s="80">
        <f>IF(ISBLANK(Pupils_import[[#This Row],[CalculatorCode]]),0,IF(COUNTIF(Calculators[CalculatorCode],Pupils_import[[#This Row],[CalculatorCode]])&gt;0,0,1))</f>
        <v>0</v>
      </c>
      <c r="K28" s="80">
        <f>IF(TRIM(Pupils_import[[#This Row],[Description]])="",1,0)</f>
        <v>0</v>
      </c>
      <c r="L28" s="80">
        <f>IF(ISBLANK(Pupils_import[[#This Row],[MatEditOnly]]),1,0)</f>
        <v>0</v>
      </c>
      <c r="M28" s="80">
        <f>IF(ISBLANK(Pupils_import[[#This Row],[FinancialYearCode]]),1,0)</f>
        <v>0</v>
      </c>
      <c r="N28" s="80">
        <f>IF(ISBLANK(Pupils_import[[#This Row],[Calculated]]),1,0)</f>
        <v>0</v>
      </c>
      <c r="O28"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28" s="80">
        <f>IF(LEN(Pupils_import[[#This Row],[Description]])&lt;100,0,1)</f>
        <v>0</v>
      </c>
      <c r="Q28" s="80">
        <f>IF(LEN(Pupils_import[[#This Row],[Notes]])&lt;4000,0,1)</f>
        <v>0</v>
      </c>
      <c r="R28" s="80">
        <f>IF(LEN(Pupils_import[[#This Row],[YearNotes]])&lt;4000,0,1)</f>
        <v>0</v>
      </c>
      <c r="S28" s="80">
        <f>IF(OR(Pupils_import[[#This Row],[MatEditOnly]]=TRUE,Pupils_import[[#This Row],[MatEditOnly]]=FALSE),IF(OR(Pupils_import[[#This Row],[Calculated]]=TRUE,Pupils_import[[#This Row],[Calculated]]=FALSE),0,1),1)</f>
        <v>0</v>
      </c>
      <c r="T28" s="80">
        <f>IF(_xlfn.XLOOKUP(Pupils_import[[#This Row],[FinancialYearCode]],Years[Years],Years[Years],1)=Pupils_import[[#This Row],[FinancialYearCode]],0,1)</f>
        <v>0</v>
      </c>
      <c r="U28" s="80">
        <f>IF(Pupils_import[[#This Row],[CalculatorCode]]="",0,IF(IF(_xlfn.XLOOKUP(Pupils_import[[#This Row],[CalculatorCode]],Calculators[CalculatorCode],Calculators[LockCheck])=1,TRUE,FALSE)=Pupils_import[[#This Row],[MatEditOnly]],0,1))</f>
        <v>0</v>
      </c>
      <c r="V28" s="85" t="e">
        <f>SUM(Pupils_import[[#This Row],[DuplicateLine]:[MAT edit only required]])</f>
        <v>#N/A</v>
      </c>
      <c r="W28" s="80" t="str">
        <f>_xlfn.XLOOKUP(Pupils_import[[#This Row],[SchoolCode]],SCHOOLS[SchoolCode],SCHOOLS[Title])</f>
        <v>Meltham Moor Primary School</v>
      </c>
      <c r="Y28" t="s">
        <v>2084</v>
      </c>
      <c r="Z28" t="s">
        <v>2601</v>
      </c>
      <c r="AA28" t="s">
        <v>51</v>
      </c>
      <c r="AB28" t="s">
        <v>51</v>
      </c>
      <c r="AD28" t="s">
        <v>2084</v>
      </c>
      <c r="AE28" t="s">
        <v>1124</v>
      </c>
      <c r="AF28" t="s">
        <v>2085</v>
      </c>
      <c r="AG28" t="s">
        <v>2088</v>
      </c>
      <c r="AI28" t="b">
        <v>0</v>
      </c>
      <c r="AJ28" t="s">
        <v>1497</v>
      </c>
      <c r="AK28" t="b">
        <v>1</v>
      </c>
    </row>
    <row r="29" spans="1:37" hidden="1" x14ac:dyDescent="0.3">
      <c r="A29" s="120" t="str">
        <f t="shared" si="0"/>
        <v>FUNDED_FSMMPFunded Pupil Numbers Foundation2025/26DEFAULT</v>
      </c>
      <c r="B29" s="85">
        <f>COUNTIF(Pupils_import[Column1],Pupils_import[[#This Row],[Column1]])-1</f>
        <v>0</v>
      </c>
      <c r="C29" s="80" cm="1">
        <f t="array" ref="C29">IF(_xlfn.XLOOKUP(Pupils_import[[#This Row],[FinanceCode]],FC_import[FinanceCode],FC_import[AvailableToAllSchools],1,0,)=TRUE,0,IF(ISERROR(FIND(Pupils_import[[#This Row],[SchoolCode]],_xlfn.TEXTJOIN(",",TRUE,_xlfn.UNIQUE(IF(FC_import[FinanceCode]=Pupils_import[[#This Row],[FinanceCode]],FC_import[SchoolCodes],""))))),1,0))</f>
        <v>0</v>
      </c>
      <c r="D29" s="85">
        <f>IF(COUNTIF(SCHOOLS[SchoolCode],Pupils_import[[#This Row],[SchoolCode]])&gt;0,0,1)</f>
        <v>0</v>
      </c>
      <c r="E29" s="85">
        <f>IF(COUNTIF(LEDGER[LedgerCode],Pupils_import[[#This Row],[LedgerCode]])&gt;0,0,1)</f>
        <v>0</v>
      </c>
      <c r="F29" s="85">
        <f>IF(ISBLANK(Pupils_import[[#This Row],[MonthProfileCode]]),1,IF(COUNTIF(MONTHPRF[Code],Pupils_import[[#This Row],[MonthProfileCode]])&gt;0,0,1))</f>
        <v>0</v>
      </c>
      <c r="G29" s="80" cm="1">
        <f t="array" ref="G29">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29" s="80" t="e" cm="1">
        <f t="array" ref="H29">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29" s="85">
        <f>IF(ISBLANK(Pupils_import[[#This Row],[YearValue]])=Pupils_import[[#This Row],[Calculated]],0,1)</f>
        <v>0</v>
      </c>
      <c r="J29" s="80">
        <f>IF(ISBLANK(Pupils_import[[#This Row],[CalculatorCode]]),0,IF(COUNTIF(Calculators[CalculatorCode],Pupils_import[[#This Row],[CalculatorCode]])&gt;0,0,1))</f>
        <v>0</v>
      </c>
      <c r="K29" s="80">
        <f>IF(TRIM(Pupils_import[[#This Row],[Description]])="",1,0)</f>
        <v>0</v>
      </c>
      <c r="L29" s="80">
        <f>IF(ISBLANK(Pupils_import[[#This Row],[MatEditOnly]]),1,0)</f>
        <v>0</v>
      </c>
      <c r="M29" s="80">
        <f>IF(ISBLANK(Pupils_import[[#This Row],[FinancialYearCode]]),1,0)</f>
        <v>0</v>
      </c>
      <c r="N29" s="80">
        <f>IF(ISBLANK(Pupils_import[[#This Row],[Calculated]]),1,0)</f>
        <v>0</v>
      </c>
      <c r="O29"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29" s="80">
        <f>IF(LEN(Pupils_import[[#This Row],[Description]])&lt;100,0,1)</f>
        <v>0</v>
      </c>
      <c r="Q29" s="80">
        <f>IF(LEN(Pupils_import[[#This Row],[Notes]])&lt;4000,0,1)</f>
        <v>0</v>
      </c>
      <c r="R29" s="80">
        <f>IF(LEN(Pupils_import[[#This Row],[YearNotes]])&lt;4000,0,1)</f>
        <v>0</v>
      </c>
      <c r="S29" s="80">
        <f>IF(OR(Pupils_import[[#This Row],[MatEditOnly]]=TRUE,Pupils_import[[#This Row],[MatEditOnly]]=FALSE),IF(OR(Pupils_import[[#This Row],[Calculated]]=TRUE,Pupils_import[[#This Row],[Calculated]]=FALSE),0,1),1)</f>
        <v>0</v>
      </c>
      <c r="T29" s="80">
        <f>IF(_xlfn.XLOOKUP(Pupils_import[[#This Row],[FinancialYearCode]],Years[Years],Years[Years],1)=Pupils_import[[#This Row],[FinancialYearCode]],0,1)</f>
        <v>0</v>
      </c>
      <c r="U29" s="80">
        <f>IF(Pupils_import[[#This Row],[CalculatorCode]]="",0,IF(IF(_xlfn.XLOOKUP(Pupils_import[[#This Row],[CalculatorCode]],Calculators[CalculatorCode],Calculators[LockCheck])=1,TRUE,FALSE)=Pupils_import[[#This Row],[MatEditOnly]],0,1))</f>
        <v>0</v>
      </c>
      <c r="V29" s="85" t="e">
        <f>SUM(Pupils_import[[#This Row],[DuplicateLine]:[MAT edit only required]])</f>
        <v>#N/A</v>
      </c>
      <c r="W29" s="80" t="str">
        <f>_xlfn.XLOOKUP(Pupils_import[[#This Row],[SchoolCode]],SCHOOLS[SchoolCode],SCHOOLS[Title])</f>
        <v>Meltham Moor Primary School</v>
      </c>
      <c r="Y29" t="s">
        <v>920</v>
      </c>
      <c r="Z29" t="s">
        <v>2601</v>
      </c>
      <c r="AA29" t="s">
        <v>51</v>
      </c>
      <c r="AB29" t="s">
        <v>51</v>
      </c>
      <c r="AD29" t="s">
        <v>920</v>
      </c>
      <c r="AE29" t="s">
        <v>1124</v>
      </c>
      <c r="AF29" t="s">
        <v>921</v>
      </c>
      <c r="AG29" t="s">
        <v>1633</v>
      </c>
      <c r="AI29" t="b">
        <v>1</v>
      </c>
      <c r="AJ29" t="s">
        <v>1497</v>
      </c>
      <c r="AK29" t="b">
        <v>1</v>
      </c>
    </row>
    <row r="30" spans="1:37" hidden="1" x14ac:dyDescent="0.3">
      <c r="A30" s="120" t="str">
        <f t="shared" si="0"/>
        <v>FUNDED_KS1MMPFunded Pupil Numbers KS12025/26DEFAULT</v>
      </c>
      <c r="B30" s="85">
        <f>COUNTIF(Pupils_import[Column1],Pupils_import[[#This Row],[Column1]])-1</f>
        <v>0</v>
      </c>
      <c r="C30" s="80" cm="1">
        <f t="array" ref="C30">IF(_xlfn.XLOOKUP(Pupils_import[[#This Row],[FinanceCode]],FC_import[FinanceCode],FC_import[AvailableToAllSchools],1,0,)=TRUE,0,IF(ISERROR(FIND(Pupils_import[[#This Row],[SchoolCode]],_xlfn.TEXTJOIN(",",TRUE,_xlfn.UNIQUE(IF(FC_import[FinanceCode]=Pupils_import[[#This Row],[FinanceCode]],FC_import[SchoolCodes],""))))),1,0))</f>
        <v>0</v>
      </c>
      <c r="D30" s="85">
        <f>IF(COUNTIF(SCHOOLS[SchoolCode],Pupils_import[[#This Row],[SchoolCode]])&gt;0,0,1)</f>
        <v>0</v>
      </c>
      <c r="E30" s="85">
        <f>IF(COUNTIF(LEDGER[LedgerCode],Pupils_import[[#This Row],[LedgerCode]])&gt;0,0,1)</f>
        <v>0</v>
      </c>
      <c r="F30" s="85">
        <f>IF(ISBLANK(Pupils_import[[#This Row],[MonthProfileCode]]),1,IF(COUNTIF(MONTHPRF[Code],Pupils_import[[#This Row],[MonthProfileCode]])&gt;0,0,1))</f>
        <v>0</v>
      </c>
      <c r="G30" s="80" cm="1">
        <f t="array" ref="G30">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30" s="80" t="e" cm="1">
        <f t="array" ref="H30">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30" s="85">
        <f>IF(ISBLANK(Pupils_import[[#This Row],[YearValue]])=Pupils_import[[#This Row],[Calculated]],0,1)</f>
        <v>0</v>
      </c>
      <c r="J30" s="80">
        <f>IF(ISBLANK(Pupils_import[[#This Row],[CalculatorCode]]),0,IF(COUNTIF(Calculators[CalculatorCode],Pupils_import[[#This Row],[CalculatorCode]])&gt;0,0,1))</f>
        <v>0</v>
      </c>
      <c r="K30" s="80">
        <f>IF(TRIM(Pupils_import[[#This Row],[Description]])="",1,0)</f>
        <v>0</v>
      </c>
      <c r="L30" s="80">
        <f>IF(ISBLANK(Pupils_import[[#This Row],[MatEditOnly]]),1,0)</f>
        <v>0</v>
      </c>
      <c r="M30" s="80">
        <f>IF(ISBLANK(Pupils_import[[#This Row],[FinancialYearCode]]),1,0)</f>
        <v>0</v>
      </c>
      <c r="N30" s="80">
        <f>IF(ISBLANK(Pupils_import[[#This Row],[Calculated]]),1,0)</f>
        <v>0</v>
      </c>
      <c r="O30"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30" s="80">
        <f>IF(LEN(Pupils_import[[#This Row],[Description]])&lt;100,0,1)</f>
        <v>0</v>
      </c>
      <c r="Q30" s="80">
        <f>IF(LEN(Pupils_import[[#This Row],[Notes]])&lt;4000,0,1)</f>
        <v>0</v>
      </c>
      <c r="R30" s="80">
        <f>IF(LEN(Pupils_import[[#This Row],[YearNotes]])&lt;4000,0,1)</f>
        <v>0</v>
      </c>
      <c r="S30" s="80">
        <f>IF(OR(Pupils_import[[#This Row],[MatEditOnly]]=TRUE,Pupils_import[[#This Row],[MatEditOnly]]=FALSE),IF(OR(Pupils_import[[#This Row],[Calculated]]=TRUE,Pupils_import[[#This Row],[Calculated]]=FALSE),0,1),1)</f>
        <v>0</v>
      </c>
      <c r="T30" s="80">
        <f>IF(_xlfn.XLOOKUP(Pupils_import[[#This Row],[FinancialYearCode]],Years[Years],Years[Years],1)=Pupils_import[[#This Row],[FinancialYearCode]],0,1)</f>
        <v>0</v>
      </c>
      <c r="U30" s="80">
        <f>IF(Pupils_import[[#This Row],[CalculatorCode]]="",0,IF(IF(_xlfn.XLOOKUP(Pupils_import[[#This Row],[CalculatorCode]],Calculators[CalculatorCode],Calculators[LockCheck])=1,TRUE,FALSE)=Pupils_import[[#This Row],[MatEditOnly]],0,1))</f>
        <v>0</v>
      </c>
      <c r="V30" s="85" t="e">
        <f>SUM(Pupils_import[[#This Row],[DuplicateLine]:[MAT edit only required]])</f>
        <v>#N/A</v>
      </c>
      <c r="W30" s="80" t="str">
        <f>_xlfn.XLOOKUP(Pupils_import[[#This Row],[SchoolCode]],SCHOOLS[SchoolCode],SCHOOLS[Title])</f>
        <v>Meltham Moor Primary School</v>
      </c>
      <c r="Y30" t="s">
        <v>923</v>
      </c>
      <c r="Z30" t="s">
        <v>2601</v>
      </c>
      <c r="AA30" t="s">
        <v>51</v>
      </c>
      <c r="AB30" t="s">
        <v>51</v>
      </c>
      <c r="AD30" t="s">
        <v>923</v>
      </c>
      <c r="AE30" t="s">
        <v>1124</v>
      </c>
      <c r="AF30" t="s">
        <v>924</v>
      </c>
      <c r="AG30" t="s">
        <v>1634</v>
      </c>
      <c r="AI30" t="b">
        <v>1</v>
      </c>
      <c r="AJ30" t="s">
        <v>1497</v>
      </c>
      <c r="AK30" t="b">
        <v>1</v>
      </c>
    </row>
    <row r="31" spans="1:37" hidden="1" x14ac:dyDescent="0.3">
      <c r="A31" s="120" t="str">
        <f t="shared" si="0"/>
        <v>FUNDED_KS2MMPFunded Pupil Numbers KS22025/26DEFAULT</v>
      </c>
      <c r="B31" s="85">
        <f>COUNTIF(Pupils_import[Column1],Pupils_import[[#This Row],[Column1]])-1</f>
        <v>0</v>
      </c>
      <c r="C31" s="80" cm="1">
        <f t="array" ref="C31">IF(_xlfn.XLOOKUP(Pupils_import[[#This Row],[FinanceCode]],FC_import[FinanceCode],FC_import[AvailableToAllSchools],1,0,)=TRUE,0,IF(ISERROR(FIND(Pupils_import[[#This Row],[SchoolCode]],_xlfn.TEXTJOIN(",",TRUE,_xlfn.UNIQUE(IF(FC_import[FinanceCode]=Pupils_import[[#This Row],[FinanceCode]],FC_import[SchoolCodes],""))))),1,0))</f>
        <v>0</v>
      </c>
      <c r="D31" s="85">
        <f>IF(COUNTIF(SCHOOLS[SchoolCode],Pupils_import[[#This Row],[SchoolCode]])&gt;0,0,1)</f>
        <v>0</v>
      </c>
      <c r="E31" s="85">
        <f>IF(COUNTIF(LEDGER[LedgerCode],Pupils_import[[#This Row],[LedgerCode]])&gt;0,0,1)</f>
        <v>0</v>
      </c>
      <c r="F31" s="85">
        <f>IF(ISBLANK(Pupils_import[[#This Row],[MonthProfileCode]]),1,IF(COUNTIF(MONTHPRF[Code],Pupils_import[[#This Row],[MonthProfileCode]])&gt;0,0,1))</f>
        <v>0</v>
      </c>
      <c r="G31" s="80" cm="1">
        <f t="array" ref="G31">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31" s="80" t="e" cm="1">
        <f t="array" ref="H31">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31" s="85">
        <f>IF(ISBLANK(Pupils_import[[#This Row],[YearValue]])=Pupils_import[[#This Row],[Calculated]],0,1)</f>
        <v>0</v>
      </c>
      <c r="J31" s="80">
        <f>IF(ISBLANK(Pupils_import[[#This Row],[CalculatorCode]]),0,IF(COUNTIF(Calculators[CalculatorCode],Pupils_import[[#This Row],[CalculatorCode]])&gt;0,0,1))</f>
        <v>0</v>
      </c>
      <c r="K31" s="80">
        <f>IF(TRIM(Pupils_import[[#This Row],[Description]])="",1,0)</f>
        <v>0</v>
      </c>
      <c r="L31" s="80">
        <f>IF(ISBLANK(Pupils_import[[#This Row],[MatEditOnly]]),1,0)</f>
        <v>0</v>
      </c>
      <c r="M31" s="80">
        <f>IF(ISBLANK(Pupils_import[[#This Row],[FinancialYearCode]]),1,0)</f>
        <v>0</v>
      </c>
      <c r="N31" s="80">
        <f>IF(ISBLANK(Pupils_import[[#This Row],[Calculated]]),1,0)</f>
        <v>0</v>
      </c>
      <c r="O31"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31" s="80">
        <f>IF(LEN(Pupils_import[[#This Row],[Description]])&lt;100,0,1)</f>
        <v>0</v>
      </c>
      <c r="Q31" s="80">
        <f>IF(LEN(Pupils_import[[#This Row],[Notes]])&lt;4000,0,1)</f>
        <v>0</v>
      </c>
      <c r="R31" s="80">
        <f>IF(LEN(Pupils_import[[#This Row],[YearNotes]])&lt;4000,0,1)</f>
        <v>0</v>
      </c>
      <c r="S31" s="80">
        <f>IF(OR(Pupils_import[[#This Row],[MatEditOnly]]=TRUE,Pupils_import[[#This Row],[MatEditOnly]]=FALSE),IF(OR(Pupils_import[[#This Row],[Calculated]]=TRUE,Pupils_import[[#This Row],[Calculated]]=FALSE),0,1),1)</f>
        <v>0</v>
      </c>
      <c r="T31" s="80">
        <f>IF(_xlfn.XLOOKUP(Pupils_import[[#This Row],[FinancialYearCode]],Years[Years],Years[Years],1)=Pupils_import[[#This Row],[FinancialYearCode]],0,1)</f>
        <v>0</v>
      </c>
      <c r="U31" s="80">
        <f>IF(Pupils_import[[#This Row],[CalculatorCode]]="",0,IF(IF(_xlfn.XLOOKUP(Pupils_import[[#This Row],[CalculatorCode]],Calculators[CalculatorCode],Calculators[LockCheck])=1,TRUE,FALSE)=Pupils_import[[#This Row],[MatEditOnly]],0,1))</f>
        <v>0</v>
      </c>
      <c r="V31" s="85" t="e">
        <f>SUM(Pupils_import[[#This Row],[DuplicateLine]:[MAT edit only required]])</f>
        <v>#N/A</v>
      </c>
      <c r="W31" s="80" t="str">
        <f>_xlfn.XLOOKUP(Pupils_import[[#This Row],[SchoolCode]],SCHOOLS[SchoolCode],SCHOOLS[Title])</f>
        <v>Meltham Moor Primary School</v>
      </c>
      <c r="Y31" t="s">
        <v>925</v>
      </c>
      <c r="Z31" t="s">
        <v>2601</v>
      </c>
      <c r="AA31" t="s">
        <v>51</v>
      </c>
      <c r="AB31" t="s">
        <v>51</v>
      </c>
      <c r="AD31" t="s">
        <v>925</v>
      </c>
      <c r="AE31" t="s">
        <v>1124</v>
      </c>
      <c r="AF31" t="s">
        <v>926</v>
      </c>
      <c r="AG31" t="s">
        <v>1635</v>
      </c>
      <c r="AI31" t="b">
        <v>1</v>
      </c>
      <c r="AJ31" t="s">
        <v>1497</v>
      </c>
      <c r="AK31" t="b">
        <v>1</v>
      </c>
    </row>
    <row r="32" spans="1:37" hidden="1" x14ac:dyDescent="0.3">
      <c r="A32" s="120" t="str">
        <f t="shared" si="0"/>
        <v>FUNDED_PRIMMPFunded Pupil Numbers Primary Total2025/26DEFAULT</v>
      </c>
      <c r="B32" s="85">
        <f>COUNTIF(Pupils_import[Column1],Pupils_import[[#This Row],[Column1]])-1</f>
        <v>0</v>
      </c>
      <c r="C32" s="80" cm="1">
        <f t="array" ref="C32">IF(_xlfn.XLOOKUP(Pupils_import[[#This Row],[FinanceCode]],FC_import[FinanceCode],FC_import[AvailableToAllSchools],1,0,)=TRUE,0,IF(ISERROR(FIND(Pupils_import[[#This Row],[SchoolCode]],_xlfn.TEXTJOIN(",",TRUE,_xlfn.UNIQUE(IF(FC_import[FinanceCode]=Pupils_import[[#This Row],[FinanceCode]],FC_import[SchoolCodes],""))))),1,0))</f>
        <v>0</v>
      </c>
      <c r="D32" s="85">
        <f>IF(COUNTIF(SCHOOLS[SchoolCode],Pupils_import[[#This Row],[SchoolCode]])&gt;0,0,1)</f>
        <v>0</v>
      </c>
      <c r="E32" s="85">
        <f>IF(COUNTIF(LEDGER[LedgerCode],Pupils_import[[#This Row],[LedgerCode]])&gt;0,0,1)</f>
        <v>0</v>
      </c>
      <c r="F32" s="85">
        <f>IF(ISBLANK(Pupils_import[[#This Row],[MonthProfileCode]]),1,IF(COUNTIF(MONTHPRF[Code],Pupils_import[[#This Row],[MonthProfileCode]])&gt;0,0,1))</f>
        <v>0</v>
      </c>
      <c r="G32" s="80" cm="1">
        <f t="array" ref="G32">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32" s="80" t="e" cm="1">
        <f t="array" ref="H32">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32" s="85">
        <f>IF(ISBLANK(Pupils_import[[#This Row],[YearValue]])=Pupils_import[[#This Row],[Calculated]],0,1)</f>
        <v>0</v>
      </c>
      <c r="J32" s="80">
        <f>IF(ISBLANK(Pupils_import[[#This Row],[CalculatorCode]]),0,IF(COUNTIF(Calculators[CalculatorCode],Pupils_import[[#This Row],[CalculatorCode]])&gt;0,0,1))</f>
        <v>0</v>
      </c>
      <c r="K32" s="80">
        <f>IF(TRIM(Pupils_import[[#This Row],[Description]])="",1,0)</f>
        <v>0</v>
      </c>
      <c r="L32" s="80">
        <f>IF(ISBLANK(Pupils_import[[#This Row],[MatEditOnly]]),1,0)</f>
        <v>0</v>
      </c>
      <c r="M32" s="80">
        <f>IF(ISBLANK(Pupils_import[[#This Row],[FinancialYearCode]]),1,0)</f>
        <v>0</v>
      </c>
      <c r="N32" s="80">
        <f>IF(ISBLANK(Pupils_import[[#This Row],[Calculated]]),1,0)</f>
        <v>0</v>
      </c>
      <c r="O32"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32" s="80">
        <f>IF(LEN(Pupils_import[[#This Row],[Description]])&lt;100,0,1)</f>
        <v>0</v>
      </c>
      <c r="Q32" s="80">
        <f>IF(LEN(Pupils_import[[#This Row],[Notes]])&lt;4000,0,1)</f>
        <v>0</v>
      </c>
      <c r="R32" s="80">
        <f>IF(LEN(Pupils_import[[#This Row],[YearNotes]])&lt;4000,0,1)</f>
        <v>0</v>
      </c>
      <c r="S32" s="80">
        <f>IF(OR(Pupils_import[[#This Row],[MatEditOnly]]=TRUE,Pupils_import[[#This Row],[MatEditOnly]]=FALSE),IF(OR(Pupils_import[[#This Row],[Calculated]]=TRUE,Pupils_import[[#This Row],[Calculated]]=FALSE),0,1),1)</f>
        <v>0</v>
      </c>
      <c r="T32" s="80">
        <f>IF(_xlfn.XLOOKUP(Pupils_import[[#This Row],[FinancialYearCode]],Years[Years],Years[Years],1)=Pupils_import[[#This Row],[FinancialYearCode]],0,1)</f>
        <v>0</v>
      </c>
      <c r="U32" s="80">
        <f>IF(Pupils_import[[#This Row],[CalculatorCode]]="",0,IF(IF(_xlfn.XLOOKUP(Pupils_import[[#This Row],[CalculatorCode]],Calculators[CalculatorCode],Calculators[LockCheck])=1,TRUE,FALSE)=Pupils_import[[#This Row],[MatEditOnly]],0,1))</f>
        <v>0</v>
      </c>
      <c r="V32" s="85" t="e">
        <f>SUM(Pupils_import[[#This Row],[DuplicateLine]:[MAT edit only required]])</f>
        <v>#N/A</v>
      </c>
      <c r="W32" s="80" t="str">
        <f>_xlfn.XLOOKUP(Pupils_import[[#This Row],[SchoolCode]],SCHOOLS[SchoolCode],SCHOOLS[Title])</f>
        <v>Meltham Moor Primary School</v>
      </c>
      <c r="Y32" t="s">
        <v>1563</v>
      </c>
      <c r="Z32" t="s">
        <v>2601</v>
      </c>
      <c r="AA32" t="s">
        <v>51</v>
      </c>
      <c r="AB32" t="s">
        <v>51</v>
      </c>
      <c r="AD32" t="s">
        <v>1563</v>
      </c>
      <c r="AE32" t="s">
        <v>1124</v>
      </c>
      <c r="AF32" t="s">
        <v>1564</v>
      </c>
      <c r="AG32" t="s">
        <v>1643</v>
      </c>
      <c r="AI32" t="b">
        <v>1</v>
      </c>
      <c r="AJ32" t="s">
        <v>1497</v>
      </c>
      <c r="AK32" t="b">
        <v>1</v>
      </c>
    </row>
    <row r="33" spans="1:37" x14ac:dyDescent="0.3">
      <c r="A33" s="120" t="str">
        <f t="shared" si="0"/>
        <v>FUNDED_PRI_ADJMMPFunding Statement Adjustment Primary2025/26DEFAULT</v>
      </c>
      <c r="B33" s="85">
        <f>COUNTIF(Pupils_import[Column1],Pupils_import[[#This Row],[Column1]])-1</f>
        <v>0</v>
      </c>
      <c r="C33" s="80" cm="1">
        <f t="array" ref="C33">IF(_xlfn.XLOOKUP(Pupils_import[[#This Row],[FinanceCode]],FC_import[FinanceCode],FC_import[AvailableToAllSchools],1,0,)=TRUE,0,IF(ISERROR(FIND(Pupils_import[[#This Row],[SchoolCode]],_xlfn.TEXTJOIN(",",TRUE,_xlfn.UNIQUE(IF(FC_import[FinanceCode]=Pupils_import[[#This Row],[FinanceCode]],FC_import[SchoolCodes],""))))),1,0))</f>
        <v>0</v>
      </c>
      <c r="D33" s="85">
        <f>IF(COUNTIF(SCHOOLS[SchoolCode],Pupils_import[[#This Row],[SchoolCode]])&gt;0,0,1)</f>
        <v>0</v>
      </c>
      <c r="E33" s="85">
        <f>IF(COUNTIF(LEDGER[LedgerCode],Pupils_import[[#This Row],[LedgerCode]])&gt;0,0,1)</f>
        <v>0</v>
      </c>
      <c r="F33" s="85">
        <f>IF(ISBLANK(Pupils_import[[#This Row],[MonthProfileCode]]),1,IF(COUNTIF(MONTHPRF[Code],Pupils_import[[#This Row],[MonthProfileCode]])&gt;0,0,1))</f>
        <v>0</v>
      </c>
      <c r="G33" s="80" cm="1">
        <f t="array" ref="G33">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33" s="80" t="e" cm="1">
        <f t="array" ref="H33">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33" s="85">
        <f>IF(ISBLANK(Pupils_import[[#This Row],[YearValue]])=Pupils_import[[#This Row],[Calculated]],0,1)</f>
        <v>0</v>
      </c>
      <c r="J33" s="80">
        <f>IF(ISBLANK(Pupils_import[[#This Row],[CalculatorCode]]),0,IF(COUNTIF(Calculators[CalculatorCode],Pupils_import[[#This Row],[CalculatorCode]])&gt;0,0,1))</f>
        <v>0</v>
      </c>
      <c r="K33" s="80">
        <f>IF(TRIM(Pupils_import[[#This Row],[Description]])="",1,0)</f>
        <v>0</v>
      </c>
      <c r="L33" s="80">
        <f>IF(ISBLANK(Pupils_import[[#This Row],[MatEditOnly]]),1,0)</f>
        <v>0</v>
      </c>
      <c r="M33" s="80">
        <f>IF(ISBLANK(Pupils_import[[#This Row],[FinancialYearCode]]),1,0)</f>
        <v>0</v>
      </c>
      <c r="N33" s="80">
        <f>IF(ISBLANK(Pupils_import[[#This Row],[Calculated]]),1,0)</f>
        <v>0</v>
      </c>
      <c r="O33"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33" s="80">
        <f>IF(LEN(Pupils_import[[#This Row],[Description]])&lt;100,0,1)</f>
        <v>0</v>
      </c>
      <c r="Q33" s="80">
        <f>IF(LEN(Pupils_import[[#This Row],[Notes]])&lt;4000,0,1)</f>
        <v>0</v>
      </c>
      <c r="R33" s="80">
        <f>IF(LEN(Pupils_import[[#This Row],[YearNotes]])&lt;4000,0,1)</f>
        <v>0</v>
      </c>
      <c r="S33" s="80">
        <f>IF(OR(Pupils_import[[#This Row],[MatEditOnly]]=TRUE,Pupils_import[[#This Row],[MatEditOnly]]=FALSE),IF(OR(Pupils_import[[#This Row],[Calculated]]=TRUE,Pupils_import[[#This Row],[Calculated]]=FALSE),0,1),1)</f>
        <v>0</v>
      </c>
      <c r="T33" s="80">
        <f>IF(_xlfn.XLOOKUP(Pupils_import[[#This Row],[FinancialYearCode]],Years[Years],Years[Years],1)=Pupils_import[[#This Row],[FinancialYearCode]],0,1)</f>
        <v>0</v>
      </c>
      <c r="U33" s="80">
        <f>IF(Pupils_import[[#This Row],[CalculatorCode]]="",0,IF(IF(_xlfn.XLOOKUP(Pupils_import[[#This Row],[CalculatorCode]],Calculators[CalculatorCode],Calculators[LockCheck])=1,TRUE,FALSE)=Pupils_import[[#This Row],[MatEditOnly]],0,1))</f>
        <v>0</v>
      </c>
      <c r="V33" s="85" t="e">
        <f>SUM(Pupils_import[[#This Row],[DuplicateLine]:[MAT edit only required]])</f>
        <v>#N/A</v>
      </c>
      <c r="W33" s="80" t="str">
        <f>_xlfn.XLOOKUP(Pupils_import[[#This Row],[SchoolCode]],SCHOOLS[SchoolCode],SCHOOLS[Title])</f>
        <v>Meltham Moor Primary School</v>
      </c>
      <c r="Y33" t="s">
        <v>1503</v>
      </c>
      <c r="Z33" t="s">
        <v>2601</v>
      </c>
      <c r="AA33" t="s">
        <v>51</v>
      </c>
      <c r="AB33" t="s">
        <v>51</v>
      </c>
      <c r="AE33" t="s">
        <v>1124</v>
      </c>
      <c r="AF33" t="s">
        <v>1507</v>
      </c>
      <c r="AG33" t="s">
        <v>1644</v>
      </c>
      <c r="AI33" t="b">
        <v>0</v>
      </c>
      <c r="AJ33" t="s">
        <v>1497</v>
      </c>
      <c r="AK33" t="b">
        <v>1</v>
      </c>
    </row>
    <row r="34" spans="1:37" hidden="1" x14ac:dyDescent="0.3">
      <c r="A34" s="120" t="str">
        <f t="shared" ref="A34:A52" si="1">Y34&amp;Z34&amp;TRIM(AF34)&amp;AJ34&amp;AB34</f>
        <v>FTE_NURNINFTE for Nursery Pupils2025/26DEFAULT</v>
      </c>
      <c r="B34" s="85">
        <f>COUNTIF(Pupils_import[Column1],Pupils_import[[#This Row],[Column1]])-1</f>
        <v>0</v>
      </c>
      <c r="C34" s="80" cm="1">
        <f t="array" ref="C34">IF(_xlfn.XLOOKUP(Pupils_import[[#This Row],[FinanceCode]],FC_import[FinanceCode],FC_import[AvailableToAllSchools],1,0,)=TRUE,0,IF(ISERROR(FIND(Pupils_import[[#This Row],[SchoolCode]],_xlfn.TEXTJOIN(",",TRUE,_xlfn.UNIQUE(IF(FC_import[FinanceCode]=Pupils_import[[#This Row],[FinanceCode]],FC_import[SchoolCodes],""))))),1,0))</f>
        <v>0</v>
      </c>
      <c r="D34" s="85">
        <f>IF(COUNTIF(SCHOOLS[SchoolCode],Pupils_import[[#This Row],[SchoolCode]])&gt;0,0,1)</f>
        <v>0</v>
      </c>
      <c r="E34" s="85">
        <f>IF(COUNTIF(LEDGER[LedgerCode],Pupils_import[[#This Row],[LedgerCode]])&gt;0,0,1)</f>
        <v>0</v>
      </c>
      <c r="F34" s="85">
        <f>IF(ISBLANK(Pupils_import[[#This Row],[MonthProfileCode]]),1,IF(COUNTIF(MONTHPRF[Code],Pupils_import[[#This Row],[MonthProfileCode]])&gt;0,0,1))</f>
        <v>0</v>
      </c>
      <c r="G34" s="80" cm="1">
        <f t="array" ref="G34">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34" s="80" t="e" cm="1">
        <f t="array" ref="H34">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34" s="85">
        <f>IF(ISBLANK(Pupils_import[[#This Row],[YearValue]])=Pupils_import[[#This Row],[Calculated]],0,1)</f>
        <v>0</v>
      </c>
      <c r="J34" s="80">
        <f>IF(ISBLANK(Pupils_import[[#This Row],[CalculatorCode]]),0,IF(COUNTIF(Calculators[CalculatorCode],Pupils_import[[#This Row],[CalculatorCode]])&gt;0,0,1))</f>
        <v>0</v>
      </c>
      <c r="K34" s="80">
        <f>IF(TRIM(Pupils_import[[#This Row],[Description]])="",1,0)</f>
        <v>0</v>
      </c>
      <c r="L34" s="80">
        <f>IF(ISBLANK(Pupils_import[[#This Row],[MatEditOnly]]),1,0)</f>
        <v>0</v>
      </c>
      <c r="M34" s="80">
        <f>IF(ISBLANK(Pupils_import[[#This Row],[FinancialYearCode]]),1,0)</f>
        <v>0</v>
      </c>
      <c r="N34" s="80">
        <f>IF(ISBLANK(Pupils_import[[#This Row],[Calculated]]),1,0)</f>
        <v>0</v>
      </c>
      <c r="O34"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34" s="80">
        <f>IF(LEN(Pupils_import[[#This Row],[Description]])&lt;100,0,1)</f>
        <v>0</v>
      </c>
      <c r="Q34" s="80">
        <f>IF(LEN(Pupils_import[[#This Row],[Notes]])&lt;4000,0,1)</f>
        <v>0</v>
      </c>
      <c r="R34" s="80">
        <f>IF(LEN(Pupils_import[[#This Row],[YearNotes]])&lt;4000,0,1)</f>
        <v>0</v>
      </c>
      <c r="S34" s="80">
        <f>IF(OR(Pupils_import[[#This Row],[MatEditOnly]]=TRUE,Pupils_import[[#This Row],[MatEditOnly]]=FALSE),IF(OR(Pupils_import[[#This Row],[Calculated]]=TRUE,Pupils_import[[#This Row],[Calculated]]=FALSE),0,1),1)</f>
        <v>0</v>
      </c>
      <c r="T34" s="80">
        <f>IF(_xlfn.XLOOKUP(Pupils_import[[#This Row],[FinancialYearCode]],Years[Years],Years[Years],1)=Pupils_import[[#This Row],[FinancialYearCode]],0,1)</f>
        <v>0</v>
      </c>
      <c r="U34" s="80">
        <f>IF(Pupils_import[[#This Row],[CalculatorCode]]="",0,IF(IF(_xlfn.XLOOKUP(Pupils_import[[#This Row],[CalculatorCode]],Calculators[CalculatorCode],Calculators[LockCheck])=1,TRUE,FALSE)=Pupils_import[[#This Row],[MatEditOnly]],0,1))</f>
        <v>0</v>
      </c>
      <c r="V34" s="85" t="e">
        <f>SUM(Pupils_import[[#This Row],[DuplicateLine]:[MAT edit only required]])</f>
        <v>#N/A</v>
      </c>
      <c r="W34" s="80" t="str">
        <f>_xlfn.XLOOKUP(Pupils_import[[#This Row],[SchoolCode]],SCHOOLS[SchoolCode],SCHOOLS[Title])</f>
        <v>Netherton Infant and Nursery School</v>
      </c>
      <c r="Y34" t="s">
        <v>2084</v>
      </c>
      <c r="Z34" t="s">
        <v>2603</v>
      </c>
      <c r="AA34" t="s">
        <v>51</v>
      </c>
      <c r="AB34" t="s">
        <v>51</v>
      </c>
      <c r="AD34" t="s">
        <v>2084</v>
      </c>
      <c r="AE34" t="s">
        <v>1124</v>
      </c>
      <c r="AF34" t="s">
        <v>2085</v>
      </c>
      <c r="AG34" t="s">
        <v>2088</v>
      </c>
      <c r="AI34" t="b">
        <v>0</v>
      </c>
      <c r="AJ34" t="s">
        <v>1497</v>
      </c>
      <c r="AK34" t="b">
        <v>1</v>
      </c>
    </row>
    <row r="35" spans="1:37" hidden="1" x14ac:dyDescent="0.3">
      <c r="A35" s="120" t="str">
        <f t="shared" si="1"/>
        <v>FUNDED_FSNINFunded Pupil Numbers Foundation2025/26DEFAULT</v>
      </c>
      <c r="B35" s="85">
        <f>COUNTIF(Pupils_import[Column1],Pupils_import[[#This Row],[Column1]])-1</f>
        <v>0</v>
      </c>
      <c r="C35" s="80" cm="1">
        <f t="array" ref="C35">IF(_xlfn.XLOOKUP(Pupils_import[[#This Row],[FinanceCode]],FC_import[FinanceCode],FC_import[AvailableToAllSchools],1,0,)=TRUE,0,IF(ISERROR(FIND(Pupils_import[[#This Row],[SchoolCode]],_xlfn.TEXTJOIN(",",TRUE,_xlfn.UNIQUE(IF(FC_import[FinanceCode]=Pupils_import[[#This Row],[FinanceCode]],FC_import[SchoolCodes],""))))),1,0))</f>
        <v>0</v>
      </c>
      <c r="D35" s="85">
        <f>IF(COUNTIF(SCHOOLS[SchoolCode],Pupils_import[[#This Row],[SchoolCode]])&gt;0,0,1)</f>
        <v>0</v>
      </c>
      <c r="E35" s="85">
        <f>IF(COUNTIF(LEDGER[LedgerCode],Pupils_import[[#This Row],[LedgerCode]])&gt;0,0,1)</f>
        <v>0</v>
      </c>
      <c r="F35" s="85">
        <f>IF(ISBLANK(Pupils_import[[#This Row],[MonthProfileCode]]),1,IF(COUNTIF(MONTHPRF[Code],Pupils_import[[#This Row],[MonthProfileCode]])&gt;0,0,1))</f>
        <v>0</v>
      </c>
      <c r="G35" s="80" cm="1">
        <f t="array" ref="G35">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35" s="80" t="e" cm="1">
        <f t="array" ref="H35">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35" s="85">
        <f>IF(ISBLANK(Pupils_import[[#This Row],[YearValue]])=Pupils_import[[#This Row],[Calculated]],0,1)</f>
        <v>0</v>
      </c>
      <c r="J35" s="80">
        <f>IF(ISBLANK(Pupils_import[[#This Row],[CalculatorCode]]),0,IF(COUNTIF(Calculators[CalculatorCode],Pupils_import[[#This Row],[CalculatorCode]])&gt;0,0,1))</f>
        <v>0</v>
      </c>
      <c r="K35" s="80">
        <f>IF(TRIM(Pupils_import[[#This Row],[Description]])="",1,0)</f>
        <v>0</v>
      </c>
      <c r="L35" s="80">
        <f>IF(ISBLANK(Pupils_import[[#This Row],[MatEditOnly]]),1,0)</f>
        <v>0</v>
      </c>
      <c r="M35" s="80">
        <f>IF(ISBLANK(Pupils_import[[#This Row],[FinancialYearCode]]),1,0)</f>
        <v>0</v>
      </c>
      <c r="N35" s="80">
        <f>IF(ISBLANK(Pupils_import[[#This Row],[Calculated]]),1,0)</f>
        <v>0</v>
      </c>
      <c r="O35"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35" s="80">
        <f>IF(LEN(Pupils_import[[#This Row],[Description]])&lt;100,0,1)</f>
        <v>0</v>
      </c>
      <c r="Q35" s="80">
        <f>IF(LEN(Pupils_import[[#This Row],[Notes]])&lt;4000,0,1)</f>
        <v>0</v>
      </c>
      <c r="R35" s="80">
        <f>IF(LEN(Pupils_import[[#This Row],[YearNotes]])&lt;4000,0,1)</f>
        <v>0</v>
      </c>
      <c r="S35" s="80">
        <f>IF(OR(Pupils_import[[#This Row],[MatEditOnly]]=TRUE,Pupils_import[[#This Row],[MatEditOnly]]=FALSE),IF(OR(Pupils_import[[#This Row],[Calculated]]=TRUE,Pupils_import[[#This Row],[Calculated]]=FALSE),0,1),1)</f>
        <v>0</v>
      </c>
      <c r="T35" s="80">
        <f>IF(_xlfn.XLOOKUP(Pupils_import[[#This Row],[FinancialYearCode]],Years[Years],Years[Years],1)=Pupils_import[[#This Row],[FinancialYearCode]],0,1)</f>
        <v>0</v>
      </c>
      <c r="U35" s="80">
        <f>IF(Pupils_import[[#This Row],[CalculatorCode]]="",0,IF(IF(_xlfn.XLOOKUP(Pupils_import[[#This Row],[CalculatorCode]],Calculators[CalculatorCode],Calculators[LockCheck])=1,TRUE,FALSE)=Pupils_import[[#This Row],[MatEditOnly]],0,1))</f>
        <v>0</v>
      </c>
      <c r="V35" s="85" t="e">
        <f>SUM(Pupils_import[[#This Row],[DuplicateLine]:[MAT edit only required]])</f>
        <v>#N/A</v>
      </c>
      <c r="W35" s="80" t="str">
        <f>_xlfn.XLOOKUP(Pupils_import[[#This Row],[SchoolCode]],SCHOOLS[SchoolCode],SCHOOLS[Title])</f>
        <v>Netherton Infant and Nursery School</v>
      </c>
      <c r="Y35" t="s">
        <v>920</v>
      </c>
      <c r="Z35" t="s">
        <v>2603</v>
      </c>
      <c r="AA35" t="s">
        <v>51</v>
      </c>
      <c r="AB35" t="s">
        <v>51</v>
      </c>
      <c r="AD35" t="s">
        <v>920</v>
      </c>
      <c r="AE35" t="s">
        <v>1124</v>
      </c>
      <c r="AF35" t="s">
        <v>921</v>
      </c>
      <c r="AG35" t="s">
        <v>1633</v>
      </c>
      <c r="AI35" t="b">
        <v>1</v>
      </c>
      <c r="AJ35" t="s">
        <v>1497</v>
      </c>
      <c r="AK35" t="b">
        <v>1</v>
      </c>
    </row>
    <row r="36" spans="1:37" hidden="1" x14ac:dyDescent="0.3">
      <c r="A36" s="120" t="str">
        <f t="shared" si="1"/>
        <v>FUNDED_KS1NINFunded Pupil Numbers KS12025/26DEFAULT</v>
      </c>
      <c r="B36" s="85">
        <f>COUNTIF(Pupils_import[Column1],Pupils_import[[#This Row],[Column1]])-1</f>
        <v>0</v>
      </c>
      <c r="C36" s="80" cm="1">
        <f t="array" ref="C36">IF(_xlfn.XLOOKUP(Pupils_import[[#This Row],[FinanceCode]],FC_import[FinanceCode],FC_import[AvailableToAllSchools],1,0,)=TRUE,0,IF(ISERROR(FIND(Pupils_import[[#This Row],[SchoolCode]],_xlfn.TEXTJOIN(",",TRUE,_xlfn.UNIQUE(IF(FC_import[FinanceCode]=Pupils_import[[#This Row],[FinanceCode]],FC_import[SchoolCodes],""))))),1,0))</f>
        <v>0</v>
      </c>
      <c r="D36" s="85">
        <f>IF(COUNTIF(SCHOOLS[SchoolCode],Pupils_import[[#This Row],[SchoolCode]])&gt;0,0,1)</f>
        <v>0</v>
      </c>
      <c r="E36" s="85">
        <f>IF(COUNTIF(LEDGER[LedgerCode],Pupils_import[[#This Row],[LedgerCode]])&gt;0,0,1)</f>
        <v>0</v>
      </c>
      <c r="F36" s="85">
        <f>IF(ISBLANK(Pupils_import[[#This Row],[MonthProfileCode]]),1,IF(COUNTIF(MONTHPRF[Code],Pupils_import[[#This Row],[MonthProfileCode]])&gt;0,0,1))</f>
        <v>0</v>
      </c>
      <c r="G36" s="80" cm="1">
        <f t="array" ref="G36">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36" s="80" t="e" cm="1">
        <f t="array" ref="H36">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36" s="85">
        <f>IF(ISBLANK(Pupils_import[[#This Row],[YearValue]])=Pupils_import[[#This Row],[Calculated]],0,1)</f>
        <v>0</v>
      </c>
      <c r="J36" s="80">
        <f>IF(ISBLANK(Pupils_import[[#This Row],[CalculatorCode]]),0,IF(COUNTIF(Calculators[CalculatorCode],Pupils_import[[#This Row],[CalculatorCode]])&gt;0,0,1))</f>
        <v>0</v>
      </c>
      <c r="K36" s="80">
        <f>IF(TRIM(Pupils_import[[#This Row],[Description]])="",1,0)</f>
        <v>0</v>
      </c>
      <c r="L36" s="80">
        <f>IF(ISBLANK(Pupils_import[[#This Row],[MatEditOnly]]),1,0)</f>
        <v>0</v>
      </c>
      <c r="M36" s="80">
        <f>IF(ISBLANK(Pupils_import[[#This Row],[FinancialYearCode]]),1,0)</f>
        <v>0</v>
      </c>
      <c r="N36" s="80">
        <f>IF(ISBLANK(Pupils_import[[#This Row],[Calculated]]),1,0)</f>
        <v>0</v>
      </c>
      <c r="O36"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36" s="80">
        <f>IF(LEN(Pupils_import[[#This Row],[Description]])&lt;100,0,1)</f>
        <v>0</v>
      </c>
      <c r="Q36" s="80">
        <f>IF(LEN(Pupils_import[[#This Row],[Notes]])&lt;4000,0,1)</f>
        <v>0</v>
      </c>
      <c r="R36" s="80">
        <f>IF(LEN(Pupils_import[[#This Row],[YearNotes]])&lt;4000,0,1)</f>
        <v>0</v>
      </c>
      <c r="S36" s="80">
        <f>IF(OR(Pupils_import[[#This Row],[MatEditOnly]]=TRUE,Pupils_import[[#This Row],[MatEditOnly]]=FALSE),IF(OR(Pupils_import[[#This Row],[Calculated]]=TRUE,Pupils_import[[#This Row],[Calculated]]=FALSE),0,1),1)</f>
        <v>0</v>
      </c>
      <c r="T36" s="80">
        <f>IF(_xlfn.XLOOKUP(Pupils_import[[#This Row],[FinancialYearCode]],Years[Years],Years[Years],1)=Pupils_import[[#This Row],[FinancialYearCode]],0,1)</f>
        <v>0</v>
      </c>
      <c r="U36" s="80">
        <f>IF(Pupils_import[[#This Row],[CalculatorCode]]="",0,IF(IF(_xlfn.XLOOKUP(Pupils_import[[#This Row],[CalculatorCode]],Calculators[CalculatorCode],Calculators[LockCheck])=1,TRUE,FALSE)=Pupils_import[[#This Row],[MatEditOnly]],0,1))</f>
        <v>0</v>
      </c>
      <c r="V36" s="85" t="e">
        <f>SUM(Pupils_import[[#This Row],[DuplicateLine]:[MAT edit only required]])</f>
        <v>#N/A</v>
      </c>
      <c r="W36" s="80" t="str">
        <f>_xlfn.XLOOKUP(Pupils_import[[#This Row],[SchoolCode]],SCHOOLS[SchoolCode],SCHOOLS[Title])</f>
        <v>Netherton Infant and Nursery School</v>
      </c>
      <c r="Y36" t="s">
        <v>923</v>
      </c>
      <c r="Z36" t="s">
        <v>2603</v>
      </c>
      <c r="AA36" t="s">
        <v>51</v>
      </c>
      <c r="AB36" t="s">
        <v>51</v>
      </c>
      <c r="AD36" t="s">
        <v>923</v>
      </c>
      <c r="AE36" t="s">
        <v>1124</v>
      </c>
      <c r="AF36" t="s">
        <v>924</v>
      </c>
      <c r="AG36" t="s">
        <v>1634</v>
      </c>
      <c r="AI36" t="b">
        <v>1</v>
      </c>
      <c r="AJ36" t="s">
        <v>1497</v>
      </c>
      <c r="AK36" t="b">
        <v>1</v>
      </c>
    </row>
    <row r="37" spans="1:37" hidden="1" x14ac:dyDescent="0.3">
      <c r="A37" s="120" t="str">
        <f t="shared" si="1"/>
        <v>FUNDED_KS2NINFunded Pupil Numbers KS22025/26DEFAULT</v>
      </c>
      <c r="B37" s="85">
        <f>COUNTIF(Pupils_import[Column1],Pupils_import[[#This Row],[Column1]])-1</f>
        <v>0</v>
      </c>
      <c r="C37" s="80" cm="1">
        <f t="array" ref="C37">IF(_xlfn.XLOOKUP(Pupils_import[[#This Row],[FinanceCode]],FC_import[FinanceCode],FC_import[AvailableToAllSchools],1,0,)=TRUE,0,IF(ISERROR(FIND(Pupils_import[[#This Row],[SchoolCode]],_xlfn.TEXTJOIN(",",TRUE,_xlfn.UNIQUE(IF(FC_import[FinanceCode]=Pupils_import[[#This Row],[FinanceCode]],FC_import[SchoolCodes],""))))),1,0))</f>
        <v>0</v>
      </c>
      <c r="D37" s="85">
        <f>IF(COUNTIF(SCHOOLS[SchoolCode],Pupils_import[[#This Row],[SchoolCode]])&gt;0,0,1)</f>
        <v>0</v>
      </c>
      <c r="E37" s="85">
        <f>IF(COUNTIF(LEDGER[LedgerCode],Pupils_import[[#This Row],[LedgerCode]])&gt;0,0,1)</f>
        <v>0</v>
      </c>
      <c r="F37" s="85">
        <f>IF(ISBLANK(Pupils_import[[#This Row],[MonthProfileCode]]),1,IF(COUNTIF(MONTHPRF[Code],Pupils_import[[#This Row],[MonthProfileCode]])&gt;0,0,1))</f>
        <v>0</v>
      </c>
      <c r="G37" s="80" cm="1">
        <f t="array" ref="G37">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37" s="80" t="e" cm="1">
        <f t="array" ref="H37">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37" s="85">
        <f>IF(ISBLANK(Pupils_import[[#This Row],[YearValue]])=Pupils_import[[#This Row],[Calculated]],0,1)</f>
        <v>0</v>
      </c>
      <c r="J37" s="80">
        <f>IF(ISBLANK(Pupils_import[[#This Row],[CalculatorCode]]),0,IF(COUNTIF(Calculators[CalculatorCode],Pupils_import[[#This Row],[CalculatorCode]])&gt;0,0,1))</f>
        <v>0</v>
      </c>
      <c r="K37" s="80">
        <f>IF(TRIM(Pupils_import[[#This Row],[Description]])="",1,0)</f>
        <v>0</v>
      </c>
      <c r="L37" s="80">
        <f>IF(ISBLANK(Pupils_import[[#This Row],[MatEditOnly]]),1,0)</f>
        <v>0</v>
      </c>
      <c r="M37" s="80">
        <f>IF(ISBLANK(Pupils_import[[#This Row],[FinancialYearCode]]),1,0)</f>
        <v>0</v>
      </c>
      <c r="N37" s="80">
        <f>IF(ISBLANK(Pupils_import[[#This Row],[Calculated]]),1,0)</f>
        <v>0</v>
      </c>
      <c r="O37"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37" s="80">
        <f>IF(LEN(Pupils_import[[#This Row],[Description]])&lt;100,0,1)</f>
        <v>0</v>
      </c>
      <c r="Q37" s="80">
        <f>IF(LEN(Pupils_import[[#This Row],[Notes]])&lt;4000,0,1)</f>
        <v>0</v>
      </c>
      <c r="R37" s="80">
        <f>IF(LEN(Pupils_import[[#This Row],[YearNotes]])&lt;4000,0,1)</f>
        <v>0</v>
      </c>
      <c r="S37" s="80">
        <f>IF(OR(Pupils_import[[#This Row],[MatEditOnly]]=TRUE,Pupils_import[[#This Row],[MatEditOnly]]=FALSE),IF(OR(Pupils_import[[#This Row],[Calculated]]=TRUE,Pupils_import[[#This Row],[Calculated]]=FALSE),0,1),1)</f>
        <v>0</v>
      </c>
      <c r="T37" s="80">
        <f>IF(_xlfn.XLOOKUP(Pupils_import[[#This Row],[FinancialYearCode]],Years[Years],Years[Years],1)=Pupils_import[[#This Row],[FinancialYearCode]],0,1)</f>
        <v>0</v>
      </c>
      <c r="U37" s="80">
        <f>IF(Pupils_import[[#This Row],[CalculatorCode]]="",0,IF(IF(_xlfn.XLOOKUP(Pupils_import[[#This Row],[CalculatorCode]],Calculators[CalculatorCode],Calculators[LockCheck])=1,TRUE,FALSE)=Pupils_import[[#This Row],[MatEditOnly]],0,1))</f>
        <v>0</v>
      </c>
      <c r="V37" s="85" t="e">
        <f>SUM(Pupils_import[[#This Row],[DuplicateLine]:[MAT edit only required]])</f>
        <v>#N/A</v>
      </c>
      <c r="W37" s="80" t="str">
        <f>_xlfn.XLOOKUP(Pupils_import[[#This Row],[SchoolCode]],SCHOOLS[SchoolCode],SCHOOLS[Title])</f>
        <v>Netherton Infant and Nursery School</v>
      </c>
      <c r="Y37" t="s">
        <v>925</v>
      </c>
      <c r="Z37" t="s">
        <v>2603</v>
      </c>
      <c r="AA37" t="s">
        <v>51</v>
      </c>
      <c r="AB37" t="s">
        <v>51</v>
      </c>
      <c r="AD37" t="s">
        <v>925</v>
      </c>
      <c r="AE37" t="s">
        <v>1124</v>
      </c>
      <c r="AF37" t="s">
        <v>926</v>
      </c>
      <c r="AG37" t="s">
        <v>1635</v>
      </c>
      <c r="AI37" t="b">
        <v>1</v>
      </c>
      <c r="AJ37" t="s">
        <v>1497</v>
      </c>
      <c r="AK37" t="b">
        <v>1</v>
      </c>
    </row>
    <row r="38" spans="1:37" hidden="1" x14ac:dyDescent="0.3">
      <c r="A38" s="120" t="str">
        <f t="shared" si="1"/>
        <v>FUNDED_PRININFunded Pupil Numbers Primary Total2025/26DEFAULT</v>
      </c>
      <c r="B38" s="85">
        <f>COUNTIF(Pupils_import[Column1],Pupils_import[[#This Row],[Column1]])-1</f>
        <v>0</v>
      </c>
      <c r="C38" s="80" cm="1">
        <f t="array" ref="C38">IF(_xlfn.XLOOKUP(Pupils_import[[#This Row],[FinanceCode]],FC_import[FinanceCode],FC_import[AvailableToAllSchools],1,0,)=TRUE,0,IF(ISERROR(FIND(Pupils_import[[#This Row],[SchoolCode]],_xlfn.TEXTJOIN(",",TRUE,_xlfn.UNIQUE(IF(FC_import[FinanceCode]=Pupils_import[[#This Row],[FinanceCode]],FC_import[SchoolCodes],""))))),1,0))</f>
        <v>0</v>
      </c>
      <c r="D38" s="85">
        <f>IF(COUNTIF(SCHOOLS[SchoolCode],Pupils_import[[#This Row],[SchoolCode]])&gt;0,0,1)</f>
        <v>0</v>
      </c>
      <c r="E38" s="85">
        <f>IF(COUNTIF(LEDGER[LedgerCode],Pupils_import[[#This Row],[LedgerCode]])&gt;0,0,1)</f>
        <v>0</v>
      </c>
      <c r="F38" s="85">
        <f>IF(ISBLANK(Pupils_import[[#This Row],[MonthProfileCode]]),1,IF(COUNTIF(MONTHPRF[Code],Pupils_import[[#This Row],[MonthProfileCode]])&gt;0,0,1))</f>
        <v>0</v>
      </c>
      <c r="G38" s="80" cm="1">
        <f t="array" ref="G38">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38" s="80" t="e" cm="1">
        <f t="array" ref="H38">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38" s="85">
        <f>IF(ISBLANK(Pupils_import[[#This Row],[YearValue]])=Pupils_import[[#This Row],[Calculated]],0,1)</f>
        <v>0</v>
      </c>
      <c r="J38" s="80">
        <f>IF(ISBLANK(Pupils_import[[#This Row],[CalculatorCode]]),0,IF(COUNTIF(Calculators[CalculatorCode],Pupils_import[[#This Row],[CalculatorCode]])&gt;0,0,1))</f>
        <v>0</v>
      </c>
      <c r="K38" s="80">
        <f>IF(TRIM(Pupils_import[[#This Row],[Description]])="",1,0)</f>
        <v>0</v>
      </c>
      <c r="L38" s="80">
        <f>IF(ISBLANK(Pupils_import[[#This Row],[MatEditOnly]]),1,0)</f>
        <v>0</v>
      </c>
      <c r="M38" s="80">
        <f>IF(ISBLANK(Pupils_import[[#This Row],[FinancialYearCode]]),1,0)</f>
        <v>0</v>
      </c>
      <c r="N38" s="80">
        <f>IF(ISBLANK(Pupils_import[[#This Row],[Calculated]]),1,0)</f>
        <v>0</v>
      </c>
      <c r="O38"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38" s="80">
        <f>IF(LEN(Pupils_import[[#This Row],[Description]])&lt;100,0,1)</f>
        <v>0</v>
      </c>
      <c r="Q38" s="80">
        <f>IF(LEN(Pupils_import[[#This Row],[Notes]])&lt;4000,0,1)</f>
        <v>0</v>
      </c>
      <c r="R38" s="80">
        <f>IF(LEN(Pupils_import[[#This Row],[YearNotes]])&lt;4000,0,1)</f>
        <v>0</v>
      </c>
      <c r="S38" s="80">
        <f>IF(OR(Pupils_import[[#This Row],[MatEditOnly]]=TRUE,Pupils_import[[#This Row],[MatEditOnly]]=FALSE),IF(OR(Pupils_import[[#This Row],[Calculated]]=TRUE,Pupils_import[[#This Row],[Calculated]]=FALSE),0,1),1)</f>
        <v>0</v>
      </c>
      <c r="T38" s="80">
        <f>IF(_xlfn.XLOOKUP(Pupils_import[[#This Row],[FinancialYearCode]],Years[Years],Years[Years],1)=Pupils_import[[#This Row],[FinancialYearCode]],0,1)</f>
        <v>0</v>
      </c>
      <c r="U38" s="80">
        <f>IF(Pupils_import[[#This Row],[CalculatorCode]]="",0,IF(IF(_xlfn.XLOOKUP(Pupils_import[[#This Row],[CalculatorCode]],Calculators[CalculatorCode],Calculators[LockCheck])=1,TRUE,FALSE)=Pupils_import[[#This Row],[MatEditOnly]],0,1))</f>
        <v>0</v>
      </c>
      <c r="V38" s="85" t="e">
        <f>SUM(Pupils_import[[#This Row],[DuplicateLine]:[MAT edit only required]])</f>
        <v>#N/A</v>
      </c>
      <c r="W38" s="80" t="str">
        <f>_xlfn.XLOOKUP(Pupils_import[[#This Row],[SchoolCode]],SCHOOLS[SchoolCode],SCHOOLS[Title])</f>
        <v>Netherton Infant and Nursery School</v>
      </c>
      <c r="Y38" t="s">
        <v>1563</v>
      </c>
      <c r="Z38" t="s">
        <v>2603</v>
      </c>
      <c r="AA38" t="s">
        <v>51</v>
      </c>
      <c r="AB38" t="s">
        <v>51</v>
      </c>
      <c r="AD38" t="s">
        <v>1563</v>
      </c>
      <c r="AE38" t="s">
        <v>1124</v>
      </c>
      <c r="AF38" t="s">
        <v>1564</v>
      </c>
      <c r="AG38" t="s">
        <v>1643</v>
      </c>
      <c r="AI38" t="b">
        <v>1</v>
      </c>
      <c r="AJ38" t="s">
        <v>1497</v>
      </c>
      <c r="AK38" t="b">
        <v>1</v>
      </c>
    </row>
    <row r="39" spans="1:37" x14ac:dyDescent="0.3">
      <c r="A39" s="120" t="str">
        <f t="shared" si="1"/>
        <v>FUNDED_PRI_ADJNINFunding Statement Adjustment Primary2025/26DEFAULT</v>
      </c>
      <c r="B39" s="85">
        <f>COUNTIF(Pupils_import[Column1],Pupils_import[[#This Row],[Column1]])-1</f>
        <v>0</v>
      </c>
      <c r="C39" s="80" cm="1">
        <f t="array" ref="C39">IF(_xlfn.XLOOKUP(Pupils_import[[#This Row],[FinanceCode]],FC_import[FinanceCode],FC_import[AvailableToAllSchools],1,0,)=TRUE,0,IF(ISERROR(FIND(Pupils_import[[#This Row],[SchoolCode]],_xlfn.TEXTJOIN(",",TRUE,_xlfn.UNIQUE(IF(FC_import[FinanceCode]=Pupils_import[[#This Row],[FinanceCode]],FC_import[SchoolCodes],""))))),1,0))</f>
        <v>0</v>
      </c>
      <c r="D39" s="85">
        <f>IF(COUNTIF(SCHOOLS[SchoolCode],Pupils_import[[#This Row],[SchoolCode]])&gt;0,0,1)</f>
        <v>0</v>
      </c>
      <c r="E39" s="85">
        <f>IF(COUNTIF(LEDGER[LedgerCode],Pupils_import[[#This Row],[LedgerCode]])&gt;0,0,1)</f>
        <v>0</v>
      </c>
      <c r="F39" s="85">
        <f>IF(ISBLANK(Pupils_import[[#This Row],[MonthProfileCode]]),1,IF(COUNTIF(MONTHPRF[Code],Pupils_import[[#This Row],[MonthProfileCode]])&gt;0,0,1))</f>
        <v>0</v>
      </c>
      <c r="G39" s="80" cm="1">
        <f t="array" ref="G39">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39" s="80" t="e" cm="1">
        <f t="array" ref="H39">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39" s="85">
        <f>IF(ISBLANK(Pupils_import[[#This Row],[YearValue]])=Pupils_import[[#This Row],[Calculated]],0,1)</f>
        <v>0</v>
      </c>
      <c r="J39" s="80">
        <f>IF(ISBLANK(Pupils_import[[#This Row],[CalculatorCode]]),0,IF(COUNTIF(Calculators[CalculatorCode],Pupils_import[[#This Row],[CalculatorCode]])&gt;0,0,1))</f>
        <v>0</v>
      </c>
      <c r="K39" s="80">
        <f>IF(TRIM(Pupils_import[[#This Row],[Description]])="",1,0)</f>
        <v>0</v>
      </c>
      <c r="L39" s="80">
        <f>IF(ISBLANK(Pupils_import[[#This Row],[MatEditOnly]]),1,0)</f>
        <v>0</v>
      </c>
      <c r="M39" s="80">
        <f>IF(ISBLANK(Pupils_import[[#This Row],[FinancialYearCode]]),1,0)</f>
        <v>0</v>
      </c>
      <c r="N39" s="80">
        <f>IF(ISBLANK(Pupils_import[[#This Row],[Calculated]]),1,0)</f>
        <v>0</v>
      </c>
      <c r="O39"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39" s="80">
        <f>IF(LEN(Pupils_import[[#This Row],[Description]])&lt;100,0,1)</f>
        <v>0</v>
      </c>
      <c r="Q39" s="80">
        <f>IF(LEN(Pupils_import[[#This Row],[Notes]])&lt;4000,0,1)</f>
        <v>0</v>
      </c>
      <c r="R39" s="80">
        <f>IF(LEN(Pupils_import[[#This Row],[YearNotes]])&lt;4000,0,1)</f>
        <v>0</v>
      </c>
      <c r="S39" s="80">
        <f>IF(OR(Pupils_import[[#This Row],[MatEditOnly]]=TRUE,Pupils_import[[#This Row],[MatEditOnly]]=FALSE),IF(OR(Pupils_import[[#This Row],[Calculated]]=TRUE,Pupils_import[[#This Row],[Calculated]]=FALSE),0,1),1)</f>
        <v>0</v>
      </c>
      <c r="T39" s="80">
        <f>IF(_xlfn.XLOOKUP(Pupils_import[[#This Row],[FinancialYearCode]],Years[Years],Years[Years],1)=Pupils_import[[#This Row],[FinancialYearCode]],0,1)</f>
        <v>0</v>
      </c>
      <c r="U39" s="80">
        <f>IF(Pupils_import[[#This Row],[CalculatorCode]]="",0,IF(IF(_xlfn.XLOOKUP(Pupils_import[[#This Row],[CalculatorCode]],Calculators[CalculatorCode],Calculators[LockCheck])=1,TRUE,FALSE)=Pupils_import[[#This Row],[MatEditOnly]],0,1))</f>
        <v>0</v>
      </c>
      <c r="V39" s="85" t="e">
        <f>SUM(Pupils_import[[#This Row],[DuplicateLine]:[MAT edit only required]])</f>
        <v>#N/A</v>
      </c>
      <c r="W39" s="80" t="str">
        <f>_xlfn.XLOOKUP(Pupils_import[[#This Row],[SchoolCode]],SCHOOLS[SchoolCode],SCHOOLS[Title])</f>
        <v>Netherton Infant and Nursery School</v>
      </c>
      <c r="Y39" t="s">
        <v>1503</v>
      </c>
      <c r="Z39" t="s">
        <v>2603</v>
      </c>
      <c r="AA39" t="s">
        <v>51</v>
      </c>
      <c r="AB39" t="s">
        <v>51</v>
      </c>
      <c r="AE39" t="s">
        <v>1124</v>
      </c>
      <c r="AF39" t="s">
        <v>1507</v>
      </c>
      <c r="AG39" t="s">
        <v>1644</v>
      </c>
      <c r="AI39" t="b">
        <v>0</v>
      </c>
      <c r="AJ39" t="s">
        <v>1497</v>
      </c>
      <c r="AK39" t="b">
        <v>1</v>
      </c>
    </row>
    <row r="40" spans="1:37" hidden="1" x14ac:dyDescent="0.3">
      <c r="A40" s="120" t="str">
        <f t="shared" si="1"/>
        <v>FTE_KS5RVSFTE for Post 16 Pupils2025/26DEFAULT</v>
      </c>
      <c r="B40" s="85">
        <f>COUNTIF(Pupils_import[Column1],Pupils_import[[#This Row],[Column1]])-1</f>
        <v>0</v>
      </c>
      <c r="C40" s="80" cm="1">
        <f t="array" ref="C40">IF(_xlfn.XLOOKUP(Pupils_import[[#This Row],[FinanceCode]],FC_import[FinanceCode],FC_import[AvailableToAllSchools],1,0,)=TRUE,0,IF(ISERROR(FIND(Pupils_import[[#This Row],[SchoolCode]],_xlfn.TEXTJOIN(",",TRUE,_xlfn.UNIQUE(IF(FC_import[FinanceCode]=Pupils_import[[#This Row],[FinanceCode]],FC_import[SchoolCodes],""))))),1,0))</f>
        <v>1</v>
      </c>
      <c r="D40" s="85">
        <f>IF(COUNTIF(SCHOOLS[SchoolCode],Pupils_import[[#This Row],[SchoolCode]])&gt;0,0,1)</f>
        <v>0</v>
      </c>
      <c r="E40" s="85">
        <f>IF(COUNTIF(LEDGER[LedgerCode],Pupils_import[[#This Row],[LedgerCode]])&gt;0,0,1)</f>
        <v>0</v>
      </c>
      <c r="F40" s="85">
        <f>IF(ISBLANK(Pupils_import[[#This Row],[MonthProfileCode]]),1,IF(COUNTIF(MONTHPRF[Code],Pupils_import[[#This Row],[MonthProfileCode]])&gt;0,0,1))</f>
        <v>0</v>
      </c>
      <c r="G40" s="80" cm="1">
        <f t="array" ref="G40">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40" s="80" t="e" cm="1">
        <f t="array" ref="H40">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40" s="85">
        <f>IF(ISBLANK(Pupils_import[[#This Row],[YearValue]])=Pupils_import[[#This Row],[Calculated]],0,1)</f>
        <v>0</v>
      </c>
      <c r="J40" s="80">
        <f>IF(ISBLANK(Pupils_import[[#This Row],[CalculatorCode]]),0,IF(COUNTIF(Calculators[CalculatorCode],Pupils_import[[#This Row],[CalculatorCode]])&gt;0,0,1))</f>
        <v>1</v>
      </c>
      <c r="K40" s="80">
        <f>IF(TRIM(Pupils_import[[#This Row],[Description]])="",1,0)</f>
        <v>0</v>
      </c>
      <c r="L40" s="80">
        <f>IF(ISBLANK(Pupils_import[[#This Row],[MatEditOnly]]),1,0)</f>
        <v>0</v>
      </c>
      <c r="M40" s="80">
        <f>IF(ISBLANK(Pupils_import[[#This Row],[FinancialYearCode]]),1,0)</f>
        <v>0</v>
      </c>
      <c r="N40" s="80">
        <f>IF(ISBLANK(Pupils_import[[#This Row],[Calculated]]),1,0)</f>
        <v>0</v>
      </c>
      <c r="O40"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40" s="80">
        <f>IF(LEN(Pupils_import[[#This Row],[Description]])&lt;100,0,1)</f>
        <v>0</v>
      </c>
      <c r="Q40" s="80">
        <f>IF(LEN(Pupils_import[[#This Row],[Notes]])&lt;4000,0,1)</f>
        <v>0</v>
      </c>
      <c r="R40" s="80">
        <f>IF(LEN(Pupils_import[[#This Row],[YearNotes]])&lt;4000,0,1)</f>
        <v>0</v>
      </c>
      <c r="S40" s="80">
        <f>IF(OR(Pupils_import[[#This Row],[MatEditOnly]]=TRUE,Pupils_import[[#This Row],[MatEditOnly]]=FALSE),IF(OR(Pupils_import[[#This Row],[Calculated]]=TRUE,Pupils_import[[#This Row],[Calculated]]=FALSE),0,1),1)</f>
        <v>0</v>
      </c>
      <c r="T40" s="80">
        <f>IF(_xlfn.XLOOKUP(Pupils_import[[#This Row],[FinancialYearCode]],Years[Years],Years[Years],1)=Pupils_import[[#This Row],[FinancialYearCode]],0,1)</f>
        <v>0</v>
      </c>
      <c r="U40" s="80" t="e">
        <f>IF(Pupils_import[[#This Row],[CalculatorCode]]="",0,IF(IF(_xlfn.XLOOKUP(Pupils_import[[#This Row],[CalculatorCode]],Calculators[CalculatorCode],Calculators[LockCheck])=1,TRUE,FALSE)=Pupils_import[[#This Row],[MatEditOnly]],0,1))</f>
        <v>#N/A</v>
      </c>
      <c r="V40" s="85" t="e">
        <f>SUM(Pupils_import[[#This Row],[DuplicateLine]:[MAT edit only required]])</f>
        <v>#N/A</v>
      </c>
      <c r="W40" s="80" t="str">
        <f>_xlfn.XLOOKUP(Pupils_import[[#This Row],[SchoolCode]],SCHOOLS[SchoolCode],SCHOOLS[Title])</f>
        <v>Ryburn Valley High School</v>
      </c>
      <c r="Y40" t="s">
        <v>2001</v>
      </c>
      <c r="Z40" t="s">
        <v>2605</v>
      </c>
      <c r="AA40" t="s">
        <v>51</v>
      </c>
      <c r="AB40" t="s">
        <v>51</v>
      </c>
      <c r="AD40" t="s">
        <v>2001</v>
      </c>
      <c r="AE40" t="s">
        <v>1124</v>
      </c>
      <c r="AF40" t="s">
        <v>2002</v>
      </c>
      <c r="AG40" t="s">
        <v>2035</v>
      </c>
      <c r="AI40" t="b">
        <v>0</v>
      </c>
      <c r="AJ40" t="s">
        <v>1497</v>
      </c>
      <c r="AK40" t="b">
        <v>1</v>
      </c>
    </row>
    <row r="41" spans="1:37" hidden="1" x14ac:dyDescent="0.3">
      <c r="A41" s="120" t="str">
        <f t="shared" si="1"/>
        <v>FUNDED_KS3RVSFunded Pupil Numbers KS32025/26DEFAULT</v>
      </c>
      <c r="B41" s="85">
        <f>COUNTIF(Pupils_import[Column1],Pupils_import[[#This Row],[Column1]])-1</f>
        <v>0</v>
      </c>
      <c r="C41" s="80" cm="1">
        <f t="array" ref="C41">IF(_xlfn.XLOOKUP(Pupils_import[[#This Row],[FinanceCode]],FC_import[FinanceCode],FC_import[AvailableToAllSchools],1,0,)=TRUE,0,IF(ISERROR(FIND(Pupils_import[[#This Row],[SchoolCode]],_xlfn.TEXTJOIN(",",TRUE,_xlfn.UNIQUE(IF(FC_import[FinanceCode]=Pupils_import[[#This Row],[FinanceCode]],FC_import[SchoolCodes],""))))),1,0))</f>
        <v>1</v>
      </c>
      <c r="D41" s="85">
        <f>IF(COUNTIF(SCHOOLS[SchoolCode],Pupils_import[[#This Row],[SchoolCode]])&gt;0,0,1)</f>
        <v>0</v>
      </c>
      <c r="E41" s="85">
        <f>IF(COUNTIF(LEDGER[LedgerCode],Pupils_import[[#This Row],[LedgerCode]])&gt;0,0,1)</f>
        <v>0</v>
      </c>
      <c r="F41" s="85">
        <f>IF(ISBLANK(Pupils_import[[#This Row],[MonthProfileCode]]),1,IF(COUNTIF(MONTHPRF[Code],Pupils_import[[#This Row],[MonthProfileCode]])&gt;0,0,1))</f>
        <v>0</v>
      </c>
      <c r="G41" s="80" cm="1">
        <f t="array" ref="G41">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41" s="80" t="e" cm="1">
        <f t="array" ref="H41">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41" s="85">
        <f>IF(ISBLANK(Pupils_import[[#This Row],[YearValue]])=Pupils_import[[#This Row],[Calculated]],0,1)</f>
        <v>0</v>
      </c>
      <c r="J41" s="80">
        <f>IF(ISBLANK(Pupils_import[[#This Row],[CalculatorCode]]),0,IF(COUNTIF(Calculators[CalculatorCode],Pupils_import[[#This Row],[CalculatorCode]])&gt;0,0,1))</f>
        <v>1</v>
      </c>
      <c r="K41" s="80">
        <f>IF(TRIM(Pupils_import[[#This Row],[Description]])="",1,0)</f>
        <v>0</v>
      </c>
      <c r="L41" s="80">
        <f>IF(ISBLANK(Pupils_import[[#This Row],[MatEditOnly]]),1,0)</f>
        <v>0</v>
      </c>
      <c r="M41" s="80">
        <f>IF(ISBLANK(Pupils_import[[#This Row],[FinancialYearCode]]),1,0)</f>
        <v>0</v>
      </c>
      <c r="N41" s="80">
        <f>IF(ISBLANK(Pupils_import[[#This Row],[Calculated]]),1,0)</f>
        <v>0</v>
      </c>
      <c r="O41"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41" s="80">
        <f>IF(LEN(Pupils_import[[#This Row],[Description]])&lt;100,0,1)</f>
        <v>0</v>
      </c>
      <c r="Q41" s="80">
        <f>IF(LEN(Pupils_import[[#This Row],[Notes]])&lt;4000,0,1)</f>
        <v>0</v>
      </c>
      <c r="R41" s="80">
        <f>IF(LEN(Pupils_import[[#This Row],[YearNotes]])&lt;4000,0,1)</f>
        <v>0</v>
      </c>
      <c r="S41" s="80">
        <f>IF(OR(Pupils_import[[#This Row],[MatEditOnly]]=TRUE,Pupils_import[[#This Row],[MatEditOnly]]=FALSE),IF(OR(Pupils_import[[#This Row],[Calculated]]=TRUE,Pupils_import[[#This Row],[Calculated]]=FALSE),0,1),1)</f>
        <v>0</v>
      </c>
      <c r="T41" s="80">
        <f>IF(_xlfn.XLOOKUP(Pupils_import[[#This Row],[FinancialYearCode]],Years[Years],Years[Years],1)=Pupils_import[[#This Row],[FinancialYearCode]],0,1)</f>
        <v>0</v>
      </c>
      <c r="U41" s="80" t="e">
        <f>IF(Pupils_import[[#This Row],[CalculatorCode]]="",0,IF(IF(_xlfn.XLOOKUP(Pupils_import[[#This Row],[CalculatorCode]],Calculators[CalculatorCode],Calculators[LockCheck])=1,TRUE,FALSE)=Pupils_import[[#This Row],[MatEditOnly]],0,1))</f>
        <v>#N/A</v>
      </c>
      <c r="V41" s="85" t="e">
        <f>SUM(Pupils_import[[#This Row],[DuplicateLine]:[MAT edit only required]])</f>
        <v>#N/A</v>
      </c>
      <c r="W41" s="80" t="str">
        <f>_xlfn.XLOOKUP(Pupils_import[[#This Row],[SchoolCode]],SCHOOLS[SchoolCode],SCHOOLS[Title])</f>
        <v>Ryburn Valley High School</v>
      </c>
      <c r="Y41" t="s">
        <v>927</v>
      </c>
      <c r="Z41" t="s">
        <v>2605</v>
      </c>
      <c r="AA41" t="s">
        <v>51</v>
      </c>
      <c r="AB41" t="s">
        <v>51</v>
      </c>
      <c r="AD41" t="s">
        <v>927</v>
      </c>
      <c r="AE41" t="s">
        <v>1124</v>
      </c>
      <c r="AF41" t="s">
        <v>928</v>
      </c>
      <c r="AG41" t="s">
        <v>1636</v>
      </c>
      <c r="AI41" t="b">
        <v>1</v>
      </c>
      <c r="AJ41" t="s">
        <v>1497</v>
      </c>
      <c r="AK41" t="b">
        <v>1</v>
      </c>
    </row>
    <row r="42" spans="1:37" x14ac:dyDescent="0.3">
      <c r="A42" s="120" t="str">
        <f t="shared" si="1"/>
        <v>FUNDED_KS3_ADJRVSFunding Statement Adjustment KS32025/26DEFAULT</v>
      </c>
      <c r="B42" s="85">
        <f>COUNTIF(Pupils_import[Column1],Pupils_import[[#This Row],[Column1]])-1</f>
        <v>0</v>
      </c>
      <c r="C42" s="80" cm="1">
        <f t="array" ref="C42">IF(_xlfn.XLOOKUP(Pupils_import[[#This Row],[FinanceCode]],FC_import[FinanceCode],FC_import[AvailableToAllSchools],1,0,)=TRUE,0,IF(ISERROR(FIND(Pupils_import[[#This Row],[SchoolCode]],_xlfn.TEXTJOIN(",",TRUE,_xlfn.UNIQUE(IF(FC_import[FinanceCode]=Pupils_import[[#This Row],[FinanceCode]],FC_import[SchoolCodes],""))))),1,0))</f>
        <v>1</v>
      </c>
      <c r="D42" s="85">
        <f>IF(COUNTIF(SCHOOLS[SchoolCode],Pupils_import[[#This Row],[SchoolCode]])&gt;0,0,1)</f>
        <v>0</v>
      </c>
      <c r="E42" s="85">
        <f>IF(COUNTIF(LEDGER[LedgerCode],Pupils_import[[#This Row],[LedgerCode]])&gt;0,0,1)</f>
        <v>0</v>
      </c>
      <c r="F42" s="85">
        <f>IF(ISBLANK(Pupils_import[[#This Row],[MonthProfileCode]]),1,IF(COUNTIF(MONTHPRF[Code],Pupils_import[[#This Row],[MonthProfileCode]])&gt;0,0,1))</f>
        <v>0</v>
      </c>
      <c r="G42" s="80" cm="1">
        <f t="array" ref="G42">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42" s="80" t="e" cm="1">
        <f t="array" ref="H42">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42" s="85">
        <f>IF(ISBLANK(Pupils_import[[#This Row],[YearValue]])=Pupils_import[[#This Row],[Calculated]],0,1)</f>
        <v>0</v>
      </c>
      <c r="J42" s="80">
        <f>IF(ISBLANK(Pupils_import[[#This Row],[CalculatorCode]]),0,IF(COUNTIF(Calculators[CalculatorCode],Pupils_import[[#This Row],[CalculatorCode]])&gt;0,0,1))</f>
        <v>0</v>
      </c>
      <c r="K42" s="80">
        <f>IF(TRIM(Pupils_import[[#This Row],[Description]])="",1,0)</f>
        <v>0</v>
      </c>
      <c r="L42" s="80">
        <f>IF(ISBLANK(Pupils_import[[#This Row],[MatEditOnly]]),1,0)</f>
        <v>0</v>
      </c>
      <c r="M42" s="80">
        <f>IF(ISBLANK(Pupils_import[[#This Row],[FinancialYearCode]]),1,0)</f>
        <v>0</v>
      </c>
      <c r="N42" s="80">
        <f>IF(ISBLANK(Pupils_import[[#This Row],[Calculated]]),1,0)</f>
        <v>0</v>
      </c>
      <c r="O42"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42" s="80">
        <f>IF(LEN(Pupils_import[[#This Row],[Description]])&lt;100,0,1)</f>
        <v>0</v>
      </c>
      <c r="Q42" s="80">
        <f>IF(LEN(Pupils_import[[#This Row],[Notes]])&lt;4000,0,1)</f>
        <v>0</v>
      </c>
      <c r="R42" s="80">
        <f>IF(LEN(Pupils_import[[#This Row],[YearNotes]])&lt;4000,0,1)</f>
        <v>0</v>
      </c>
      <c r="S42" s="80">
        <f>IF(OR(Pupils_import[[#This Row],[MatEditOnly]]=TRUE,Pupils_import[[#This Row],[MatEditOnly]]=FALSE),IF(OR(Pupils_import[[#This Row],[Calculated]]=TRUE,Pupils_import[[#This Row],[Calculated]]=FALSE),0,1),1)</f>
        <v>0</v>
      </c>
      <c r="T42" s="80">
        <f>IF(_xlfn.XLOOKUP(Pupils_import[[#This Row],[FinancialYearCode]],Years[Years],Years[Years],1)=Pupils_import[[#This Row],[FinancialYearCode]],0,1)</f>
        <v>0</v>
      </c>
      <c r="U42" s="80">
        <f>IF(Pupils_import[[#This Row],[CalculatorCode]]="",0,IF(IF(_xlfn.XLOOKUP(Pupils_import[[#This Row],[CalculatorCode]],Calculators[CalculatorCode],Calculators[LockCheck])=1,TRUE,FALSE)=Pupils_import[[#This Row],[MatEditOnly]],0,1))</f>
        <v>0</v>
      </c>
      <c r="V42" s="85" t="e">
        <f>SUM(Pupils_import[[#This Row],[DuplicateLine]:[MAT edit only required]])</f>
        <v>#N/A</v>
      </c>
      <c r="W42" s="80" t="str">
        <f>_xlfn.XLOOKUP(Pupils_import[[#This Row],[SchoolCode]],SCHOOLS[SchoolCode],SCHOOLS[Title])</f>
        <v>Ryburn Valley High School</v>
      </c>
      <c r="Y42" t="s">
        <v>1504</v>
      </c>
      <c r="Z42" t="s">
        <v>2605</v>
      </c>
      <c r="AA42" t="s">
        <v>51</v>
      </c>
      <c r="AB42" t="s">
        <v>51</v>
      </c>
      <c r="AE42" t="s">
        <v>1124</v>
      </c>
      <c r="AF42" t="s">
        <v>1508</v>
      </c>
      <c r="AG42" t="s">
        <v>1637</v>
      </c>
      <c r="AI42" t="b">
        <v>0</v>
      </c>
      <c r="AJ42" t="s">
        <v>1497</v>
      </c>
      <c r="AK42" t="b">
        <v>1</v>
      </c>
    </row>
    <row r="43" spans="1:37" hidden="1" x14ac:dyDescent="0.3">
      <c r="A43" s="120" t="str">
        <f t="shared" si="1"/>
        <v>FUNDED_KS4RVSFunded Pupil Numbers KS42025/26DEFAULT</v>
      </c>
      <c r="B43" s="85">
        <f>COUNTIF(Pupils_import[Column1],Pupils_import[[#This Row],[Column1]])-1</f>
        <v>0</v>
      </c>
      <c r="C43" s="80" cm="1">
        <f t="array" ref="C43">IF(_xlfn.XLOOKUP(Pupils_import[[#This Row],[FinanceCode]],FC_import[FinanceCode],FC_import[AvailableToAllSchools],1,0,)=TRUE,0,IF(ISERROR(FIND(Pupils_import[[#This Row],[SchoolCode]],_xlfn.TEXTJOIN(",",TRUE,_xlfn.UNIQUE(IF(FC_import[FinanceCode]=Pupils_import[[#This Row],[FinanceCode]],FC_import[SchoolCodes],""))))),1,0))</f>
        <v>1</v>
      </c>
      <c r="D43" s="85">
        <f>IF(COUNTIF(SCHOOLS[SchoolCode],Pupils_import[[#This Row],[SchoolCode]])&gt;0,0,1)</f>
        <v>0</v>
      </c>
      <c r="E43" s="85">
        <f>IF(COUNTIF(LEDGER[LedgerCode],Pupils_import[[#This Row],[LedgerCode]])&gt;0,0,1)</f>
        <v>0</v>
      </c>
      <c r="F43" s="85">
        <f>IF(ISBLANK(Pupils_import[[#This Row],[MonthProfileCode]]),1,IF(COUNTIF(MONTHPRF[Code],Pupils_import[[#This Row],[MonthProfileCode]])&gt;0,0,1))</f>
        <v>0</v>
      </c>
      <c r="G43" s="80" cm="1">
        <f t="array" ref="G43">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43" s="80" t="e" cm="1">
        <f t="array" ref="H43">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43" s="85">
        <f>IF(ISBLANK(Pupils_import[[#This Row],[YearValue]])=Pupils_import[[#This Row],[Calculated]],0,1)</f>
        <v>0</v>
      </c>
      <c r="J43" s="80">
        <f>IF(ISBLANK(Pupils_import[[#This Row],[CalculatorCode]]),0,IF(COUNTIF(Calculators[CalculatorCode],Pupils_import[[#This Row],[CalculatorCode]])&gt;0,0,1))</f>
        <v>1</v>
      </c>
      <c r="K43" s="80">
        <f>IF(TRIM(Pupils_import[[#This Row],[Description]])="",1,0)</f>
        <v>0</v>
      </c>
      <c r="L43" s="80">
        <f>IF(ISBLANK(Pupils_import[[#This Row],[MatEditOnly]]),1,0)</f>
        <v>0</v>
      </c>
      <c r="M43" s="80">
        <f>IF(ISBLANK(Pupils_import[[#This Row],[FinancialYearCode]]),1,0)</f>
        <v>0</v>
      </c>
      <c r="N43" s="80">
        <f>IF(ISBLANK(Pupils_import[[#This Row],[Calculated]]),1,0)</f>
        <v>0</v>
      </c>
      <c r="O43"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43" s="80">
        <f>IF(LEN(Pupils_import[[#This Row],[Description]])&lt;100,0,1)</f>
        <v>0</v>
      </c>
      <c r="Q43" s="80">
        <f>IF(LEN(Pupils_import[[#This Row],[Notes]])&lt;4000,0,1)</f>
        <v>0</v>
      </c>
      <c r="R43" s="80">
        <f>IF(LEN(Pupils_import[[#This Row],[YearNotes]])&lt;4000,0,1)</f>
        <v>0</v>
      </c>
      <c r="S43" s="80">
        <f>IF(OR(Pupils_import[[#This Row],[MatEditOnly]]=TRUE,Pupils_import[[#This Row],[MatEditOnly]]=FALSE),IF(OR(Pupils_import[[#This Row],[Calculated]]=TRUE,Pupils_import[[#This Row],[Calculated]]=FALSE),0,1),1)</f>
        <v>0</v>
      </c>
      <c r="T43" s="80">
        <f>IF(_xlfn.XLOOKUP(Pupils_import[[#This Row],[FinancialYearCode]],Years[Years],Years[Years],1)=Pupils_import[[#This Row],[FinancialYearCode]],0,1)</f>
        <v>0</v>
      </c>
      <c r="U43" s="80" t="e">
        <f>IF(Pupils_import[[#This Row],[CalculatorCode]]="",0,IF(IF(_xlfn.XLOOKUP(Pupils_import[[#This Row],[CalculatorCode]],Calculators[CalculatorCode],Calculators[LockCheck])=1,TRUE,FALSE)=Pupils_import[[#This Row],[MatEditOnly]],0,1))</f>
        <v>#N/A</v>
      </c>
      <c r="V43" s="85" t="e">
        <f>SUM(Pupils_import[[#This Row],[DuplicateLine]:[MAT edit only required]])</f>
        <v>#N/A</v>
      </c>
      <c r="W43" s="80" t="str">
        <f>_xlfn.XLOOKUP(Pupils_import[[#This Row],[SchoolCode]],SCHOOLS[SchoolCode],SCHOOLS[Title])</f>
        <v>Ryburn Valley High School</v>
      </c>
      <c r="Y43" t="s">
        <v>929</v>
      </c>
      <c r="Z43" t="s">
        <v>2605</v>
      </c>
      <c r="AA43" t="s">
        <v>51</v>
      </c>
      <c r="AB43" t="s">
        <v>51</v>
      </c>
      <c r="AD43" t="s">
        <v>929</v>
      </c>
      <c r="AE43" t="s">
        <v>1124</v>
      </c>
      <c r="AF43" t="s">
        <v>930</v>
      </c>
      <c r="AG43" t="s">
        <v>1638</v>
      </c>
      <c r="AI43" t="b">
        <v>1</v>
      </c>
      <c r="AJ43" t="s">
        <v>1497</v>
      </c>
      <c r="AK43" t="b">
        <v>1</v>
      </c>
    </row>
    <row r="44" spans="1:37" x14ac:dyDescent="0.3">
      <c r="A44" s="120" t="str">
        <f t="shared" si="1"/>
        <v>FUNDED_KS4_ADJRVSFunding Statement Adjustment KS42025/26DEFAULT</v>
      </c>
      <c r="B44" s="85">
        <f>COUNTIF(Pupils_import[Column1],Pupils_import[[#This Row],[Column1]])-1</f>
        <v>0</v>
      </c>
      <c r="C44" s="80" cm="1">
        <f t="array" ref="C44">IF(_xlfn.XLOOKUP(Pupils_import[[#This Row],[FinanceCode]],FC_import[FinanceCode],FC_import[AvailableToAllSchools],1,0,)=TRUE,0,IF(ISERROR(FIND(Pupils_import[[#This Row],[SchoolCode]],_xlfn.TEXTJOIN(",",TRUE,_xlfn.UNIQUE(IF(FC_import[FinanceCode]=Pupils_import[[#This Row],[FinanceCode]],FC_import[SchoolCodes],""))))),1,0))</f>
        <v>1</v>
      </c>
      <c r="D44" s="85">
        <f>IF(COUNTIF(SCHOOLS[SchoolCode],Pupils_import[[#This Row],[SchoolCode]])&gt;0,0,1)</f>
        <v>0</v>
      </c>
      <c r="E44" s="85">
        <f>IF(COUNTIF(LEDGER[LedgerCode],Pupils_import[[#This Row],[LedgerCode]])&gt;0,0,1)</f>
        <v>0</v>
      </c>
      <c r="F44" s="85">
        <f>IF(ISBLANK(Pupils_import[[#This Row],[MonthProfileCode]]),1,IF(COUNTIF(MONTHPRF[Code],Pupils_import[[#This Row],[MonthProfileCode]])&gt;0,0,1))</f>
        <v>0</v>
      </c>
      <c r="G44" s="80" cm="1">
        <f t="array" ref="G44">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44" s="80" t="e" cm="1">
        <f t="array" ref="H44">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44" s="85">
        <f>IF(ISBLANK(Pupils_import[[#This Row],[YearValue]])=Pupils_import[[#This Row],[Calculated]],0,1)</f>
        <v>0</v>
      </c>
      <c r="J44" s="80">
        <f>IF(ISBLANK(Pupils_import[[#This Row],[CalculatorCode]]),0,IF(COUNTIF(Calculators[CalculatorCode],Pupils_import[[#This Row],[CalculatorCode]])&gt;0,0,1))</f>
        <v>0</v>
      </c>
      <c r="K44" s="80">
        <f>IF(TRIM(Pupils_import[[#This Row],[Description]])="",1,0)</f>
        <v>0</v>
      </c>
      <c r="L44" s="80">
        <f>IF(ISBLANK(Pupils_import[[#This Row],[MatEditOnly]]),1,0)</f>
        <v>0</v>
      </c>
      <c r="M44" s="80">
        <f>IF(ISBLANK(Pupils_import[[#This Row],[FinancialYearCode]]),1,0)</f>
        <v>0</v>
      </c>
      <c r="N44" s="80">
        <f>IF(ISBLANK(Pupils_import[[#This Row],[Calculated]]),1,0)</f>
        <v>0</v>
      </c>
      <c r="O44"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44" s="80">
        <f>IF(LEN(Pupils_import[[#This Row],[Description]])&lt;100,0,1)</f>
        <v>0</v>
      </c>
      <c r="Q44" s="80">
        <f>IF(LEN(Pupils_import[[#This Row],[Notes]])&lt;4000,0,1)</f>
        <v>0</v>
      </c>
      <c r="R44" s="80">
        <f>IF(LEN(Pupils_import[[#This Row],[YearNotes]])&lt;4000,0,1)</f>
        <v>0</v>
      </c>
      <c r="S44" s="80">
        <f>IF(OR(Pupils_import[[#This Row],[MatEditOnly]]=TRUE,Pupils_import[[#This Row],[MatEditOnly]]=FALSE),IF(OR(Pupils_import[[#This Row],[Calculated]]=TRUE,Pupils_import[[#This Row],[Calculated]]=FALSE),0,1),1)</f>
        <v>0</v>
      </c>
      <c r="T44" s="80">
        <f>IF(_xlfn.XLOOKUP(Pupils_import[[#This Row],[FinancialYearCode]],Years[Years],Years[Years],1)=Pupils_import[[#This Row],[FinancialYearCode]],0,1)</f>
        <v>0</v>
      </c>
      <c r="U44" s="80">
        <f>IF(Pupils_import[[#This Row],[CalculatorCode]]="",0,IF(IF(_xlfn.XLOOKUP(Pupils_import[[#This Row],[CalculatorCode]],Calculators[CalculatorCode],Calculators[LockCheck])=1,TRUE,FALSE)=Pupils_import[[#This Row],[MatEditOnly]],0,1))</f>
        <v>0</v>
      </c>
      <c r="V44" s="85" t="e">
        <f>SUM(Pupils_import[[#This Row],[DuplicateLine]:[MAT edit only required]])</f>
        <v>#N/A</v>
      </c>
      <c r="W44" s="80" t="str">
        <f>_xlfn.XLOOKUP(Pupils_import[[#This Row],[SchoolCode]],SCHOOLS[SchoolCode],SCHOOLS[Title])</f>
        <v>Ryburn Valley High School</v>
      </c>
      <c r="Y44" t="s">
        <v>1505</v>
      </c>
      <c r="Z44" t="s">
        <v>2605</v>
      </c>
      <c r="AA44" t="s">
        <v>51</v>
      </c>
      <c r="AB44" t="s">
        <v>51</v>
      </c>
      <c r="AE44" t="s">
        <v>1124</v>
      </c>
      <c r="AF44" t="s">
        <v>1510</v>
      </c>
      <c r="AG44" t="s">
        <v>1639</v>
      </c>
      <c r="AI44" t="b">
        <v>0</v>
      </c>
      <c r="AJ44" t="s">
        <v>1497</v>
      </c>
      <c r="AK44" t="b">
        <v>1</v>
      </c>
    </row>
    <row r="45" spans="1:37" hidden="1" x14ac:dyDescent="0.3">
      <c r="A45" s="120" t="str">
        <f t="shared" si="1"/>
        <v>FUNDED_KS5RVSFunded Pupil Numbers KS52025/26DEFAULT</v>
      </c>
      <c r="B45" s="85">
        <f>COUNTIF(Pupils_import[Column1],Pupils_import[[#This Row],[Column1]])-1</f>
        <v>0</v>
      </c>
      <c r="C45" s="80" cm="1">
        <f t="array" ref="C45">IF(_xlfn.XLOOKUP(Pupils_import[[#This Row],[FinanceCode]],FC_import[FinanceCode],FC_import[AvailableToAllSchools],1,0,)=TRUE,0,IF(ISERROR(FIND(Pupils_import[[#This Row],[SchoolCode]],_xlfn.TEXTJOIN(",",TRUE,_xlfn.UNIQUE(IF(FC_import[FinanceCode]=Pupils_import[[#This Row],[FinanceCode]],FC_import[SchoolCodes],""))))),1,0))</f>
        <v>1</v>
      </c>
      <c r="D45" s="85">
        <f>IF(COUNTIF(SCHOOLS[SchoolCode],Pupils_import[[#This Row],[SchoolCode]])&gt;0,0,1)</f>
        <v>0</v>
      </c>
      <c r="E45" s="85">
        <f>IF(COUNTIF(LEDGER[LedgerCode],Pupils_import[[#This Row],[LedgerCode]])&gt;0,0,1)</f>
        <v>0</v>
      </c>
      <c r="F45" s="85">
        <f>IF(ISBLANK(Pupils_import[[#This Row],[MonthProfileCode]]),1,IF(COUNTIF(MONTHPRF[Code],Pupils_import[[#This Row],[MonthProfileCode]])&gt;0,0,1))</f>
        <v>0</v>
      </c>
      <c r="G45" s="80" cm="1">
        <f t="array" ref="G45">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45" s="80" t="e" cm="1">
        <f t="array" ref="H45">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45" s="85">
        <f>IF(ISBLANK(Pupils_import[[#This Row],[YearValue]])=Pupils_import[[#This Row],[Calculated]],0,1)</f>
        <v>0</v>
      </c>
      <c r="J45" s="80">
        <f>IF(ISBLANK(Pupils_import[[#This Row],[CalculatorCode]]),0,IF(COUNTIF(Calculators[CalculatorCode],Pupils_import[[#This Row],[CalculatorCode]])&gt;0,0,1))</f>
        <v>1</v>
      </c>
      <c r="K45" s="80">
        <f>IF(TRIM(Pupils_import[[#This Row],[Description]])="",1,0)</f>
        <v>0</v>
      </c>
      <c r="L45" s="80">
        <f>IF(ISBLANK(Pupils_import[[#This Row],[MatEditOnly]]),1,0)</f>
        <v>0</v>
      </c>
      <c r="M45" s="80">
        <f>IF(ISBLANK(Pupils_import[[#This Row],[FinancialYearCode]]),1,0)</f>
        <v>0</v>
      </c>
      <c r="N45" s="80">
        <f>IF(ISBLANK(Pupils_import[[#This Row],[Calculated]]),1,0)</f>
        <v>0</v>
      </c>
      <c r="O45"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45" s="80">
        <f>IF(LEN(Pupils_import[[#This Row],[Description]])&lt;100,0,1)</f>
        <v>0</v>
      </c>
      <c r="Q45" s="80">
        <f>IF(LEN(Pupils_import[[#This Row],[Notes]])&lt;4000,0,1)</f>
        <v>0</v>
      </c>
      <c r="R45" s="80">
        <f>IF(LEN(Pupils_import[[#This Row],[YearNotes]])&lt;4000,0,1)</f>
        <v>0</v>
      </c>
      <c r="S45" s="80">
        <f>IF(OR(Pupils_import[[#This Row],[MatEditOnly]]=TRUE,Pupils_import[[#This Row],[MatEditOnly]]=FALSE),IF(OR(Pupils_import[[#This Row],[Calculated]]=TRUE,Pupils_import[[#This Row],[Calculated]]=FALSE),0,1),1)</f>
        <v>0</v>
      </c>
      <c r="T45" s="80">
        <f>IF(_xlfn.XLOOKUP(Pupils_import[[#This Row],[FinancialYearCode]],Years[Years],Years[Years],1)=Pupils_import[[#This Row],[FinancialYearCode]],0,1)</f>
        <v>0</v>
      </c>
      <c r="U45" s="80" t="e">
        <f>IF(Pupils_import[[#This Row],[CalculatorCode]]="",0,IF(IF(_xlfn.XLOOKUP(Pupils_import[[#This Row],[CalculatorCode]],Calculators[CalculatorCode],Calculators[LockCheck])=1,TRUE,FALSE)=Pupils_import[[#This Row],[MatEditOnly]],0,1))</f>
        <v>#N/A</v>
      </c>
      <c r="V45" s="85" t="e">
        <f>SUM(Pupils_import[[#This Row],[DuplicateLine]:[MAT edit only required]])</f>
        <v>#N/A</v>
      </c>
      <c r="W45" s="80" t="str">
        <f>_xlfn.XLOOKUP(Pupils_import[[#This Row],[SchoolCode]],SCHOOLS[SchoolCode],SCHOOLS[Title])</f>
        <v>Ryburn Valley High School</v>
      </c>
      <c r="Y45" t="s">
        <v>931</v>
      </c>
      <c r="Z45" t="s">
        <v>2605</v>
      </c>
      <c r="AA45" t="s">
        <v>51</v>
      </c>
      <c r="AB45" t="s">
        <v>51</v>
      </c>
      <c r="AD45" t="s">
        <v>931</v>
      </c>
      <c r="AE45" t="s">
        <v>1124</v>
      </c>
      <c r="AF45" t="s">
        <v>932</v>
      </c>
      <c r="AG45" t="s">
        <v>1640</v>
      </c>
      <c r="AI45" t="b">
        <v>1</v>
      </c>
      <c r="AJ45" t="s">
        <v>1497</v>
      </c>
      <c r="AK45" t="b">
        <v>1</v>
      </c>
    </row>
    <row r="46" spans="1:37" x14ac:dyDescent="0.3">
      <c r="A46" s="120" t="str">
        <f t="shared" si="1"/>
        <v>FUNDED_KS5_ADJRVSFunding Statement Adjustment KS52025/26DEFAULT</v>
      </c>
      <c r="B46" s="85">
        <f>COUNTIF(Pupils_import[Column1],Pupils_import[[#This Row],[Column1]])-1</f>
        <v>0</v>
      </c>
      <c r="C46" s="80" cm="1">
        <f t="array" ref="C46">IF(_xlfn.XLOOKUP(Pupils_import[[#This Row],[FinanceCode]],FC_import[FinanceCode],FC_import[AvailableToAllSchools],1,0,)=TRUE,0,IF(ISERROR(FIND(Pupils_import[[#This Row],[SchoolCode]],_xlfn.TEXTJOIN(",",TRUE,_xlfn.UNIQUE(IF(FC_import[FinanceCode]=Pupils_import[[#This Row],[FinanceCode]],FC_import[SchoolCodes],""))))),1,0))</f>
        <v>1</v>
      </c>
      <c r="D46" s="85">
        <f>IF(COUNTIF(SCHOOLS[SchoolCode],Pupils_import[[#This Row],[SchoolCode]])&gt;0,0,1)</f>
        <v>0</v>
      </c>
      <c r="E46" s="85">
        <f>IF(COUNTIF(LEDGER[LedgerCode],Pupils_import[[#This Row],[LedgerCode]])&gt;0,0,1)</f>
        <v>0</v>
      </c>
      <c r="F46" s="85">
        <f>IF(ISBLANK(Pupils_import[[#This Row],[MonthProfileCode]]),1,IF(COUNTIF(MONTHPRF[Code],Pupils_import[[#This Row],[MonthProfileCode]])&gt;0,0,1))</f>
        <v>0</v>
      </c>
      <c r="G46" s="80" cm="1">
        <f t="array" ref="G46">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46" s="80" t="e" cm="1">
        <f t="array" ref="H46">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46" s="85">
        <f>IF(ISBLANK(Pupils_import[[#This Row],[YearValue]])=Pupils_import[[#This Row],[Calculated]],0,1)</f>
        <v>0</v>
      </c>
      <c r="J46" s="80">
        <f>IF(ISBLANK(Pupils_import[[#This Row],[CalculatorCode]]),0,IF(COUNTIF(Calculators[CalculatorCode],Pupils_import[[#This Row],[CalculatorCode]])&gt;0,0,1))</f>
        <v>0</v>
      </c>
      <c r="K46" s="80">
        <f>IF(TRIM(Pupils_import[[#This Row],[Description]])="",1,0)</f>
        <v>0</v>
      </c>
      <c r="L46" s="80">
        <f>IF(ISBLANK(Pupils_import[[#This Row],[MatEditOnly]]),1,0)</f>
        <v>0</v>
      </c>
      <c r="M46" s="80">
        <f>IF(ISBLANK(Pupils_import[[#This Row],[FinancialYearCode]]),1,0)</f>
        <v>0</v>
      </c>
      <c r="N46" s="80">
        <f>IF(ISBLANK(Pupils_import[[#This Row],[Calculated]]),1,0)</f>
        <v>0</v>
      </c>
      <c r="O46"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46" s="80">
        <f>IF(LEN(Pupils_import[[#This Row],[Description]])&lt;100,0,1)</f>
        <v>0</v>
      </c>
      <c r="Q46" s="80">
        <f>IF(LEN(Pupils_import[[#This Row],[Notes]])&lt;4000,0,1)</f>
        <v>0</v>
      </c>
      <c r="R46" s="80">
        <f>IF(LEN(Pupils_import[[#This Row],[YearNotes]])&lt;4000,0,1)</f>
        <v>0</v>
      </c>
      <c r="S46" s="80">
        <f>IF(OR(Pupils_import[[#This Row],[MatEditOnly]]=TRUE,Pupils_import[[#This Row],[MatEditOnly]]=FALSE),IF(OR(Pupils_import[[#This Row],[Calculated]]=TRUE,Pupils_import[[#This Row],[Calculated]]=FALSE),0,1),1)</f>
        <v>0</v>
      </c>
      <c r="T46" s="80">
        <f>IF(_xlfn.XLOOKUP(Pupils_import[[#This Row],[FinancialYearCode]],Years[Years],Years[Years],1)=Pupils_import[[#This Row],[FinancialYearCode]],0,1)</f>
        <v>0</v>
      </c>
      <c r="U46" s="80">
        <f>IF(Pupils_import[[#This Row],[CalculatorCode]]="",0,IF(IF(_xlfn.XLOOKUP(Pupils_import[[#This Row],[CalculatorCode]],Calculators[CalculatorCode],Calculators[LockCheck])=1,TRUE,FALSE)=Pupils_import[[#This Row],[MatEditOnly]],0,1))</f>
        <v>0</v>
      </c>
      <c r="V46" s="85" t="e">
        <f>SUM(Pupils_import[[#This Row],[DuplicateLine]:[MAT edit only required]])</f>
        <v>#N/A</v>
      </c>
      <c r="W46" s="80" t="str">
        <f>_xlfn.XLOOKUP(Pupils_import[[#This Row],[SchoolCode]],SCHOOLS[SchoolCode],SCHOOLS[Title])</f>
        <v>Ryburn Valley High School</v>
      </c>
      <c r="Y46" t="s">
        <v>1506</v>
      </c>
      <c r="Z46" t="s">
        <v>2605</v>
      </c>
      <c r="AA46" t="s">
        <v>51</v>
      </c>
      <c r="AB46" t="s">
        <v>51</v>
      </c>
      <c r="AE46" t="s">
        <v>1124</v>
      </c>
      <c r="AF46" t="s">
        <v>1509</v>
      </c>
      <c r="AG46" t="s">
        <v>1641</v>
      </c>
      <c r="AI46" t="b">
        <v>0</v>
      </c>
      <c r="AJ46" t="s">
        <v>1497</v>
      </c>
      <c r="AK46" t="b">
        <v>1</v>
      </c>
    </row>
    <row r="47" spans="1:37" hidden="1" x14ac:dyDescent="0.3">
      <c r="A47" s="120" t="str">
        <f t="shared" si="1"/>
        <v>FTE_NURSRAFTE for Nursery Pupils2025/26DEFAULT</v>
      </c>
      <c r="B47" s="85">
        <f>COUNTIF(Pupils_import[Column1],Pupils_import[[#This Row],[Column1]])-1</f>
        <v>0</v>
      </c>
      <c r="C47" s="80" cm="1">
        <f t="array" ref="C47">IF(_xlfn.XLOOKUP(Pupils_import[[#This Row],[FinanceCode]],FC_import[FinanceCode],FC_import[AvailableToAllSchools],1,0,)=TRUE,0,IF(ISERROR(FIND(Pupils_import[[#This Row],[SchoolCode]],_xlfn.TEXTJOIN(",",TRUE,_xlfn.UNIQUE(IF(FC_import[FinanceCode]=Pupils_import[[#This Row],[FinanceCode]],FC_import[SchoolCodes],""))))),1,0))</f>
        <v>0</v>
      </c>
      <c r="D47" s="85">
        <f>IF(COUNTIF(SCHOOLS[SchoolCode],Pupils_import[[#This Row],[SchoolCode]])&gt;0,0,1)</f>
        <v>0</v>
      </c>
      <c r="E47" s="85">
        <f>IF(COUNTIF(LEDGER[LedgerCode],Pupils_import[[#This Row],[LedgerCode]])&gt;0,0,1)</f>
        <v>0</v>
      </c>
      <c r="F47" s="85">
        <f>IF(ISBLANK(Pupils_import[[#This Row],[MonthProfileCode]]),1,IF(COUNTIF(MONTHPRF[Code],Pupils_import[[#This Row],[MonthProfileCode]])&gt;0,0,1))</f>
        <v>0</v>
      </c>
      <c r="G47" s="80" cm="1">
        <f t="array" ref="G47">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47" s="80" t="e" cm="1">
        <f t="array" ref="H47">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47" s="85">
        <f>IF(ISBLANK(Pupils_import[[#This Row],[YearValue]])=Pupils_import[[#This Row],[Calculated]],0,1)</f>
        <v>0</v>
      </c>
      <c r="J47" s="80">
        <f>IF(ISBLANK(Pupils_import[[#This Row],[CalculatorCode]]),0,IF(COUNTIF(Calculators[CalculatorCode],Pupils_import[[#This Row],[CalculatorCode]])&gt;0,0,1))</f>
        <v>0</v>
      </c>
      <c r="K47" s="80">
        <f>IF(TRIM(Pupils_import[[#This Row],[Description]])="",1,0)</f>
        <v>0</v>
      </c>
      <c r="L47" s="80">
        <f>IF(ISBLANK(Pupils_import[[#This Row],[MatEditOnly]]),1,0)</f>
        <v>0</v>
      </c>
      <c r="M47" s="80">
        <f>IF(ISBLANK(Pupils_import[[#This Row],[FinancialYearCode]]),1,0)</f>
        <v>0</v>
      </c>
      <c r="N47" s="80">
        <f>IF(ISBLANK(Pupils_import[[#This Row],[Calculated]]),1,0)</f>
        <v>0</v>
      </c>
      <c r="O47"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47" s="80">
        <f>IF(LEN(Pupils_import[[#This Row],[Description]])&lt;100,0,1)</f>
        <v>0</v>
      </c>
      <c r="Q47" s="80">
        <f>IF(LEN(Pupils_import[[#This Row],[Notes]])&lt;4000,0,1)</f>
        <v>0</v>
      </c>
      <c r="R47" s="80">
        <f>IF(LEN(Pupils_import[[#This Row],[YearNotes]])&lt;4000,0,1)</f>
        <v>0</v>
      </c>
      <c r="S47" s="80">
        <f>IF(OR(Pupils_import[[#This Row],[MatEditOnly]]=TRUE,Pupils_import[[#This Row],[MatEditOnly]]=FALSE),IF(OR(Pupils_import[[#This Row],[Calculated]]=TRUE,Pupils_import[[#This Row],[Calculated]]=FALSE),0,1),1)</f>
        <v>0</v>
      </c>
      <c r="T47" s="80">
        <f>IF(_xlfn.XLOOKUP(Pupils_import[[#This Row],[FinancialYearCode]],Years[Years],Years[Years],1)=Pupils_import[[#This Row],[FinancialYearCode]],0,1)</f>
        <v>0</v>
      </c>
      <c r="U47" s="80">
        <f>IF(Pupils_import[[#This Row],[CalculatorCode]]="",0,IF(IF(_xlfn.XLOOKUP(Pupils_import[[#This Row],[CalculatorCode]],Calculators[CalculatorCode],Calculators[LockCheck])=1,TRUE,FALSE)=Pupils_import[[#This Row],[MatEditOnly]],0,1))</f>
        <v>0</v>
      </c>
      <c r="V47" s="85" t="e">
        <f>SUM(Pupils_import[[#This Row],[DuplicateLine]:[MAT edit only required]])</f>
        <v>#N/A</v>
      </c>
      <c r="W47" s="80" t="str">
        <f>_xlfn.XLOOKUP(Pupils_import[[#This Row],[SchoolCode]],SCHOOLS[SchoolCode],SCHOOLS[Title])</f>
        <v>Scout Road Academy</v>
      </c>
      <c r="Y47" t="s">
        <v>2084</v>
      </c>
      <c r="Z47" t="s">
        <v>2607</v>
      </c>
      <c r="AA47" t="s">
        <v>51</v>
      </c>
      <c r="AB47" t="s">
        <v>51</v>
      </c>
      <c r="AD47" t="s">
        <v>2084</v>
      </c>
      <c r="AE47" t="s">
        <v>1124</v>
      </c>
      <c r="AF47" t="s">
        <v>2085</v>
      </c>
      <c r="AG47" t="s">
        <v>2088</v>
      </c>
      <c r="AI47" t="b">
        <v>0</v>
      </c>
      <c r="AJ47" t="s">
        <v>1497</v>
      </c>
      <c r="AK47" t="b">
        <v>1</v>
      </c>
    </row>
    <row r="48" spans="1:37" hidden="1" x14ac:dyDescent="0.3">
      <c r="A48" s="120" t="str">
        <f t="shared" si="1"/>
        <v>FUNDED_FSSRAFunded Pupil Numbers Foundation2025/26DEFAULT</v>
      </c>
      <c r="B48" s="85">
        <f>COUNTIF(Pupils_import[Column1],Pupils_import[[#This Row],[Column1]])-1</f>
        <v>0</v>
      </c>
      <c r="C48" s="80" cm="1">
        <f t="array" ref="C48">IF(_xlfn.XLOOKUP(Pupils_import[[#This Row],[FinanceCode]],FC_import[FinanceCode],FC_import[AvailableToAllSchools],1,0,)=TRUE,0,IF(ISERROR(FIND(Pupils_import[[#This Row],[SchoolCode]],_xlfn.TEXTJOIN(",",TRUE,_xlfn.UNIQUE(IF(FC_import[FinanceCode]=Pupils_import[[#This Row],[FinanceCode]],FC_import[SchoolCodes],""))))),1,0))</f>
        <v>0</v>
      </c>
      <c r="D48" s="85">
        <f>IF(COUNTIF(SCHOOLS[SchoolCode],Pupils_import[[#This Row],[SchoolCode]])&gt;0,0,1)</f>
        <v>0</v>
      </c>
      <c r="E48" s="85">
        <f>IF(COUNTIF(LEDGER[LedgerCode],Pupils_import[[#This Row],[LedgerCode]])&gt;0,0,1)</f>
        <v>0</v>
      </c>
      <c r="F48" s="85">
        <f>IF(ISBLANK(Pupils_import[[#This Row],[MonthProfileCode]]),1,IF(COUNTIF(MONTHPRF[Code],Pupils_import[[#This Row],[MonthProfileCode]])&gt;0,0,1))</f>
        <v>0</v>
      </c>
      <c r="G48" s="80" cm="1">
        <f t="array" ref="G48">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48" s="80" t="e" cm="1">
        <f t="array" ref="H48">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48" s="85">
        <f>IF(ISBLANK(Pupils_import[[#This Row],[YearValue]])=Pupils_import[[#This Row],[Calculated]],0,1)</f>
        <v>0</v>
      </c>
      <c r="J48" s="80">
        <f>IF(ISBLANK(Pupils_import[[#This Row],[CalculatorCode]]),0,IF(COUNTIF(Calculators[CalculatorCode],Pupils_import[[#This Row],[CalculatorCode]])&gt;0,0,1))</f>
        <v>0</v>
      </c>
      <c r="K48" s="80">
        <f>IF(TRIM(Pupils_import[[#This Row],[Description]])="",1,0)</f>
        <v>0</v>
      </c>
      <c r="L48" s="80">
        <f>IF(ISBLANK(Pupils_import[[#This Row],[MatEditOnly]]),1,0)</f>
        <v>0</v>
      </c>
      <c r="M48" s="80">
        <f>IF(ISBLANK(Pupils_import[[#This Row],[FinancialYearCode]]),1,0)</f>
        <v>0</v>
      </c>
      <c r="N48" s="80">
        <f>IF(ISBLANK(Pupils_import[[#This Row],[Calculated]]),1,0)</f>
        <v>0</v>
      </c>
      <c r="O48"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48" s="80">
        <f>IF(LEN(Pupils_import[[#This Row],[Description]])&lt;100,0,1)</f>
        <v>0</v>
      </c>
      <c r="Q48" s="80">
        <f>IF(LEN(Pupils_import[[#This Row],[Notes]])&lt;4000,0,1)</f>
        <v>0</v>
      </c>
      <c r="R48" s="80">
        <f>IF(LEN(Pupils_import[[#This Row],[YearNotes]])&lt;4000,0,1)</f>
        <v>0</v>
      </c>
      <c r="S48" s="80">
        <f>IF(OR(Pupils_import[[#This Row],[MatEditOnly]]=TRUE,Pupils_import[[#This Row],[MatEditOnly]]=FALSE),IF(OR(Pupils_import[[#This Row],[Calculated]]=TRUE,Pupils_import[[#This Row],[Calculated]]=FALSE),0,1),1)</f>
        <v>0</v>
      </c>
      <c r="T48" s="80">
        <f>IF(_xlfn.XLOOKUP(Pupils_import[[#This Row],[FinancialYearCode]],Years[Years],Years[Years],1)=Pupils_import[[#This Row],[FinancialYearCode]],0,1)</f>
        <v>0</v>
      </c>
      <c r="U48" s="80">
        <f>IF(Pupils_import[[#This Row],[CalculatorCode]]="",0,IF(IF(_xlfn.XLOOKUP(Pupils_import[[#This Row],[CalculatorCode]],Calculators[CalculatorCode],Calculators[LockCheck])=1,TRUE,FALSE)=Pupils_import[[#This Row],[MatEditOnly]],0,1))</f>
        <v>0</v>
      </c>
      <c r="V48" s="85" t="e">
        <f>SUM(Pupils_import[[#This Row],[DuplicateLine]:[MAT edit only required]])</f>
        <v>#N/A</v>
      </c>
      <c r="W48" s="80" t="str">
        <f>_xlfn.XLOOKUP(Pupils_import[[#This Row],[SchoolCode]],SCHOOLS[SchoolCode],SCHOOLS[Title])</f>
        <v>Scout Road Academy</v>
      </c>
      <c r="Y48" t="s">
        <v>920</v>
      </c>
      <c r="Z48" t="s">
        <v>2607</v>
      </c>
      <c r="AA48" t="s">
        <v>51</v>
      </c>
      <c r="AB48" t="s">
        <v>51</v>
      </c>
      <c r="AD48" t="s">
        <v>920</v>
      </c>
      <c r="AE48" t="s">
        <v>1124</v>
      </c>
      <c r="AF48" t="s">
        <v>921</v>
      </c>
      <c r="AG48" t="s">
        <v>1633</v>
      </c>
      <c r="AI48" t="b">
        <v>1</v>
      </c>
      <c r="AJ48" t="s">
        <v>1497</v>
      </c>
      <c r="AK48" t="b">
        <v>1</v>
      </c>
    </row>
    <row r="49" spans="1:37" hidden="1" x14ac:dyDescent="0.3">
      <c r="A49" s="120" t="str">
        <f t="shared" si="1"/>
        <v>FUNDED_KS1SRAFunded Pupil Numbers KS12025/26DEFAULT</v>
      </c>
      <c r="B49" s="85">
        <f>COUNTIF(Pupils_import[Column1],Pupils_import[[#This Row],[Column1]])-1</f>
        <v>0</v>
      </c>
      <c r="C49" s="80" cm="1">
        <f t="array" ref="C49">IF(_xlfn.XLOOKUP(Pupils_import[[#This Row],[FinanceCode]],FC_import[FinanceCode],FC_import[AvailableToAllSchools],1,0,)=TRUE,0,IF(ISERROR(FIND(Pupils_import[[#This Row],[SchoolCode]],_xlfn.TEXTJOIN(",",TRUE,_xlfn.UNIQUE(IF(FC_import[FinanceCode]=Pupils_import[[#This Row],[FinanceCode]],FC_import[SchoolCodes],""))))),1,0))</f>
        <v>0</v>
      </c>
      <c r="D49" s="85">
        <f>IF(COUNTIF(SCHOOLS[SchoolCode],Pupils_import[[#This Row],[SchoolCode]])&gt;0,0,1)</f>
        <v>0</v>
      </c>
      <c r="E49" s="85">
        <f>IF(COUNTIF(LEDGER[LedgerCode],Pupils_import[[#This Row],[LedgerCode]])&gt;0,0,1)</f>
        <v>0</v>
      </c>
      <c r="F49" s="85">
        <f>IF(ISBLANK(Pupils_import[[#This Row],[MonthProfileCode]]),1,IF(COUNTIF(MONTHPRF[Code],Pupils_import[[#This Row],[MonthProfileCode]])&gt;0,0,1))</f>
        <v>0</v>
      </c>
      <c r="G49" s="80" cm="1">
        <f t="array" ref="G49">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49" s="80" t="e" cm="1">
        <f t="array" ref="H49">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49" s="85">
        <f>IF(ISBLANK(Pupils_import[[#This Row],[YearValue]])=Pupils_import[[#This Row],[Calculated]],0,1)</f>
        <v>0</v>
      </c>
      <c r="J49" s="80">
        <f>IF(ISBLANK(Pupils_import[[#This Row],[CalculatorCode]]),0,IF(COUNTIF(Calculators[CalculatorCode],Pupils_import[[#This Row],[CalculatorCode]])&gt;0,0,1))</f>
        <v>0</v>
      </c>
      <c r="K49" s="80">
        <f>IF(TRIM(Pupils_import[[#This Row],[Description]])="",1,0)</f>
        <v>0</v>
      </c>
      <c r="L49" s="80">
        <f>IF(ISBLANK(Pupils_import[[#This Row],[MatEditOnly]]),1,0)</f>
        <v>0</v>
      </c>
      <c r="M49" s="80">
        <f>IF(ISBLANK(Pupils_import[[#This Row],[FinancialYearCode]]),1,0)</f>
        <v>0</v>
      </c>
      <c r="N49" s="80">
        <f>IF(ISBLANK(Pupils_import[[#This Row],[Calculated]]),1,0)</f>
        <v>0</v>
      </c>
      <c r="O49"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49" s="80">
        <f>IF(LEN(Pupils_import[[#This Row],[Description]])&lt;100,0,1)</f>
        <v>0</v>
      </c>
      <c r="Q49" s="80">
        <f>IF(LEN(Pupils_import[[#This Row],[Notes]])&lt;4000,0,1)</f>
        <v>0</v>
      </c>
      <c r="R49" s="80">
        <f>IF(LEN(Pupils_import[[#This Row],[YearNotes]])&lt;4000,0,1)</f>
        <v>0</v>
      </c>
      <c r="S49" s="80">
        <f>IF(OR(Pupils_import[[#This Row],[MatEditOnly]]=TRUE,Pupils_import[[#This Row],[MatEditOnly]]=FALSE),IF(OR(Pupils_import[[#This Row],[Calculated]]=TRUE,Pupils_import[[#This Row],[Calculated]]=FALSE),0,1),1)</f>
        <v>0</v>
      </c>
      <c r="T49" s="80">
        <f>IF(_xlfn.XLOOKUP(Pupils_import[[#This Row],[FinancialYearCode]],Years[Years],Years[Years],1)=Pupils_import[[#This Row],[FinancialYearCode]],0,1)</f>
        <v>0</v>
      </c>
      <c r="U49" s="80">
        <f>IF(Pupils_import[[#This Row],[CalculatorCode]]="",0,IF(IF(_xlfn.XLOOKUP(Pupils_import[[#This Row],[CalculatorCode]],Calculators[CalculatorCode],Calculators[LockCheck])=1,TRUE,FALSE)=Pupils_import[[#This Row],[MatEditOnly]],0,1))</f>
        <v>0</v>
      </c>
      <c r="V49" s="85" t="e">
        <f>SUM(Pupils_import[[#This Row],[DuplicateLine]:[MAT edit only required]])</f>
        <v>#N/A</v>
      </c>
      <c r="W49" s="80" t="str">
        <f>_xlfn.XLOOKUP(Pupils_import[[#This Row],[SchoolCode]],SCHOOLS[SchoolCode],SCHOOLS[Title])</f>
        <v>Scout Road Academy</v>
      </c>
      <c r="Y49" t="s">
        <v>923</v>
      </c>
      <c r="Z49" t="s">
        <v>2607</v>
      </c>
      <c r="AA49" t="s">
        <v>51</v>
      </c>
      <c r="AB49" t="s">
        <v>51</v>
      </c>
      <c r="AD49" t="s">
        <v>923</v>
      </c>
      <c r="AE49" t="s">
        <v>1124</v>
      </c>
      <c r="AF49" t="s">
        <v>924</v>
      </c>
      <c r="AG49" t="s">
        <v>1634</v>
      </c>
      <c r="AI49" t="b">
        <v>1</v>
      </c>
      <c r="AJ49" t="s">
        <v>1497</v>
      </c>
      <c r="AK49" t="b">
        <v>1</v>
      </c>
    </row>
    <row r="50" spans="1:37" hidden="1" x14ac:dyDescent="0.3">
      <c r="A50" s="120" t="str">
        <f t="shared" si="1"/>
        <v>FUNDED_KS2SRAFunded Pupil Numbers KS22025/26DEFAULT</v>
      </c>
      <c r="B50" s="85">
        <f>COUNTIF(Pupils_import[Column1],Pupils_import[[#This Row],[Column1]])-1</f>
        <v>0</v>
      </c>
      <c r="C50" s="80" cm="1">
        <f t="array" ref="C50">IF(_xlfn.XLOOKUP(Pupils_import[[#This Row],[FinanceCode]],FC_import[FinanceCode],FC_import[AvailableToAllSchools],1,0,)=TRUE,0,IF(ISERROR(FIND(Pupils_import[[#This Row],[SchoolCode]],_xlfn.TEXTJOIN(",",TRUE,_xlfn.UNIQUE(IF(FC_import[FinanceCode]=Pupils_import[[#This Row],[FinanceCode]],FC_import[SchoolCodes],""))))),1,0))</f>
        <v>0</v>
      </c>
      <c r="D50" s="85">
        <f>IF(COUNTIF(SCHOOLS[SchoolCode],Pupils_import[[#This Row],[SchoolCode]])&gt;0,0,1)</f>
        <v>0</v>
      </c>
      <c r="E50" s="85">
        <f>IF(COUNTIF(LEDGER[LedgerCode],Pupils_import[[#This Row],[LedgerCode]])&gt;0,0,1)</f>
        <v>0</v>
      </c>
      <c r="F50" s="85">
        <f>IF(ISBLANK(Pupils_import[[#This Row],[MonthProfileCode]]),1,IF(COUNTIF(MONTHPRF[Code],Pupils_import[[#This Row],[MonthProfileCode]])&gt;0,0,1))</f>
        <v>0</v>
      </c>
      <c r="G50" s="80" cm="1">
        <f t="array" ref="G50">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50" s="80" t="e" cm="1">
        <f t="array" ref="H50">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50" s="85">
        <f>IF(ISBLANK(Pupils_import[[#This Row],[YearValue]])=Pupils_import[[#This Row],[Calculated]],0,1)</f>
        <v>0</v>
      </c>
      <c r="J50" s="80">
        <f>IF(ISBLANK(Pupils_import[[#This Row],[CalculatorCode]]),0,IF(COUNTIF(Calculators[CalculatorCode],Pupils_import[[#This Row],[CalculatorCode]])&gt;0,0,1))</f>
        <v>0</v>
      </c>
      <c r="K50" s="80">
        <f>IF(TRIM(Pupils_import[[#This Row],[Description]])="",1,0)</f>
        <v>0</v>
      </c>
      <c r="L50" s="80">
        <f>IF(ISBLANK(Pupils_import[[#This Row],[MatEditOnly]]),1,0)</f>
        <v>0</v>
      </c>
      <c r="M50" s="80">
        <f>IF(ISBLANK(Pupils_import[[#This Row],[FinancialYearCode]]),1,0)</f>
        <v>0</v>
      </c>
      <c r="N50" s="80">
        <f>IF(ISBLANK(Pupils_import[[#This Row],[Calculated]]),1,0)</f>
        <v>0</v>
      </c>
      <c r="O50"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50" s="80">
        <f>IF(LEN(Pupils_import[[#This Row],[Description]])&lt;100,0,1)</f>
        <v>0</v>
      </c>
      <c r="Q50" s="80">
        <f>IF(LEN(Pupils_import[[#This Row],[Notes]])&lt;4000,0,1)</f>
        <v>0</v>
      </c>
      <c r="R50" s="80">
        <f>IF(LEN(Pupils_import[[#This Row],[YearNotes]])&lt;4000,0,1)</f>
        <v>0</v>
      </c>
      <c r="S50" s="80">
        <f>IF(OR(Pupils_import[[#This Row],[MatEditOnly]]=TRUE,Pupils_import[[#This Row],[MatEditOnly]]=FALSE),IF(OR(Pupils_import[[#This Row],[Calculated]]=TRUE,Pupils_import[[#This Row],[Calculated]]=FALSE),0,1),1)</f>
        <v>0</v>
      </c>
      <c r="T50" s="80">
        <f>IF(_xlfn.XLOOKUP(Pupils_import[[#This Row],[FinancialYearCode]],Years[Years],Years[Years],1)=Pupils_import[[#This Row],[FinancialYearCode]],0,1)</f>
        <v>0</v>
      </c>
      <c r="U50" s="80">
        <f>IF(Pupils_import[[#This Row],[CalculatorCode]]="",0,IF(IF(_xlfn.XLOOKUP(Pupils_import[[#This Row],[CalculatorCode]],Calculators[CalculatorCode],Calculators[LockCheck])=1,TRUE,FALSE)=Pupils_import[[#This Row],[MatEditOnly]],0,1))</f>
        <v>0</v>
      </c>
      <c r="V50" s="85" t="e">
        <f>SUM(Pupils_import[[#This Row],[DuplicateLine]:[MAT edit only required]])</f>
        <v>#N/A</v>
      </c>
      <c r="W50" s="80" t="str">
        <f>_xlfn.XLOOKUP(Pupils_import[[#This Row],[SchoolCode]],SCHOOLS[SchoolCode],SCHOOLS[Title])</f>
        <v>Scout Road Academy</v>
      </c>
      <c r="Y50" t="s">
        <v>925</v>
      </c>
      <c r="Z50" t="s">
        <v>2607</v>
      </c>
      <c r="AA50" t="s">
        <v>51</v>
      </c>
      <c r="AB50" t="s">
        <v>51</v>
      </c>
      <c r="AD50" t="s">
        <v>925</v>
      </c>
      <c r="AE50" t="s">
        <v>1124</v>
      </c>
      <c r="AF50" t="s">
        <v>926</v>
      </c>
      <c r="AG50" t="s">
        <v>1635</v>
      </c>
      <c r="AI50" t="b">
        <v>1</v>
      </c>
      <c r="AJ50" t="s">
        <v>1497</v>
      </c>
      <c r="AK50" t="b">
        <v>1</v>
      </c>
    </row>
    <row r="51" spans="1:37" hidden="1" x14ac:dyDescent="0.3">
      <c r="A51" s="120" t="str">
        <f t="shared" si="1"/>
        <v>FUNDED_PRISRAFunded Pupil Numbers Primary Total2025/26DEFAULT</v>
      </c>
      <c r="B51" s="85">
        <f>COUNTIF(Pupils_import[Column1],Pupils_import[[#This Row],[Column1]])-1</f>
        <v>0</v>
      </c>
      <c r="C51" s="80" cm="1">
        <f t="array" ref="C51">IF(_xlfn.XLOOKUP(Pupils_import[[#This Row],[FinanceCode]],FC_import[FinanceCode],FC_import[AvailableToAllSchools],1,0,)=TRUE,0,IF(ISERROR(FIND(Pupils_import[[#This Row],[SchoolCode]],_xlfn.TEXTJOIN(",",TRUE,_xlfn.UNIQUE(IF(FC_import[FinanceCode]=Pupils_import[[#This Row],[FinanceCode]],FC_import[SchoolCodes],""))))),1,0))</f>
        <v>0</v>
      </c>
      <c r="D51" s="85">
        <f>IF(COUNTIF(SCHOOLS[SchoolCode],Pupils_import[[#This Row],[SchoolCode]])&gt;0,0,1)</f>
        <v>0</v>
      </c>
      <c r="E51" s="85">
        <f>IF(COUNTIF(LEDGER[LedgerCode],Pupils_import[[#This Row],[LedgerCode]])&gt;0,0,1)</f>
        <v>0</v>
      </c>
      <c r="F51" s="85">
        <f>IF(ISBLANK(Pupils_import[[#This Row],[MonthProfileCode]]),1,IF(COUNTIF(MONTHPRF[Code],Pupils_import[[#This Row],[MonthProfileCode]])&gt;0,0,1))</f>
        <v>0</v>
      </c>
      <c r="G51" s="80" cm="1">
        <f t="array" ref="G51">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51" s="80" t="e" cm="1">
        <f t="array" ref="H51">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51" s="85">
        <f>IF(ISBLANK(Pupils_import[[#This Row],[YearValue]])=Pupils_import[[#This Row],[Calculated]],0,1)</f>
        <v>0</v>
      </c>
      <c r="J51" s="80">
        <f>IF(ISBLANK(Pupils_import[[#This Row],[CalculatorCode]]),0,IF(COUNTIF(Calculators[CalculatorCode],Pupils_import[[#This Row],[CalculatorCode]])&gt;0,0,1))</f>
        <v>0</v>
      </c>
      <c r="K51" s="80">
        <f>IF(TRIM(Pupils_import[[#This Row],[Description]])="",1,0)</f>
        <v>0</v>
      </c>
      <c r="L51" s="80">
        <f>IF(ISBLANK(Pupils_import[[#This Row],[MatEditOnly]]),1,0)</f>
        <v>0</v>
      </c>
      <c r="M51" s="80">
        <f>IF(ISBLANK(Pupils_import[[#This Row],[FinancialYearCode]]),1,0)</f>
        <v>0</v>
      </c>
      <c r="N51" s="80">
        <f>IF(ISBLANK(Pupils_import[[#This Row],[Calculated]]),1,0)</f>
        <v>0</v>
      </c>
      <c r="O51"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51" s="80">
        <f>IF(LEN(Pupils_import[[#This Row],[Description]])&lt;100,0,1)</f>
        <v>0</v>
      </c>
      <c r="Q51" s="80">
        <f>IF(LEN(Pupils_import[[#This Row],[Notes]])&lt;4000,0,1)</f>
        <v>0</v>
      </c>
      <c r="R51" s="80">
        <f>IF(LEN(Pupils_import[[#This Row],[YearNotes]])&lt;4000,0,1)</f>
        <v>0</v>
      </c>
      <c r="S51" s="80">
        <f>IF(OR(Pupils_import[[#This Row],[MatEditOnly]]=TRUE,Pupils_import[[#This Row],[MatEditOnly]]=FALSE),IF(OR(Pupils_import[[#This Row],[Calculated]]=TRUE,Pupils_import[[#This Row],[Calculated]]=FALSE),0,1),1)</f>
        <v>0</v>
      </c>
      <c r="T51" s="80">
        <f>IF(_xlfn.XLOOKUP(Pupils_import[[#This Row],[FinancialYearCode]],Years[Years],Years[Years],1)=Pupils_import[[#This Row],[FinancialYearCode]],0,1)</f>
        <v>0</v>
      </c>
      <c r="U51" s="80">
        <f>IF(Pupils_import[[#This Row],[CalculatorCode]]="",0,IF(IF(_xlfn.XLOOKUP(Pupils_import[[#This Row],[CalculatorCode]],Calculators[CalculatorCode],Calculators[LockCheck])=1,TRUE,FALSE)=Pupils_import[[#This Row],[MatEditOnly]],0,1))</f>
        <v>0</v>
      </c>
      <c r="V51" s="85" t="e">
        <f>SUM(Pupils_import[[#This Row],[DuplicateLine]:[MAT edit only required]])</f>
        <v>#N/A</v>
      </c>
      <c r="W51" s="80" t="str">
        <f>_xlfn.XLOOKUP(Pupils_import[[#This Row],[SchoolCode]],SCHOOLS[SchoolCode],SCHOOLS[Title])</f>
        <v>Scout Road Academy</v>
      </c>
      <c r="Y51" t="s">
        <v>1563</v>
      </c>
      <c r="Z51" t="s">
        <v>2607</v>
      </c>
      <c r="AA51" t="s">
        <v>51</v>
      </c>
      <c r="AB51" t="s">
        <v>51</v>
      </c>
      <c r="AD51" t="s">
        <v>1563</v>
      </c>
      <c r="AE51" t="s">
        <v>1124</v>
      </c>
      <c r="AF51" t="s">
        <v>1564</v>
      </c>
      <c r="AG51" t="s">
        <v>1643</v>
      </c>
      <c r="AI51" t="b">
        <v>1</v>
      </c>
      <c r="AJ51" t="s">
        <v>1497</v>
      </c>
      <c r="AK51" t="b">
        <v>1</v>
      </c>
    </row>
    <row r="52" spans="1:37" x14ac:dyDescent="0.3">
      <c r="A52" s="145" t="str">
        <f t="shared" si="1"/>
        <v>FUNDED_PRI_ADJSRAFunding Statement Adjustment Primary2025/26DEFAULT</v>
      </c>
      <c r="B52" s="96">
        <f>COUNTIF(Pupils_import[Column1],Pupils_import[[#This Row],[Column1]])-1</f>
        <v>0</v>
      </c>
      <c r="C52" s="80" cm="1">
        <f t="array" ref="C52">IF(_xlfn.XLOOKUP(Pupils_import[[#This Row],[FinanceCode]],FC_import[FinanceCode],FC_import[AvailableToAllSchools],1,0,)=TRUE,0,IF(ISERROR(FIND(Pupils_import[[#This Row],[SchoolCode]],_xlfn.TEXTJOIN(",",TRUE,_xlfn.UNIQUE(IF(FC_import[FinanceCode]=Pupils_import[[#This Row],[FinanceCode]],FC_import[SchoolCodes],""))))),1,0))</f>
        <v>0</v>
      </c>
      <c r="D52" s="96">
        <f>IF(COUNTIF(SCHOOLS[SchoolCode],Pupils_import[[#This Row],[SchoolCode]])&gt;0,0,1)</f>
        <v>0</v>
      </c>
      <c r="E52" s="96">
        <f>IF(COUNTIF(LEDGER[LedgerCode],Pupils_import[[#This Row],[LedgerCode]])&gt;0,0,1)</f>
        <v>0</v>
      </c>
      <c r="F52" s="96">
        <f>IF(ISBLANK(Pupils_import[[#This Row],[MonthProfileCode]]),1,IF(COUNTIF(MONTHPRF[Code],Pupils_import[[#This Row],[MonthProfileCode]])&gt;0,0,1))</f>
        <v>0</v>
      </c>
      <c r="G52" s="80" cm="1">
        <f t="array" ref="G52">IF(_xlfn.XLOOKUP(Pupils_import[[#This Row],[DepartmentCode]]&amp;Pupils_import[[#This Row],[LedgerCode]],DEPTS[DepartmentCode]&amp;DEPTS[LedgerCode],DEPTS[AvailableToAllSchools],1,0,)=TRUE,0,IF(ISERROR(FIND(Pupils_import[[#This Row],[SchoolCode]],_xlfn.TEXTJOIN(",",TRUE,_xlfn.UNIQUE(IF(DEPTS[DepartmentCode]&amp;DEPTS[LedgerCode]=Pupils_import[[#This Row],[DepartmentCode]]&amp;Pupils_import[[#This Row],[LedgerCode]],DEPTS[SchoolCodes],""))))),1,0))</f>
        <v>1</v>
      </c>
      <c r="H52" s="80" t="e" cm="1">
        <f t="array" ref="H52">IF(_xlfn.XLOOKUP(Pupils_import[[#This Row],[DepartmentCode]]&amp;Pupils_import[[#This Row],[LedgerCode]],DEPTS[DepartmentCode]&amp;DEPTS[LedgerCode],DEPTS[AvailableToAllSchools])=TRUE,(IF((_xlfn.XLOOKUP(Pupils_import[[#This Row],[DepartmentCode]]&amp;Pupils_import[[#This Row],[LedgerCode]],DEPTS[DepartmentCode]&amp;DEPTS[LedgerCode],DEPTS[LedgerCode])=Pupils_import[[#This Row],[LedgerCode]]),0,1)),(IFERROR(IF(FIND(Pupils_import[[#This Row],[SchoolCode]],(_xlfn.TEXTJOIN(",",TRUE,IF(DEPTS[DepartmentCode]&amp;DEPTS[LedgerCode]=Pupils_import[[#This Row],[DepartmentCode]]&amp;Pupils_import[[#This Row],[LedgerCode]],DEPTS[SchoolCodes],"")))),0,1),1)))</f>
        <v>#N/A</v>
      </c>
      <c r="I52" s="96">
        <f>IF(ISBLANK(Pupils_import[[#This Row],[YearValue]])=Pupils_import[[#This Row],[Calculated]],0,1)</f>
        <v>0</v>
      </c>
      <c r="J52" s="80">
        <f>IF(ISBLANK(Pupils_import[[#This Row],[CalculatorCode]]),0,IF(COUNTIF(Calculators[CalculatorCode],Pupils_import[[#This Row],[CalculatorCode]])&gt;0,0,1))</f>
        <v>0</v>
      </c>
      <c r="K52" s="80">
        <f>IF(TRIM(Pupils_import[[#This Row],[Description]])="",1,0)</f>
        <v>0</v>
      </c>
      <c r="L52" s="80">
        <f>IF(ISBLANK(Pupils_import[[#This Row],[MatEditOnly]]),1,0)</f>
        <v>0</v>
      </c>
      <c r="M52" s="80">
        <f>IF(ISBLANK(Pupils_import[[#This Row],[FinancialYearCode]]),1,0)</f>
        <v>0</v>
      </c>
      <c r="N52" s="80">
        <f>IF(ISBLANK(Pupils_import[[#This Row],[Calculated]]),1,0)</f>
        <v>0</v>
      </c>
      <c r="O52" s="80">
        <f>IF(EXACT(Pupils_import[[#This Row],[FinanceCode]],UPPER(Pupils_import[[#This Row],[FinanceCode]])),0,1)+IF(EXACT(Pupils_import[[#This Row],[SchoolCode]],UPPER(Pupils_import[[#This Row],[SchoolCode]])),0,1)+IF(EXACT(Pupils_import[[#This Row],[LedgerCode]],UPPER(Pupils_import[[#This Row],[LedgerCode]])),0,1)+IF(EXACT(Pupils_import[[#This Row],[DepartmentCode]],UPPER(Pupils_import[[#This Row],[DepartmentCode]])),0,1)+IF(EXACT(Pupils_import[[#This Row],[CalculatorCode]],UPPER(Pupils_import[[#This Row],[CalculatorCode]])),0,1)+IF(EXACT(Pupils_import[[#This Row],[MonthProfileCode]],UPPER(Pupils_import[[#This Row],[MonthProfileCode]])),0,1)</f>
        <v>0</v>
      </c>
      <c r="P52" s="80">
        <f>IF(LEN(Pupils_import[[#This Row],[Description]])&lt;100,0,1)</f>
        <v>0</v>
      </c>
      <c r="Q52" s="80">
        <f>IF(LEN(Pupils_import[[#This Row],[Notes]])&lt;4000,0,1)</f>
        <v>0</v>
      </c>
      <c r="R52" s="80">
        <f>IF(LEN(Pupils_import[[#This Row],[YearNotes]])&lt;4000,0,1)</f>
        <v>0</v>
      </c>
      <c r="S52" s="80">
        <f>IF(OR(Pupils_import[[#This Row],[MatEditOnly]]=TRUE,Pupils_import[[#This Row],[MatEditOnly]]=FALSE),IF(OR(Pupils_import[[#This Row],[Calculated]]=TRUE,Pupils_import[[#This Row],[Calculated]]=FALSE),0,1),1)</f>
        <v>0</v>
      </c>
      <c r="T52" s="80">
        <f>IF(_xlfn.XLOOKUP(Pupils_import[[#This Row],[FinancialYearCode]],Years[Years],Years[Years],1)=Pupils_import[[#This Row],[FinancialYearCode]],0,1)</f>
        <v>0</v>
      </c>
      <c r="U52" s="80">
        <f>IF(Pupils_import[[#This Row],[CalculatorCode]]="",0,IF(IF(_xlfn.XLOOKUP(Pupils_import[[#This Row],[CalculatorCode]],Calculators[CalculatorCode],Calculators[LockCheck])=1,TRUE,FALSE)=Pupils_import[[#This Row],[MatEditOnly]],0,1))</f>
        <v>0</v>
      </c>
      <c r="V52" s="96" t="e">
        <f>SUM(Pupils_import[[#This Row],[DuplicateLine]:[MAT edit only required]])</f>
        <v>#N/A</v>
      </c>
      <c r="W52" s="80" t="str">
        <f>_xlfn.XLOOKUP(Pupils_import[[#This Row],[SchoolCode]],SCHOOLS[SchoolCode],SCHOOLS[Title])</f>
        <v>Scout Road Academy</v>
      </c>
      <c r="Y52" t="s">
        <v>1503</v>
      </c>
      <c r="Z52" t="s">
        <v>2607</v>
      </c>
      <c r="AA52" t="s">
        <v>51</v>
      </c>
      <c r="AB52" t="s">
        <v>51</v>
      </c>
      <c r="AE52" t="s">
        <v>1124</v>
      </c>
      <c r="AF52" t="s">
        <v>1507</v>
      </c>
      <c r="AG52" t="s">
        <v>1644</v>
      </c>
      <c r="AI52" t="b">
        <v>0</v>
      </c>
      <c r="AJ52" t="s">
        <v>1497</v>
      </c>
      <c r="AK52" t="b">
        <v>1</v>
      </c>
    </row>
  </sheetData>
  <phoneticPr fontId="2" type="noConversion"/>
  <pageMargins left="0.7" right="0.7" top="0.75" bottom="0.75" header="0.3" footer="0.3"/>
  <pageSetup orientation="portrait" r:id="rId1"/>
  <tableParts count="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E708C-190C-4A46-89E8-ABC678C84AB9}">
  <sheetPr codeName="Sheet32">
    <tabColor rgb="FFDCCEE4"/>
  </sheetPr>
  <dimension ref="A1:AK2"/>
  <sheetViews>
    <sheetView topLeftCell="AC1" zoomScale="85" zoomScaleNormal="85" workbookViewId="0">
      <selection activeCell="AF20" sqref="AF20"/>
    </sheetView>
  </sheetViews>
  <sheetFormatPr defaultRowHeight="14.4" outlineLevelCol="1" x14ac:dyDescent="0.3"/>
  <cols>
    <col min="1" max="1" width="81.109375" hidden="1" customWidth="1" outlineLevel="1"/>
    <col min="2" max="2" width="15.5546875" hidden="1" customWidth="1" outlineLevel="1"/>
    <col min="3" max="3" width="19.5546875" hidden="1" customWidth="1" outlineLevel="1"/>
    <col min="4" max="4" width="15.44140625" hidden="1" customWidth="1" outlineLevel="1"/>
    <col min="5" max="5" width="13.88671875" hidden="1" customWidth="1" outlineLevel="1"/>
    <col min="6" max="6" width="18.6640625" hidden="1" customWidth="1" outlineLevel="1"/>
    <col min="7" max="7" width="20.109375" hidden="1" customWidth="1" outlineLevel="1"/>
    <col min="8" max="8" width="21.44140625" hidden="1" customWidth="1" outlineLevel="1"/>
    <col min="9" max="9" width="21.109375" hidden="1" customWidth="1" outlineLevel="1"/>
    <col min="10" max="10" width="11.88671875" hidden="1" customWidth="1" outlineLevel="1"/>
    <col min="11" max="11" width="18.88671875" hidden="1" customWidth="1" outlineLevel="1"/>
    <col min="12" max="12" width="20.6640625" hidden="1" customWidth="1" outlineLevel="1"/>
    <col min="13" max="13" width="17.6640625" hidden="1" customWidth="1" outlineLevel="1"/>
    <col min="14" max="14" width="18" hidden="1" customWidth="1" outlineLevel="1"/>
    <col min="15" max="15" width="22.109375" hidden="1" customWidth="1" outlineLevel="1"/>
    <col min="16" max="16" width="26" hidden="1" customWidth="1" outlineLevel="1"/>
    <col min="17" max="17" width="21" hidden="1" customWidth="1" outlineLevel="1"/>
    <col min="18" max="18" width="25.33203125" hidden="1" customWidth="1" outlineLevel="1"/>
    <col min="19" max="19" width="19.88671875" hidden="1" customWidth="1" outlineLevel="1"/>
    <col min="20" max="20" width="25.88671875" hidden="1" customWidth="1" outlineLevel="1"/>
    <col min="21" max="21" width="17.6640625" bestFit="1" customWidth="1" collapsed="1"/>
    <col min="22" max="22" width="14.33203125" bestFit="1" customWidth="1"/>
    <col min="23" max="23" width="15.88671875" bestFit="1" customWidth="1"/>
    <col min="24" max="24" width="22.44140625" bestFit="1" customWidth="1"/>
    <col min="25" max="25" width="14.109375" bestFit="1" customWidth="1"/>
    <col min="26" max="26" width="14.33203125" bestFit="1" customWidth="1"/>
    <col min="27" max="27" width="19.33203125" bestFit="1" customWidth="1"/>
    <col min="28" max="28" width="12.6640625" bestFit="1" customWidth="1"/>
    <col min="29" max="29" width="21.6640625" bestFit="1" customWidth="1"/>
    <col min="30" max="30" width="20.109375" bestFit="1" customWidth="1"/>
    <col min="31" max="31" width="51.6640625" bestFit="1" customWidth="1"/>
    <col min="32" max="32" width="81.109375" bestFit="1" customWidth="1"/>
    <col min="33" max="33" width="13.109375" bestFit="1" customWidth="1"/>
    <col min="34" max="34" width="15.109375" bestFit="1" customWidth="1"/>
    <col min="35" max="35" width="20.33203125" bestFit="1" customWidth="1"/>
    <col min="36" max="36" width="13.109375" bestFit="1" customWidth="1"/>
    <col min="37" max="37" width="13" bestFit="1" customWidth="1"/>
    <col min="38" max="38" width="12.109375" customWidth="1"/>
    <col min="39" max="39" width="11.33203125" bestFit="1" customWidth="1"/>
    <col min="40" max="40" width="12.33203125" bestFit="1" customWidth="1"/>
    <col min="41" max="41" width="12.109375" customWidth="1"/>
    <col min="42" max="43" width="20.5546875" bestFit="1" customWidth="1"/>
    <col min="44" max="44" width="19.5546875" bestFit="1" customWidth="1"/>
    <col min="45" max="45" width="18.88671875" bestFit="1" customWidth="1"/>
    <col min="46" max="46" width="33.5546875" bestFit="1" customWidth="1"/>
    <col min="47" max="47" width="8.109375" bestFit="1" customWidth="1"/>
    <col min="48" max="48" width="11.5546875" bestFit="1" customWidth="1"/>
    <col min="49" max="49" width="13.5546875" bestFit="1" customWidth="1"/>
    <col min="50" max="50" width="21.109375" bestFit="1" customWidth="1"/>
    <col min="51" max="51" width="18.5546875" bestFit="1" customWidth="1"/>
    <col min="52" max="52" width="12" bestFit="1" customWidth="1"/>
    <col min="53" max="53" width="11.5546875" bestFit="1" customWidth="1"/>
    <col min="54" max="54" width="20.33203125" bestFit="1" customWidth="1"/>
  </cols>
  <sheetData>
    <row r="1" spans="1:37" x14ac:dyDescent="0.3">
      <c r="A1" s="92" t="s">
        <v>43</v>
      </c>
      <c r="B1" s="82" t="s">
        <v>1375</v>
      </c>
      <c r="C1" s="93" t="s">
        <v>1376</v>
      </c>
      <c r="D1" s="93" t="s">
        <v>1377</v>
      </c>
      <c r="E1" s="93" t="s">
        <v>883</v>
      </c>
      <c r="F1" s="93" t="s">
        <v>1372</v>
      </c>
      <c r="G1" s="93" t="s">
        <v>1378</v>
      </c>
      <c r="H1" s="93" t="s">
        <v>1379</v>
      </c>
      <c r="I1" s="93" t="s">
        <v>1380</v>
      </c>
      <c r="J1" s="93" t="s">
        <v>1381</v>
      </c>
      <c r="K1" s="93" t="s">
        <v>1747</v>
      </c>
      <c r="L1" s="93" t="s">
        <v>1748</v>
      </c>
      <c r="M1" s="93" t="s">
        <v>1749</v>
      </c>
      <c r="N1" s="93" t="s">
        <v>1750</v>
      </c>
      <c r="O1" s="93" t="s">
        <v>1927</v>
      </c>
      <c r="P1" s="93" t="s">
        <v>2038</v>
      </c>
      <c r="Q1" s="93" t="s">
        <v>1989</v>
      </c>
      <c r="R1" s="93" t="s">
        <v>1990</v>
      </c>
      <c r="S1" s="93" t="s">
        <v>1996</v>
      </c>
      <c r="T1" s="93" t="s">
        <v>1932</v>
      </c>
      <c r="U1" s="93" t="s">
        <v>867</v>
      </c>
      <c r="V1" s="97" t="s">
        <v>1606</v>
      </c>
      <c r="W1" t="s">
        <v>1331</v>
      </c>
      <c r="X1" t="s">
        <v>893</v>
      </c>
      <c r="Y1" t="s">
        <v>871</v>
      </c>
      <c r="Z1" t="s">
        <v>857</v>
      </c>
      <c r="AA1" t="s">
        <v>884</v>
      </c>
      <c r="AB1" t="s">
        <v>49</v>
      </c>
      <c r="AC1" t="s">
        <v>1136</v>
      </c>
      <c r="AD1" t="s">
        <v>1382</v>
      </c>
      <c r="AE1" t="s">
        <v>1383</v>
      </c>
      <c r="AF1" t="s">
        <v>44</v>
      </c>
      <c r="AG1" t="s">
        <v>1384</v>
      </c>
      <c r="AH1" t="s">
        <v>1374</v>
      </c>
      <c r="AI1" t="s">
        <v>1385</v>
      </c>
      <c r="AJ1" t="s">
        <v>1386</v>
      </c>
      <c r="AK1" t="s">
        <v>1387</v>
      </c>
    </row>
    <row r="2" spans="1:37" x14ac:dyDescent="0.3">
      <c r="A2" s="120" t="str">
        <f t="shared" ref="A2" si="0">X2&amp;Y2&amp;TRIM(AE2)&amp;AI2&amp;AA2</f>
        <v>UPLIFT_PUPILASCL%ABCPupil ASCL Uplift %2025/26DEFAULT</v>
      </c>
      <c r="B2" s="85">
        <f>COUNTIF(Statistics_import[Column1],Statistics_import[[#This Row],[Column1]])-1</f>
        <v>0</v>
      </c>
      <c r="C2" s="80" cm="1">
        <f t="array" ref="C2">IF(_xlfn.XLOOKUP(Statistics_import[[#This Row],[FinanceCode]],FC_import[FinanceCode],FC_import[AvailableToAllSchools],1,0,)=TRUE,0,IF(ISERROR(FIND(Statistics_import[[#This Row],[SchoolCode]],_xlfn.TEXTJOIN(",",TRUE,_xlfn.UNIQUE(IF(FC_import[FinanceCode]=Statistics_import[[#This Row],[FinanceCode]],FC_import[SchoolCodes],""))))),1,0))</f>
        <v>0</v>
      </c>
      <c r="D2" s="85">
        <f>IF(COUNTIF(SCHOOLS[SchoolCode],Statistics_import[[#This Row],[SchoolCode]])&gt;0,0,1)</f>
        <v>1</v>
      </c>
      <c r="E2" s="85">
        <f>IF(COUNTIF(LEDGER[LedgerCode],Statistics_import[[#This Row],[LedgerCode]])&gt;0,0,1)</f>
        <v>0</v>
      </c>
      <c r="F2" s="80" cm="1">
        <f t="array" ref="F2">IF(_xlfn.XLOOKUP(Statistics_import[[#This Row],[DepartmentCode]]&amp;Statistics_import[[#This Row],[LedgerCode]],DEPTS[DepartmentCode]&amp;DEPTS[LedgerCode],DEPTS[AvailableToAllSchools],1,0,)=TRUE,0,IF(ISERROR(FIND(Statistics_import[[#This Row],[SchoolCode]],_xlfn.TEXTJOIN(",",TRUE,_xlfn.UNIQUE(IF(DEPTS[DepartmentCode]&amp;DEPTS[LedgerCode]=Statistics_import[[#This Row],[DepartmentCode]]&amp;Statistics_import[[#This Row],[LedgerCode]],DEPTS[SchoolCodes],""))))),1,0))</f>
        <v>1</v>
      </c>
      <c r="G2" s="85">
        <f>IF(ISBLANK(Statistics_import[[#This Row],[MonthProfileCode]]),1,IF(COUNTIF(MONTHPRF[Code],Statistics_import[[#This Row],[MonthProfileCode]])&gt;0,0,1))</f>
        <v>0</v>
      </c>
      <c r="H2" s="80" t="e" cm="1">
        <f t="array" ref="H2">IF(_xlfn.XLOOKUP(Statistics_import[[#This Row],[DepartmentCode]]&amp;Statistics_import[[#This Row],[LedgerCode]],DEPTS[DepartmentCode]&amp;DEPTS[LedgerCode],DEPTS[AvailableToAllSchools])=TRUE,(IF((_xlfn.XLOOKUP(Statistics_import[[#This Row],[DepartmentCode]]&amp;Statistics_import[[#This Row],[LedgerCode]],DEPTS[DepartmentCode]&amp;DEPTS[LedgerCode],DEPTS[LedgerCode])=Statistics_import[[#This Row],[LedgerCode]]),0,1)),(IFERROR(IF(FIND(Statistics_import[[#This Row],[SchoolCode]],(_xlfn.TEXTJOIN(",",TRUE,IF(DEPTS[DepartmentCode]&amp;DEPTS[LedgerCode]=Statistics_import[[#This Row],[DepartmentCode]]&amp;Statistics_import[[#This Row],[LedgerCode]],DEPTS[SchoolCodes],"")))),0,1),1)))</f>
        <v>#N/A</v>
      </c>
      <c r="I2" s="85">
        <f>IF(ISBLANK(Statistics_import[[#This Row],[YearValue]])=Statistics_import[[#This Row],[Calculated]],0,1)</f>
        <v>0</v>
      </c>
      <c r="J2" s="85">
        <f>IF(ISBLANK(Statistics_import[[#This Row],[CalculatorCode]]),0,IF(COUNTIF(Calculators[CalculatorCode],Statistics_import[[#This Row],[CalculatorCode]])&gt;0,0,1))</f>
        <v>0</v>
      </c>
      <c r="K2" s="85">
        <f>IF(TRIM(Statistics_import[[#This Row],[Description]])="",1,0)</f>
        <v>0</v>
      </c>
      <c r="L2" s="85">
        <f>IF(ISBLANK(Statistics_import[[#This Row],[MatEditOnly]]),1,0)</f>
        <v>0</v>
      </c>
      <c r="M2" s="85">
        <f>IF(ISBLANK(Statistics_import[[#This Row],[FinancialYearCode]]),1,0)</f>
        <v>0</v>
      </c>
      <c r="N2" s="85">
        <f>IF(ISBLANK(Statistics_import[[#This Row],[Calculated]]),1,0)</f>
        <v>0</v>
      </c>
      <c r="O2" s="85">
        <f>IF(EXACT(Statistics_import[[#This Row],[FinanceCode]],UPPER(Statistics_import[[#This Row],[FinanceCode]])),0,1)+IF(EXACT(Statistics_import[[#This Row],[SchoolCode]],UPPER(Statistics_import[[#This Row],[SchoolCode]])),0,1)+IF(EXACT(Statistics_import[[#This Row],[LedgerCode]],UPPER(Statistics_import[[#This Row],[LedgerCode]])),0,1)+IF(EXACT(Statistics_import[[#This Row],[DepartmentCode]],UPPER(Statistics_import[[#This Row],[DepartmentCode]])),0,1)+IF(EXACT(Statistics_import[[#This Row],[CalculatorCode]],UPPER(Statistics_import[[#This Row],[CalculatorCode]])),0,1)+IF(EXACT(Statistics_import[[#This Row],[MonthProfileCode]],UPPER(Statistics_import[[#This Row],[MonthProfileCode]])),0,1)</f>
        <v>0</v>
      </c>
      <c r="P2" s="95">
        <f>IF(LEN(Statistics_import[[#This Row],[Description]])&lt;100,0,1)</f>
        <v>0</v>
      </c>
      <c r="Q2" s="95">
        <f>IF(LEN(Statistics_import[[#This Row],[Notes]])&lt;4000,0,1)</f>
        <v>0</v>
      </c>
      <c r="R2" s="95">
        <f>IF(LEN(Statistics_import[[#This Row],[YearNotes]])&lt;4000,0,1)</f>
        <v>0</v>
      </c>
      <c r="S2" s="95">
        <f>IF(OR(Statistics_import[[#This Row],[MatEditOnly]]=TRUE,Statistics_import[[#This Row],[MatEditOnly]]=FALSE),IF(OR(Statistics_import[[#This Row],[Calculated]]=TRUE,Statistics_import[[#This Row],[Calculated]]=FALSE),0,1),1)</f>
        <v>0</v>
      </c>
      <c r="T2" s="85">
        <f>IF(_xlfn.XLOOKUP(Statistics_import[[#This Row],[FinancialYearCode]],Years[Years],Years[Years],1)=Statistics_import[[#This Row],[FinancialYearCode]],0,1)</f>
        <v>0</v>
      </c>
      <c r="U2" s="85" t="e">
        <f>SUM(Statistics_import[[#This Row],[DuplicateLine]:[FinancialYearCode Check]])</f>
        <v>#N/A</v>
      </c>
      <c r="V2" s="80" t="e">
        <f>_xlfn.XLOOKUP(Statistics_import[[#This Row],[SchoolCode]],SCHOOLS[SchoolCode],SCHOOLS[Title])</f>
        <v>#N/A</v>
      </c>
      <c r="X2" t="s">
        <v>1050</v>
      </c>
      <c r="Y2" t="s">
        <v>2572</v>
      </c>
      <c r="Z2" t="s">
        <v>51</v>
      </c>
      <c r="AA2" t="s">
        <v>51</v>
      </c>
      <c r="AC2" t="s">
        <v>1242</v>
      </c>
      <c r="AD2" t="s">
        <v>1124</v>
      </c>
      <c r="AE2" t="s">
        <v>1400</v>
      </c>
      <c r="AF2" t="s">
        <v>1679</v>
      </c>
      <c r="AH2" t="b">
        <v>1</v>
      </c>
      <c r="AI2" t="s">
        <v>1497</v>
      </c>
      <c r="AJ2" t="b">
        <v>1</v>
      </c>
    </row>
  </sheetData>
  <phoneticPr fontId="2" type="noConversion"/>
  <pageMargins left="0.7" right="0.7" top="0.75" bottom="0.75" header="0.3" footer="0.3"/>
  <pageSetup paperSize="9" orientation="portrait" r:id="rId1"/>
  <tableParts count="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48619-4D66-4AF2-B670-1D89B84345A0}">
  <sheetPr>
    <tabColor rgb="FFB2B2B2"/>
  </sheetPr>
  <dimension ref="A1:C47"/>
  <sheetViews>
    <sheetView workbookViewId="0">
      <selection activeCell="B43" sqref="B43:B44"/>
    </sheetView>
  </sheetViews>
  <sheetFormatPr defaultRowHeight="14.4" x14ac:dyDescent="0.3"/>
  <cols>
    <col min="1" max="1" width="31.88671875" bestFit="1" customWidth="1"/>
    <col min="2" max="2" width="70.88671875" bestFit="1" customWidth="1"/>
    <col min="3" max="3" width="45.88671875" bestFit="1" customWidth="1"/>
  </cols>
  <sheetData>
    <row r="1" spans="1:3" ht="29.4" thickBot="1" x14ac:dyDescent="0.35">
      <c r="A1" s="191" t="s">
        <v>2475</v>
      </c>
      <c r="B1" s="192"/>
      <c r="C1" s="151" t="s">
        <v>2499</v>
      </c>
    </row>
    <row r="2" spans="1:3" x14ac:dyDescent="0.3">
      <c r="A2" s="148" t="s">
        <v>2476</v>
      </c>
      <c r="B2" s="140" t="s">
        <v>2477</v>
      </c>
      <c r="C2" s="152" t="s">
        <v>1383</v>
      </c>
    </row>
    <row r="3" spans="1:3" x14ac:dyDescent="0.3">
      <c r="A3" s="148" t="s">
        <v>2478</v>
      </c>
      <c r="B3" s="140" t="s">
        <v>858</v>
      </c>
      <c r="C3" s="152" t="s">
        <v>2500</v>
      </c>
    </row>
    <row r="4" spans="1:3" x14ac:dyDescent="0.3">
      <c r="A4" s="148" t="s">
        <v>2478</v>
      </c>
      <c r="B4" s="140" t="s">
        <v>2472</v>
      </c>
      <c r="C4" s="152" t="s">
        <v>2501</v>
      </c>
    </row>
    <row r="5" spans="1:3" x14ac:dyDescent="0.3">
      <c r="A5" s="148" t="s">
        <v>2478</v>
      </c>
      <c r="B5" s="140" t="s">
        <v>2473</v>
      </c>
      <c r="C5" s="152" t="s">
        <v>2502</v>
      </c>
    </row>
    <row r="6" spans="1:3" x14ac:dyDescent="0.3">
      <c r="A6" s="148" t="s">
        <v>2479</v>
      </c>
      <c r="B6" s="140" t="s">
        <v>2542</v>
      </c>
      <c r="C6" s="152" t="s">
        <v>2503</v>
      </c>
    </row>
    <row r="7" spans="1:3" x14ac:dyDescent="0.3">
      <c r="A7" s="148" t="s">
        <v>2479</v>
      </c>
      <c r="B7" s="140" t="s">
        <v>2543</v>
      </c>
      <c r="C7" s="152" t="s">
        <v>2504</v>
      </c>
    </row>
    <row r="8" spans="1:3" x14ac:dyDescent="0.3">
      <c r="A8" s="148" t="s">
        <v>2479</v>
      </c>
      <c r="B8" s="140" t="s">
        <v>2544</v>
      </c>
      <c r="C8" s="152" t="s">
        <v>2505</v>
      </c>
    </row>
    <row r="9" spans="1:3" x14ac:dyDescent="0.3">
      <c r="A9" s="148" t="s">
        <v>2479</v>
      </c>
      <c r="B9" s="140" t="s">
        <v>2545</v>
      </c>
      <c r="C9" s="152" t="s">
        <v>2506</v>
      </c>
    </row>
    <row r="10" spans="1:3" x14ac:dyDescent="0.3">
      <c r="A10" s="148" t="s">
        <v>2479</v>
      </c>
      <c r="B10" s="140" t="s">
        <v>2546</v>
      </c>
      <c r="C10" s="152" t="s">
        <v>2507</v>
      </c>
    </row>
    <row r="11" spans="1:3" x14ac:dyDescent="0.3">
      <c r="A11" s="148" t="s">
        <v>2479</v>
      </c>
      <c r="B11" s="140" t="s">
        <v>2547</v>
      </c>
      <c r="C11" s="152" t="s">
        <v>2508</v>
      </c>
    </row>
    <row r="12" spans="1:3" x14ac:dyDescent="0.3">
      <c r="A12" s="148" t="s">
        <v>2479</v>
      </c>
      <c r="B12" s="140" t="s">
        <v>2548</v>
      </c>
      <c r="C12" s="152" t="s">
        <v>2509</v>
      </c>
    </row>
    <row r="13" spans="1:3" x14ac:dyDescent="0.3">
      <c r="A13" s="148" t="s">
        <v>2479</v>
      </c>
      <c r="B13" s="140" t="s">
        <v>2570</v>
      </c>
      <c r="C13" s="152" t="s">
        <v>2510</v>
      </c>
    </row>
    <row r="14" spans="1:3" x14ac:dyDescent="0.3">
      <c r="A14" s="148" t="s">
        <v>2479</v>
      </c>
      <c r="B14" s="140" t="s">
        <v>2552</v>
      </c>
      <c r="C14" s="153" t="s">
        <v>2511</v>
      </c>
    </row>
    <row r="15" spans="1:3" x14ac:dyDescent="0.3">
      <c r="A15" s="148" t="s">
        <v>2479</v>
      </c>
      <c r="B15" s="140" t="s">
        <v>2465</v>
      </c>
      <c r="C15" s="153" t="s">
        <v>2512</v>
      </c>
    </row>
    <row r="16" spans="1:3" x14ac:dyDescent="0.3">
      <c r="A16" s="148" t="s">
        <v>2479</v>
      </c>
      <c r="B16" s="140" t="s">
        <v>2466</v>
      </c>
      <c r="C16" s="153" t="s">
        <v>2513</v>
      </c>
    </row>
    <row r="17" spans="1:3" x14ac:dyDescent="0.3">
      <c r="A17" s="148" t="s">
        <v>2479</v>
      </c>
      <c r="B17" s="140" t="s">
        <v>2467</v>
      </c>
      <c r="C17" s="153" t="s">
        <v>2514</v>
      </c>
    </row>
    <row r="18" spans="1:3" x14ac:dyDescent="0.3">
      <c r="A18" s="148" t="s">
        <v>2479</v>
      </c>
      <c r="B18" s="140" t="s">
        <v>2468</v>
      </c>
      <c r="C18" s="153" t="s">
        <v>2515</v>
      </c>
    </row>
    <row r="19" spans="1:3" x14ac:dyDescent="0.3">
      <c r="A19" s="148" t="s">
        <v>2479</v>
      </c>
      <c r="B19" s="140" t="s">
        <v>2553</v>
      </c>
      <c r="C19" s="153" t="s">
        <v>2516</v>
      </c>
    </row>
    <row r="20" spans="1:3" x14ac:dyDescent="0.3">
      <c r="A20" s="148" t="s">
        <v>2479</v>
      </c>
      <c r="B20" s="140" t="s">
        <v>2554</v>
      </c>
      <c r="C20" s="153" t="s">
        <v>2517</v>
      </c>
    </row>
    <row r="21" spans="1:3" x14ac:dyDescent="0.3">
      <c r="A21" s="148" t="s">
        <v>2479</v>
      </c>
      <c r="B21" s="140" t="s">
        <v>2555</v>
      </c>
      <c r="C21" s="153" t="s">
        <v>2518</v>
      </c>
    </row>
    <row r="22" spans="1:3" x14ac:dyDescent="0.3">
      <c r="A22" s="148" t="s">
        <v>2480</v>
      </c>
      <c r="B22" s="140" t="s">
        <v>2556</v>
      </c>
      <c r="C22" s="152" t="s">
        <v>2519</v>
      </c>
    </row>
    <row r="23" spans="1:3" x14ac:dyDescent="0.3">
      <c r="A23" s="148" t="s">
        <v>2480</v>
      </c>
      <c r="B23" s="140" t="s">
        <v>2549</v>
      </c>
      <c r="C23" s="152" t="s">
        <v>2520</v>
      </c>
    </row>
    <row r="24" spans="1:3" x14ac:dyDescent="0.3">
      <c r="A24" s="148" t="s">
        <v>2481</v>
      </c>
      <c r="B24" s="140" t="s">
        <v>2557</v>
      </c>
      <c r="C24" s="152" t="s">
        <v>2521</v>
      </c>
    </row>
    <row r="25" spans="1:3" x14ac:dyDescent="0.3">
      <c r="A25" s="148" t="s">
        <v>2481</v>
      </c>
      <c r="B25" s="140" t="s">
        <v>2550</v>
      </c>
      <c r="C25" s="152" t="s">
        <v>2522</v>
      </c>
    </row>
    <row r="26" spans="1:3" x14ac:dyDescent="0.3">
      <c r="A26" s="148" t="s">
        <v>2482</v>
      </c>
      <c r="B26" s="140" t="s">
        <v>2558</v>
      </c>
      <c r="C26" s="152" t="s">
        <v>2523</v>
      </c>
    </row>
    <row r="27" spans="1:3" x14ac:dyDescent="0.3">
      <c r="A27" s="148" t="s">
        <v>2482</v>
      </c>
      <c r="B27" s="140" t="s">
        <v>2551</v>
      </c>
      <c r="C27" s="152" t="s">
        <v>2524</v>
      </c>
    </row>
    <row r="28" spans="1:3" x14ac:dyDescent="0.3">
      <c r="A28" s="148" t="s">
        <v>2483</v>
      </c>
      <c r="B28" s="140" t="s">
        <v>2484</v>
      </c>
      <c r="C28" s="152" t="s">
        <v>2525</v>
      </c>
    </row>
    <row r="29" spans="1:3" x14ac:dyDescent="0.3">
      <c r="A29" s="148" t="s">
        <v>2485</v>
      </c>
      <c r="B29" s="140" t="s">
        <v>2469</v>
      </c>
      <c r="C29" s="152" t="s">
        <v>2526</v>
      </c>
    </row>
    <row r="30" spans="1:3" x14ac:dyDescent="0.3">
      <c r="A30" s="148" t="s">
        <v>2485</v>
      </c>
      <c r="B30" s="140" t="s">
        <v>2474</v>
      </c>
      <c r="C30" s="152" t="s">
        <v>2527</v>
      </c>
    </row>
    <row r="31" spans="1:3" x14ac:dyDescent="0.3">
      <c r="A31" s="148" t="s">
        <v>2486</v>
      </c>
      <c r="B31" s="140" t="s">
        <v>2487</v>
      </c>
      <c r="C31" s="152" t="s">
        <v>2528</v>
      </c>
    </row>
    <row r="32" spans="1:3" x14ac:dyDescent="0.3">
      <c r="A32" s="148" t="s">
        <v>2488</v>
      </c>
      <c r="B32" s="140" t="s">
        <v>2470</v>
      </c>
      <c r="C32" s="152" t="s">
        <v>2529</v>
      </c>
    </row>
    <row r="33" spans="1:3" x14ac:dyDescent="0.3">
      <c r="A33" s="148" t="s">
        <v>2489</v>
      </c>
      <c r="B33" s="140" t="s">
        <v>2471</v>
      </c>
      <c r="C33" s="152" t="s">
        <v>2530</v>
      </c>
    </row>
    <row r="34" spans="1:3" x14ac:dyDescent="0.3">
      <c r="A34" s="148" t="s">
        <v>2490</v>
      </c>
      <c r="B34" s="140" t="s">
        <v>2491</v>
      </c>
      <c r="C34" s="152" t="s">
        <v>2531</v>
      </c>
    </row>
    <row r="35" spans="1:3" x14ac:dyDescent="0.3">
      <c r="A35" s="140" t="s">
        <v>2492</v>
      </c>
      <c r="B35" s="140" t="s">
        <v>2492</v>
      </c>
      <c r="C35" s="152" t="s">
        <v>2532</v>
      </c>
    </row>
    <row r="36" spans="1:3" x14ac:dyDescent="0.3">
      <c r="A36" s="148" t="s">
        <v>2569</v>
      </c>
      <c r="B36" s="155" t="s">
        <v>2569</v>
      </c>
      <c r="C36" s="152" t="s">
        <v>2533</v>
      </c>
    </row>
    <row r="37" spans="1:3" x14ac:dyDescent="0.3">
      <c r="A37" s="148" t="s">
        <v>2493</v>
      </c>
      <c r="B37" s="140" t="s">
        <v>2494</v>
      </c>
      <c r="C37" s="152" t="s">
        <v>1437</v>
      </c>
    </row>
    <row r="38" spans="1:3" x14ac:dyDescent="0.3">
      <c r="A38" s="148" t="s">
        <v>2493</v>
      </c>
      <c r="B38" s="140" t="s">
        <v>2495</v>
      </c>
      <c r="C38" s="152" t="s">
        <v>1609</v>
      </c>
    </row>
    <row r="39" spans="1:3" x14ac:dyDescent="0.3">
      <c r="A39" s="148" t="s">
        <v>2493</v>
      </c>
      <c r="B39" s="140" t="s">
        <v>2496</v>
      </c>
      <c r="C39" s="152" t="s">
        <v>1437</v>
      </c>
    </row>
    <row r="40" spans="1:3" x14ac:dyDescent="0.3">
      <c r="A40" s="148" t="s">
        <v>2497</v>
      </c>
      <c r="B40" s="140" t="s">
        <v>2498</v>
      </c>
      <c r="C40" s="152" t="s">
        <v>2533</v>
      </c>
    </row>
    <row r="41" spans="1:3" x14ac:dyDescent="0.3">
      <c r="A41" s="148" t="s">
        <v>2456</v>
      </c>
      <c r="B41" s="140" t="s">
        <v>2456</v>
      </c>
      <c r="C41" s="152" t="s">
        <v>2534</v>
      </c>
    </row>
    <row r="42" spans="1:3" x14ac:dyDescent="0.3">
      <c r="A42" s="148" t="s">
        <v>2457</v>
      </c>
      <c r="B42" s="140" t="s">
        <v>2457</v>
      </c>
      <c r="C42" s="152" t="s">
        <v>2535</v>
      </c>
    </row>
    <row r="43" spans="1:3" x14ac:dyDescent="0.3">
      <c r="A43" s="148" t="s">
        <v>2458</v>
      </c>
      <c r="B43" s="140" t="s">
        <v>2458</v>
      </c>
      <c r="C43" s="152" t="s">
        <v>2536</v>
      </c>
    </row>
    <row r="44" spans="1:3" x14ac:dyDescent="0.3">
      <c r="A44" s="148" t="s">
        <v>2459</v>
      </c>
      <c r="B44" s="140" t="s">
        <v>2459</v>
      </c>
      <c r="C44" s="152" t="s">
        <v>2537</v>
      </c>
    </row>
    <row r="45" spans="1:3" x14ac:dyDescent="0.3">
      <c r="A45" s="148" t="s">
        <v>2460</v>
      </c>
      <c r="B45" s="140" t="s">
        <v>2460</v>
      </c>
      <c r="C45" s="152" t="s">
        <v>2538</v>
      </c>
    </row>
    <row r="46" spans="1:3" x14ac:dyDescent="0.3">
      <c r="A46" s="148" t="s">
        <v>2461</v>
      </c>
      <c r="B46" s="140" t="s">
        <v>2461</v>
      </c>
      <c r="C46" s="152" t="s">
        <v>1608</v>
      </c>
    </row>
    <row r="47" spans="1:3" ht="15" thickBot="1" x14ac:dyDescent="0.35">
      <c r="A47" s="149" t="s">
        <v>2462</v>
      </c>
      <c r="B47" s="150" t="s">
        <v>2462</v>
      </c>
      <c r="C47" s="154" t="s">
        <v>2539</v>
      </c>
    </row>
  </sheetData>
  <mergeCells count="1">
    <mergeCell ref="A1:B1"/>
  </mergeCells>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86011-CD39-439F-827B-D6C5B1E03F63}">
  <sheetPr>
    <tabColor rgb="FFDCCEE4"/>
  </sheetPr>
  <dimension ref="A1:V3"/>
  <sheetViews>
    <sheetView topLeftCell="E1" workbookViewId="0">
      <selection activeCell="T19" sqref="T19"/>
    </sheetView>
  </sheetViews>
  <sheetFormatPr defaultRowHeight="14.4" outlineLevelCol="1" x14ac:dyDescent="0.3"/>
  <cols>
    <col min="1" max="1" width="13.6640625" style="71" bestFit="1" customWidth="1"/>
    <col min="2" max="2" width="34.44140625" bestFit="1" customWidth="1"/>
    <col min="3" max="3" width="7.33203125" bestFit="1" customWidth="1"/>
    <col min="4" max="4" width="81.109375" bestFit="1" customWidth="1"/>
    <col min="5" max="5" width="80.6640625" bestFit="1" customWidth="1"/>
    <col min="6" max="6" width="8.109375" bestFit="1" customWidth="1"/>
    <col min="7" max="7" width="12.5546875" bestFit="1" customWidth="1"/>
    <col min="8" max="8" width="8.6640625" bestFit="1" customWidth="1"/>
    <col min="9" max="9" width="11.109375" bestFit="1" customWidth="1"/>
    <col min="10" max="10" width="38.33203125" bestFit="1" customWidth="1"/>
    <col min="11" max="11" width="9.109375" customWidth="1"/>
    <col min="12" max="15" width="9.109375" hidden="1" customWidth="1" outlineLevel="1"/>
    <col min="16" max="16" width="13.6640625" bestFit="1" customWidth="1" collapsed="1"/>
    <col min="17" max="17" width="9.5546875" bestFit="1" customWidth="1"/>
    <col min="18" max="18" width="21.88671875" bestFit="1" customWidth="1"/>
    <col min="19" max="19" width="30.6640625" bestFit="1" customWidth="1"/>
    <col min="20" max="20" width="41.33203125" bestFit="1" customWidth="1"/>
    <col min="21" max="21" width="10.44140625" bestFit="1" customWidth="1"/>
    <col min="22" max="22" width="38.109375" bestFit="1" customWidth="1"/>
  </cols>
  <sheetData>
    <row r="1" spans="1:22" ht="23.4" x14ac:dyDescent="0.45">
      <c r="A1" s="181" t="s">
        <v>1617</v>
      </c>
      <c r="B1" s="181"/>
      <c r="C1" s="181"/>
      <c r="D1" s="181"/>
      <c r="E1" s="181"/>
      <c r="F1" s="181"/>
      <c r="G1" s="181"/>
      <c r="H1" s="181"/>
      <c r="I1" s="181"/>
      <c r="J1" s="181"/>
      <c r="P1" s="181" t="s">
        <v>1618</v>
      </c>
      <c r="Q1" s="181"/>
      <c r="R1" s="181"/>
      <c r="S1" s="181"/>
      <c r="T1" s="181"/>
      <c r="U1" s="181"/>
      <c r="V1" s="181"/>
    </row>
    <row r="2" spans="1:22" x14ac:dyDescent="0.3">
      <c r="A2" t="s">
        <v>871</v>
      </c>
      <c r="B2" t="s">
        <v>2559</v>
      </c>
      <c r="C2" t="s">
        <v>2560</v>
      </c>
      <c r="D2" t="s">
        <v>2562</v>
      </c>
      <c r="E2" s="71" t="s">
        <v>2540</v>
      </c>
      <c r="F2" t="s">
        <v>2463</v>
      </c>
      <c r="G2" t="s">
        <v>2464</v>
      </c>
      <c r="H2" t="s">
        <v>1710</v>
      </c>
      <c r="I2" t="s">
        <v>2541</v>
      </c>
      <c r="J2" t="s">
        <v>2561</v>
      </c>
      <c r="P2" t="s">
        <v>871</v>
      </c>
      <c r="Q2" t="s">
        <v>2454</v>
      </c>
      <c r="R2" t="s">
        <v>2453</v>
      </c>
      <c r="S2" t="s">
        <v>2451</v>
      </c>
      <c r="T2" t="s">
        <v>2455</v>
      </c>
      <c r="U2" t="s">
        <v>2452</v>
      </c>
      <c r="V2" t="s">
        <v>2561</v>
      </c>
    </row>
    <row r="3" spans="1:22" x14ac:dyDescent="0.3">
      <c r="A3"/>
      <c r="E3" s="71"/>
    </row>
  </sheetData>
  <mergeCells count="2">
    <mergeCell ref="P1:V1"/>
    <mergeCell ref="A1:J1"/>
  </mergeCells>
  <phoneticPr fontId="2" type="noConversion"/>
  <pageMargins left="0.7" right="0.7" top="0.75" bottom="0.75" header="0.3" footer="0.3"/>
  <tableParts count="2">
    <tablePart r:id="rId1"/>
    <tablePart r:id="rId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09FDA-80E2-4CD6-BD55-683F6390EE41}">
  <sheetPr codeName="Sheet33">
    <tabColor rgb="FFDCCEE4"/>
  </sheetPr>
  <dimension ref="A1:AM2"/>
  <sheetViews>
    <sheetView tabSelected="1" topLeftCell="AA1" zoomScale="90" zoomScaleNormal="90" workbookViewId="0">
      <selection activeCell="AG13" sqref="AG13:AG14"/>
    </sheetView>
  </sheetViews>
  <sheetFormatPr defaultRowHeight="14.4" outlineLevelCol="1" x14ac:dyDescent="0.3"/>
  <cols>
    <col min="1" max="1" width="81.109375" hidden="1" customWidth="1" outlineLevel="1"/>
    <col min="2" max="2" width="16" hidden="1" customWidth="1" outlineLevel="1"/>
    <col min="3" max="3" width="19.88671875" hidden="1" customWidth="1" outlineLevel="1"/>
    <col min="4" max="4" width="15.88671875" hidden="1" customWidth="1" outlineLevel="1"/>
    <col min="5" max="5" width="14.44140625" hidden="1" customWidth="1" outlineLevel="1"/>
    <col min="6" max="6" width="20.109375" hidden="1" customWidth="1" outlineLevel="1"/>
    <col min="7" max="7" width="19.44140625" hidden="1" customWidth="1" outlineLevel="1"/>
    <col min="8" max="8" width="18" hidden="1" customWidth="1" outlineLevel="1"/>
    <col min="9" max="9" width="22.44140625" hidden="1" customWidth="1" outlineLevel="1"/>
    <col min="10" max="10" width="22.109375" hidden="1" customWidth="1" outlineLevel="1"/>
    <col min="11" max="11" width="12.6640625" hidden="1" customWidth="1" outlineLevel="1"/>
    <col min="12" max="12" width="19.88671875" hidden="1" customWidth="1" outlineLevel="1"/>
    <col min="13" max="13" width="21.6640625" hidden="1" customWidth="1" outlineLevel="1"/>
    <col min="14" max="14" width="18.5546875" hidden="1" customWidth="1" outlineLevel="1"/>
    <col min="15" max="15" width="18.88671875" hidden="1" customWidth="1" outlineLevel="1"/>
    <col min="16" max="16" width="22.88671875" hidden="1" customWidth="1" outlineLevel="1"/>
    <col min="17" max="17" width="26.6640625" hidden="1" customWidth="1" outlineLevel="1"/>
    <col min="18" max="18" width="21.6640625" hidden="1" customWidth="1" outlineLevel="1"/>
    <col min="19" max="19" width="26" hidden="1" customWidth="1" outlineLevel="1"/>
    <col min="20" max="20" width="21" hidden="1" customWidth="1" outlineLevel="1"/>
    <col min="21" max="21" width="26.44140625" hidden="1" customWidth="1" outlineLevel="1"/>
    <col min="22" max="22" width="24.5546875" hidden="1" customWidth="1" outlineLevel="1"/>
    <col min="23" max="23" width="16.6640625" bestFit="1" customWidth="1" collapsed="1"/>
    <col min="24" max="24" width="34.33203125" bestFit="1" customWidth="1"/>
    <col min="25" max="25" width="15.5546875" bestFit="1" customWidth="1"/>
    <col min="26" max="26" width="24.6640625" bestFit="1" customWidth="1"/>
    <col min="27" max="27" width="13.6640625" customWidth="1" outlineLevel="1"/>
    <col min="28" max="28" width="14.109375" customWidth="1" outlineLevel="1"/>
    <col min="29" max="29" width="19" customWidth="1" outlineLevel="1"/>
    <col min="30" max="30" width="12.44140625" customWidth="1" outlineLevel="1"/>
    <col min="31" max="31" width="20.109375" customWidth="1" outlineLevel="1"/>
    <col min="32" max="32" width="20.6640625" customWidth="1" outlineLevel="1"/>
    <col min="33" max="33" width="48.33203125" bestFit="1" customWidth="1"/>
    <col min="34" max="34" width="67.6640625" customWidth="1" outlineLevel="1"/>
    <col min="35" max="35" width="12.88671875" customWidth="1" outlineLevel="1"/>
    <col min="36" max="36" width="14.44140625" customWidth="1" outlineLevel="1"/>
    <col min="37" max="37" width="20" customWidth="1" outlineLevel="1"/>
    <col min="38" max="38" width="12.5546875" customWidth="1" outlineLevel="1"/>
    <col min="39" max="39" width="12.5546875" bestFit="1" customWidth="1"/>
    <col min="40" max="41" width="12.88671875" bestFit="1" customWidth="1"/>
    <col min="42" max="42" width="12.5546875" bestFit="1" customWidth="1"/>
    <col min="43" max="43" width="18.33203125" bestFit="1" customWidth="1"/>
    <col min="44" max="44" width="11.88671875" bestFit="1" customWidth="1"/>
    <col min="45" max="45" width="23.33203125" bestFit="1" customWidth="1"/>
    <col min="46" max="46" width="19.5546875" bestFit="1" customWidth="1"/>
    <col min="47" max="47" width="43.33203125" bestFit="1" customWidth="1"/>
    <col min="48" max="48" width="8.33203125" bestFit="1" customWidth="1"/>
    <col min="49" max="49" width="12.33203125" bestFit="1" customWidth="1"/>
    <col min="50" max="50" width="14" bestFit="1" customWidth="1"/>
    <col min="51" max="51" width="21.5546875" bestFit="1" customWidth="1"/>
    <col min="52" max="52" width="19.33203125" bestFit="1" customWidth="1"/>
    <col min="53" max="53" width="12.33203125" bestFit="1" customWidth="1"/>
    <col min="54" max="54" width="12.109375" bestFit="1" customWidth="1"/>
    <col min="55" max="55" width="20.5546875" bestFit="1" customWidth="1"/>
  </cols>
  <sheetData>
    <row r="1" spans="1:39" x14ac:dyDescent="0.3">
      <c r="A1" s="92" t="s">
        <v>43</v>
      </c>
      <c r="B1" s="82" t="s">
        <v>1375</v>
      </c>
      <c r="C1" s="93" t="s">
        <v>1376</v>
      </c>
      <c r="D1" s="93" t="s">
        <v>1377</v>
      </c>
      <c r="E1" s="93" t="s">
        <v>883</v>
      </c>
      <c r="F1" s="93" t="s">
        <v>1378</v>
      </c>
      <c r="G1" s="93" t="s">
        <v>1372</v>
      </c>
      <c r="H1" s="93" t="s">
        <v>1442</v>
      </c>
      <c r="I1" s="93" t="s">
        <v>1379</v>
      </c>
      <c r="J1" s="93" t="s">
        <v>1380</v>
      </c>
      <c r="K1" s="93" t="s">
        <v>1381</v>
      </c>
      <c r="L1" s="93" t="s">
        <v>1747</v>
      </c>
      <c r="M1" s="93" t="s">
        <v>1748</v>
      </c>
      <c r="N1" s="93" t="s">
        <v>1749</v>
      </c>
      <c r="O1" s="93" t="s">
        <v>1750</v>
      </c>
      <c r="P1" s="93" t="s">
        <v>1927</v>
      </c>
      <c r="Q1" s="93" t="s">
        <v>2038</v>
      </c>
      <c r="R1" s="93" t="s">
        <v>1989</v>
      </c>
      <c r="S1" s="93" t="s">
        <v>1990</v>
      </c>
      <c r="T1" s="93" t="s">
        <v>1996</v>
      </c>
      <c r="U1" s="93" t="s">
        <v>1932</v>
      </c>
      <c r="V1" s="93" t="s">
        <v>2090</v>
      </c>
      <c r="W1" s="82" t="s">
        <v>867</v>
      </c>
      <c r="X1" s="83" t="s">
        <v>1606</v>
      </c>
      <c r="Y1" t="s">
        <v>1331</v>
      </c>
      <c r="Z1" t="s">
        <v>893</v>
      </c>
      <c r="AA1" t="s">
        <v>871</v>
      </c>
      <c r="AB1" t="s">
        <v>857</v>
      </c>
      <c r="AC1" t="s">
        <v>884</v>
      </c>
      <c r="AD1" t="s">
        <v>49</v>
      </c>
      <c r="AE1" t="s">
        <v>1382</v>
      </c>
      <c r="AF1" t="s">
        <v>1136</v>
      </c>
      <c r="AG1" t="s">
        <v>1383</v>
      </c>
      <c r="AH1" t="s">
        <v>44</v>
      </c>
      <c r="AI1" t="s">
        <v>1384</v>
      </c>
      <c r="AJ1" t="s">
        <v>1374</v>
      </c>
      <c r="AK1" t="s">
        <v>1385</v>
      </c>
      <c r="AL1" t="s">
        <v>1386</v>
      </c>
      <c r="AM1" t="s">
        <v>1387</v>
      </c>
    </row>
    <row r="2" spans="1:39" x14ac:dyDescent="0.3">
      <c r="A2" s="123"/>
      <c r="B2" s="95"/>
      <c r="C2" s="80"/>
      <c r="D2" s="95"/>
      <c r="E2" s="95"/>
      <c r="F2" s="95"/>
      <c r="G2" s="80"/>
      <c r="H2" s="95"/>
      <c r="I2" s="80"/>
      <c r="J2" s="95"/>
      <c r="K2" s="95"/>
      <c r="L2" s="95"/>
      <c r="M2" s="95"/>
      <c r="N2" s="95"/>
      <c r="O2" s="95"/>
      <c r="P2" s="95"/>
      <c r="Q2" s="95"/>
      <c r="R2" s="95"/>
      <c r="S2" s="95"/>
      <c r="T2" s="95"/>
      <c r="U2" s="95"/>
      <c r="V2" s="95"/>
      <c r="W2" s="95"/>
      <c r="X2" s="80"/>
    </row>
  </sheetData>
  <phoneticPr fontId="2" type="noConversion"/>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596C2-5E0F-47F9-972F-B44B3697F9B5}">
  <sheetPr codeName="Sheet35">
    <tabColor rgb="FFDCCEE4"/>
  </sheetPr>
  <dimension ref="A1:AM34"/>
  <sheetViews>
    <sheetView topLeftCell="W1" zoomScale="80" zoomScaleNormal="80" workbookViewId="0">
      <selection activeCell="AB3" sqref="AB3"/>
    </sheetView>
  </sheetViews>
  <sheetFormatPr defaultRowHeight="14.4" outlineLevelCol="1" x14ac:dyDescent="0.3"/>
  <cols>
    <col min="1" max="1" width="61.44140625" hidden="1" customWidth="1" outlineLevel="1"/>
    <col min="2" max="2" width="16" hidden="1" customWidth="1" outlineLevel="1"/>
    <col min="3" max="3" width="19.88671875" hidden="1" customWidth="1" outlineLevel="1"/>
    <col min="4" max="4" width="15.88671875" hidden="1" customWidth="1" outlineLevel="1"/>
    <col min="5" max="5" width="14.44140625" hidden="1" customWidth="1" outlineLevel="1"/>
    <col min="6" max="6" width="20.109375" hidden="1" customWidth="1" outlineLevel="1"/>
    <col min="7" max="7" width="19.44140625" hidden="1" customWidth="1" outlineLevel="1"/>
    <col min="8" max="8" width="18" hidden="1" customWidth="1" outlineLevel="1"/>
    <col min="9" max="9" width="22.44140625" hidden="1" customWidth="1" outlineLevel="1"/>
    <col min="10" max="10" width="22.109375" hidden="1" customWidth="1" outlineLevel="1"/>
    <col min="11" max="11" width="12.6640625" hidden="1" customWidth="1" outlineLevel="1"/>
    <col min="12" max="12" width="19.88671875" hidden="1" customWidth="1" outlineLevel="1"/>
    <col min="13" max="13" width="21.6640625" hidden="1" customWidth="1" outlineLevel="1"/>
    <col min="14" max="14" width="18.5546875" hidden="1" customWidth="1" outlineLevel="1"/>
    <col min="15" max="15" width="18.88671875" hidden="1" customWidth="1" outlineLevel="1"/>
    <col min="16" max="16" width="22.88671875" hidden="1" customWidth="1" outlineLevel="1"/>
    <col min="17" max="17" width="26.6640625" hidden="1" customWidth="1" outlineLevel="1"/>
    <col min="18" max="18" width="21.6640625" hidden="1" customWidth="1" outlineLevel="1"/>
    <col min="19" max="19" width="26" hidden="1" customWidth="1" outlineLevel="1"/>
    <col min="20" max="20" width="21" hidden="1" customWidth="1" outlineLevel="1"/>
    <col min="21" max="21" width="26.44140625" hidden="1" customWidth="1" outlineLevel="1"/>
    <col min="22" max="22" width="24.5546875" hidden="1" customWidth="1" outlineLevel="1"/>
    <col min="23" max="23" width="17.6640625" bestFit="1" customWidth="1" collapsed="1"/>
    <col min="24" max="24" width="25.5546875" bestFit="1" customWidth="1"/>
    <col min="25" max="25" width="15.88671875" bestFit="1" customWidth="1"/>
    <col min="26" max="26" width="15.109375" bestFit="1" customWidth="1"/>
    <col min="27" max="27" width="14.109375" bestFit="1" customWidth="1"/>
    <col min="28" max="28" width="14.33203125" bestFit="1" customWidth="1"/>
    <col min="29" max="29" width="19.33203125" bestFit="1" customWidth="1"/>
    <col min="30" max="30" width="12.6640625" bestFit="1" customWidth="1"/>
    <col min="31" max="31" width="22" bestFit="1" customWidth="1"/>
    <col min="32" max="32" width="20.109375" bestFit="1" customWidth="1"/>
    <col min="33" max="33" width="49.33203125" bestFit="1" customWidth="1"/>
    <col min="34" max="34" width="9.33203125" bestFit="1" customWidth="1"/>
    <col min="35" max="35" width="13.109375" bestFit="1" customWidth="1"/>
    <col min="36" max="36" width="15.109375" bestFit="1" customWidth="1"/>
    <col min="37" max="37" width="20.33203125" bestFit="1" customWidth="1"/>
    <col min="38" max="38" width="13.109375" bestFit="1" customWidth="1"/>
    <col min="39" max="39" width="13" bestFit="1" customWidth="1"/>
    <col min="40" max="40" width="12.33203125" bestFit="1" customWidth="1"/>
    <col min="41" max="41" width="12.109375" bestFit="1" customWidth="1"/>
    <col min="42" max="42" width="20.5546875" bestFit="1" customWidth="1"/>
    <col min="43" max="43" width="11.5546875" bestFit="1" customWidth="1"/>
    <col min="44" max="44" width="17.5546875" bestFit="1" customWidth="1"/>
    <col min="45" max="45" width="18.88671875" bestFit="1" customWidth="1"/>
    <col min="46" max="46" width="31.5546875" bestFit="1" customWidth="1"/>
    <col min="47" max="47" width="8.109375" bestFit="1" customWidth="1"/>
    <col min="48" max="48" width="11.5546875" bestFit="1" customWidth="1"/>
    <col min="49" max="49" width="13.5546875" bestFit="1" customWidth="1"/>
    <col min="50" max="50" width="21.109375" bestFit="1" customWidth="1"/>
    <col min="51" max="51" width="18.5546875" bestFit="1" customWidth="1"/>
    <col min="52" max="52" width="12" bestFit="1" customWidth="1"/>
    <col min="53" max="53" width="11.5546875" bestFit="1" customWidth="1"/>
    <col min="54" max="54" width="20.33203125" bestFit="1" customWidth="1"/>
  </cols>
  <sheetData>
    <row r="1" spans="1:39" x14ac:dyDescent="0.3">
      <c r="A1" s="92" t="s">
        <v>43</v>
      </c>
      <c r="B1" s="82" t="s">
        <v>1375</v>
      </c>
      <c r="C1" s="93" t="s">
        <v>1376</v>
      </c>
      <c r="D1" s="93" t="s">
        <v>1377</v>
      </c>
      <c r="E1" s="93" t="s">
        <v>883</v>
      </c>
      <c r="F1" s="93" t="s">
        <v>1378</v>
      </c>
      <c r="G1" s="93" t="s">
        <v>1372</v>
      </c>
      <c r="H1" s="93" t="s">
        <v>1442</v>
      </c>
      <c r="I1" s="93" t="s">
        <v>1379</v>
      </c>
      <c r="J1" s="93" t="s">
        <v>1380</v>
      </c>
      <c r="K1" s="93" t="s">
        <v>1381</v>
      </c>
      <c r="L1" s="93" t="s">
        <v>1747</v>
      </c>
      <c r="M1" s="93" t="s">
        <v>1748</v>
      </c>
      <c r="N1" s="93" t="s">
        <v>1749</v>
      </c>
      <c r="O1" s="93" t="s">
        <v>1750</v>
      </c>
      <c r="P1" s="93" t="s">
        <v>1927</v>
      </c>
      <c r="Q1" s="93" t="s">
        <v>2038</v>
      </c>
      <c r="R1" s="93" t="s">
        <v>1989</v>
      </c>
      <c r="S1" s="93" t="s">
        <v>1990</v>
      </c>
      <c r="T1" s="93" t="s">
        <v>1996</v>
      </c>
      <c r="U1" s="93" t="s">
        <v>1932</v>
      </c>
      <c r="V1" s="93" t="s">
        <v>2090</v>
      </c>
      <c r="W1" s="82" t="s">
        <v>867</v>
      </c>
      <c r="X1" s="83" t="s">
        <v>1606</v>
      </c>
      <c r="Y1" t="s">
        <v>1331</v>
      </c>
      <c r="Z1" t="s">
        <v>893</v>
      </c>
      <c r="AA1" t="s">
        <v>871</v>
      </c>
      <c r="AB1" t="s">
        <v>857</v>
      </c>
      <c r="AC1" t="s">
        <v>884</v>
      </c>
      <c r="AD1" t="s">
        <v>49</v>
      </c>
      <c r="AE1" t="s">
        <v>1136</v>
      </c>
      <c r="AF1" t="s">
        <v>1382</v>
      </c>
      <c r="AG1" t="s">
        <v>1383</v>
      </c>
      <c r="AH1" t="s">
        <v>44</v>
      </c>
      <c r="AI1" t="s">
        <v>1384</v>
      </c>
      <c r="AJ1" t="s">
        <v>1374</v>
      </c>
      <c r="AK1" t="s">
        <v>1385</v>
      </c>
      <c r="AL1" t="s">
        <v>1386</v>
      </c>
      <c r="AM1" t="s">
        <v>1387</v>
      </c>
    </row>
    <row r="2" spans="1:39" x14ac:dyDescent="0.3">
      <c r="A2" s="121" t="str">
        <f t="shared" ref="A2:A34" si="0">Z2&amp;AA2&amp;TRIM(AG2)&amp;AK2&amp;AC2</f>
        <v>MATCentral Contribution from Schools2025/26</v>
      </c>
      <c r="B2" s="95">
        <f>COUNTIF(Income_import[Column1],Income_import[[#This Row],[Column1]])-1</f>
        <v>0</v>
      </c>
      <c r="C2" s="80" cm="1">
        <f t="array" ref="C2">IF(_xlfn.XLOOKUP(Income_import[[#This Row],[FinanceCode]],FinanceCodesBudget[FinanceCode],FinanceCodesBudget[AvailableToAllSchools],1,0,)=TRUE,0,IF(ISERROR(FIND(Income_import[[#This Row],[SchoolCode]],_xlfn.TEXTJOIN(",",TRUE,_xlfn.UNIQUE(IF(FinanceCodesBudget[FinanceCode]=Income_import[[#This Row],[FinanceCode]],FinanceCodesBudget[SchoolCodes],""))))),1,0))</f>
        <v>1</v>
      </c>
      <c r="D2" s="95">
        <f>IF(COUNTIF(SCHOOLS[SchoolCode],Income_import[[#This Row],[SchoolCode]])&gt;0,0,1)</f>
        <v>1</v>
      </c>
      <c r="E2" s="95">
        <f>IF(COUNTIF(LEDGER[],Income_import[[#This Row],[LedgerCode]])&gt;0,0,1)</f>
        <v>0</v>
      </c>
      <c r="F2" s="95">
        <f>IF(ISBLANK(Income_import[[#This Row],[MonthProfileCode]]),1,IF(COUNTIF(MONTHPRF[Code],Income_import[[#This Row],[MonthProfileCode]])&gt;0,0,1))</f>
        <v>0</v>
      </c>
      <c r="G2" s="80" cm="1">
        <f t="array" ref="G2">IF(_xlfn.XLOOKUP(Income_import[[#This Row],[DepartmentCode]]&amp;Income_import[[#This Row],[LedgerCode]],DEPTS[DepartmentCode]&amp;DEPTS[LedgerCode],DEPTS[AvailableToAllSchools],1,0,)=TRUE,0,IF(ISERROR(FIND(Income_import[[#This Row],[SchoolCode]],_xlfn.TEXTJOIN(",",TRUE,_xlfn.UNIQUE(IF(DEPTS[DepartmentCode]&amp;DEPTS[LedgerCode]=Income_import[[#This Row],[DepartmentCode]]&amp;Income_import[[#This Row],[LedgerCode]],DEPTS[SchoolCodes],""))))),1,0))</f>
        <v>1</v>
      </c>
      <c r="H2" s="95">
        <f>IF(Income_import[[#This Row],[FundCode]]=0,0,IF(COUNTIF(FUNDS[FundCode],Income_import[[#This Row],[FundCode]])&gt;0,0,1))</f>
        <v>0</v>
      </c>
      <c r="I2" s="80" cm="1">
        <f t="array" ref="I2">IF(_xlfn.XLOOKUP(Income_import[[#This Row],[DepartmentCode]]&amp;Income_import[[#This Row],[LedgerCode]],DEPTS[DepartmentCode]&amp;DEPTS[LedgerCode],DEPTS[AvailableToAllSchools])=TRUE,(IF((_xlfn.XLOOKUP(Income_import[[#This Row],[DepartmentCode]]&amp;Income_import[[#This Row],[LedgerCode]],DEPTS[DepartmentCode]&amp;DEPTS[LedgerCode],DEPTS[LedgerCode])=Income_import[[#This Row],[LedgerCode]]),0,1)),(IFERROR(IF(FIND(Income_import[[#This Row],[SchoolCode]],(_xlfn.TEXTJOIN(",",TRUE,IF(DEPTS[DepartmentCode]&amp;DEPTS[LedgerCode]=Income_import[[#This Row],[DepartmentCode]]&amp;Income_import[[#This Row],[LedgerCode]],DEPTS[SchoolCodes],"")))),0,1),1)))</f>
        <v>1</v>
      </c>
      <c r="J2" s="95">
        <f>IF(ISBLANK(Income_import[[#This Row],[YearValue]])=Income_import[[#This Row],[Calculated]],0,1)</f>
        <v>0</v>
      </c>
      <c r="K2" s="95">
        <f>IF(ISBLANK(Income_import[[#This Row],[CalculatorCode]]),0,IF(COUNTIF(Calculators[CalculatorCode],Income_import[[#This Row],[CalculatorCode]])&gt;0,0,1))</f>
        <v>0</v>
      </c>
      <c r="L2" s="95">
        <f>IF(TRIM(Income_import[[#This Row],[Description]])="",1,0)</f>
        <v>0</v>
      </c>
      <c r="M2" s="95">
        <f>IF(ISBLANK(Income_import[[#This Row],[MatEditOnly]]),1,0)</f>
        <v>0</v>
      </c>
      <c r="N2" s="95">
        <f>IF(ISBLANK(Income_import[[#This Row],[FinancialYearCode]]),1,0)</f>
        <v>0</v>
      </c>
      <c r="O2" s="95">
        <f>IF(ISBLANK(Income_import[[#This Row],[Calculated]]),1,0)</f>
        <v>0</v>
      </c>
      <c r="P2" s="95">
        <f>IF(EXACT(Income_import[[#This Row],[FinanceCode]],UPPER(Income_import[[#This Row],[FinanceCode]])),0,1)+IF(EXACT(Income_import[[#This Row],[SchoolCode]],UPPER(Income_import[[#This Row],[SchoolCode]])),0,1)+IF(EXACT(Income_import[[#This Row],[LedgerCode]],UPPER(Income_import[[#This Row],[LedgerCode]])),0,1)+IF(EXACT(Income_import[[#This Row],[DepartmentCode]],UPPER(Income_import[[#This Row],[DepartmentCode]])),0,1)+IF(EXACT(Income_import[[#This Row],[CalculatorCode]],UPPER(Income_import[[#This Row],[CalculatorCode]])),0,1)+IF(EXACT(Income_import[[#This Row],[MonthProfileCode]],UPPER(Income_import[[#This Row],[MonthProfileCode]])),0,1)+IF(EXACT(Income_import[[#This Row],[FundCode]],UPPER(Income_import[[#This Row],[FundCode]])),0,1)</f>
        <v>0</v>
      </c>
      <c r="Q2" s="95">
        <f>IF(LEN(Income_import[[#This Row],[Description]])&lt;100,0,1)</f>
        <v>0</v>
      </c>
      <c r="R2" s="95">
        <f>IF(LEN(Income_import[[#This Row],[Notes]])&lt;4000,0,1)</f>
        <v>0</v>
      </c>
      <c r="S2" s="95">
        <f>IF(LEN(Income_import[[#This Row],[YearNotes]])&lt;4000,0,1)</f>
        <v>0</v>
      </c>
      <c r="T2" s="95">
        <f>IF(OR(Income_import[[#This Row],[MatEditOnly]]=TRUE,Income_import[[#This Row],[MatEditOnly]]=FALSE),IF(OR(Income_import[[#This Row],[Calculated]]=TRUE,Income_import[[#This Row],[Calculated]]=FALSE),0,1),1)</f>
        <v>0</v>
      </c>
      <c r="U2" s="95">
        <f>IF(_xlfn.XLOOKUP(Income_import[[#This Row],[FinancialYearCode]],Years[Years],Years[Years],1)=Income_import[[#This Row],[FinancialYearCode]],0,1)</f>
        <v>0</v>
      </c>
      <c r="V2" s="95">
        <f>IF(Income_import[[#This Row],[CalculatorCode]]="",0,IF(IF(_xlfn.XLOOKUP(Income_import[[#This Row],[CalculatorCode]],Calculators[CalculatorCode],Calculators[LockCheck])=1,TRUE,FALSE)=Income_import[[#This Row],[MatEditOnly]],0,1))</f>
        <v>0</v>
      </c>
      <c r="W2" s="95">
        <f>SUM(Income_import[[#This Row],[DuplicateLine]:[MAT edit only required]])</f>
        <v>4</v>
      </c>
      <c r="X2" s="80" t="e">
        <f>_xlfn.XLOOKUP(Income_import[[#This Row],[SchoolCode]],SCHOOLS[SchoolCode],SCHOOLS[Title])</f>
        <v>#N/A</v>
      </c>
      <c r="AA2" t="s">
        <v>39</v>
      </c>
      <c r="AE2" t="s">
        <v>1184</v>
      </c>
      <c r="AF2" t="s">
        <v>1124</v>
      </c>
      <c r="AG2" t="s">
        <v>1443</v>
      </c>
      <c r="AJ2" t="b">
        <v>1</v>
      </c>
      <c r="AK2" t="s">
        <v>1497</v>
      </c>
      <c r="AL2" t="b">
        <v>1</v>
      </c>
    </row>
    <row r="3" spans="1:39" x14ac:dyDescent="0.3">
      <c r="A3" s="120" t="str">
        <f t="shared" si="0"/>
        <v>ALESGAG Funding2025/26</v>
      </c>
      <c r="B3" s="85">
        <f>COUNTIF(Income_import[Column1],Income_import[[#This Row],[Column1]])-1</f>
        <v>0</v>
      </c>
      <c r="C3" s="80" cm="1">
        <f t="array" ref="C3">IF(_xlfn.XLOOKUP(Income_import[[#This Row],[FinanceCode]],FinanceCodesBudget[FinanceCode],FinanceCodesBudget[AvailableToAllSchools],1,0,)=TRUE,0,IF(ISERROR(FIND(Income_import[[#This Row],[SchoolCode]],_xlfn.TEXTJOIN(",",TRUE,_xlfn.UNIQUE(IF(FinanceCodesBudget[FinanceCode]=Income_import[[#This Row],[FinanceCode]],FinanceCodesBudget[SchoolCodes],""))))),1,0))</f>
        <v>1</v>
      </c>
      <c r="D3" s="85">
        <f>IF(COUNTIF(SCHOOLS[SchoolCode],Income_import[[#This Row],[SchoolCode]])&gt;0,0,1)</f>
        <v>1</v>
      </c>
      <c r="E3" s="85">
        <f>IF(COUNTIF(LEDGER[],Income_import[[#This Row],[LedgerCode]])&gt;0,0,1)</f>
        <v>0</v>
      </c>
      <c r="F3" s="85">
        <f>IF(ISBLANK(Income_import[[#This Row],[MonthProfileCode]]),1,IF(COUNTIF(MONTHPRF[Code],Income_import[[#This Row],[MonthProfileCode]])&gt;0,0,1))</f>
        <v>0</v>
      </c>
      <c r="G3" s="80" cm="1">
        <f t="array" ref="G3">IF(_xlfn.XLOOKUP(Income_import[[#This Row],[DepartmentCode]]&amp;Income_import[[#This Row],[LedgerCode]],DEPTS[DepartmentCode]&amp;DEPTS[LedgerCode],DEPTS[AvailableToAllSchools],1,0,)=TRUE,0,IF(ISERROR(FIND(Income_import[[#This Row],[SchoolCode]],_xlfn.TEXTJOIN(",",TRUE,_xlfn.UNIQUE(IF(DEPTS[DepartmentCode]&amp;DEPTS[LedgerCode]=Income_import[[#This Row],[DepartmentCode]]&amp;Income_import[[#This Row],[LedgerCode]],DEPTS[SchoolCodes],""))))),1,0))</f>
        <v>1</v>
      </c>
      <c r="H3" s="85">
        <f>IF(Income_import[[#This Row],[FundCode]]=0,0,IF(COUNTIF(FUNDS[FundCode],Income_import[[#This Row],[FundCode]])&gt;0,0,1))</f>
        <v>0</v>
      </c>
      <c r="I3" s="80" cm="1">
        <f t="array" ref="I3">IF(_xlfn.XLOOKUP(Income_import[[#This Row],[DepartmentCode]]&amp;Income_import[[#This Row],[LedgerCode]],DEPTS[DepartmentCode]&amp;DEPTS[LedgerCode],DEPTS[AvailableToAllSchools])=TRUE,(IF((_xlfn.XLOOKUP(Income_import[[#This Row],[DepartmentCode]]&amp;Income_import[[#This Row],[LedgerCode]],DEPTS[DepartmentCode]&amp;DEPTS[LedgerCode],DEPTS[LedgerCode])=Income_import[[#This Row],[LedgerCode]]),0,1)),(IFERROR(IF(FIND(Income_import[[#This Row],[SchoolCode]],(_xlfn.TEXTJOIN(",",TRUE,IF(DEPTS[DepartmentCode]&amp;DEPTS[LedgerCode]=Income_import[[#This Row],[DepartmentCode]]&amp;Income_import[[#This Row],[LedgerCode]],DEPTS[SchoolCodes],"")))),0,1),1)))</f>
        <v>1</v>
      </c>
      <c r="J3" s="85">
        <f>IF(ISBLANK(Income_import[[#This Row],[YearValue]])=Income_import[[#This Row],[Calculated]],0,1)</f>
        <v>0</v>
      </c>
      <c r="K3" s="85">
        <f>IF(ISBLANK(Income_import[[#This Row],[CalculatorCode]]),0,IF(COUNTIF(Calculators[CalculatorCode],Income_import[[#This Row],[CalculatorCode]])&gt;0,0,1))</f>
        <v>0</v>
      </c>
      <c r="L3" s="85">
        <f>IF(TRIM(Income_import[[#This Row],[Description]])="",1,0)</f>
        <v>0</v>
      </c>
      <c r="M3" s="85">
        <f>IF(ISBLANK(Income_import[[#This Row],[MatEditOnly]]),1,0)</f>
        <v>0</v>
      </c>
      <c r="N3" s="85">
        <f>IF(ISBLANK(Income_import[[#This Row],[FinancialYearCode]]),1,0)</f>
        <v>0</v>
      </c>
      <c r="O3" s="85">
        <f>IF(ISBLANK(Income_import[[#This Row],[Calculated]]),1,0)</f>
        <v>0</v>
      </c>
      <c r="P3" s="85">
        <f>IF(EXACT(Income_import[[#This Row],[FinanceCode]],UPPER(Income_import[[#This Row],[FinanceCode]])),0,1)+IF(EXACT(Income_import[[#This Row],[SchoolCode]],UPPER(Income_import[[#This Row],[SchoolCode]])),0,1)+IF(EXACT(Income_import[[#This Row],[LedgerCode]],UPPER(Income_import[[#This Row],[LedgerCode]])),0,1)+IF(EXACT(Income_import[[#This Row],[DepartmentCode]],UPPER(Income_import[[#This Row],[DepartmentCode]])),0,1)+IF(EXACT(Income_import[[#This Row],[CalculatorCode]],UPPER(Income_import[[#This Row],[CalculatorCode]])),0,1)+IF(EXACT(Income_import[[#This Row],[MonthProfileCode]],UPPER(Income_import[[#This Row],[MonthProfileCode]])),0,1)+IF(EXACT(Income_import[[#This Row],[FundCode]],UPPER(Income_import[[#This Row],[FundCode]])),0,1)</f>
        <v>0</v>
      </c>
      <c r="Q3" s="85">
        <f>IF(LEN(Income_import[[#This Row],[Description]])&lt;100,0,1)</f>
        <v>0</v>
      </c>
      <c r="R3" s="85">
        <f>IF(LEN(Income_import[[#This Row],[Notes]])&lt;4000,0,1)</f>
        <v>0</v>
      </c>
      <c r="S3" s="85">
        <f>IF(LEN(Income_import[[#This Row],[YearNotes]])&lt;4000,0,1)</f>
        <v>0</v>
      </c>
      <c r="T3" s="85">
        <f>IF(OR(Income_import[[#This Row],[MatEditOnly]]=TRUE,Income_import[[#This Row],[MatEditOnly]]=FALSE),IF(OR(Income_import[[#This Row],[Calculated]]=TRUE,Income_import[[#This Row],[Calculated]]=FALSE),0,1),1)</f>
        <v>0</v>
      </c>
      <c r="U3" s="85">
        <f>IF(_xlfn.XLOOKUP(Income_import[[#This Row],[FinancialYearCode]],Years[Years],Years[Years],1)=Income_import[[#This Row],[FinancialYearCode]],0,1)</f>
        <v>0</v>
      </c>
      <c r="V3" s="85">
        <f>IF(Income_import[[#This Row],[CalculatorCode]]="",0,IF(IF(_xlfn.XLOOKUP(Income_import[[#This Row],[CalculatorCode]],Calculators[CalculatorCode],Calculators[LockCheck])=1,TRUE,FALSE)=Income_import[[#This Row],[MatEditOnly]],0,1))</f>
        <v>0</v>
      </c>
      <c r="W3" s="85">
        <f>SUM(Income_import[[#This Row],[DuplicateLine]:[MAT edit only required]])</f>
        <v>4</v>
      </c>
      <c r="X3" s="80" t="e">
        <f>_xlfn.XLOOKUP(Income_import[[#This Row],[SchoolCode]],SCHOOLS[SchoolCode],SCHOOLS[Title])</f>
        <v>#N/A</v>
      </c>
      <c r="AA3" t="s">
        <v>2432</v>
      </c>
      <c r="AE3" t="s">
        <v>1585</v>
      </c>
      <c r="AF3" t="s">
        <v>1124</v>
      </c>
      <c r="AG3" t="s">
        <v>2057</v>
      </c>
      <c r="AJ3" t="b">
        <v>1</v>
      </c>
      <c r="AK3" t="s">
        <v>1497</v>
      </c>
      <c r="AL3" t="b">
        <v>1</v>
      </c>
    </row>
    <row r="4" spans="1:39" x14ac:dyDescent="0.3">
      <c r="A4" s="120" t="str">
        <f t="shared" si="0"/>
        <v>PRIGAG Funding2025/26</v>
      </c>
      <c r="B4" s="85">
        <f>COUNTIF(Income_import[Column1],Income_import[[#This Row],[Column1]])-1</f>
        <v>0</v>
      </c>
      <c r="C4" s="80" cm="1">
        <f t="array" ref="C4">IF(_xlfn.XLOOKUP(Income_import[[#This Row],[FinanceCode]],FinanceCodesBudget[FinanceCode],FinanceCodesBudget[AvailableToAllSchools],1,0,)=TRUE,0,IF(ISERROR(FIND(Income_import[[#This Row],[SchoolCode]],_xlfn.TEXTJOIN(",",TRUE,_xlfn.UNIQUE(IF(FinanceCodesBudget[FinanceCode]=Income_import[[#This Row],[FinanceCode]],FinanceCodesBudget[SchoolCodes],""))))),1,0))</f>
        <v>1</v>
      </c>
      <c r="D4" s="85">
        <f>IF(COUNTIF(SCHOOLS[SchoolCode],Income_import[[#This Row],[SchoolCode]])&gt;0,0,1)</f>
        <v>1</v>
      </c>
      <c r="E4" s="85">
        <f>IF(COUNTIF(LEDGER[],Income_import[[#This Row],[LedgerCode]])&gt;0,0,1)</f>
        <v>0</v>
      </c>
      <c r="F4" s="85">
        <f>IF(ISBLANK(Income_import[[#This Row],[MonthProfileCode]]),1,IF(COUNTIF(MONTHPRF[Code],Income_import[[#This Row],[MonthProfileCode]])&gt;0,0,1))</f>
        <v>0</v>
      </c>
      <c r="G4" s="80" cm="1">
        <f t="array" ref="G4">IF(_xlfn.XLOOKUP(Income_import[[#This Row],[DepartmentCode]]&amp;Income_import[[#This Row],[LedgerCode]],DEPTS[DepartmentCode]&amp;DEPTS[LedgerCode],DEPTS[AvailableToAllSchools],1,0,)=TRUE,0,IF(ISERROR(FIND(Income_import[[#This Row],[SchoolCode]],_xlfn.TEXTJOIN(",",TRUE,_xlfn.UNIQUE(IF(DEPTS[DepartmentCode]&amp;DEPTS[LedgerCode]=Income_import[[#This Row],[DepartmentCode]]&amp;Income_import[[#This Row],[LedgerCode]],DEPTS[SchoolCodes],""))))),1,0))</f>
        <v>1</v>
      </c>
      <c r="H4" s="85">
        <f>IF(Income_import[[#This Row],[FundCode]]=0,0,IF(COUNTIF(FUNDS[FundCode],Income_import[[#This Row],[FundCode]])&gt;0,0,1))</f>
        <v>0</v>
      </c>
      <c r="I4" s="80" cm="1">
        <f t="array" ref="I4">IF(_xlfn.XLOOKUP(Income_import[[#This Row],[DepartmentCode]]&amp;Income_import[[#This Row],[LedgerCode]],DEPTS[DepartmentCode]&amp;DEPTS[LedgerCode],DEPTS[AvailableToAllSchools])=TRUE,(IF((_xlfn.XLOOKUP(Income_import[[#This Row],[DepartmentCode]]&amp;Income_import[[#This Row],[LedgerCode]],DEPTS[DepartmentCode]&amp;DEPTS[LedgerCode],DEPTS[LedgerCode])=Income_import[[#This Row],[LedgerCode]]),0,1)),(IFERROR(IF(FIND(Income_import[[#This Row],[SchoolCode]],(_xlfn.TEXTJOIN(",",TRUE,IF(DEPTS[DepartmentCode]&amp;DEPTS[LedgerCode]=Income_import[[#This Row],[DepartmentCode]]&amp;Income_import[[#This Row],[LedgerCode]],DEPTS[SchoolCodes],"")))),0,1),1)))</f>
        <v>1</v>
      </c>
      <c r="J4" s="85">
        <f>IF(ISBLANK(Income_import[[#This Row],[YearValue]])=Income_import[[#This Row],[Calculated]],0,1)</f>
        <v>0</v>
      </c>
      <c r="K4" s="85">
        <f>IF(ISBLANK(Income_import[[#This Row],[CalculatorCode]]),0,IF(COUNTIF(Calculators[CalculatorCode],Income_import[[#This Row],[CalculatorCode]])&gt;0,0,1))</f>
        <v>0</v>
      </c>
      <c r="L4" s="85">
        <f>IF(TRIM(Income_import[[#This Row],[Description]])="",1,0)</f>
        <v>0</v>
      </c>
      <c r="M4" s="85">
        <f>IF(ISBLANK(Income_import[[#This Row],[MatEditOnly]]),1,0)</f>
        <v>0</v>
      </c>
      <c r="N4" s="85">
        <f>IF(ISBLANK(Income_import[[#This Row],[FinancialYearCode]]),1,0)</f>
        <v>0</v>
      </c>
      <c r="O4" s="85">
        <f>IF(ISBLANK(Income_import[[#This Row],[Calculated]]),1,0)</f>
        <v>0</v>
      </c>
      <c r="P4" s="85">
        <f>IF(EXACT(Income_import[[#This Row],[FinanceCode]],UPPER(Income_import[[#This Row],[FinanceCode]])),0,1)+IF(EXACT(Income_import[[#This Row],[SchoolCode]],UPPER(Income_import[[#This Row],[SchoolCode]])),0,1)+IF(EXACT(Income_import[[#This Row],[LedgerCode]],UPPER(Income_import[[#This Row],[LedgerCode]])),0,1)+IF(EXACT(Income_import[[#This Row],[DepartmentCode]],UPPER(Income_import[[#This Row],[DepartmentCode]])),0,1)+IF(EXACT(Income_import[[#This Row],[CalculatorCode]],UPPER(Income_import[[#This Row],[CalculatorCode]])),0,1)+IF(EXACT(Income_import[[#This Row],[MonthProfileCode]],UPPER(Income_import[[#This Row],[MonthProfileCode]])),0,1)+IF(EXACT(Income_import[[#This Row],[FundCode]],UPPER(Income_import[[#This Row],[FundCode]])),0,1)</f>
        <v>0</v>
      </c>
      <c r="Q4" s="85">
        <f>IF(LEN(Income_import[[#This Row],[Description]])&lt;100,0,1)</f>
        <v>0</v>
      </c>
      <c r="R4" s="85">
        <f>IF(LEN(Income_import[[#This Row],[Notes]])&lt;4000,0,1)</f>
        <v>0</v>
      </c>
      <c r="S4" s="85">
        <f>IF(LEN(Income_import[[#This Row],[YearNotes]])&lt;4000,0,1)</f>
        <v>0</v>
      </c>
      <c r="T4" s="85">
        <f>IF(OR(Income_import[[#This Row],[MatEditOnly]]=TRUE,Income_import[[#This Row],[MatEditOnly]]=FALSE),IF(OR(Income_import[[#This Row],[Calculated]]=TRUE,Income_import[[#This Row],[Calculated]]=FALSE),0,1),1)</f>
        <v>0</v>
      </c>
      <c r="U4" s="85">
        <f>IF(_xlfn.XLOOKUP(Income_import[[#This Row],[FinancialYearCode]],Years[Years],Years[Years],1)=Income_import[[#This Row],[FinancialYearCode]],0,1)</f>
        <v>0</v>
      </c>
      <c r="V4" s="85">
        <f>IF(Income_import[[#This Row],[CalculatorCode]]="",0,IF(IF(_xlfn.XLOOKUP(Income_import[[#This Row],[CalculatorCode]],Calculators[CalculatorCode],Calculators[LockCheck])=1,TRUE,FALSE)=Income_import[[#This Row],[MatEditOnly]],0,1))</f>
        <v>0</v>
      </c>
      <c r="W4" s="85">
        <f>SUM(Income_import[[#This Row],[DuplicateLine]:[MAT edit only required]])</f>
        <v>4</v>
      </c>
      <c r="X4" s="80" t="e">
        <f>_xlfn.XLOOKUP(Income_import[[#This Row],[SchoolCode]],SCHOOLS[SchoolCode],SCHOOLS[Title])</f>
        <v>#N/A</v>
      </c>
      <c r="AA4" t="s">
        <v>1630</v>
      </c>
      <c r="AE4" t="s">
        <v>1585</v>
      </c>
      <c r="AF4" t="s">
        <v>1124</v>
      </c>
      <c r="AG4" t="s">
        <v>2057</v>
      </c>
      <c r="AJ4" t="b">
        <v>1</v>
      </c>
      <c r="AK4" t="s">
        <v>1497</v>
      </c>
      <c r="AL4" t="b">
        <v>1</v>
      </c>
    </row>
    <row r="5" spans="1:39" x14ac:dyDescent="0.3">
      <c r="A5" s="120" t="str">
        <f t="shared" si="0"/>
        <v>ALESGAG Total Pre 16 High Needs Funding Statement2025/26</v>
      </c>
      <c r="B5" s="85">
        <f>COUNTIF(Income_import[Column1],Income_import[[#This Row],[Column1]])-1</f>
        <v>0</v>
      </c>
      <c r="C5" s="80" cm="1">
        <f t="array" ref="C5">IF(_xlfn.XLOOKUP(Income_import[[#This Row],[FinanceCode]],FinanceCodesBudget[FinanceCode],FinanceCodesBudget[AvailableToAllSchools],1,0,)=TRUE,0,IF(ISERROR(FIND(Income_import[[#This Row],[SchoolCode]],_xlfn.TEXTJOIN(",",TRUE,_xlfn.UNIQUE(IF(FinanceCodesBudget[FinanceCode]=Income_import[[#This Row],[FinanceCode]],FinanceCodesBudget[SchoolCodes],""))))),1,0))</f>
        <v>1</v>
      </c>
      <c r="D5" s="85">
        <f>IF(COUNTIF(SCHOOLS[SchoolCode],Income_import[[#This Row],[SchoolCode]])&gt;0,0,1)</f>
        <v>1</v>
      </c>
      <c r="E5" s="85">
        <f>IF(COUNTIF(LEDGER[],Income_import[[#This Row],[LedgerCode]])&gt;0,0,1)</f>
        <v>0</v>
      </c>
      <c r="F5" s="85">
        <f>IF(ISBLANK(Income_import[[#This Row],[MonthProfileCode]]),1,IF(COUNTIF(MONTHPRF[Code],Income_import[[#This Row],[MonthProfileCode]])&gt;0,0,1))</f>
        <v>0</v>
      </c>
      <c r="G5" s="80" cm="1">
        <f t="array" ref="G5">IF(_xlfn.XLOOKUP(Income_import[[#This Row],[DepartmentCode]]&amp;Income_import[[#This Row],[LedgerCode]],DEPTS[DepartmentCode]&amp;DEPTS[LedgerCode],DEPTS[AvailableToAllSchools],1,0,)=TRUE,0,IF(ISERROR(FIND(Income_import[[#This Row],[SchoolCode]],_xlfn.TEXTJOIN(",",TRUE,_xlfn.UNIQUE(IF(DEPTS[DepartmentCode]&amp;DEPTS[LedgerCode]=Income_import[[#This Row],[DepartmentCode]]&amp;Income_import[[#This Row],[LedgerCode]],DEPTS[SchoolCodes],""))))),1,0))</f>
        <v>1</v>
      </c>
      <c r="H5" s="85">
        <f>IF(Income_import[[#This Row],[FundCode]]=0,0,IF(COUNTIF(FUNDS[FundCode],Income_import[[#This Row],[FundCode]])&gt;0,0,1))</f>
        <v>0</v>
      </c>
      <c r="I5" s="80" cm="1">
        <f t="array" ref="I5">IF(_xlfn.XLOOKUP(Income_import[[#This Row],[DepartmentCode]]&amp;Income_import[[#This Row],[LedgerCode]],DEPTS[DepartmentCode]&amp;DEPTS[LedgerCode],DEPTS[AvailableToAllSchools])=TRUE,(IF((_xlfn.XLOOKUP(Income_import[[#This Row],[DepartmentCode]]&amp;Income_import[[#This Row],[LedgerCode]],DEPTS[DepartmentCode]&amp;DEPTS[LedgerCode],DEPTS[LedgerCode])=Income_import[[#This Row],[LedgerCode]]),0,1)),(IFERROR(IF(FIND(Income_import[[#This Row],[SchoolCode]],(_xlfn.TEXTJOIN(",",TRUE,IF(DEPTS[DepartmentCode]&amp;DEPTS[LedgerCode]=Income_import[[#This Row],[DepartmentCode]]&amp;Income_import[[#This Row],[LedgerCode]],DEPTS[SchoolCodes],"")))),0,1),1)))</f>
        <v>1</v>
      </c>
      <c r="J5" s="85">
        <f>IF(ISBLANK(Income_import[[#This Row],[YearValue]])=Income_import[[#This Row],[Calculated]],0,1)</f>
        <v>0</v>
      </c>
      <c r="K5" s="85">
        <f>IF(ISBLANK(Income_import[[#This Row],[CalculatorCode]]),0,IF(COUNTIF(Calculators[CalculatorCode],Income_import[[#This Row],[CalculatorCode]])&gt;0,0,1))</f>
        <v>0</v>
      </c>
      <c r="L5" s="85">
        <f>IF(TRIM(Income_import[[#This Row],[Description]])="",1,0)</f>
        <v>0</v>
      </c>
      <c r="M5" s="85">
        <f>IF(ISBLANK(Income_import[[#This Row],[MatEditOnly]]),1,0)</f>
        <v>0</v>
      </c>
      <c r="N5" s="85">
        <f>IF(ISBLANK(Income_import[[#This Row],[FinancialYearCode]]),1,0)</f>
        <v>0</v>
      </c>
      <c r="O5" s="85">
        <f>IF(ISBLANK(Income_import[[#This Row],[Calculated]]),1,0)</f>
        <v>0</v>
      </c>
      <c r="P5" s="85">
        <f>IF(EXACT(Income_import[[#This Row],[FinanceCode]],UPPER(Income_import[[#This Row],[FinanceCode]])),0,1)+IF(EXACT(Income_import[[#This Row],[SchoolCode]],UPPER(Income_import[[#This Row],[SchoolCode]])),0,1)+IF(EXACT(Income_import[[#This Row],[LedgerCode]],UPPER(Income_import[[#This Row],[LedgerCode]])),0,1)+IF(EXACT(Income_import[[#This Row],[DepartmentCode]],UPPER(Income_import[[#This Row],[DepartmentCode]])),0,1)+IF(EXACT(Income_import[[#This Row],[CalculatorCode]],UPPER(Income_import[[#This Row],[CalculatorCode]])),0,1)+IF(EXACT(Income_import[[#This Row],[MonthProfileCode]],UPPER(Income_import[[#This Row],[MonthProfileCode]])),0,1)+IF(EXACT(Income_import[[#This Row],[FundCode]],UPPER(Income_import[[#This Row],[FundCode]])),0,1)</f>
        <v>0</v>
      </c>
      <c r="Q5" s="85">
        <f>IF(LEN(Income_import[[#This Row],[Description]])&lt;100,0,1)</f>
        <v>0</v>
      </c>
      <c r="R5" s="85">
        <f>IF(LEN(Income_import[[#This Row],[Notes]])&lt;4000,0,1)</f>
        <v>0</v>
      </c>
      <c r="S5" s="85">
        <f>IF(LEN(Income_import[[#This Row],[YearNotes]])&lt;4000,0,1)</f>
        <v>0</v>
      </c>
      <c r="T5" s="85">
        <f>IF(OR(Income_import[[#This Row],[MatEditOnly]]=TRUE,Income_import[[#This Row],[MatEditOnly]]=FALSE),IF(OR(Income_import[[#This Row],[Calculated]]=TRUE,Income_import[[#This Row],[Calculated]]=FALSE),0,1),1)</f>
        <v>0</v>
      </c>
      <c r="U5" s="85">
        <f>IF(_xlfn.XLOOKUP(Income_import[[#This Row],[FinancialYearCode]],Years[Years],Years[Years],1)=Income_import[[#This Row],[FinancialYearCode]],0,1)</f>
        <v>0</v>
      </c>
      <c r="V5" s="85">
        <f>IF(Income_import[[#This Row],[CalculatorCode]]="",0,IF(IF(_xlfn.XLOOKUP(Income_import[[#This Row],[CalculatorCode]],Calculators[CalculatorCode],Calculators[LockCheck])=1,TRUE,FALSE)=Income_import[[#This Row],[MatEditOnly]],0,1))</f>
        <v>0</v>
      </c>
      <c r="W5" s="85">
        <f>SUM(Income_import[[#This Row],[DuplicateLine]:[MAT edit only required]])</f>
        <v>4</v>
      </c>
      <c r="X5" s="80" t="e">
        <f>_xlfn.XLOOKUP(Income_import[[#This Row],[SchoolCode]],SCHOOLS[SchoolCode],SCHOOLS[Title])</f>
        <v>#N/A</v>
      </c>
      <c r="AA5" t="s">
        <v>2432</v>
      </c>
      <c r="AE5" t="s">
        <v>906</v>
      </c>
      <c r="AF5" t="s">
        <v>1124</v>
      </c>
      <c r="AG5" t="s">
        <v>1765</v>
      </c>
      <c r="AJ5" t="b">
        <v>1</v>
      </c>
      <c r="AK5" t="s">
        <v>1497</v>
      </c>
      <c r="AL5" t="b">
        <v>1</v>
      </c>
    </row>
    <row r="6" spans="1:39" x14ac:dyDescent="0.3">
      <c r="A6" s="120" t="str">
        <f t="shared" si="0"/>
        <v>PRIGAG Total Pre 16 High Needs Funding Statement2025/26</v>
      </c>
      <c r="B6" s="85">
        <f>COUNTIF(Income_import[Column1],Income_import[[#This Row],[Column1]])-1</f>
        <v>0</v>
      </c>
      <c r="C6" s="80" cm="1">
        <f t="array" ref="C6">IF(_xlfn.XLOOKUP(Income_import[[#This Row],[FinanceCode]],FinanceCodesBudget[FinanceCode],FinanceCodesBudget[AvailableToAllSchools],1,0,)=TRUE,0,IF(ISERROR(FIND(Income_import[[#This Row],[SchoolCode]],_xlfn.TEXTJOIN(",",TRUE,_xlfn.UNIQUE(IF(FinanceCodesBudget[FinanceCode]=Income_import[[#This Row],[FinanceCode]],FinanceCodesBudget[SchoolCodes],""))))),1,0))</f>
        <v>1</v>
      </c>
      <c r="D6" s="85">
        <f>IF(COUNTIF(SCHOOLS[SchoolCode],Income_import[[#This Row],[SchoolCode]])&gt;0,0,1)</f>
        <v>1</v>
      </c>
      <c r="E6" s="85">
        <f>IF(COUNTIF(LEDGER[],Income_import[[#This Row],[LedgerCode]])&gt;0,0,1)</f>
        <v>0</v>
      </c>
      <c r="F6" s="85">
        <f>IF(ISBLANK(Income_import[[#This Row],[MonthProfileCode]]),1,IF(COUNTIF(MONTHPRF[Code],Income_import[[#This Row],[MonthProfileCode]])&gt;0,0,1))</f>
        <v>0</v>
      </c>
      <c r="G6" s="80" cm="1">
        <f t="array" ref="G6">IF(_xlfn.XLOOKUP(Income_import[[#This Row],[DepartmentCode]]&amp;Income_import[[#This Row],[LedgerCode]],DEPTS[DepartmentCode]&amp;DEPTS[LedgerCode],DEPTS[AvailableToAllSchools],1,0,)=TRUE,0,IF(ISERROR(FIND(Income_import[[#This Row],[SchoolCode]],_xlfn.TEXTJOIN(",",TRUE,_xlfn.UNIQUE(IF(DEPTS[DepartmentCode]&amp;DEPTS[LedgerCode]=Income_import[[#This Row],[DepartmentCode]]&amp;Income_import[[#This Row],[LedgerCode]],DEPTS[SchoolCodes],""))))),1,0))</f>
        <v>1</v>
      </c>
      <c r="H6" s="85">
        <f>IF(Income_import[[#This Row],[FundCode]]=0,0,IF(COUNTIF(FUNDS[FundCode],Income_import[[#This Row],[FundCode]])&gt;0,0,1))</f>
        <v>0</v>
      </c>
      <c r="I6" s="80" cm="1">
        <f t="array" ref="I6">IF(_xlfn.XLOOKUP(Income_import[[#This Row],[DepartmentCode]]&amp;Income_import[[#This Row],[LedgerCode]],DEPTS[DepartmentCode]&amp;DEPTS[LedgerCode],DEPTS[AvailableToAllSchools])=TRUE,(IF((_xlfn.XLOOKUP(Income_import[[#This Row],[DepartmentCode]]&amp;Income_import[[#This Row],[LedgerCode]],DEPTS[DepartmentCode]&amp;DEPTS[LedgerCode],DEPTS[LedgerCode])=Income_import[[#This Row],[LedgerCode]]),0,1)),(IFERROR(IF(FIND(Income_import[[#This Row],[SchoolCode]],(_xlfn.TEXTJOIN(",",TRUE,IF(DEPTS[DepartmentCode]&amp;DEPTS[LedgerCode]=Income_import[[#This Row],[DepartmentCode]]&amp;Income_import[[#This Row],[LedgerCode]],DEPTS[SchoolCodes],"")))),0,1),1)))</f>
        <v>1</v>
      </c>
      <c r="J6" s="85">
        <f>IF(ISBLANK(Income_import[[#This Row],[YearValue]])=Income_import[[#This Row],[Calculated]],0,1)</f>
        <v>0</v>
      </c>
      <c r="K6" s="85">
        <f>IF(ISBLANK(Income_import[[#This Row],[CalculatorCode]]),0,IF(COUNTIF(Calculators[CalculatorCode],Income_import[[#This Row],[CalculatorCode]])&gt;0,0,1))</f>
        <v>0</v>
      </c>
      <c r="L6" s="85">
        <f>IF(TRIM(Income_import[[#This Row],[Description]])="",1,0)</f>
        <v>0</v>
      </c>
      <c r="M6" s="85">
        <f>IF(ISBLANK(Income_import[[#This Row],[MatEditOnly]]),1,0)</f>
        <v>0</v>
      </c>
      <c r="N6" s="85">
        <f>IF(ISBLANK(Income_import[[#This Row],[FinancialYearCode]]),1,0)</f>
        <v>0</v>
      </c>
      <c r="O6" s="85">
        <f>IF(ISBLANK(Income_import[[#This Row],[Calculated]]),1,0)</f>
        <v>0</v>
      </c>
      <c r="P6" s="85">
        <f>IF(EXACT(Income_import[[#This Row],[FinanceCode]],UPPER(Income_import[[#This Row],[FinanceCode]])),0,1)+IF(EXACT(Income_import[[#This Row],[SchoolCode]],UPPER(Income_import[[#This Row],[SchoolCode]])),0,1)+IF(EXACT(Income_import[[#This Row],[LedgerCode]],UPPER(Income_import[[#This Row],[LedgerCode]])),0,1)+IF(EXACT(Income_import[[#This Row],[DepartmentCode]],UPPER(Income_import[[#This Row],[DepartmentCode]])),0,1)+IF(EXACT(Income_import[[#This Row],[CalculatorCode]],UPPER(Income_import[[#This Row],[CalculatorCode]])),0,1)+IF(EXACT(Income_import[[#This Row],[MonthProfileCode]],UPPER(Income_import[[#This Row],[MonthProfileCode]])),0,1)+IF(EXACT(Income_import[[#This Row],[FundCode]],UPPER(Income_import[[#This Row],[FundCode]])),0,1)</f>
        <v>0</v>
      </c>
      <c r="Q6" s="85">
        <f>IF(LEN(Income_import[[#This Row],[Description]])&lt;100,0,1)</f>
        <v>0</v>
      </c>
      <c r="R6" s="85">
        <f>IF(LEN(Income_import[[#This Row],[Notes]])&lt;4000,0,1)</f>
        <v>0</v>
      </c>
      <c r="S6" s="85">
        <f>IF(LEN(Income_import[[#This Row],[YearNotes]])&lt;4000,0,1)</f>
        <v>0</v>
      </c>
      <c r="T6" s="85">
        <f>IF(OR(Income_import[[#This Row],[MatEditOnly]]=TRUE,Income_import[[#This Row],[MatEditOnly]]=FALSE),IF(OR(Income_import[[#This Row],[Calculated]]=TRUE,Income_import[[#This Row],[Calculated]]=FALSE),0,1),1)</f>
        <v>0</v>
      </c>
      <c r="U6" s="85">
        <f>IF(_xlfn.XLOOKUP(Income_import[[#This Row],[FinancialYearCode]],Years[Years],Years[Years],1)=Income_import[[#This Row],[FinancialYearCode]],0,1)</f>
        <v>0</v>
      </c>
      <c r="V6" s="85">
        <f>IF(Income_import[[#This Row],[CalculatorCode]]="",0,IF(IF(_xlfn.XLOOKUP(Income_import[[#This Row],[CalculatorCode]],Calculators[CalculatorCode],Calculators[LockCheck])=1,TRUE,FALSE)=Income_import[[#This Row],[MatEditOnly]],0,1))</f>
        <v>0</v>
      </c>
      <c r="W6" s="85">
        <f>SUM(Income_import[[#This Row],[DuplicateLine]:[MAT edit only required]])</f>
        <v>4</v>
      </c>
      <c r="X6" s="80" t="e">
        <f>_xlfn.XLOOKUP(Income_import[[#This Row],[SchoolCode]],SCHOOLS[SchoolCode],SCHOOLS[Title])</f>
        <v>#N/A</v>
      </c>
      <c r="AA6" t="s">
        <v>1630</v>
      </c>
      <c r="AE6" t="s">
        <v>906</v>
      </c>
      <c r="AF6" t="s">
        <v>1124</v>
      </c>
      <c r="AG6" t="s">
        <v>1765</v>
      </c>
      <c r="AJ6" t="b">
        <v>1</v>
      </c>
      <c r="AK6" t="s">
        <v>1497</v>
      </c>
      <c r="AL6" t="b">
        <v>1</v>
      </c>
    </row>
    <row r="7" spans="1:39" x14ac:dyDescent="0.3">
      <c r="A7" s="120" t="str">
        <f t="shared" si="0"/>
        <v>ALESPupil Premium PLAC 5/12ths Apr-Aug2025/26</v>
      </c>
      <c r="B7" s="85">
        <f>COUNTIF(Income_import[Column1],Income_import[[#This Row],[Column1]])-1</f>
        <v>0</v>
      </c>
      <c r="C7" s="80" cm="1">
        <f t="array" ref="C7">IF(_xlfn.XLOOKUP(Income_import[[#This Row],[FinanceCode]],FinanceCodesBudget[FinanceCode],FinanceCodesBudget[AvailableToAllSchools],1,0,)=TRUE,0,IF(ISERROR(FIND(Income_import[[#This Row],[SchoolCode]],_xlfn.TEXTJOIN(",",TRUE,_xlfn.UNIQUE(IF(FinanceCodesBudget[FinanceCode]=Income_import[[#This Row],[FinanceCode]],FinanceCodesBudget[SchoolCodes],""))))),1,0))</f>
        <v>1</v>
      </c>
      <c r="D7" s="85">
        <f>IF(COUNTIF(SCHOOLS[SchoolCode],Income_import[[#This Row],[SchoolCode]])&gt;0,0,1)</f>
        <v>1</v>
      </c>
      <c r="E7" s="85">
        <f>IF(COUNTIF(LEDGER[],Income_import[[#This Row],[LedgerCode]])&gt;0,0,1)</f>
        <v>0</v>
      </c>
      <c r="F7" s="85">
        <f>IF(ISBLANK(Income_import[[#This Row],[MonthProfileCode]]),1,IF(COUNTIF(MONTHPRF[Code],Income_import[[#This Row],[MonthProfileCode]])&gt;0,0,1))</f>
        <v>0</v>
      </c>
      <c r="G7" s="80" cm="1">
        <f t="array" ref="G7">IF(_xlfn.XLOOKUP(Income_import[[#This Row],[DepartmentCode]]&amp;Income_import[[#This Row],[LedgerCode]],DEPTS[DepartmentCode]&amp;DEPTS[LedgerCode],DEPTS[AvailableToAllSchools],1,0,)=TRUE,0,IF(ISERROR(FIND(Income_import[[#This Row],[SchoolCode]],_xlfn.TEXTJOIN(",",TRUE,_xlfn.UNIQUE(IF(DEPTS[DepartmentCode]&amp;DEPTS[LedgerCode]=Income_import[[#This Row],[DepartmentCode]]&amp;Income_import[[#This Row],[LedgerCode]],DEPTS[SchoolCodes],""))))),1,0))</f>
        <v>1</v>
      </c>
      <c r="H7" s="85">
        <f>IF(Income_import[[#This Row],[FundCode]]=0,0,IF(COUNTIF(FUNDS[FundCode],Income_import[[#This Row],[FundCode]])&gt;0,0,1))</f>
        <v>0</v>
      </c>
      <c r="I7" s="80" cm="1">
        <f t="array" ref="I7">IF(_xlfn.XLOOKUP(Income_import[[#This Row],[DepartmentCode]]&amp;Income_import[[#This Row],[LedgerCode]],DEPTS[DepartmentCode]&amp;DEPTS[LedgerCode],DEPTS[AvailableToAllSchools])=TRUE,(IF((_xlfn.XLOOKUP(Income_import[[#This Row],[DepartmentCode]]&amp;Income_import[[#This Row],[LedgerCode]],DEPTS[DepartmentCode]&amp;DEPTS[LedgerCode],DEPTS[LedgerCode])=Income_import[[#This Row],[LedgerCode]]),0,1)),(IFERROR(IF(FIND(Income_import[[#This Row],[SchoolCode]],(_xlfn.TEXTJOIN(",",TRUE,IF(DEPTS[DepartmentCode]&amp;DEPTS[LedgerCode]=Income_import[[#This Row],[DepartmentCode]]&amp;Income_import[[#This Row],[LedgerCode]],DEPTS[SchoolCodes],"")))),0,1),1)))</f>
        <v>1</v>
      </c>
      <c r="J7" s="85">
        <f>IF(ISBLANK(Income_import[[#This Row],[YearValue]])=Income_import[[#This Row],[Calculated]],0,1)</f>
        <v>0</v>
      </c>
      <c r="K7" s="85">
        <f>IF(ISBLANK(Income_import[[#This Row],[CalculatorCode]]),0,IF(COUNTIF(Calculators[CalculatorCode],Income_import[[#This Row],[CalculatorCode]])&gt;0,0,1))</f>
        <v>0</v>
      </c>
      <c r="L7" s="85">
        <f>IF(TRIM(Income_import[[#This Row],[Description]])="",1,0)</f>
        <v>0</v>
      </c>
      <c r="M7" s="85">
        <f>IF(ISBLANK(Income_import[[#This Row],[MatEditOnly]]),1,0)</f>
        <v>0</v>
      </c>
      <c r="N7" s="85">
        <f>IF(ISBLANK(Income_import[[#This Row],[FinancialYearCode]]),1,0)</f>
        <v>0</v>
      </c>
      <c r="O7" s="85">
        <f>IF(ISBLANK(Income_import[[#This Row],[Calculated]]),1,0)</f>
        <v>0</v>
      </c>
      <c r="P7" s="85">
        <f>IF(EXACT(Income_import[[#This Row],[FinanceCode]],UPPER(Income_import[[#This Row],[FinanceCode]])),0,1)+IF(EXACT(Income_import[[#This Row],[SchoolCode]],UPPER(Income_import[[#This Row],[SchoolCode]])),0,1)+IF(EXACT(Income_import[[#This Row],[LedgerCode]],UPPER(Income_import[[#This Row],[LedgerCode]])),0,1)+IF(EXACT(Income_import[[#This Row],[DepartmentCode]],UPPER(Income_import[[#This Row],[DepartmentCode]])),0,1)+IF(EXACT(Income_import[[#This Row],[CalculatorCode]],UPPER(Income_import[[#This Row],[CalculatorCode]])),0,1)+IF(EXACT(Income_import[[#This Row],[MonthProfileCode]],UPPER(Income_import[[#This Row],[MonthProfileCode]])),0,1)+IF(EXACT(Income_import[[#This Row],[FundCode]],UPPER(Income_import[[#This Row],[FundCode]])),0,1)</f>
        <v>0</v>
      </c>
      <c r="Q7" s="85">
        <f>IF(LEN(Income_import[[#This Row],[Description]])&lt;100,0,1)</f>
        <v>0</v>
      </c>
      <c r="R7" s="85">
        <f>IF(LEN(Income_import[[#This Row],[Notes]])&lt;4000,0,1)</f>
        <v>0</v>
      </c>
      <c r="S7" s="85">
        <f>IF(LEN(Income_import[[#This Row],[YearNotes]])&lt;4000,0,1)</f>
        <v>0</v>
      </c>
      <c r="T7" s="85">
        <f>IF(OR(Income_import[[#This Row],[MatEditOnly]]=TRUE,Income_import[[#This Row],[MatEditOnly]]=FALSE),IF(OR(Income_import[[#This Row],[Calculated]]=TRUE,Income_import[[#This Row],[Calculated]]=FALSE),0,1),1)</f>
        <v>0</v>
      </c>
      <c r="U7" s="85">
        <f>IF(_xlfn.XLOOKUP(Income_import[[#This Row],[FinancialYearCode]],Years[Years],Years[Years],1)=Income_import[[#This Row],[FinancialYearCode]],0,1)</f>
        <v>0</v>
      </c>
      <c r="V7" s="85">
        <f>IF(Income_import[[#This Row],[CalculatorCode]]="",0,IF(IF(_xlfn.XLOOKUP(Income_import[[#This Row],[CalculatorCode]],Calculators[CalculatorCode],Calculators[LockCheck])=1,TRUE,FALSE)=Income_import[[#This Row],[MatEditOnly]],0,1))</f>
        <v>0</v>
      </c>
      <c r="W7" s="85">
        <f>SUM(Income_import[[#This Row],[DuplicateLine]:[MAT edit only required]])</f>
        <v>4</v>
      </c>
      <c r="X7" s="80" t="e">
        <f>_xlfn.XLOOKUP(Income_import[[#This Row],[SchoolCode]],SCHOOLS[SchoolCode],SCHOOLS[Title])</f>
        <v>#N/A</v>
      </c>
      <c r="AA7" t="s">
        <v>2432</v>
      </c>
      <c r="AE7" t="s">
        <v>1945</v>
      </c>
      <c r="AF7" t="s">
        <v>1118</v>
      </c>
      <c r="AG7" t="s">
        <v>1946</v>
      </c>
      <c r="AJ7" t="b">
        <v>1</v>
      </c>
      <c r="AK7" t="s">
        <v>1497</v>
      </c>
      <c r="AL7" t="b">
        <v>1</v>
      </c>
    </row>
    <row r="8" spans="1:39" x14ac:dyDescent="0.3">
      <c r="A8" s="120" t="str">
        <f t="shared" si="0"/>
        <v>PRIPupil Premium PLAC 5/12ths Apr-Aug2025/26</v>
      </c>
      <c r="B8" s="85">
        <f>COUNTIF(Income_import[Column1],Income_import[[#This Row],[Column1]])-1</f>
        <v>0</v>
      </c>
      <c r="C8" s="80" cm="1">
        <f t="array" ref="C8">IF(_xlfn.XLOOKUP(Income_import[[#This Row],[FinanceCode]],FinanceCodesBudget[FinanceCode],FinanceCodesBudget[AvailableToAllSchools],1,0,)=TRUE,0,IF(ISERROR(FIND(Income_import[[#This Row],[SchoolCode]],_xlfn.TEXTJOIN(",",TRUE,_xlfn.UNIQUE(IF(FinanceCodesBudget[FinanceCode]=Income_import[[#This Row],[FinanceCode]],FinanceCodesBudget[SchoolCodes],""))))),1,0))</f>
        <v>1</v>
      </c>
      <c r="D8" s="85">
        <f>IF(COUNTIF(SCHOOLS[SchoolCode],Income_import[[#This Row],[SchoolCode]])&gt;0,0,1)</f>
        <v>1</v>
      </c>
      <c r="E8" s="85">
        <f>IF(COUNTIF(LEDGER[],Income_import[[#This Row],[LedgerCode]])&gt;0,0,1)</f>
        <v>0</v>
      </c>
      <c r="F8" s="85">
        <f>IF(ISBLANK(Income_import[[#This Row],[MonthProfileCode]]),1,IF(COUNTIF(MONTHPRF[Code],Income_import[[#This Row],[MonthProfileCode]])&gt;0,0,1))</f>
        <v>0</v>
      </c>
      <c r="G8" s="80" cm="1">
        <f t="array" ref="G8">IF(_xlfn.XLOOKUP(Income_import[[#This Row],[DepartmentCode]]&amp;Income_import[[#This Row],[LedgerCode]],DEPTS[DepartmentCode]&amp;DEPTS[LedgerCode],DEPTS[AvailableToAllSchools],1,0,)=TRUE,0,IF(ISERROR(FIND(Income_import[[#This Row],[SchoolCode]],_xlfn.TEXTJOIN(",",TRUE,_xlfn.UNIQUE(IF(DEPTS[DepartmentCode]&amp;DEPTS[LedgerCode]=Income_import[[#This Row],[DepartmentCode]]&amp;Income_import[[#This Row],[LedgerCode]],DEPTS[SchoolCodes],""))))),1,0))</f>
        <v>1</v>
      </c>
      <c r="H8" s="85">
        <f>IF(Income_import[[#This Row],[FundCode]]=0,0,IF(COUNTIF(FUNDS[FundCode],Income_import[[#This Row],[FundCode]])&gt;0,0,1))</f>
        <v>0</v>
      </c>
      <c r="I8" s="80" cm="1">
        <f t="array" ref="I8">IF(_xlfn.XLOOKUP(Income_import[[#This Row],[DepartmentCode]]&amp;Income_import[[#This Row],[LedgerCode]],DEPTS[DepartmentCode]&amp;DEPTS[LedgerCode],DEPTS[AvailableToAllSchools])=TRUE,(IF((_xlfn.XLOOKUP(Income_import[[#This Row],[DepartmentCode]]&amp;Income_import[[#This Row],[LedgerCode]],DEPTS[DepartmentCode]&amp;DEPTS[LedgerCode],DEPTS[LedgerCode])=Income_import[[#This Row],[LedgerCode]]),0,1)),(IFERROR(IF(FIND(Income_import[[#This Row],[SchoolCode]],(_xlfn.TEXTJOIN(",",TRUE,IF(DEPTS[DepartmentCode]&amp;DEPTS[LedgerCode]=Income_import[[#This Row],[DepartmentCode]]&amp;Income_import[[#This Row],[LedgerCode]],DEPTS[SchoolCodes],"")))),0,1),1)))</f>
        <v>1</v>
      </c>
      <c r="J8" s="85">
        <f>IF(ISBLANK(Income_import[[#This Row],[YearValue]])=Income_import[[#This Row],[Calculated]],0,1)</f>
        <v>0</v>
      </c>
      <c r="K8" s="85">
        <f>IF(ISBLANK(Income_import[[#This Row],[CalculatorCode]]),0,IF(COUNTIF(Calculators[CalculatorCode],Income_import[[#This Row],[CalculatorCode]])&gt;0,0,1))</f>
        <v>0</v>
      </c>
      <c r="L8" s="85">
        <f>IF(TRIM(Income_import[[#This Row],[Description]])="",1,0)</f>
        <v>0</v>
      </c>
      <c r="M8" s="85">
        <f>IF(ISBLANK(Income_import[[#This Row],[MatEditOnly]]),1,0)</f>
        <v>0</v>
      </c>
      <c r="N8" s="85">
        <f>IF(ISBLANK(Income_import[[#This Row],[FinancialYearCode]]),1,0)</f>
        <v>0</v>
      </c>
      <c r="O8" s="85">
        <f>IF(ISBLANK(Income_import[[#This Row],[Calculated]]),1,0)</f>
        <v>0</v>
      </c>
      <c r="P8" s="85">
        <f>IF(EXACT(Income_import[[#This Row],[FinanceCode]],UPPER(Income_import[[#This Row],[FinanceCode]])),0,1)+IF(EXACT(Income_import[[#This Row],[SchoolCode]],UPPER(Income_import[[#This Row],[SchoolCode]])),0,1)+IF(EXACT(Income_import[[#This Row],[LedgerCode]],UPPER(Income_import[[#This Row],[LedgerCode]])),0,1)+IF(EXACT(Income_import[[#This Row],[DepartmentCode]],UPPER(Income_import[[#This Row],[DepartmentCode]])),0,1)+IF(EXACT(Income_import[[#This Row],[CalculatorCode]],UPPER(Income_import[[#This Row],[CalculatorCode]])),0,1)+IF(EXACT(Income_import[[#This Row],[MonthProfileCode]],UPPER(Income_import[[#This Row],[MonthProfileCode]])),0,1)+IF(EXACT(Income_import[[#This Row],[FundCode]],UPPER(Income_import[[#This Row],[FundCode]])),0,1)</f>
        <v>0</v>
      </c>
      <c r="Q8" s="85">
        <f>IF(LEN(Income_import[[#This Row],[Description]])&lt;100,0,1)</f>
        <v>0</v>
      </c>
      <c r="R8" s="85">
        <f>IF(LEN(Income_import[[#This Row],[Notes]])&lt;4000,0,1)</f>
        <v>0</v>
      </c>
      <c r="S8" s="85">
        <f>IF(LEN(Income_import[[#This Row],[YearNotes]])&lt;4000,0,1)</f>
        <v>0</v>
      </c>
      <c r="T8" s="85">
        <f>IF(OR(Income_import[[#This Row],[MatEditOnly]]=TRUE,Income_import[[#This Row],[MatEditOnly]]=FALSE),IF(OR(Income_import[[#This Row],[Calculated]]=TRUE,Income_import[[#This Row],[Calculated]]=FALSE),0,1),1)</f>
        <v>0</v>
      </c>
      <c r="U8" s="85">
        <f>IF(_xlfn.XLOOKUP(Income_import[[#This Row],[FinancialYearCode]],Years[Years],Years[Years],1)=Income_import[[#This Row],[FinancialYearCode]],0,1)</f>
        <v>0</v>
      </c>
      <c r="V8" s="85">
        <f>IF(Income_import[[#This Row],[CalculatorCode]]="",0,IF(IF(_xlfn.XLOOKUP(Income_import[[#This Row],[CalculatorCode]],Calculators[CalculatorCode],Calculators[LockCheck])=1,TRUE,FALSE)=Income_import[[#This Row],[MatEditOnly]],0,1))</f>
        <v>0</v>
      </c>
      <c r="W8" s="85">
        <f>SUM(Income_import[[#This Row],[DuplicateLine]:[MAT edit only required]])</f>
        <v>4</v>
      </c>
      <c r="X8" s="80" t="e">
        <f>_xlfn.XLOOKUP(Income_import[[#This Row],[SchoolCode]],SCHOOLS[SchoolCode],SCHOOLS[Title])</f>
        <v>#N/A</v>
      </c>
      <c r="AA8" t="s">
        <v>1630</v>
      </c>
      <c r="AE8" t="s">
        <v>1945</v>
      </c>
      <c r="AF8" t="s">
        <v>1118</v>
      </c>
      <c r="AG8" t="s">
        <v>1946</v>
      </c>
      <c r="AJ8" t="b">
        <v>1</v>
      </c>
      <c r="AK8" t="s">
        <v>1497</v>
      </c>
      <c r="AL8" t="b">
        <v>1</v>
      </c>
    </row>
    <row r="9" spans="1:39" x14ac:dyDescent="0.3">
      <c r="A9" s="120" t="str">
        <f t="shared" si="0"/>
        <v>ALESPupil Premium PLAC 7/12ths Sep-Mar2025/26</v>
      </c>
      <c r="B9" s="85">
        <f>COUNTIF(Income_import[Column1],Income_import[[#This Row],[Column1]])-1</f>
        <v>0</v>
      </c>
      <c r="C9" s="80" cm="1">
        <f t="array" ref="C9">IF(_xlfn.XLOOKUP(Income_import[[#This Row],[FinanceCode]],FinanceCodesBudget[FinanceCode],FinanceCodesBudget[AvailableToAllSchools],1,0,)=TRUE,0,IF(ISERROR(FIND(Income_import[[#This Row],[SchoolCode]],_xlfn.TEXTJOIN(",",TRUE,_xlfn.UNIQUE(IF(FinanceCodesBudget[FinanceCode]=Income_import[[#This Row],[FinanceCode]],FinanceCodesBudget[SchoolCodes],""))))),1,0))</f>
        <v>1</v>
      </c>
      <c r="D9" s="85">
        <f>IF(COUNTIF(SCHOOLS[SchoolCode],Income_import[[#This Row],[SchoolCode]])&gt;0,0,1)</f>
        <v>1</v>
      </c>
      <c r="E9" s="85">
        <f>IF(COUNTIF(LEDGER[],Income_import[[#This Row],[LedgerCode]])&gt;0,0,1)</f>
        <v>0</v>
      </c>
      <c r="F9" s="85">
        <f>IF(ISBLANK(Income_import[[#This Row],[MonthProfileCode]]),1,IF(COUNTIF(MONTHPRF[Code],Income_import[[#This Row],[MonthProfileCode]])&gt;0,0,1))</f>
        <v>0</v>
      </c>
      <c r="G9" s="80" cm="1">
        <f t="array" ref="G9">IF(_xlfn.XLOOKUP(Income_import[[#This Row],[DepartmentCode]]&amp;Income_import[[#This Row],[LedgerCode]],DEPTS[DepartmentCode]&amp;DEPTS[LedgerCode],DEPTS[AvailableToAllSchools],1,0,)=TRUE,0,IF(ISERROR(FIND(Income_import[[#This Row],[SchoolCode]],_xlfn.TEXTJOIN(",",TRUE,_xlfn.UNIQUE(IF(DEPTS[DepartmentCode]&amp;DEPTS[LedgerCode]=Income_import[[#This Row],[DepartmentCode]]&amp;Income_import[[#This Row],[LedgerCode]],DEPTS[SchoolCodes],""))))),1,0))</f>
        <v>1</v>
      </c>
      <c r="H9" s="85">
        <f>IF(Income_import[[#This Row],[FundCode]]=0,0,IF(COUNTIF(FUNDS[FundCode],Income_import[[#This Row],[FundCode]])&gt;0,0,1))</f>
        <v>0</v>
      </c>
      <c r="I9" s="80" cm="1">
        <f t="array" ref="I9">IF(_xlfn.XLOOKUP(Income_import[[#This Row],[DepartmentCode]]&amp;Income_import[[#This Row],[LedgerCode]],DEPTS[DepartmentCode]&amp;DEPTS[LedgerCode],DEPTS[AvailableToAllSchools])=TRUE,(IF((_xlfn.XLOOKUP(Income_import[[#This Row],[DepartmentCode]]&amp;Income_import[[#This Row],[LedgerCode]],DEPTS[DepartmentCode]&amp;DEPTS[LedgerCode],DEPTS[LedgerCode])=Income_import[[#This Row],[LedgerCode]]),0,1)),(IFERROR(IF(FIND(Income_import[[#This Row],[SchoolCode]],(_xlfn.TEXTJOIN(",",TRUE,IF(DEPTS[DepartmentCode]&amp;DEPTS[LedgerCode]=Income_import[[#This Row],[DepartmentCode]]&amp;Income_import[[#This Row],[LedgerCode]],DEPTS[SchoolCodes],"")))),0,1),1)))</f>
        <v>1</v>
      </c>
      <c r="J9" s="85">
        <f>IF(ISBLANK(Income_import[[#This Row],[YearValue]])=Income_import[[#This Row],[Calculated]],0,1)</f>
        <v>0</v>
      </c>
      <c r="K9" s="85">
        <f>IF(ISBLANK(Income_import[[#This Row],[CalculatorCode]]),0,IF(COUNTIF(Calculators[CalculatorCode],Income_import[[#This Row],[CalculatorCode]])&gt;0,0,1))</f>
        <v>0</v>
      </c>
      <c r="L9" s="85">
        <f>IF(TRIM(Income_import[[#This Row],[Description]])="",1,0)</f>
        <v>0</v>
      </c>
      <c r="M9" s="85">
        <f>IF(ISBLANK(Income_import[[#This Row],[MatEditOnly]]),1,0)</f>
        <v>0</v>
      </c>
      <c r="N9" s="85">
        <f>IF(ISBLANK(Income_import[[#This Row],[FinancialYearCode]]),1,0)</f>
        <v>0</v>
      </c>
      <c r="O9" s="85">
        <f>IF(ISBLANK(Income_import[[#This Row],[Calculated]]),1,0)</f>
        <v>0</v>
      </c>
      <c r="P9" s="85">
        <f>IF(EXACT(Income_import[[#This Row],[FinanceCode]],UPPER(Income_import[[#This Row],[FinanceCode]])),0,1)+IF(EXACT(Income_import[[#This Row],[SchoolCode]],UPPER(Income_import[[#This Row],[SchoolCode]])),0,1)+IF(EXACT(Income_import[[#This Row],[LedgerCode]],UPPER(Income_import[[#This Row],[LedgerCode]])),0,1)+IF(EXACT(Income_import[[#This Row],[DepartmentCode]],UPPER(Income_import[[#This Row],[DepartmentCode]])),0,1)+IF(EXACT(Income_import[[#This Row],[CalculatorCode]],UPPER(Income_import[[#This Row],[CalculatorCode]])),0,1)+IF(EXACT(Income_import[[#This Row],[MonthProfileCode]],UPPER(Income_import[[#This Row],[MonthProfileCode]])),0,1)+IF(EXACT(Income_import[[#This Row],[FundCode]],UPPER(Income_import[[#This Row],[FundCode]])),0,1)</f>
        <v>0</v>
      </c>
      <c r="Q9" s="85">
        <f>IF(LEN(Income_import[[#This Row],[Description]])&lt;100,0,1)</f>
        <v>0</v>
      </c>
      <c r="R9" s="85">
        <f>IF(LEN(Income_import[[#This Row],[Notes]])&lt;4000,0,1)</f>
        <v>0</v>
      </c>
      <c r="S9" s="85">
        <f>IF(LEN(Income_import[[#This Row],[YearNotes]])&lt;4000,0,1)</f>
        <v>0</v>
      </c>
      <c r="T9" s="85">
        <f>IF(OR(Income_import[[#This Row],[MatEditOnly]]=TRUE,Income_import[[#This Row],[MatEditOnly]]=FALSE),IF(OR(Income_import[[#This Row],[Calculated]]=TRUE,Income_import[[#This Row],[Calculated]]=FALSE),0,1),1)</f>
        <v>0</v>
      </c>
      <c r="U9" s="85">
        <f>IF(_xlfn.XLOOKUP(Income_import[[#This Row],[FinancialYearCode]],Years[Years],Years[Years],1)=Income_import[[#This Row],[FinancialYearCode]],0,1)</f>
        <v>0</v>
      </c>
      <c r="V9" s="85">
        <f>IF(Income_import[[#This Row],[CalculatorCode]]="",0,IF(IF(_xlfn.XLOOKUP(Income_import[[#This Row],[CalculatorCode]],Calculators[CalculatorCode],Calculators[LockCheck])=1,TRUE,FALSE)=Income_import[[#This Row],[MatEditOnly]],0,1))</f>
        <v>0</v>
      </c>
      <c r="W9" s="85">
        <f>SUM(Income_import[[#This Row],[DuplicateLine]:[MAT edit only required]])</f>
        <v>4</v>
      </c>
      <c r="X9" s="80" t="e">
        <f>_xlfn.XLOOKUP(Income_import[[#This Row],[SchoolCode]],SCHOOLS[SchoolCode],SCHOOLS[Title])</f>
        <v>#N/A</v>
      </c>
      <c r="AA9" t="s">
        <v>2432</v>
      </c>
      <c r="AE9" t="s">
        <v>1947</v>
      </c>
      <c r="AF9" t="s">
        <v>1120</v>
      </c>
      <c r="AG9" t="s">
        <v>1948</v>
      </c>
      <c r="AJ9" t="b">
        <v>1</v>
      </c>
      <c r="AK9" t="s">
        <v>1497</v>
      </c>
      <c r="AL9" t="b">
        <v>1</v>
      </c>
    </row>
    <row r="10" spans="1:39" x14ac:dyDescent="0.3">
      <c r="A10" s="120" t="str">
        <f t="shared" si="0"/>
        <v>PRIPupil Premium PLAC 7/12ths Sep-Mar2025/26</v>
      </c>
      <c r="B10" s="85">
        <f>COUNTIF(Income_import[Column1],Income_import[[#This Row],[Column1]])-1</f>
        <v>0</v>
      </c>
      <c r="C10" s="80" cm="1">
        <f t="array" ref="C10">IF(_xlfn.XLOOKUP(Income_import[[#This Row],[FinanceCode]],FinanceCodesBudget[FinanceCode],FinanceCodesBudget[AvailableToAllSchools],1,0,)=TRUE,0,IF(ISERROR(FIND(Income_import[[#This Row],[SchoolCode]],_xlfn.TEXTJOIN(",",TRUE,_xlfn.UNIQUE(IF(FinanceCodesBudget[FinanceCode]=Income_import[[#This Row],[FinanceCode]],FinanceCodesBudget[SchoolCodes],""))))),1,0))</f>
        <v>1</v>
      </c>
      <c r="D10" s="85">
        <f>IF(COUNTIF(SCHOOLS[SchoolCode],Income_import[[#This Row],[SchoolCode]])&gt;0,0,1)</f>
        <v>1</v>
      </c>
      <c r="E10" s="85">
        <f>IF(COUNTIF(LEDGER[],Income_import[[#This Row],[LedgerCode]])&gt;0,0,1)</f>
        <v>0</v>
      </c>
      <c r="F10" s="85">
        <f>IF(ISBLANK(Income_import[[#This Row],[MonthProfileCode]]),1,IF(COUNTIF(MONTHPRF[Code],Income_import[[#This Row],[MonthProfileCode]])&gt;0,0,1))</f>
        <v>0</v>
      </c>
      <c r="G10" s="80" cm="1">
        <f t="array" ref="G10">IF(_xlfn.XLOOKUP(Income_import[[#This Row],[DepartmentCode]]&amp;Income_import[[#This Row],[LedgerCode]],DEPTS[DepartmentCode]&amp;DEPTS[LedgerCode],DEPTS[AvailableToAllSchools],1,0,)=TRUE,0,IF(ISERROR(FIND(Income_import[[#This Row],[SchoolCode]],_xlfn.TEXTJOIN(",",TRUE,_xlfn.UNIQUE(IF(DEPTS[DepartmentCode]&amp;DEPTS[LedgerCode]=Income_import[[#This Row],[DepartmentCode]]&amp;Income_import[[#This Row],[LedgerCode]],DEPTS[SchoolCodes],""))))),1,0))</f>
        <v>1</v>
      </c>
      <c r="H10" s="85">
        <f>IF(Income_import[[#This Row],[FundCode]]=0,0,IF(COUNTIF(FUNDS[FundCode],Income_import[[#This Row],[FundCode]])&gt;0,0,1))</f>
        <v>0</v>
      </c>
      <c r="I10" s="80" cm="1">
        <f t="array" ref="I10">IF(_xlfn.XLOOKUP(Income_import[[#This Row],[DepartmentCode]]&amp;Income_import[[#This Row],[LedgerCode]],DEPTS[DepartmentCode]&amp;DEPTS[LedgerCode],DEPTS[AvailableToAllSchools])=TRUE,(IF((_xlfn.XLOOKUP(Income_import[[#This Row],[DepartmentCode]]&amp;Income_import[[#This Row],[LedgerCode]],DEPTS[DepartmentCode]&amp;DEPTS[LedgerCode],DEPTS[LedgerCode])=Income_import[[#This Row],[LedgerCode]]),0,1)),(IFERROR(IF(FIND(Income_import[[#This Row],[SchoolCode]],(_xlfn.TEXTJOIN(",",TRUE,IF(DEPTS[DepartmentCode]&amp;DEPTS[LedgerCode]=Income_import[[#This Row],[DepartmentCode]]&amp;Income_import[[#This Row],[LedgerCode]],DEPTS[SchoolCodes],"")))),0,1),1)))</f>
        <v>1</v>
      </c>
      <c r="J10" s="85">
        <f>IF(ISBLANK(Income_import[[#This Row],[YearValue]])=Income_import[[#This Row],[Calculated]],0,1)</f>
        <v>0</v>
      </c>
      <c r="K10" s="85">
        <f>IF(ISBLANK(Income_import[[#This Row],[CalculatorCode]]),0,IF(COUNTIF(Calculators[CalculatorCode],Income_import[[#This Row],[CalculatorCode]])&gt;0,0,1))</f>
        <v>0</v>
      </c>
      <c r="L10" s="85">
        <f>IF(TRIM(Income_import[[#This Row],[Description]])="",1,0)</f>
        <v>0</v>
      </c>
      <c r="M10" s="85">
        <f>IF(ISBLANK(Income_import[[#This Row],[MatEditOnly]]),1,0)</f>
        <v>0</v>
      </c>
      <c r="N10" s="85">
        <f>IF(ISBLANK(Income_import[[#This Row],[FinancialYearCode]]),1,0)</f>
        <v>0</v>
      </c>
      <c r="O10" s="85">
        <f>IF(ISBLANK(Income_import[[#This Row],[Calculated]]),1,0)</f>
        <v>0</v>
      </c>
      <c r="P10" s="85">
        <f>IF(EXACT(Income_import[[#This Row],[FinanceCode]],UPPER(Income_import[[#This Row],[FinanceCode]])),0,1)+IF(EXACT(Income_import[[#This Row],[SchoolCode]],UPPER(Income_import[[#This Row],[SchoolCode]])),0,1)+IF(EXACT(Income_import[[#This Row],[LedgerCode]],UPPER(Income_import[[#This Row],[LedgerCode]])),0,1)+IF(EXACT(Income_import[[#This Row],[DepartmentCode]],UPPER(Income_import[[#This Row],[DepartmentCode]])),0,1)+IF(EXACT(Income_import[[#This Row],[CalculatorCode]],UPPER(Income_import[[#This Row],[CalculatorCode]])),0,1)+IF(EXACT(Income_import[[#This Row],[MonthProfileCode]],UPPER(Income_import[[#This Row],[MonthProfileCode]])),0,1)+IF(EXACT(Income_import[[#This Row],[FundCode]],UPPER(Income_import[[#This Row],[FundCode]])),0,1)</f>
        <v>0</v>
      </c>
      <c r="Q10" s="85">
        <f>IF(LEN(Income_import[[#This Row],[Description]])&lt;100,0,1)</f>
        <v>0</v>
      </c>
      <c r="R10" s="85">
        <f>IF(LEN(Income_import[[#This Row],[Notes]])&lt;4000,0,1)</f>
        <v>0</v>
      </c>
      <c r="S10" s="85">
        <f>IF(LEN(Income_import[[#This Row],[YearNotes]])&lt;4000,0,1)</f>
        <v>0</v>
      </c>
      <c r="T10" s="85">
        <f>IF(OR(Income_import[[#This Row],[MatEditOnly]]=TRUE,Income_import[[#This Row],[MatEditOnly]]=FALSE),IF(OR(Income_import[[#This Row],[Calculated]]=TRUE,Income_import[[#This Row],[Calculated]]=FALSE),0,1),1)</f>
        <v>0</v>
      </c>
      <c r="U10" s="85">
        <f>IF(_xlfn.XLOOKUP(Income_import[[#This Row],[FinancialYearCode]],Years[Years],Years[Years],1)=Income_import[[#This Row],[FinancialYearCode]],0,1)</f>
        <v>0</v>
      </c>
      <c r="V10" s="85">
        <f>IF(Income_import[[#This Row],[CalculatorCode]]="",0,IF(IF(_xlfn.XLOOKUP(Income_import[[#This Row],[CalculatorCode]],Calculators[CalculatorCode],Calculators[LockCheck])=1,TRUE,FALSE)=Income_import[[#This Row],[MatEditOnly]],0,1))</f>
        <v>0</v>
      </c>
      <c r="W10" s="85">
        <f>SUM(Income_import[[#This Row],[DuplicateLine]:[MAT edit only required]])</f>
        <v>4</v>
      </c>
      <c r="X10" s="80" t="e">
        <f>_xlfn.XLOOKUP(Income_import[[#This Row],[SchoolCode]],SCHOOLS[SchoolCode],SCHOOLS[Title])</f>
        <v>#N/A</v>
      </c>
      <c r="AA10" t="s">
        <v>1630</v>
      </c>
      <c r="AE10" t="s">
        <v>1947</v>
      </c>
      <c r="AF10" t="s">
        <v>1120</v>
      </c>
      <c r="AG10" t="s">
        <v>1948</v>
      </c>
      <c r="AJ10" t="b">
        <v>1</v>
      </c>
      <c r="AK10" t="s">
        <v>1497</v>
      </c>
      <c r="AL10" t="b">
        <v>1</v>
      </c>
    </row>
    <row r="11" spans="1:39" x14ac:dyDescent="0.3">
      <c r="A11" s="120" t="str">
        <f t="shared" si="0"/>
        <v>PRIPupil Premium Primary 5/12ths Apr-Aug2025/26</v>
      </c>
      <c r="B11" s="85">
        <f>COUNTIF(Income_import[Column1],Income_import[[#This Row],[Column1]])-1</f>
        <v>0</v>
      </c>
      <c r="C11" s="80" cm="1">
        <f t="array" ref="C11">IF(_xlfn.XLOOKUP(Income_import[[#This Row],[FinanceCode]],FinanceCodesBudget[FinanceCode],FinanceCodesBudget[AvailableToAllSchools],1,0,)=TRUE,0,IF(ISERROR(FIND(Income_import[[#This Row],[SchoolCode]],_xlfn.TEXTJOIN(",",TRUE,_xlfn.UNIQUE(IF(FinanceCodesBudget[FinanceCode]=Income_import[[#This Row],[FinanceCode]],FinanceCodesBudget[SchoolCodes],""))))),1,0))</f>
        <v>1</v>
      </c>
      <c r="D11" s="85">
        <f>IF(COUNTIF(SCHOOLS[SchoolCode],Income_import[[#This Row],[SchoolCode]])&gt;0,0,1)</f>
        <v>1</v>
      </c>
      <c r="E11" s="85">
        <f>IF(COUNTIF(LEDGER[],Income_import[[#This Row],[LedgerCode]])&gt;0,0,1)</f>
        <v>0</v>
      </c>
      <c r="F11" s="85">
        <f>IF(ISBLANK(Income_import[[#This Row],[MonthProfileCode]]),1,IF(COUNTIF(MONTHPRF[Code],Income_import[[#This Row],[MonthProfileCode]])&gt;0,0,1))</f>
        <v>0</v>
      </c>
      <c r="G11" s="80" cm="1">
        <f t="array" ref="G11">IF(_xlfn.XLOOKUP(Income_import[[#This Row],[DepartmentCode]]&amp;Income_import[[#This Row],[LedgerCode]],DEPTS[DepartmentCode]&amp;DEPTS[LedgerCode],DEPTS[AvailableToAllSchools],1,0,)=TRUE,0,IF(ISERROR(FIND(Income_import[[#This Row],[SchoolCode]],_xlfn.TEXTJOIN(",",TRUE,_xlfn.UNIQUE(IF(DEPTS[DepartmentCode]&amp;DEPTS[LedgerCode]=Income_import[[#This Row],[DepartmentCode]]&amp;Income_import[[#This Row],[LedgerCode]],DEPTS[SchoolCodes],""))))),1,0))</f>
        <v>1</v>
      </c>
      <c r="H11" s="85">
        <f>IF(Income_import[[#This Row],[FundCode]]=0,0,IF(COUNTIF(FUNDS[FundCode],Income_import[[#This Row],[FundCode]])&gt;0,0,1))</f>
        <v>0</v>
      </c>
      <c r="I11" s="80" cm="1">
        <f t="array" ref="I11">IF(_xlfn.XLOOKUP(Income_import[[#This Row],[DepartmentCode]]&amp;Income_import[[#This Row],[LedgerCode]],DEPTS[DepartmentCode]&amp;DEPTS[LedgerCode],DEPTS[AvailableToAllSchools])=TRUE,(IF((_xlfn.XLOOKUP(Income_import[[#This Row],[DepartmentCode]]&amp;Income_import[[#This Row],[LedgerCode]],DEPTS[DepartmentCode]&amp;DEPTS[LedgerCode],DEPTS[LedgerCode])=Income_import[[#This Row],[LedgerCode]]),0,1)),(IFERROR(IF(FIND(Income_import[[#This Row],[SchoolCode]],(_xlfn.TEXTJOIN(",",TRUE,IF(DEPTS[DepartmentCode]&amp;DEPTS[LedgerCode]=Income_import[[#This Row],[DepartmentCode]]&amp;Income_import[[#This Row],[LedgerCode]],DEPTS[SchoolCodes],"")))),0,1),1)))</f>
        <v>1</v>
      </c>
      <c r="J11" s="85">
        <f>IF(ISBLANK(Income_import[[#This Row],[YearValue]])=Income_import[[#This Row],[Calculated]],0,1)</f>
        <v>0</v>
      </c>
      <c r="K11" s="85">
        <f>IF(ISBLANK(Income_import[[#This Row],[CalculatorCode]]),0,IF(COUNTIF(Calculators[CalculatorCode],Income_import[[#This Row],[CalculatorCode]])&gt;0,0,1))</f>
        <v>0</v>
      </c>
      <c r="L11" s="85">
        <f>IF(TRIM(Income_import[[#This Row],[Description]])="",1,0)</f>
        <v>0</v>
      </c>
      <c r="M11" s="85">
        <f>IF(ISBLANK(Income_import[[#This Row],[MatEditOnly]]),1,0)</f>
        <v>0</v>
      </c>
      <c r="N11" s="85">
        <f>IF(ISBLANK(Income_import[[#This Row],[FinancialYearCode]]),1,0)</f>
        <v>0</v>
      </c>
      <c r="O11" s="85">
        <f>IF(ISBLANK(Income_import[[#This Row],[Calculated]]),1,0)</f>
        <v>0</v>
      </c>
      <c r="P11" s="85">
        <f>IF(EXACT(Income_import[[#This Row],[FinanceCode]],UPPER(Income_import[[#This Row],[FinanceCode]])),0,1)+IF(EXACT(Income_import[[#This Row],[SchoolCode]],UPPER(Income_import[[#This Row],[SchoolCode]])),0,1)+IF(EXACT(Income_import[[#This Row],[LedgerCode]],UPPER(Income_import[[#This Row],[LedgerCode]])),0,1)+IF(EXACT(Income_import[[#This Row],[DepartmentCode]],UPPER(Income_import[[#This Row],[DepartmentCode]])),0,1)+IF(EXACT(Income_import[[#This Row],[CalculatorCode]],UPPER(Income_import[[#This Row],[CalculatorCode]])),0,1)+IF(EXACT(Income_import[[#This Row],[MonthProfileCode]],UPPER(Income_import[[#This Row],[MonthProfileCode]])),0,1)+IF(EXACT(Income_import[[#This Row],[FundCode]],UPPER(Income_import[[#This Row],[FundCode]])),0,1)</f>
        <v>0</v>
      </c>
      <c r="Q11" s="85">
        <f>IF(LEN(Income_import[[#This Row],[Description]])&lt;100,0,1)</f>
        <v>0</v>
      </c>
      <c r="R11" s="85">
        <f>IF(LEN(Income_import[[#This Row],[Notes]])&lt;4000,0,1)</f>
        <v>0</v>
      </c>
      <c r="S11" s="85">
        <f>IF(LEN(Income_import[[#This Row],[YearNotes]])&lt;4000,0,1)</f>
        <v>0</v>
      </c>
      <c r="T11" s="85">
        <f>IF(OR(Income_import[[#This Row],[MatEditOnly]]=TRUE,Income_import[[#This Row],[MatEditOnly]]=FALSE),IF(OR(Income_import[[#This Row],[Calculated]]=TRUE,Income_import[[#This Row],[Calculated]]=FALSE),0,1),1)</f>
        <v>0</v>
      </c>
      <c r="U11" s="85">
        <f>IF(_xlfn.XLOOKUP(Income_import[[#This Row],[FinancialYearCode]],Years[Years],Years[Years],1)=Income_import[[#This Row],[FinancialYearCode]],0,1)</f>
        <v>0</v>
      </c>
      <c r="V11" s="85">
        <f>IF(Income_import[[#This Row],[CalculatorCode]]="",0,IF(IF(_xlfn.XLOOKUP(Income_import[[#This Row],[CalculatorCode]],Calculators[CalculatorCode],Calculators[LockCheck])=1,TRUE,FALSE)=Income_import[[#This Row],[MatEditOnly]],0,1))</f>
        <v>0</v>
      </c>
      <c r="W11" s="85">
        <f>SUM(Income_import[[#This Row],[DuplicateLine]:[MAT edit only required]])</f>
        <v>4</v>
      </c>
      <c r="X11" s="80" t="e">
        <f>_xlfn.XLOOKUP(Income_import[[#This Row],[SchoolCode]],SCHOOLS[SchoolCode],SCHOOLS[Title])</f>
        <v>#N/A</v>
      </c>
      <c r="AA11" t="s">
        <v>1630</v>
      </c>
      <c r="AE11" t="s">
        <v>1314</v>
      </c>
      <c r="AF11" t="s">
        <v>1118</v>
      </c>
      <c r="AG11" t="s">
        <v>1315</v>
      </c>
      <c r="AJ11" t="b">
        <v>1</v>
      </c>
      <c r="AK11" t="s">
        <v>1497</v>
      </c>
      <c r="AL11" t="b">
        <v>1</v>
      </c>
    </row>
    <row r="12" spans="1:39" x14ac:dyDescent="0.3">
      <c r="A12" s="120" t="str">
        <f t="shared" si="0"/>
        <v>PRIPupil Premium Primary 7/12ths Sep-Mar2025/26</v>
      </c>
      <c r="B12" s="85">
        <f>COUNTIF(Income_import[Column1],Income_import[[#This Row],[Column1]])-1</f>
        <v>0</v>
      </c>
      <c r="C12" s="80" cm="1">
        <f t="array" ref="C12">IF(_xlfn.XLOOKUP(Income_import[[#This Row],[FinanceCode]],FinanceCodesBudget[FinanceCode],FinanceCodesBudget[AvailableToAllSchools],1,0,)=TRUE,0,IF(ISERROR(FIND(Income_import[[#This Row],[SchoolCode]],_xlfn.TEXTJOIN(",",TRUE,_xlfn.UNIQUE(IF(FinanceCodesBudget[FinanceCode]=Income_import[[#This Row],[FinanceCode]],FinanceCodesBudget[SchoolCodes],""))))),1,0))</f>
        <v>1</v>
      </c>
      <c r="D12" s="85">
        <f>IF(COUNTIF(SCHOOLS[SchoolCode],Income_import[[#This Row],[SchoolCode]])&gt;0,0,1)</f>
        <v>1</v>
      </c>
      <c r="E12" s="85">
        <f>IF(COUNTIF(LEDGER[],Income_import[[#This Row],[LedgerCode]])&gt;0,0,1)</f>
        <v>0</v>
      </c>
      <c r="F12" s="85">
        <f>IF(ISBLANK(Income_import[[#This Row],[MonthProfileCode]]),1,IF(COUNTIF(MONTHPRF[Code],Income_import[[#This Row],[MonthProfileCode]])&gt;0,0,1))</f>
        <v>0</v>
      </c>
      <c r="G12" s="80" cm="1">
        <f t="array" ref="G12">IF(_xlfn.XLOOKUP(Income_import[[#This Row],[DepartmentCode]]&amp;Income_import[[#This Row],[LedgerCode]],DEPTS[DepartmentCode]&amp;DEPTS[LedgerCode],DEPTS[AvailableToAllSchools],1,0,)=TRUE,0,IF(ISERROR(FIND(Income_import[[#This Row],[SchoolCode]],_xlfn.TEXTJOIN(",",TRUE,_xlfn.UNIQUE(IF(DEPTS[DepartmentCode]&amp;DEPTS[LedgerCode]=Income_import[[#This Row],[DepartmentCode]]&amp;Income_import[[#This Row],[LedgerCode]],DEPTS[SchoolCodes],""))))),1,0))</f>
        <v>1</v>
      </c>
      <c r="H12" s="85">
        <f>IF(Income_import[[#This Row],[FundCode]]=0,0,IF(COUNTIF(FUNDS[FundCode],Income_import[[#This Row],[FundCode]])&gt;0,0,1))</f>
        <v>0</v>
      </c>
      <c r="I12" s="80" cm="1">
        <f t="array" ref="I12">IF(_xlfn.XLOOKUP(Income_import[[#This Row],[DepartmentCode]]&amp;Income_import[[#This Row],[LedgerCode]],DEPTS[DepartmentCode]&amp;DEPTS[LedgerCode],DEPTS[AvailableToAllSchools])=TRUE,(IF((_xlfn.XLOOKUP(Income_import[[#This Row],[DepartmentCode]]&amp;Income_import[[#This Row],[LedgerCode]],DEPTS[DepartmentCode]&amp;DEPTS[LedgerCode],DEPTS[LedgerCode])=Income_import[[#This Row],[LedgerCode]]),0,1)),(IFERROR(IF(FIND(Income_import[[#This Row],[SchoolCode]],(_xlfn.TEXTJOIN(",",TRUE,IF(DEPTS[DepartmentCode]&amp;DEPTS[LedgerCode]=Income_import[[#This Row],[DepartmentCode]]&amp;Income_import[[#This Row],[LedgerCode]],DEPTS[SchoolCodes],"")))),0,1),1)))</f>
        <v>1</v>
      </c>
      <c r="J12" s="85">
        <f>IF(ISBLANK(Income_import[[#This Row],[YearValue]])=Income_import[[#This Row],[Calculated]],0,1)</f>
        <v>0</v>
      </c>
      <c r="K12" s="85">
        <f>IF(ISBLANK(Income_import[[#This Row],[CalculatorCode]]),0,IF(COUNTIF(Calculators[CalculatorCode],Income_import[[#This Row],[CalculatorCode]])&gt;0,0,1))</f>
        <v>0</v>
      </c>
      <c r="L12" s="85">
        <f>IF(TRIM(Income_import[[#This Row],[Description]])="",1,0)</f>
        <v>0</v>
      </c>
      <c r="M12" s="85">
        <f>IF(ISBLANK(Income_import[[#This Row],[MatEditOnly]]),1,0)</f>
        <v>0</v>
      </c>
      <c r="N12" s="85">
        <f>IF(ISBLANK(Income_import[[#This Row],[FinancialYearCode]]),1,0)</f>
        <v>0</v>
      </c>
      <c r="O12" s="85">
        <f>IF(ISBLANK(Income_import[[#This Row],[Calculated]]),1,0)</f>
        <v>0</v>
      </c>
      <c r="P12" s="85">
        <f>IF(EXACT(Income_import[[#This Row],[FinanceCode]],UPPER(Income_import[[#This Row],[FinanceCode]])),0,1)+IF(EXACT(Income_import[[#This Row],[SchoolCode]],UPPER(Income_import[[#This Row],[SchoolCode]])),0,1)+IF(EXACT(Income_import[[#This Row],[LedgerCode]],UPPER(Income_import[[#This Row],[LedgerCode]])),0,1)+IF(EXACT(Income_import[[#This Row],[DepartmentCode]],UPPER(Income_import[[#This Row],[DepartmentCode]])),0,1)+IF(EXACT(Income_import[[#This Row],[CalculatorCode]],UPPER(Income_import[[#This Row],[CalculatorCode]])),0,1)+IF(EXACT(Income_import[[#This Row],[MonthProfileCode]],UPPER(Income_import[[#This Row],[MonthProfileCode]])),0,1)+IF(EXACT(Income_import[[#This Row],[FundCode]],UPPER(Income_import[[#This Row],[FundCode]])),0,1)</f>
        <v>0</v>
      </c>
      <c r="Q12" s="85">
        <f>IF(LEN(Income_import[[#This Row],[Description]])&lt;100,0,1)</f>
        <v>0</v>
      </c>
      <c r="R12" s="85">
        <f>IF(LEN(Income_import[[#This Row],[Notes]])&lt;4000,0,1)</f>
        <v>0</v>
      </c>
      <c r="S12" s="85">
        <f>IF(LEN(Income_import[[#This Row],[YearNotes]])&lt;4000,0,1)</f>
        <v>0</v>
      </c>
      <c r="T12" s="85">
        <f>IF(OR(Income_import[[#This Row],[MatEditOnly]]=TRUE,Income_import[[#This Row],[MatEditOnly]]=FALSE),IF(OR(Income_import[[#This Row],[Calculated]]=TRUE,Income_import[[#This Row],[Calculated]]=FALSE),0,1),1)</f>
        <v>0</v>
      </c>
      <c r="U12" s="85">
        <f>IF(_xlfn.XLOOKUP(Income_import[[#This Row],[FinancialYearCode]],Years[Years],Years[Years],1)=Income_import[[#This Row],[FinancialYearCode]],0,1)</f>
        <v>0</v>
      </c>
      <c r="V12" s="85">
        <f>IF(Income_import[[#This Row],[CalculatorCode]]="",0,IF(IF(_xlfn.XLOOKUP(Income_import[[#This Row],[CalculatorCode]],Calculators[CalculatorCode],Calculators[LockCheck])=1,TRUE,FALSE)=Income_import[[#This Row],[MatEditOnly]],0,1))</f>
        <v>0</v>
      </c>
      <c r="W12" s="85">
        <f>SUM(Income_import[[#This Row],[DuplicateLine]:[MAT edit only required]])</f>
        <v>4</v>
      </c>
      <c r="X12" s="80" t="e">
        <f>_xlfn.XLOOKUP(Income_import[[#This Row],[SchoolCode]],SCHOOLS[SchoolCode],SCHOOLS[Title])</f>
        <v>#N/A</v>
      </c>
      <c r="AA12" t="s">
        <v>1630</v>
      </c>
      <c r="AE12" t="s">
        <v>1316</v>
      </c>
      <c r="AF12" t="s">
        <v>1120</v>
      </c>
      <c r="AG12" t="s">
        <v>1317</v>
      </c>
      <c r="AJ12" t="b">
        <v>1</v>
      </c>
      <c r="AK12" t="s">
        <v>1497</v>
      </c>
      <c r="AL12" t="b">
        <v>1</v>
      </c>
    </row>
    <row r="13" spans="1:39" x14ac:dyDescent="0.3">
      <c r="A13" s="120" t="str">
        <f t="shared" si="0"/>
        <v>ALESPupil Premium Secondary 5/12ths Apr-Aug2025/26</v>
      </c>
      <c r="B13" s="85">
        <f>COUNTIF(Income_import[Column1],Income_import[[#This Row],[Column1]])-1</f>
        <v>0</v>
      </c>
      <c r="C13" s="80" cm="1">
        <f t="array" ref="C13">IF(_xlfn.XLOOKUP(Income_import[[#This Row],[FinanceCode]],FinanceCodesBudget[FinanceCode],FinanceCodesBudget[AvailableToAllSchools],1,0,)=TRUE,0,IF(ISERROR(FIND(Income_import[[#This Row],[SchoolCode]],_xlfn.TEXTJOIN(",",TRUE,_xlfn.UNIQUE(IF(FinanceCodesBudget[FinanceCode]=Income_import[[#This Row],[FinanceCode]],FinanceCodesBudget[SchoolCodes],""))))),1,0))</f>
        <v>1</v>
      </c>
      <c r="D13" s="85">
        <f>IF(COUNTIF(SCHOOLS[SchoolCode],Income_import[[#This Row],[SchoolCode]])&gt;0,0,1)</f>
        <v>1</v>
      </c>
      <c r="E13" s="85">
        <f>IF(COUNTIF(LEDGER[],Income_import[[#This Row],[LedgerCode]])&gt;0,0,1)</f>
        <v>0</v>
      </c>
      <c r="F13" s="85">
        <f>IF(ISBLANK(Income_import[[#This Row],[MonthProfileCode]]),1,IF(COUNTIF(MONTHPRF[Code],Income_import[[#This Row],[MonthProfileCode]])&gt;0,0,1))</f>
        <v>0</v>
      </c>
      <c r="G13" s="80" cm="1">
        <f t="array" ref="G13">IF(_xlfn.XLOOKUP(Income_import[[#This Row],[DepartmentCode]]&amp;Income_import[[#This Row],[LedgerCode]],DEPTS[DepartmentCode]&amp;DEPTS[LedgerCode],DEPTS[AvailableToAllSchools],1,0,)=TRUE,0,IF(ISERROR(FIND(Income_import[[#This Row],[SchoolCode]],_xlfn.TEXTJOIN(",",TRUE,_xlfn.UNIQUE(IF(DEPTS[DepartmentCode]&amp;DEPTS[LedgerCode]=Income_import[[#This Row],[DepartmentCode]]&amp;Income_import[[#This Row],[LedgerCode]],DEPTS[SchoolCodes],""))))),1,0))</f>
        <v>1</v>
      </c>
      <c r="H13" s="85">
        <f>IF(Income_import[[#This Row],[FundCode]]=0,0,IF(COUNTIF(FUNDS[FundCode],Income_import[[#This Row],[FundCode]])&gt;0,0,1))</f>
        <v>0</v>
      </c>
      <c r="I13" s="80" cm="1">
        <f t="array" ref="I13">IF(_xlfn.XLOOKUP(Income_import[[#This Row],[DepartmentCode]]&amp;Income_import[[#This Row],[LedgerCode]],DEPTS[DepartmentCode]&amp;DEPTS[LedgerCode],DEPTS[AvailableToAllSchools])=TRUE,(IF((_xlfn.XLOOKUP(Income_import[[#This Row],[DepartmentCode]]&amp;Income_import[[#This Row],[LedgerCode]],DEPTS[DepartmentCode]&amp;DEPTS[LedgerCode],DEPTS[LedgerCode])=Income_import[[#This Row],[LedgerCode]]),0,1)),(IFERROR(IF(FIND(Income_import[[#This Row],[SchoolCode]],(_xlfn.TEXTJOIN(",",TRUE,IF(DEPTS[DepartmentCode]&amp;DEPTS[LedgerCode]=Income_import[[#This Row],[DepartmentCode]]&amp;Income_import[[#This Row],[LedgerCode]],DEPTS[SchoolCodes],"")))),0,1),1)))</f>
        <v>1</v>
      </c>
      <c r="J13" s="85">
        <f>IF(ISBLANK(Income_import[[#This Row],[YearValue]])=Income_import[[#This Row],[Calculated]],0,1)</f>
        <v>0</v>
      </c>
      <c r="K13" s="85">
        <f>IF(ISBLANK(Income_import[[#This Row],[CalculatorCode]]),0,IF(COUNTIF(Calculators[CalculatorCode],Income_import[[#This Row],[CalculatorCode]])&gt;0,0,1))</f>
        <v>1</v>
      </c>
      <c r="L13" s="85">
        <f>IF(TRIM(Income_import[[#This Row],[Description]])="",1,0)</f>
        <v>0</v>
      </c>
      <c r="M13" s="85">
        <f>IF(ISBLANK(Income_import[[#This Row],[MatEditOnly]]),1,0)</f>
        <v>0</v>
      </c>
      <c r="N13" s="85">
        <f>IF(ISBLANK(Income_import[[#This Row],[FinancialYearCode]]),1,0)</f>
        <v>0</v>
      </c>
      <c r="O13" s="85">
        <f>IF(ISBLANK(Income_import[[#This Row],[Calculated]]),1,0)</f>
        <v>0</v>
      </c>
      <c r="P13" s="85">
        <f>IF(EXACT(Income_import[[#This Row],[FinanceCode]],UPPER(Income_import[[#This Row],[FinanceCode]])),0,1)+IF(EXACT(Income_import[[#This Row],[SchoolCode]],UPPER(Income_import[[#This Row],[SchoolCode]])),0,1)+IF(EXACT(Income_import[[#This Row],[LedgerCode]],UPPER(Income_import[[#This Row],[LedgerCode]])),0,1)+IF(EXACT(Income_import[[#This Row],[DepartmentCode]],UPPER(Income_import[[#This Row],[DepartmentCode]])),0,1)+IF(EXACT(Income_import[[#This Row],[CalculatorCode]],UPPER(Income_import[[#This Row],[CalculatorCode]])),0,1)+IF(EXACT(Income_import[[#This Row],[MonthProfileCode]],UPPER(Income_import[[#This Row],[MonthProfileCode]])),0,1)+IF(EXACT(Income_import[[#This Row],[FundCode]],UPPER(Income_import[[#This Row],[FundCode]])),0,1)</f>
        <v>0</v>
      </c>
      <c r="Q13" s="85">
        <f>IF(LEN(Income_import[[#This Row],[Description]])&lt;100,0,1)</f>
        <v>0</v>
      </c>
      <c r="R13" s="85">
        <f>IF(LEN(Income_import[[#This Row],[Notes]])&lt;4000,0,1)</f>
        <v>0</v>
      </c>
      <c r="S13" s="85">
        <f>IF(LEN(Income_import[[#This Row],[YearNotes]])&lt;4000,0,1)</f>
        <v>0</v>
      </c>
      <c r="T13" s="85">
        <f>IF(OR(Income_import[[#This Row],[MatEditOnly]]=TRUE,Income_import[[#This Row],[MatEditOnly]]=FALSE),IF(OR(Income_import[[#This Row],[Calculated]]=TRUE,Income_import[[#This Row],[Calculated]]=FALSE),0,1),1)</f>
        <v>0</v>
      </c>
      <c r="U13" s="85">
        <f>IF(_xlfn.XLOOKUP(Income_import[[#This Row],[FinancialYearCode]],Years[Years],Years[Years],1)=Income_import[[#This Row],[FinancialYearCode]],0,1)</f>
        <v>0</v>
      </c>
      <c r="V13" s="85" t="e">
        <f>IF(Income_import[[#This Row],[CalculatorCode]]="",0,IF(IF(_xlfn.XLOOKUP(Income_import[[#This Row],[CalculatorCode]],Calculators[CalculatorCode],Calculators[LockCheck])=1,TRUE,FALSE)=Income_import[[#This Row],[MatEditOnly]],0,1))</f>
        <v>#N/A</v>
      </c>
      <c r="W13" s="85" t="e">
        <f>SUM(Income_import[[#This Row],[DuplicateLine]:[MAT edit only required]])</f>
        <v>#N/A</v>
      </c>
      <c r="X13" s="80" t="e">
        <f>_xlfn.XLOOKUP(Income_import[[#This Row],[SchoolCode]],SCHOOLS[SchoolCode],SCHOOLS[Title])</f>
        <v>#N/A</v>
      </c>
      <c r="AA13" t="s">
        <v>2432</v>
      </c>
      <c r="AE13" t="s">
        <v>1318</v>
      </c>
      <c r="AF13" t="s">
        <v>1118</v>
      </c>
      <c r="AG13" t="s">
        <v>1319</v>
      </c>
      <c r="AJ13" t="b">
        <v>1</v>
      </c>
      <c r="AK13" t="s">
        <v>1497</v>
      </c>
      <c r="AL13" t="b">
        <v>1</v>
      </c>
    </row>
    <row r="14" spans="1:39" x14ac:dyDescent="0.3">
      <c r="A14" s="120" t="str">
        <f t="shared" si="0"/>
        <v>ALESPupil Premium Secondary 7/12ths Sep-Mar2025/26</v>
      </c>
      <c r="B14" s="85">
        <f>COUNTIF(Income_import[Column1],Income_import[[#This Row],[Column1]])-1</f>
        <v>0</v>
      </c>
      <c r="C14" s="80" cm="1">
        <f t="array" ref="C14">IF(_xlfn.XLOOKUP(Income_import[[#This Row],[FinanceCode]],FinanceCodesBudget[FinanceCode],FinanceCodesBudget[AvailableToAllSchools],1,0,)=TRUE,0,IF(ISERROR(FIND(Income_import[[#This Row],[SchoolCode]],_xlfn.TEXTJOIN(",",TRUE,_xlfn.UNIQUE(IF(FinanceCodesBudget[FinanceCode]=Income_import[[#This Row],[FinanceCode]],FinanceCodesBudget[SchoolCodes],""))))),1,0))</f>
        <v>1</v>
      </c>
      <c r="D14" s="85">
        <f>IF(COUNTIF(SCHOOLS[SchoolCode],Income_import[[#This Row],[SchoolCode]])&gt;0,0,1)</f>
        <v>1</v>
      </c>
      <c r="E14" s="85">
        <f>IF(COUNTIF(LEDGER[],Income_import[[#This Row],[LedgerCode]])&gt;0,0,1)</f>
        <v>0</v>
      </c>
      <c r="F14" s="85">
        <f>IF(ISBLANK(Income_import[[#This Row],[MonthProfileCode]]),1,IF(COUNTIF(MONTHPRF[Code],Income_import[[#This Row],[MonthProfileCode]])&gt;0,0,1))</f>
        <v>0</v>
      </c>
      <c r="G14" s="80" cm="1">
        <f t="array" ref="G14">IF(_xlfn.XLOOKUP(Income_import[[#This Row],[DepartmentCode]]&amp;Income_import[[#This Row],[LedgerCode]],DEPTS[DepartmentCode]&amp;DEPTS[LedgerCode],DEPTS[AvailableToAllSchools],1,0,)=TRUE,0,IF(ISERROR(FIND(Income_import[[#This Row],[SchoolCode]],_xlfn.TEXTJOIN(",",TRUE,_xlfn.UNIQUE(IF(DEPTS[DepartmentCode]&amp;DEPTS[LedgerCode]=Income_import[[#This Row],[DepartmentCode]]&amp;Income_import[[#This Row],[LedgerCode]],DEPTS[SchoolCodes],""))))),1,0))</f>
        <v>1</v>
      </c>
      <c r="H14" s="85">
        <f>IF(Income_import[[#This Row],[FundCode]]=0,0,IF(COUNTIF(FUNDS[FundCode],Income_import[[#This Row],[FundCode]])&gt;0,0,1))</f>
        <v>0</v>
      </c>
      <c r="I14" s="80" cm="1">
        <f t="array" ref="I14">IF(_xlfn.XLOOKUP(Income_import[[#This Row],[DepartmentCode]]&amp;Income_import[[#This Row],[LedgerCode]],DEPTS[DepartmentCode]&amp;DEPTS[LedgerCode],DEPTS[AvailableToAllSchools])=TRUE,(IF((_xlfn.XLOOKUP(Income_import[[#This Row],[DepartmentCode]]&amp;Income_import[[#This Row],[LedgerCode]],DEPTS[DepartmentCode]&amp;DEPTS[LedgerCode],DEPTS[LedgerCode])=Income_import[[#This Row],[LedgerCode]]),0,1)),(IFERROR(IF(FIND(Income_import[[#This Row],[SchoolCode]],(_xlfn.TEXTJOIN(",",TRUE,IF(DEPTS[DepartmentCode]&amp;DEPTS[LedgerCode]=Income_import[[#This Row],[DepartmentCode]]&amp;Income_import[[#This Row],[LedgerCode]],DEPTS[SchoolCodes],"")))),0,1),1)))</f>
        <v>1</v>
      </c>
      <c r="J14" s="85">
        <f>IF(ISBLANK(Income_import[[#This Row],[YearValue]])=Income_import[[#This Row],[Calculated]],0,1)</f>
        <v>0</v>
      </c>
      <c r="K14" s="85">
        <f>IF(ISBLANK(Income_import[[#This Row],[CalculatorCode]]),0,IF(COUNTIF(Calculators[CalculatorCode],Income_import[[#This Row],[CalculatorCode]])&gt;0,0,1))</f>
        <v>1</v>
      </c>
      <c r="L14" s="85">
        <f>IF(TRIM(Income_import[[#This Row],[Description]])="",1,0)</f>
        <v>0</v>
      </c>
      <c r="M14" s="85">
        <f>IF(ISBLANK(Income_import[[#This Row],[MatEditOnly]]),1,0)</f>
        <v>0</v>
      </c>
      <c r="N14" s="85">
        <f>IF(ISBLANK(Income_import[[#This Row],[FinancialYearCode]]),1,0)</f>
        <v>0</v>
      </c>
      <c r="O14" s="85">
        <f>IF(ISBLANK(Income_import[[#This Row],[Calculated]]),1,0)</f>
        <v>0</v>
      </c>
      <c r="P14" s="85">
        <f>IF(EXACT(Income_import[[#This Row],[FinanceCode]],UPPER(Income_import[[#This Row],[FinanceCode]])),0,1)+IF(EXACT(Income_import[[#This Row],[SchoolCode]],UPPER(Income_import[[#This Row],[SchoolCode]])),0,1)+IF(EXACT(Income_import[[#This Row],[LedgerCode]],UPPER(Income_import[[#This Row],[LedgerCode]])),0,1)+IF(EXACT(Income_import[[#This Row],[DepartmentCode]],UPPER(Income_import[[#This Row],[DepartmentCode]])),0,1)+IF(EXACT(Income_import[[#This Row],[CalculatorCode]],UPPER(Income_import[[#This Row],[CalculatorCode]])),0,1)+IF(EXACT(Income_import[[#This Row],[MonthProfileCode]],UPPER(Income_import[[#This Row],[MonthProfileCode]])),0,1)+IF(EXACT(Income_import[[#This Row],[FundCode]],UPPER(Income_import[[#This Row],[FundCode]])),0,1)</f>
        <v>0</v>
      </c>
      <c r="Q14" s="85">
        <f>IF(LEN(Income_import[[#This Row],[Description]])&lt;100,0,1)</f>
        <v>0</v>
      </c>
      <c r="R14" s="85">
        <f>IF(LEN(Income_import[[#This Row],[Notes]])&lt;4000,0,1)</f>
        <v>0</v>
      </c>
      <c r="S14" s="85">
        <f>IF(LEN(Income_import[[#This Row],[YearNotes]])&lt;4000,0,1)</f>
        <v>0</v>
      </c>
      <c r="T14" s="85">
        <f>IF(OR(Income_import[[#This Row],[MatEditOnly]]=TRUE,Income_import[[#This Row],[MatEditOnly]]=FALSE),IF(OR(Income_import[[#This Row],[Calculated]]=TRUE,Income_import[[#This Row],[Calculated]]=FALSE),0,1),1)</f>
        <v>0</v>
      </c>
      <c r="U14" s="85">
        <f>IF(_xlfn.XLOOKUP(Income_import[[#This Row],[FinancialYearCode]],Years[Years],Years[Years],1)=Income_import[[#This Row],[FinancialYearCode]],0,1)</f>
        <v>0</v>
      </c>
      <c r="V14" s="85" t="e">
        <f>IF(Income_import[[#This Row],[CalculatorCode]]="",0,IF(IF(_xlfn.XLOOKUP(Income_import[[#This Row],[CalculatorCode]],Calculators[CalculatorCode],Calculators[LockCheck])=1,TRUE,FALSE)=Income_import[[#This Row],[MatEditOnly]],0,1))</f>
        <v>#N/A</v>
      </c>
      <c r="W14" s="85" t="e">
        <f>SUM(Income_import[[#This Row],[DuplicateLine]:[MAT edit only required]])</f>
        <v>#N/A</v>
      </c>
      <c r="X14" s="80" t="e">
        <f>_xlfn.XLOOKUP(Income_import[[#This Row],[SchoolCode]],SCHOOLS[SchoolCode],SCHOOLS[Title])</f>
        <v>#N/A</v>
      </c>
      <c r="AA14" t="s">
        <v>2432</v>
      </c>
      <c r="AE14" t="s">
        <v>1320</v>
      </c>
      <c r="AF14" t="s">
        <v>1120</v>
      </c>
      <c r="AG14" t="s">
        <v>1321</v>
      </c>
      <c r="AJ14" t="b">
        <v>1</v>
      </c>
      <c r="AK14" t="s">
        <v>1497</v>
      </c>
      <c r="AL14" t="b">
        <v>1</v>
      </c>
    </row>
    <row r="15" spans="1:39" x14ac:dyDescent="0.3">
      <c r="A15" s="120" t="str">
        <f t="shared" si="0"/>
        <v>ALESPupil Premium Service 5/12ths Apr-Aug2025/26</v>
      </c>
      <c r="B15" s="85">
        <f>COUNTIF(Income_import[Column1],Income_import[[#This Row],[Column1]])-1</f>
        <v>0</v>
      </c>
      <c r="C15" s="80" cm="1">
        <f t="array" ref="C15">IF(_xlfn.XLOOKUP(Income_import[[#This Row],[FinanceCode]],FinanceCodesBudget[FinanceCode],FinanceCodesBudget[AvailableToAllSchools],1,0,)=TRUE,0,IF(ISERROR(FIND(Income_import[[#This Row],[SchoolCode]],_xlfn.TEXTJOIN(",",TRUE,_xlfn.UNIQUE(IF(FinanceCodesBudget[FinanceCode]=Income_import[[#This Row],[FinanceCode]],FinanceCodesBudget[SchoolCodes],""))))),1,0))</f>
        <v>1</v>
      </c>
      <c r="D15" s="85">
        <f>IF(COUNTIF(SCHOOLS[SchoolCode],Income_import[[#This Row],[SchoolCode]])&gt;0,0,1)</f>
        <v>1</v>
      </c>
      <c r="E15" s="85">
        <f>IF(COUNTIF(LEDGER[],Income_import[[#This Row],[LedgerCode]])&gt;0,0,1)</f>
        <v>0</v>
      </c>
      <c r="F15" s="85">
        <f>IF(ISBLANK(Income_import[[#This Row],[MonthProfileCode]]),1,IF(COUNTIF(MONTHPRF[Code],Income_import[[#This Row],[MonthProfileCode]])&gt;0,0,1))</f>
        <v>0</v>
      </c>
      <c r="G15" s="80" cm="1">
        <f t="array" ref="G15">IF(_xlfn.XLOOKUP(Income_import[[#This Row],[DepartmentCode]]&amp;Income_import[[#This Row],[LedgerCode]],DEPTS[DepartmentCode]&amp;DEPTS[LedgerCode],DEPTS[AvailableToAllSchools],1,0,)=TRUE,0,IF(ISERROR(FIND(Income_import[[#This Row],[SchoolCode]],_xlfn.TEXTJOIN(",",TRUE,_xlfn.UNIQUE(IF(DEPTS[DepartmentCode]&amp;DEPTS[LedgerCode]=Income_import[[#This Row],[DepartmentCode]]&amp;Income_import[[#This Row],[LedgerCode]],DEPTS[SchoolCodes],""))))),1,0))</f>
        <v>1</v>
      </c>
      <c r="H15" s="85">
        <f>IF(Income_import[[#This Row],[FundCode]]=0,0,IF(COUNTIF(FUNDS[FundCode],Income_import[[#This Row],[FundCode]])&gt;0,0,1))</f>
        <v>0</v>
      </c>
      <c r="I15" s="80" cm="1">
        <f t="array" ref="I15">IF(_xlfn.XLOOKUP(Income_import[[#This Row],[DepartmentCode]]&amp;Income_import[[#This Row],[LedgerCode]],DEPTS[DepartmentCode]&amp;DEPTS[LedgerCode],DEPTS[AvailableToAllSchools])=TRUE,(IF((_xlfn.XLOOKUP(Income_import[[#This Row],[DepartmentCode]]&amp;Income_import[[#This Row],[LedgerCode]],DEPTS[DepartmentCode]&amp;DEPTS[LedgerCode],DEPTS[LedgerCode])=Income_import[[#This Row],[LedgerCode]]),0,1)),(IFERROR(IF(FIND(Income_import[[#This Row],[SchoolCode]],(_xlfn.TEXTJOIN(",",TRUE,IF(DEPTS[DepartmentCode]&amp;DEPTS[LedgerCode]=Income_import[[#This Row],[DepartmentCode]]&amp;Income_import[[#This Row],[LedgerCode]],DEPTS[SchoolCodes],"")))),0,1),1)))</f>
        <v>1</v>
      </c>
      <c r="J15" s="85">
        <f>IF(ISBLANK(Income_import[[#This Row],[YearValue]])=Income_import[[#This Row],[Calculated]],0,1)</f>
        <v>0</v>
      </c>
      <c r="K15" s="85">
        <f>IF(ISBLANK(Income_import[[#This Row],[CalculatorCode]]),0,IF(COUNTIF(Calculators[CalculatorCode],Income_import[[#This Row],[CalculatorCode]])&gt;0,0,1))</f>
        <v>0</v>
      </c>
      <c r="L15" s="85">
        <f>IF(TRIM(Income_import[[#This Row],[Description]])="",1,0)</f>
        <v>0</v>
      </c>
      <c r="M15" s="85">
        <f>IF(ISBLANK(Income_import[[#This Row],[MatEditOnly]]),1,0)</f>
        <v>0</v>
      </c>
      <c r="N15" s="85">
        <f>IF(ISBLANK(Income_import[[#This Row],[FinancialYearCode]]),1,0)</f>
        <v>0</v>
      </c>
      <c r="O15" s="85">
        <f>IF(ISBLANK(Income_import[[#This Row],[Calculated]]),1,0)</f>
        <v>0</v>
      </c>
      <c r="P15" s="85">
        <f>IF(EXACT(Income_import[[#This Row],[FinanceCode]],UPPER(Income_import[[#This Row],[FinanceCode]])),0,1)+IF(EXACT(Income_import[[#This Row],[SchoolCode]],UPPER(Income_import[[#This Row],[SchoolCode]])),0,1)+IF(EXACT(Income_import[[#This Row],[LedgerCode]],UPPER(Income_import[[#This Row],[LedgerCode]])),0,1)+IF(EXACT(Income_import[[#This Row],[DepartmentCode]],UPPER(Income_import[[#This Row],[DepartmentCode]])),0,1)+IF(EXACT(Income_import[[#This Row],[CalculatorCode]],UPPER(Income_import[[#This Row],[CalculatorCode]])),0,1)+IF(EXACT(Income_import[[#This Row],[MonthProfileCode]],UPPER(Income_import[[#This Row],[MonthProfileCode]])),0,1)+IF(EXACT(Income_import[[#This Row],[FundCode]],UPPER(Income_import[[#This Row],[FundCode]])),0,1)</f>
        <v>0</v>
      </c>
      <c r="Q15" s="85">
        <f>IF(LEN(Income_import[[#This Row],[Description]])&lt;100,0,1)</f>
        <v>0</v>
      </c>
      <c r="R15" s="85">
        <f>IF(LEN(Income_import[[#This Row],[Notes]])&lt;4000,0,1)</f>
        <v>0</v>
      </c>
      <c r="S15" s="85">
        <f>IF(LEN(Income_import[[#This Row],[YearNotes]])&lt;4000,0,1)</f>
        <v>0</v>
      </c>
      <c r="T15" s="85">
        <f>IF(OR(Income_import[[#This Row],[MatEditOnly]]=TRUE,Income_import[[#This Row],[MatEditOnly]]=FALSE),IF(OR(Income_import[[#This Row],[Calculated]]=TRUE,Income_import[[#This Row],[Calculated]]=FALSE),0,1),1)</f>
        <v>0</v>
      </c>
      <c r="U15" s="85">
        <f>IF(_xlfn.XLOOKUP(Income_import[[#This Row],[FinancialYearCode]],Years[Years],Years[Years],1)=Income_import[[#This Row],[FinancialYearCode]],0,1)</f>
        <v>0</v>
      </c>
      <c r="V15" s="85">
        <f>IF(Income_import[[#This Row],[CalculatorCode]]="",0,IF(IF(_xlfn.XLOOKUP(Income_import[[#This Row],[CalculatorCode]],Calculators[CalculatorCode],Calculators[LockCheck])=1,TRUE,FALSE)=Income_import[[#This Row],[MatEditOnly]],0,1))</f>
        <v>0</v>
      </c>
      <c r="W15" s="85">
        <f>SUM(Income_import[[#This Row],[DuplicateLine]:[MAT edit only required]])</f>
        <v>4</v>
      </c>
      <c r="X15" s="80" t="e">
        <f>_xlfn.XLOOKUP(Income_import[[#This Row],[SchoolCode]],SCHOOLS[SchoolCode],SCHOOLS[Title])</f>
        <v>#N/A</v>
      </c>
      <c r="AA15" t="s">
        <v>2432</v>
      </c>
      <c r="AE15" t="s">
        <v>1324</v>
      </c>
      <c r="AF15" t="s">
        <v>1118</v>
      </c>
      <c r="AG15" t="s">
        <v>1325</v>
      </c>
      <c r="AJ15" t="b">
        <v>1</v>
      </c>
      <c r="AK15" t="s">
        <v>1497</v>
      </c>
      <c r="AL15" t="b">
        <v>1</v>
      </c>
    </row>
    <row r="16" spans="1:39" x14ac:dyDescent="0.3">
      <c r="A16" s="120" t="str">
        <f t="shared" si="0"/>
        <v>PRIPupil Premium Service 5/12ths Apr-Aug2025/26</v>
      </c>
      <c r="B16" s="85">
        <f>COUNTIF(Income_import[Column1],Income_import[[#This Row],[Column1]])-1</f>
        <v>0</v>
      </c>
      <c r="C16" s="80" cm="1">
        <f t="array" ref="C16">IF(_xlfn.XLOOKUP(Income_import[[#This Row],[FinanceCode]],FinanceCodesBudget[FinanceCode],FinanceCodesBudget[AvailableToAllSchools],1,0,)=TRUE,0,IF(ISERROR(FIND(Income_import[[#This Row],[SchoolCode]],_xlfn.TEXTJOIN(",",TRUE,_xlfn.UNIQUE(IF(FinanceCodesBudget[FinanceCode]=Income_import[[#This Row],[FinanceCode]],FinanceCodesBudget[SchoolCodes],""))))),1,0))</f>
        <v>1</v>
      </c>
      <c r="D16" s="85">
        <f>IF(COUNTIF(SCHOOLS[SchoolCode],Income_import[[#This Row],[SchoolCode]])&gt;0,0,1)</f>
        <v>1</v>
      </c>
      <c r="E16" s="85">
        <f>IF(COUNTIF(LEDGER[],Income_import[[#This Row],[LedgerCode]])&gt;0,0,1)</f>
        <v>0</v>
      </c>
      <c r="F16" s="85">
        <f>IF(ISBLANK(Income_import[[#This Row],[MonthProfileCode]]),1,IF(COUNTIF(MONTHPRF[Code],Income_import[[#This Row],[MonthProfileCode]])&gt;0,0,1))</f>
        <v>0</v>
      </c>
      <c r="G16" s="80" cm="1">
        <f t="array" ref="G16">IF(_xlfn.XLOOKUP(Income_import[[#This Row],[DepartmentCode]]&amp;Income_import[[#This Row],[LedgerCode]],DEPTS[DepartmentCode]&amp;DEPTS[LedgerCode],DEPTS[AvailableToAllSchools],1,0,)=TRUE,0,IF(ISERROR(FIND(Income_import[[#This Row],[SchoolCode]],_xlfn.TEXTJOIN(",",TRUE,_xlfn.UNIQUE(IF(DEPTS[DepartmentCode]&amp;DEPTS[LedgerCode]=Income_import[[#This Row],[DepartmentCode]]&amp;Income_import[[#This Row],[LedgerCode]],DEPTS[SchoolCodes],""))))),1,0))</f>
        <v>1</v>
      </c>
      <c r="H16" s="85">
        <f>IF(Income_import[[#This Row],[FundCode]]=0,0,IF(COUNTIF(FUNDS[FundCode],Income_import[[#This Row],[FundCode]])&gt;0,0,1))</f>
        <v>0</v>
      </c>
      <c r="I16" s="80" cm="1">
        <f t="array" ref="I16">IF(_xlfn.XLOOKUP(Income_import[[#This Row],[DepartmentCode]]&amp;Income_import[[#This Row],[LedgerCode]],DEPTS[DepartmentCode]&amp;DEPTS[LedgerCode],DEPTS[AvailableToAllSchools])=TRUE,(IF((_xlfn.XLOOKUP(Income_import[[#This Row],[DepartmentCode]]&amp;Income_import[[#This Row],[LedgerCode]],DEPTS[DepartmentCode]&amp;DEPTS[LedgerCode],DEPTS[LedgerCode])=Income_import[[#This Row],[LedgerCode]]),0,1)),(IFERROR(IF(FIND(Income_import[[#This Row],[SchoolCode]],(_xlfn.TEXTJOIN(",",TRUE,IF(DEPTS[DepartmentCode]&amp;DEPTS[LedgerCode]=Income_import[[#This Row],[DepartmentCode]]&amp;Income_import[[#This Row],[LedgerCode]],DEPTS[SchoolCodes],"")))),0,1),1)))</f>
        <v>1</v>
      </c>
      <c r="J16" s="85">
        <f>IF(ISBLANK(Income_import[[#This Row],[YearValue]])=Income_import[[#This Row],[Calculated]],0,1)</f>
        <v>0</v>
      </c>
      <c r="K16" s="85">
        <f>IF(ISBLANK(Income_import[[#This Row],[CalculatorCode]]),0,IF(COUNTIF(Calculators[CalculatorCode],Income_import[[#This Row],[CalculatorCode]])&gt;0,0,1))</f>
        <v>0</v>
      </c>
      <c r="L16" s="85">
        <f>IF(TRIM(Income_import[[#This Row],[Description]])="",1,0)</f>
        <v>0</v>
      </c>
      <c r="M16" s="85">
        <f>IF(ISBLANK(Income_import[[#This Row],[MatEditOnly]]),1,0)</f>
        <v>0</v>
      </c>
      <c r="N16" s="85">
        <f>IF(ISBLANK(Income_import[[#This Row],[FinancialYearCode]]),1,0)</f>
        <v>0</v>
      </c>
      <c r="O16" s="85">
        <f>IF(ISBLANK(Income_import[[#This Row],[Calculated]]),1,0)</f>
        <v>0</v>
      </c>
      <c r="P16" s="85">
        <f>IF(EXACT(Income_import[[#This Row],[FinanceCode]],UPPER(Income_import[[#This Row],[FinanceCode]])),0,1)+IF(EXACT(Income_import[[#This Row],[SchoolCode]],UPPER(Income_import[[#This Row],[SchoolCode]])),0,1)+IF(EXACT(Income_import[[#This Row],[LedgerCode]],UPPER(Income_import[[#This Row],[LedgerCode]])),0,1)+IF(EXACT(Income_import[[#This Row],[DepartmentCode]],UPPER(Income_import[[#This Row],[DepartmentCode]])),0,1)+IF(EXACT(Income_import[[#This Row],[CalculatorCode]],UPPER(Income_import[[#This Row],[CalculatorCode]])),0,1)+IF(EXACT(Income_import[[#This Row],[MonthProfileCode]],UPPER(Income_import[[#This Row],[MonthProfileCode]])),0,1)+IF(EXACT(Income_import[[#This Row],[FundCode]],UPPER(Income_import[[#This Row],[FundCode]])),0,1)</f>
        <v>0</v>
      </c>
      <c r="Q16" s="85">
        <f>IF(LEN(Income_import[[#This Row],[Description]])&lt;100,0,1)</f>
        <v>0</v>
      </c>
      <c r="R16" s="85">
        <f>IF(LEN(Income_import[[#This Row],[Notes]])&lt;4000,0,1)</f>
        <v>0</v>
      </c>
      <c r="S16" s="85">
        <f>IF(LEN(Income_import[[#This Row],[YearNotes]])&lt;4000,0,1)</f>
        <v>0</v>
      </c>
      <c r="T16" s="85">
        <f>IF(OR(Income_import[[#This Row],[MatEditOnly]]=TRUE,Income_import[[#This Row],[MatEditOnly]]=FALSE),IF(OR(Income_import[[#This Row],[Calculated]]=TRUE,Income_import[[#This Row],[Calculated]]=FALSE),0,1),1)</f>
        <v>0</v>
      </c>
      <c r="U16" s="85">
        <f>IF(_xlfn.XLOOKUP(Income_import[[#This Row],[FinancialYearCode]],Years[Years],Years[Years],1)=Income_import[[#This Row],[FinancialYearCode]],0,1)</f>
        <v>0</v>
      </c>
      <c r="V16" s="85">
        <f>IF(Income_import[[#This Row],[CalculatorCode]]="",0,IF(IF(_xlfn.XLOOKUP(Income_import[[#This Row],[CalculatorCode]],Calculators[CalculatorCode],Calculators[LockCheck])=1,TRUE,FALSE)=Income_import[[#This Row],[MatEditOnly]],0,1))</f>
        <v>0</v>
      </c>
      <c r="W16" s="85">
        <f>SUM(Income_import[[#This Row],[DuplicateLine]:[MAT edit only required]])</f>
        <v>4</v>
      </c>
      <c r="X16" s="80" t="e">
        <f>_xlfn.XLOOKUP(Income_import[[#This Row],[SchoolCode]],SCHOOLS[SchoolCode],SCHOOLS[Title])</f>
        <v>#N/A</v>
      </c>
      <c r="AA16" t="s">
        <v>1630</v>
      </c>
      <c r="AE16" t="s">
        <v>1324</v>
      </c>
      <c r="AF16" t="s">
        <v>1118</v>
      </c>
      <c r="AG16" t="s">
        <v>1325</v>
      </c>
      <c r="AJ16" t="b">
        <v>1</v>
      </c>
      <c r="AK16" t="s">
        <v>1497</v>
      </c>
      <c r="AL16" t="b">
        <v>1</v>
      </c>
    </row>
    <row r="17" spans="1:38" x14ac:dyDescent="0.3">
      <c r="A17" s="120" t="str">
        <f t="shared" si="0"/>
        <v>ALESPupil Premium Service 7/12ths Sep-Mar2025/26</v>
      </c>
      <c r="B17" s="85">
        <f>COUNTIF(Income_import[Column1],Income_import[[#This Row],[Column1]])-1</f>
        <v>0</v>
      </c>
      <c r="C17" s="80" cm="1">
        <f t="array" ref="C17">IF(_xlfn.XLOOKUP(Income_import[[#This Row],[FinanceCode]],FinanceCodesBudget[FinanceCode],FinanceCodesBudget[AvailableToAllSchools],1,0,)=TRUE,0,IF(ISERROR(FIND(Income_import[[#This Row],[SchoolCode]],_xlfn.TEXTJOIN(",",TRUE,_xlfn.UNIQUE(IF(FinanceCodesBudget[FinanceCode]=Income_import[[#This Row],[FinanceCode]],FinanceCodesBudget[SchoolCodes],""))))),1,0))</f>
        <v>1</v>
      </c>
      <c r="D17" s="85">
        <f>IF(COUNTIF(SCHOOLS[SchoolCode],Income_import[[#This Row],[SchoolCode]])&gt;0,0,1)</f>
        <v>1</v>
      </c>
      <c r="E17" s="85">
        <f>IF(COUNTIF(LEDGER[],Income_import[[#This Row],[LedgerCode]])&gt;0,0,1)</f>
        <v>0</v>
      </c>
      <c r="F17" s="85">
        <f>IF(ISBLANK(Income_import[[#This Row],[MonthProfileCode]]),1,IF(COUNTIF(MONTHPRF[Code],Income_import[[#This Row],[MonthProfileCode]])&gt;0,0,1))</f>
        <v>0</v>
      </c>
      <c r="G17" s="80" cm="1">
        <f t="array" ref="G17">IF(_xlfn.XLOOKUP(Income_import[[#This Row],[DepartmentCode]]&amp;Income_import[[#This Row],[LedgerCode]],DEPTS[DepartmentCode]&amp;DEPTS[LedgerCode],DEPTS[AvailableToAllSchools],1,0,)=TRUE,0,IF(ISERROR(FIND(Income_import[[#This Row],[SchoolCode]],_xlfn.TEXTJOIN(",",TRUE,_xlfn.UNIQUE(IF(DEPTS[DepartmentCode]&amp;DEPTS[LedgerCode]=Income_import[[#This Row],[DepartmentCode]]&amp;Income_import[[#This Row],[LedgerCode]],DEPTS[SchoolCodes],""))))),1,0))</f>
        <v>1</v>
      </c>
      <c r="H17" s="85">
        <f>IF(Income_import[[#This Row],[FundCode]]=0,0,IF(COUNTIF(FUNDS[FundCode],Income_import[[#This Row],[FundCode]])&gt;0,0,1))</f>
        <v>0</v>
      </c>
      <c r="I17" s="80" cm="1">
        <f t="array" ref="I17">IF(_xlfn.XLOOKUP(Income_import[[#This Row],[DepartmentCode]]&amp;Income_import[[#This Row],[LedgerCode]],DEPTS[DepartmentCode]&amp;DEPTS[LedgerCode],DEPTS[AvailableToAllSchools])=TRUE,(IF((_xlfn.XLOOKUP(Income_import[[#This Row],[DepartmentCode]]&amp;Income_import[[#This Row],[LedgerCode]],DEPTS[DepartmentCode]&amp;DEPTS[LedgerCode],DEPTS[LedgerCode])=Income_import[[#This Row],[LedgerCode]]),0,1)),(IFERROR(IF(FIND(Income_import[[#This Row],[SchoolCode]],(_xlfn.TEXTJOIN(",",TRUE,IF(DEPTS[DepartmentCode]&amp;DEPTS[LedgerCode]=Income_import[[#This Row],[DepartmentCode]]&amp;Income_import[[#This Row],[LedgerCode]],DEPTS[SchoolCodes],"")))),0,1),1)))</f>
        <v>1</v>
      </c>
      <c r="J17" s="85">
        <f>IF(ISBLANK(Income_import[[#This Row],[YearValue]])=Income_import[[#This Row],[Calculated]],0,1)</f>
        <v>0</v>
      </c>
      <c r="K17" s="85">
        <f>IF(ISBLANK(Income_import[[#This Row],[CalculatorCode]]),0,IF(COUNTIF(Calculators[CalculatorCode],Income_import[[#This Row],[CalculatorCode]])&gt;0,0,1))</f>
        <v>0</v>
      </c>
      <c r="L17" s="85">
        <f>IF(TRIM(Income_import[[#This Row],[Description]])="",1,0)</f>
        <v>0</v>
      </c>
      <c r="M17" s="85">
        <f>IF(ISBLANK(Income_import[[#This Row],[MatEditOnly]]),1,0)</f>
        <v>0</v>
      </c>
      <c r="N17" s="85">
        <f>IF(ISBLANK(Income_import[[#This Row],[FinancialYearCode]]),1,0)</f>
        <v>0</v>
      </c>
      <c r="O17" s="85">
        <f>IF(ISBLANK(Income_import[[#This Row],[Calculated]]),1,0)</f>
        <v>0</v>
      </c>
      <c r="P17" s="85">
        <f>IF(EXACT(Income_import[[#This Row],[FinanceCode]],UPPER(Income_import[[#This Row],[FinanceCode]])),0,1)+IF(EXACT(Income_import[[#This Row],[SchoolCode]],UPPER(Income_import[[#This Row],[SchoolCode]])),0,1)+IF(EXACT(Income_import[[#This Row],[LedgerCode]],UPPER(Income_import[[#This Row],[LedgerCode]])),0,1)+IF(EXACT(Income_import[[#This Row],[DepartmentCode]],UPPER(Income_import[[#This Row],[DepartmentCode]])),0,1)+IF(EXACT(Income_import[[#This Row],[CalculatorCode]],UPPER(Income_import[[#This Row],[CalculatorCode]])),0,1)+IF(EXACT(Income_import[[#This Row],[MonthProfileCode]],UPPER(Income_import[[#This Row],[MonthProfileCode]])),0,1)+IF(EXACT(Income_import[[#This Row],[FundCode]],UPPER(Income_import[[#This Row],[FundCode]])),0,1)</f>
        <v>0</v>
      </c>
      <c r="Q17" s="85">
        <f>IF(LEN(Income_import[[#This Row],[Description]])&lt;100,0,1)</f>
        <v>0</v>
      </c>
      <c r="R17" s="85">
        <f>IF(LEN(Income_import[[#This Row],[Notes]])&lt;4000,0,1)</f>
        <v>0</v>
      </c>
      <c r="S17" s="85">
        <f>IF(LEN(Income_import[[#This Row],[YearNotes]])&lt;4000,0,1)</f>
        <v>0</v>
      </c>
      <c r="T17" s="85">
        <f>IF(OR(Income_import[[#This Row],[MatEditOnly]]=TRUE,Income_import[[#This Row],[MatEditOnly]]=FALSE),IF(OR(Income_import[[#This Row],[Calculated]]=TRUE,Income_import[[#This Row],[Calculated]]=FALSE),0,1),1)</f>
        <v>0</v>
      </c>
      <c r="U17" s="85">
        <f>IF(_xlfn.XLOOKUP(Income_import[[#This Row],[FinancialYearCode]],Years[Years],Years[Years],1)=Income_import[[#This Row],[FinancialYearCode]],0,1)</f>
        <v>0</v>
      </c>
      <c r="V17" s="85">
        <f>IF(Income_import[[#This Row],[CalculatorCode]]="",0,IF(IF(_xlfn.XLOOKUP(Income_import[[#This Row],[CalculatorCode]],Calculators[CalculatorCode],Calculators[LockCheck])=1,TRUE,FALSE)=Income_import[[#This Row],[MatEditOnly]],0,1))</f>
        <v>0</v>
      </c>
      <c r="W17" s="85">
        <f>SUM(Income_import[[#This Row],[DuplicateLine]:[MAT edit only required]])</f>
        <v>4</v>
      </c>
      <c r="X17" s="80" t="e">
        <f>_xlfn.XLOOKUP(Income_import[[#This Row],[SchoolCode]],SCHOOLS[SchoolCode],SCHOOLS[Title])</f>
        <v>#N/A</v>
      </c>
      <c r="AA17" t="s">
        <v>2432</v>
      </c>
      <c r="AE17" t="s">
        <v>1326</v>
      </c>
      <c r="AF17" t="s">
        <v>1120</v>
      </c>
      <c r="AG17" t="s">
        <v>1327</v>
      </c>
      <c r="AJ17" t="b">
        <v>1</v>
      </c>
      <c r="AK17" t="s">
        <v>1497</v>
      </c>
      <c r="AL17" t="b">
        <v>1</v>
      </c>
    </row>
    <row r="18" spans="1:38" x14ac:dyDescent="0.3">
      <c r="A18" s="120" t="str">
        <f t="shared" si="0"/>
        <v>PRIPupil Premium Service 7/12ths Sep-Mar2025/26</v>
      </c>
      <c r="B18" s="85">
        <f>COUNTIF(Income_import[Column1],Income_import[[#This Row],[Column1]])-1</f>
        <v>0</v>
      </c>
      <c r="C18" s="80" cm="1">
        <f t="array" ref="C18">IF(_xlfn.XLOOKUP(Income_import[[#This Row],[FinanceCode]],FinanceCodesBudget[FinanceCode],FinanceCodesBudget[AvailableToAllSchools],1,0,)=TRUE,0,IF(ISERROR(FIND(Income_import[[#This Row],[SchoolCode]],_xlfn.TEXTJOIN(",",TRUE,_xlfn.UNIQUE(IF(FinanceCodesBudget[FinanceCode]=Income_import[[#This Row],[FinanceCode]],FinanceCodesBudget[SchoolCodes],""))))),1,0))</f>
        <v>1</v>
      </c>
      <c r="D18" s="85">
        <f>IF(COUNTIF(SCHOOLS[SchoolCode],Income_import[[#This Row],[SchoolCode]])&gt;0,0,1)</f>
        <v>1</v>
      </c>
      <c r="E18" s="85">
        <f>IF(COUNTIF(LEDGER[],Income_import[[#This Row],[LedgerCode]])&gt;0,0,1)</f>
        <v>0</v>
      </c>
      <c r="F18" s="85">
        <f>IF(ISBLANK(Income_import[[#This Row],[MonthProfileCode]]),1,IF(COUNTIF(MONTHPRF[Code],Income_import[[#This Row],[MonthProfileCode]])&gt;0,0,1))</f>
        <v>0</v>
      </c>
      <c r="G18" s="80" cm="1">
        <f t="array" ref="G18">IF(_xlfn.XLOOKUP(Income_import[[#This Row],[DepartmentCode]]&amp;Income_import[[#This Row],[LedgerCode]],DEPTS[DepartmentCode]&amp;DEPTS[LedgerCode],DEPTS[AvailableToAllSchools],1,0,)=TRUE,0,IF(ISERROR(FIND(Income_import[[#This Row],[SchoolCode]],_xlfn.TEXTJOIN(",",TRUE,_xlfn.UNIQUE(IF(DEPTS[DepartmentCode]&amp;DEPTS[LedgerCode]=Income_import[[#This Row],[DepartmentCode]]&amp;Income_import[[#This Row],[LedgerCode]],DEPTS[SchoolCodes],""))))),1,0))</f>
        <v>1</v>
      </c>
      <c r="H18" s="85">
        <f>IF(Income_import[[#This Row],[FundCode]]=0,0,IF(COUNTIF(FUNDS[FundCode],Income_import[[#This Row],[FundCode]])&gt;0,0,1))</f>
        <v>0</v>
      </c>
      <c r="I18" s="80" cm="1">
        <f t="array" ref="I18">IF(_xlfn.XLOOKUP(Income_import[[#This Row],[DepartmentCode]]&amp;Income_import[[#This Row],[LedgerCode]],DEPTS[DepartmentCode]&amp;DEPTS[LedgerCode],DEPTS[AvailableToAllSchools])=TRUE,(IF((_xlfn.XLOOKUP(Income_import[[#This Row],[DepartmentCode]]&amp;Income_import[[#This Row],[LedgerCode]],DEPTS[DepartmentCode]&amp;DEPTS[LedgerCode],DEPTS[LedgerCode])=Income_import[[#This Row],[LedgerCode]]),0,1)),(IFERROR(IF(FIND(Income_import[[#This Row],[SchoolCode]],(_xlfn.TEXTJOIN(",",TRUE,IF(DEPTS[DepartmentCode]&amp;DEPTS[LedgerCode]=Income_import[[#This Row],[DepartmentCode]]&amp;Income_import[[#This Row],[LedgerCode]],DEPTS[SchoolCodes],"")))),0,1),1)))</f>
        <v>1</v>
      </c>
      <c r="J18" s="85">
        <f>IF(ISBLANK(Income_import[[#This Row],[YearValue]])=Income_import[[#This Row],[Calculated]],0,1)</f>
        <v>0</v>
      </c>
      <c r="K18" s="85">
        <f>IF(ISBLANK(Income_import[[#This Row],[CalculatorCode]]),0,IF(COUNTIF(Calculators[CalculatorCode],Income_import[[#This Row],[CalculatorCode]])&gt;0,0,1))</f>
        <v>0</v>
      </c>
      <c r="L18" s="85">
        <f>IF(TRIM(Income_import[[#This Row],[Description]])="",1,0)</f>
        <v>0</v>
      </c>
      <c r="M18" s="85">
        <f>IF(ISBLANK(Income_import[[#This Row],[MatEditOnly]]),1,0)</f>
        <v>0</v>
      </c>
      <c r="N18" s="85">
        <f>IF(ISBLANK(Income_import[[#This Row],[FinancialYearCode]]),1,0)</f>
        <v>0</v>
      </c>
      <c r="O18" s="85">
        <f>IF(ISBLANK(Income_import[[#This Row],[Calculated]]),1,0)</f>
        <v>0</v>
      </c>
      <c r="P18" s="85">
        <f>IF(EXACT(Income_import[[#This Row],[FinanceCode]],UPPER(Income_import[[#This Row],[FinanceCode]])),0,1)+IF(EXACT(Income_import[[#This Row],[SchoolCode]],UPPER(Income_import[[#This Row],[SchoolCode]])),0,1)+IF(EXACT(Income_import[[#This Row],[LedgerCode]],UPPER(Income_import[[#This Row],[LedgerCode]])),0,1)+IF(EXACT(Income_import[[#This Row],[DepartmentCode]],UPPER(Income_import[[#This Row],[DepartmentCode]])),0,1)+IF(EXACT(Income_import[[#This Row],[CalculatorCode]],UPPER(Income_import[[#This Row],[CalculatorCode]])),0,1)+IF(EXACT(Income_import[[#This Row],[MonthProfileCode]],UPPER(Income_import[[#This Row],[MonthProfileCode]])),0,1)+IF(EXACT(Income_import[[#This Row],[FundCode]],UPPER(Income_import[[#This Row],[FundCode]])),0,1)</f>
        <v>0</v>
      </c>
      <c r="Q18" s="85">
        <f>IF(LEN(Income_import[[#This Row],[Description]])&lt;100,0,1)</f>
        <v>0</v>
      </c>
      <c r="R18" s="85">
        <f>IF(LEN(Income_import[[#This Row],[Notes]])&lt;4000,0,1)</f>
        <v>0</v>
      </c>
      <c r="S18" s="85">
        <f>IF(LEN(Income_import[[#This Row],[YearNotes]])&lt;4000,0,1)</f>
        <v>0</v>
      </c>
      <c r="T18" s="85">
        <f>IF(OR(Income_import[[#This Row],[MatEditOnly]]=TRUE,Income_import[[#This Row],[MatEditOnly]]=FALSE),IF(OR(Income_import[[#This Row],[Calculated]]=TRUE,Income_import[[#This Row],[Calculated]]=FALSE),0,1),1)</f>
        <v>0</v>
      </c>
      <c r="U18" s="85">
        <f>IF(_xlfn.XLOOKUP(Income_import[[#This Row],[FinancialYearCode]],Years[Years],Years[Years],1)=Income_import[[#This Row],[FinancialYearCode]],0,1)</f>
        <v>0</v>
      </c>
      <c r="V18" s="85">
        <f>IF(Income_import[[#This Row],[CalculatorCode]]="",0,IF(IF(_xlfn.XLOOKUP(Income_import[[#This Row],[CalculatorCode]],Calculators[CalculatorCode],Calculators[LockCheck])=1,TRUE,FALSE)=Income_import[[#This Row],[MatEditOnly]],0,1))</f>
        <v>0</v>
      </c>
      <c r="W18" s="85">
        <f>SUM(Income_import[[#This Row],[DuplicateLine]:[MAT edit only required]])</f>
        <v>4</v>
      </c>
      <c r="X18" s="80" t="e">
        <f>_xlfn.XLOOKUP(Income_import[[#This Row],[SchoolCode]],SCHOOLS[SchoolCode],SCHOOLS[Title])</f>
        <v>#N/A</v>
      </c>
      <c r="AA18" t="s">
        <v>1630</v>
      </c>
      <c r="AE18" t="s">
        <v>1326</v>
      </c>
      <c r="AF18" t="s">
        <v>1120</v>
      </c>
      <c r="AG18" t="s">
        <v>1327</v>
      </c>
      <c r="AJ18" t="b">
        <v>1</v>
      </c>
      <c r="AK18" t="s">
        <v>1497</v>
      </c>
      <c r="AL18" t="b">
        <v>1</v>
      </c>
    </row>
    <row r="19" spans="1:38" x14ac:dyDescent="0.3">
      <c r="A19" s="120" t="str">
        <f t="shared" si="0"/>
        <v>ALESDFC Grant - 5/12ths Apr - Aug2025/26</v>
      </c>
      <c r="B19" s="85">
        <f>COUNTIF(Income_import[Column1],Income_import[[#This Row],[Column1]])-1</f>
        <v>0</v>
      </c>
      <c r="C19" s="80" cm="1">
        <f t="array" ref="C19">IF(_xlfn.XLOOKUP(Income_import[[#This Row],[FinanceCode]],FinanceCodesBudget[FinanceCode],FinanceCodesBudget[AvailableToAllSchools],1,0,)=TRUE,0,IF(ISERROR(FIND(Income_import[[#This Row],[SchoolCode]],_xlfn.TEXTJOIN(",",TRUE,_xlfn.UNIQUE(IF(FinanceCodesBudget[FinanceCode]=Income_import[[#This Row],[FinanceCode]],FinanceCodesBudget[SchoolCodes],""))))),1,0))</f>
        <v>1</v>
      </c>
      <c r="D19" s="85">
        <f>IF(COUNTIF(SCHOOLS[SchoolCode],Income_import[[#This Row],[SchoolCode]])&gt;0,0,1)</f>
        <v>1</v>
      </c>
      <c r="E19" s="85">
        <f>IF(COUNTIF(LEDGER[],Income_import[[#This Row],[LedgerCode]])&gt;0,0,1)</f>
        <v>0</v>
      </c>
      <c r="F19" s="85">
        <f>IF(ISBLANK(Income_import[[#This Row],[MonthProfileCode]]),1,IF(COUNTIF(MONTHPRF[Code],Income_import[[#This Row],[MonthProfileCode]])&gt;0,0,1))</f>
        <v>0</v>
      </c>
      <c r="G19" s="80" cm="1">
        <f t="array" ref="G19">IF(_xlfn.XLOOKUP(Income_import[[#This Row],[DepartmentCode]]&amp;Income_import[[#This Row],[LedgerCode]],DEPTS[DepartmentCode]&amp;DEPTS[LedgerCode],DEPTS[AvailableToAllSchools],1,0,)=TRUE,0,IF(ISERROR(FIND(Income_import[[#This Row],[SchoolCode]],_xlfn.TEXTJOIN(",",TRUE,_xlfn.UNIQUE(IF(DEPTS[DepartmentCode]&amp;DEPTS[LedgerCode]=Income_import[[#This Row],[DepartmentCode]]&amp;Income_import[[#This Row],[LedgerCode]],DEPTS[SchoolCodes],""))))),1,0))</f>
        <v>1</v>
      </c>
      <c r="H19" s="85">
        <f>IF(Income_import[[#This Row],[FundCode]]=0,0,IF(COUNTIF(FUNDS[FundCode],Income_import[[#This Row],[FundCode]])&gt;0,0,1))</f>
        <v>0</v>
      </c>
      <c r="I19" s="80" cm="1">
        <f t="array" ref="I19">IF(_xlfn.XLOOKUP(Income_import[[#This Row],[DepartmentCode]]&amp;Income_import[[#This Row],[LedgerCode]],DEPTS[DepartmentCode]&amp;DEPTS[LedgerCode],DEPTS[AvailableToAllSchools])=TRUE,(IF((_xlfn.XLOOKUP(Income_import[[#This Row],[DepartmentCode]]&amp;Income_import[[#This Row],[LedgerCode]],DEPTS[DepartmentCode]&amp;DEPTS[LedgerCode],DEPTS[LedgerCode])=Income_import[[#This Row],[LedgerCode]]),0,1)),(IFERROR(IF(FIND(Income_import[[#This Row],[SchoolCode]],(_xlfn.TEXTJOIN(",",TRUE,IF(DEPTS[DepartmentCode]&amp;DEPTS[LedgerCode]=Income_import[[#This Row],[DepartmentCode]]&amp;Income_import[[#This Row],[LedgerCode]],DEPTS[SchoolCodes],"")))),0,1),1)))</f>
        <v>1</v>
      </c>
      <c r="J19" s="85">
        <f>IF(ISBLANK(Income_import[[#This Row],[YearValue]])=Income_import[[#This Row],[Calculated]],0,1)</f>
        <v>0</v>
      </c>
      <c r="K19" s="85">
        <f>IF(ISBLANK(Income_import[[#This Row],[CalculatorCode]]),0,IF(COUNTIF(Calculators[CalculatorCode],Income_import[[#This Row],[CalculatorCode]])&gt;0,0,1))</f>
        <v>0</v>
      </c>
      <c r="L19" s="85">
        <f>IF(TRIM(Income_import[[#This Row],[Description]])="",1,0)</f>
        <v>0</v>
      </c>
      <c r="M19" s="85">
        <f>IF(ISBLANK(Income_import[[#This Row],[MatEditOnly]]),1,0)</f>
        <v>0</v>
      </c>
      <c r="N19" s="85">
        <f>IF(ISBLANK(Income_import[[#This Row],[FinancialYearCode]]),1,0)</f>
        <v>0</v>
      </c>
      <c r="O19" s="85">
        <f>IF(ISBLANK(Income_import[[#This Row],[Calculated]]),1,0)</f>
        <v>0</v>
      </c>
      <c r="P19" s="85">
        <f>IF(EXACT(Income_import[[#This Row],[FinanceCode]],UPPER(Income_import[[#This Row],[FinanceCode]])),0,1)+IF(EXACT(Income_import[[#This Row],[SchoolCode]],UPPER(Income_import[[#This Row],[SchoolCode]])),0,1)+IF(EXACT(Income_import[[#This Row],[LedgerCode]],UPPER(Income_import[[#This Row],[LedgerCode]])),0,1)+IF(EXACT(Income_import[[#This Row],[DepartmentCode]],UPPER(Income_import[[#This Row],[DepartmentCode]])),0,1)+IF(EXACT(Income_import[[#This Row],[CalculatorCode]],UPPER(Income_import[[#This Row],[CalculatorCode]])),0,1)+IF(EXACT(Income_import[[#This Row],[MonthProfileCode]],UPPER(Income_import[[#This Row],[MonthProfileCode]])),0,1)+IF(EXACT(Income_import[[#This Row],[FundCode]],UPPER(Income_import[[#This Row],[FundCode]])),0,1)</f>
        <v>0</v>
      </c>
      <c r="Q19" s="85">
        <f>IF(LEN(Income_import[[#This Row],[Description]])&lt;100,0,1)</f>
        <v>0</v>
      </c>
      <c r="R19" s="85">
        <f>IF(LEN(Income_import[[#This Row],[Notes]])&lt;4000,0,1)</f>
        <v>0</v>
      </c>
      <c r="S19" s="85">
        <f>IF(LEN(Income_import[[#This Row],[YearNotes]])&lt;4000,0,1)</f>
        <v>0</v>
      </c>
      <c r="T19" s="85">
        <f>IF(OR(Income_import[[#This Row],[MatEditOnly]]=TRUE,Income_import[[#This Row],[MatEditOnly]]=FALSE),IF(OR(Income_import[[#This Row],[Calculated]]=TRUE,Income_import[[#This Row],[Calculated]]=FALSE),0,1),1)</f>
        <v>0</v>
      </c>
      <c r="U19" s="85">
        <f>IF(_xlfn.XLOOKUP(Income_import[[#This Row],[FinancialYearCode]],Years[Years],Years[Years],1)=Income_import[[#This Row],[FinancialYearCode]],0,1)</f>
        <v>0</v>
      </c>
      <c r="V19" s="85">
        <f>IF(Income_import[[#This Row],[CalculatorCode]]="",0,IF(IF(_xlfn.XLOOKUP(Income_import[[#This Row],[CalculatorCode]],Calculators[CalculatorCode],Calculators[LockCheck])=1,TRUE,FALSE)=Income_import[[#This Row],[MatEditOnly]],0,1))</f>
        <v>0</v>
      </c>
      <c r="W19" s="85">
        <f>SUM(Income_import[[#This Row],[DuplicateLine]:[MAT edit only required]])</f>
        <v>4</v>
      </c>
      <c r="X19" s="80" t="e">
        <f>_xlfn.XLOOKUP(Income_import[[#This Row],[SchoolCode]],SCHOOLS[SchoolCode],SCHOOLS[Title])</f>
        <v>#N/A</v>
      </c>
      <c r="AA19" t="s">
        <v>2432</v>
      </c>
      <c r="AE19" t="s">
        <v>1536</v>
      </c>
      <c r="AF19" t="s">
        <v>1124</v>
      </c>
      <c r="AG19" t="s">
        <v>1540</v>
      </c>
      <c r="AJ19" t="b">
        <v>1</v>
      </c>
      <c r="AK19" t="s">
        <v>1497</v>
      </c>
      <c r="AL19" t="b">
        <v>1</v>
      </c>
    </row>
    <row r="20" spans="1:38" x14ac:dyDescent="0.3">
      <c r="A20" s="120" t="str">
        <f t="shared" si="0"/>
        <v>PRIDFC Grant - 5/12ths Apr - Aug2025/26</v>
      </c>
      <c r="B20" s="85">
        <f>COUNTIF(Income_import[Column1],Income_import[[#This Row],[Column1]])-1</f>
        <v>0</v>
      </c>
      <c r="C20" s="80" cm="1">
        <f t="array" ref="C20">IF(_xlfn.XLOOKUP(Income_import[[#This Row],[FinanceCode]],FinanceCodesBudget[FinanceCode],FinanceCodesBudget[AvailableToAllSchools],1,0,)=TRUE,0,IF(ISERROR(FIND(Income_import[[#This Row],[SchoolCode]],_xlfn.TEXTJOIN(",",TRUE,_xlfn.UNIQUE(IF(FinanceCodesBudget[FinanceCode]=Income_import[[#This Row],[FinanceCode]],FinanceCodesBudget[SchoolCodes],""))))),1,0))</f>
        <v>1</v>
      </c>
      <c r="D20" s="85">
        <f>IF(COUNTIF(SCHOOLS[SchoolCode],Income_import[[#This Row],[SchoolCode]])&gt;0,0,1)</f>
        <v>1</v>
      </c>
      <c r="E20" s="85">
        <f>IF(COUNTIF(LEDGER[],Income_import[[#This Row],[LedgerCode]])&gt;0,0,1)</f>
        <v>0</v>
      </c>
      <c r="F20" s="85">
        <f>IF(ISBLANK(Income_import[[#This Row],[MonthProfileCode]]),1,IF(COUNTIF(MONTHPRF[Code],Income_import[[#This Row],[MonthProfileCode]])&gt;0,0,1))</f>
        <v>0</v>
      </c>
      <c r="G20" s="80" cm="1">
        <f t="array" ref="G20">IF(_xlfn.XLOOKUP(Income_import[[#This Row],[DepartmentCode]]&amp;Income_import[[#This Row],[LedgerCode]],DEPTS[DepartmentCode]&amp;DEPTS[LedgerCode],DEPTS[AvailableToAllSchools],1,0,)=TRUE,0,IF(ISERROR(FIND(Income_import[[#This Row],[SchoolCode]],_xlfn.TEXTJOIN(",",TRUE,_xlfn.UNIQUE(IF(DEPTS[DepartmentCode]&amp;DEPTS[LedgerCode]=Income_import[[#This Row],[DepartmentCode]]&amp;Income_import[[#This Row],[LedgerCode]],DEPTS[SchoolCodes],""))))),1,0))</f>
        <v>1</v>
      </c>
      <c r="H20" s="85">
        <f>IF(Income_import[[#This Row],[FundCode]]=0,0,IF(COUNTIF(FUNDS[FundCode],Income_import[[#This Row],[FundCode]])&gt;0,0,1))</f>
        <v>0</v>
      </c>
      <c r="I20" s="80" cm="1">
        <f t="array" ref="I20">IF(_xlfn.XLOOKUP(Income_import[[#This Row],[DepartmentCode]]&amp;Income_import[[#This Row],[LedgerCode]],DEPTS[DepartmentCode]&amp;DEPTS[LedgerCode],DEPTS[AvailableToAllSchools])=TRUE,(IF((_xlfn.XLOOKUP(Income_import[[#This Row],[DepartmentCode]]&amp;Income_import[[#This Row],[LedgerCode]],DEPTS[DepartmentCode]&amp;DEPTS[LedgerCode],DEPTS[LedgerCode])=Income_import[[#This Row],[LedgerCode]]),0,1)),(IFERROR(IF(FIND(Income_import[[#This Row],[SchoolCode]],(_xlfn.TEXTJOIN(",",TRUE,IF(DEPTS[DepartmentCode]&amp;DEPTS[LedgerCode]=Income_import[[#This Row],[DepartmentCode]]&amp;Income_import[[#This Row],[LedgerCode]],DEPTS[SchoolCodes],"")))),0,1),1)))</f>
        <v>1</v>
      </c>
      <c r="J20" s="85">
        <f>IF(ISBLANK(Income_import[[#This Row],[YearValue]])=Income_import[[#This Row],[Calculated]],0,1)</f>
        <v>0</v>
      </c>
      <c r="K20" s="85">
        <f>IF(ISBLANK(Income_import[[#This Row],[CalculatorCode]]),0,IF(COUNTIF(Calculators[CalculatorCode],Income_import[[#This Row],[CalculatorCode]])&gt;0,0,1))</f>
        <v>0</v>
      </c>
      <c r="L20" s="85">
        <f>IF(TRIM(Income_import[[#This Row],[Description]])="",1,0)</f>
        <v>0</v>
      </c>
      <c r="M20" s="85">
        <f>IF(ISBLANK(Income_import[[#This Row],[MatEditOnly]]),1,0)</f>
        <v>0</v>
      </c>
      <c r="N20" s="85">
        <f>IF(ISBLANK(Income_import[[#This Row],[FinancialYearCode]]),1,0)</f>
        <v>0</v>
      </c>
      <c r="O20" s="85">
        <f>IF(ISBLANK(Income_import[[#This Row],[Calculated]]),1,0)</f>
        <v>0</v>
      </c>
      <c r="P20" s="85">
        <f>IF(EXACT(Income_import[[#This Row],[FinanceCode]],UPPER(Income_import[[#This Row],[FinanceCode]])),0,1)+IF(EXACT(Income_import[[#This Row],[SchoolCode]],UPPER(Income_import[[#This Row],[SchoolCode]])),0,1)+IF(EXACT(Income_import[[#This Row],[LedgerCode]],UPPER(Income_import[[#This Row],[LedgerCode]])),0,1)+IF(EXACT(Income_import[[#This Row],[DepartmentCode]],UPPER(Income_import[[#This Row],[DepartmentCode]])),0,1)+IF(EXACT(Income_import[[#This Row],[CalculatorCode]],UPPER(Income_import[[#This Row],[CalculatorCode]])),0,1)+IF(EXACT(Income_import[[#This Row],[MonthProfileCode]],UPPER(Income_import[[#This Row],[MonthProfileCode]])),0,1)+IF(EXACT(Income_import[[#This Row],[FundCode]],UPPER(Income_import[[#This Row],[FundCode]])),0,1)</f>
        <v>0</v>
      </c>
      <c r="Q20" s="85">
        <f>IF(LEN(Income_import[[#This Row],[Description]])&lt;100,0,1)</f>
        <v>0</v>
      </c>
      <c r="R20" s="85">
        <f>IF(LEN(Income_import[[#This Row],[Notes]])&lt;4000,0,1)</f>
        <v>0</v>
      </c>
      <c r="S20" s="85">
        <f>IF(LEN(Income_import[[#This Row],[YearNotes]])&lt;4000,0,1)</f>
        <v>0</v>
      </c>
      <c r="T20" s="85">
        <f>IF(OR(Income_import[[#This Row],[MatEditOnly]]=TRUE,Income_import[[#This Row],[MatEditOnly]]=FALSE),IF(OR(Income_import[[#This Row],[Calculated]]=TRUE,Income_import[[#This Row],[Calculated]]=FALSE),0,1),1)</f>
        <v>0</v>
      </c>
      <c r="U20" s="85">
        <f>IF(_xlfn.XLOOKUP(Income_import[[#This Row],[FinancialYearCode]],Years[Years],Years[Years],1)=Income_import[[#This Row],[FinancialYearCode]],0,1)</f>
        <v>0</v>
      </c>
      <c r="V20" s="85">
        <f>IF(Income_import[[#This Row],[CalculatorCode]]="",0,IF(IF(_xlfn.XLOOKUP(Income_import[[#This Row],[CalculatorCode]],Calculators[CalculatorCode],Calculators[LockCheck])=1,TRUE,FALSE)=Income_import[[#This Row],[MatEditOnly]],0,1))</f>
        <v>0</v>
      </c>
      <c r="W20" s="85">
        <f>SUM(Income_import[[#This Row],[DuplicateLine]:[MAT edit only required]])</f>
        <v>4</v>
      </c>
      <c r="X20" s="80" t="e">
        <f>_xlfn.XLOOKUP(Income_import[[#This Row],[SchoolCode]],SCHOOLS[SchoolCode],SCHOOLS[Title])</f>
        <v>#N/A</v>
      </c>
      <c r="AA20" t="s">
        <v>1630</v>
      </c>
      <c r="AE20" t="s">
        <v>1536</v>
      </c>
      <c r="AF20" t="s">
        <v>1124</v>
      </c>
      <c r="AG20" t="s">
        <v>1540</v>
      </c>
      <c r="AJ20" t="b">
        <v>1</v>
      </c>
      <c r="AK20" t="s">
        <v>1497</v>
      </c>
      <c r="AL20" t="b">
        <v>1</v>
      </c>
    </row>
    <row r="21" spans="1:38" x14ac:dyDescent="0.3">
      <c r="A21" s="120" t="str">
        <f t="shared" si="0"/>
        <v>ALESDFC Grant - 7/12ths Sep - Mar2025/26</v>
      </c>
      <c r="B21" s="85">
        <f>COUNTIF(Income_import[Column1],Income_import[[#This Row],[Column1]])-1</f>
        <v>0</v>
      </c>
      <c r="C21" s="80" cm="1">
        <f t="array" ref="C21">IF(_xlfn.XLOOKUP(Income_import[[#This Row],[FinanceCode]],FinanceCodesBudget[FinanceCode],FinanceCodesBudget[AvailableToAllSchools],1,0,)=TRUE,0,IF(ISERROR(FIND(Income_import[[#This Row],[SchoolCode]],_xlfn.TEXTJOIN(",",TRUE,_xlfn.UNIQUE(IF(FinanceCodesBudget[FinanceCode]=Income_import[[#This Row],[FinanceCode]],FinanceCodesBudget[SchoolCodes],""))))),1,0))</f>
        <v>1</v>
      </c>
      <c r="D21" s="85">
        <f>IF(COUNTIF(SCHOOLS[SchoolCode],Income_import[[#This Row],[SchoolCode]])&gt;0,0,1)</f>
        <v>1</v>
      </c>
      <c r="E21" s="85">
        <f>IF(COUNTIF(LEDGER[],Income_import[[#This Row],[LedgerCode]])&gt;0,0,1)</f>
        <v>0</v>
      </c>
      <c r="F21" s="85">
        <f>IF(ISBLANK(Income_import[[#This Row],[MonthProfileCode]]),1,IF(COUNTIF(MONTHPRF[Code],Income_import[[#This Row],[MonthProfileCode]])&gt;0,0,1))</f>
        <v>0</v>
      </c>
      <c r="G21" s="80" cm="1">
        <f t="array" ref="G21">IF(_xlfn.XLOOKUP(Income_import[[#This Row],[DepartmentCode]]&amp;Income_import[[#This Row],[LedgerCode]],DEPTS[DepartmentCode]&amp;DEPTS[LedgerCode],DEPTS[AvailableToAllSchools],1,0,)=TRUE,0,IF(ISERROR(FIND(Income_import[[#This Row],[SchoolCode]],_xlfn.TEXTJOIN(",",TRUE,_xlfn.UNIQUE(IF(DEPTS[DepartmentCode]&amp;DEPTS[LedgerCode]=Income_import[[#This Row],[DepartmentCode]]&amp;Income_import[[#This Row],[LedgerCode]],DEPTS[SchoolCodes],""))))),1,0))</f>
        <v>1</v>
      </c>
      <c r="H21" s="85">
        <f>IF(Income_import[[#This Row],[FundCode]]=0,0,IF(COUNTIF(FUNDS[FundCode],Income_import[[#This Row],[FundCode]])&gt;0,0,1))</f>
        <v>0</v>
      </c>
      <c r="I21" s="80" cm="1">
        <f t="array" ref="I21">IF(_xlfn.XLOOKUP(Income_import[[#This Row],[DepartmentCode]]&amp;Income_import[[#This Row],[LedgerCode]],DEPTS[DepartmentCode]&amp;DEPTS[LedgerCode],DEPTS[AvailableToAllSchools])=TRUE,(IF((_xlfn.XLOOKUP(Income_import[[#This Row],[DepartmentCode]]&amp;Income_import[[#This Row],[LedgerCode]],DEPTS[DepartmentCode]&amp;DEPTS[LedgerCode],DEPTS[LedgerCode])=Income_import[[#This Row],[LedgerCode]]),0,1)),(IFERROR(IF(FIND(Income_import[[#This Row],[SchoolCode]],(_xlfn.TEXTJOIN(",",TRUE,IF(DEPTS[DepartmentCode]&amp;DEPTS[LedgerCode]=Income_import[[#This Row],[DepartmentCode]]&amp;Income_import[[#This Row],[LedgerCode]],DEPTS[SchoolCodes],"")))),0,1),1)))</f>
        <v>1</v>
      </c>
      <c r="J21" s="85">
        <f>IF(ISBLANK(Income_import[[#This Row],[YearValue]])=Income_import[[#This Row],[Calculated]],0,1)</f>
        <v>0</v>
      </c>
      <c r="K21" s="85">
        <f>IF(ISBLANK(Income_import[[#This Row],[CalculatorCode]]),0,IF(COUNTIF(Calculators[CalculatorCode],Income_import[[#This Row],[CalculatorCode]])&gt;0,0,1))</f>
        <v>0</v>
      </c>
      <c r="L21" s="85">
        <f>IF(TRIM(Income_import[[#This Row],[Description]])="",1,0)</f>
        <v>0</v>
      </c>
      <c r="M21" s="85">
        <f>IF(ISBLANK(Income_import[[#This Row],[MatEditOnly]]),1,0)</f>
        <v>0</v>
      </c>
      <c r="N21" s="85">
        <f>IF(ISBLANK(Income_import[[#This Row],[FinancialYearCode]]),1,0)</f>
        <v>0</v>
      </c>
      <c r="O21" s="85">
        <f>IF(ISBLANK(Income_import[[#This Row],[Calculated]]),1,0)</f>
        <v>0</v>
      </c>
      <c r="P21" s="85">
        <f>IF(EXACT(Income_import[[#This Row],[FinanceCode]],UPPER(Income_import[[#This Row],[FinanceCode]])),0,1)+IF(EXACT(Income_import[[#This Row],[SchoolCode]],UPPER(Income_import[[#This Row],[SchoolCode]])),0,1)+IF(EXACT(Income_import[[#This Row],[LedgerCode]],UPPER(Income_import[[#This Row],[LedgerCode]])),0,1)+IF(EXACT(Income_import[[#This Row],[DepartmentCode]],UPPER(Income_import[[#This Row],[DepartmentCode]])),0,1)+IF(EXACT(Income_import[[#This Row],[CalculatorCode]],UPPER(Income_import[[#This Row],[CalculatorCode]])),0,1)+IF(EXACT(Income_import[[#This Row],[MonthProfileCode]],UPPER(Income_import[[#This Row],[MonthProfileCode]])),0,1)+IF(EXACT(Income_import[[#This Row],[FundCode]],UPPER(Income_import[[#This Row],[FundCode]])),0,1)</f>
        <v>0</v>
      </c>
      <c r="Q21" s="85">
        <f>IF(LEN(Income_import[[#This Row],[Description]])&lt;100,0,1)</f>
        <v>0</v>
      </c>
      <c r="R21" s="85">
        <f>IF(LEN(Income_import[[#This Row],[Notes]])&lt;4000,0,1)</f>
        <v>0</v>
      </c>
      <c r="S21" s="85">
        <f>IF(LEN(Income_import[[#This Row],[YearNotes]])&lt;4000,0,1)</f>
        <v>0</v>
      </c>
      <c r="T21" s="85">
        <f>IF(OR(Income_import[[#This Row],[MatEditOnly]]=TRUE,Income_import[[#This Row],[MatEditOnly]]=FALSE),IF(OR(Income_import[[#This Row],[Calculated]]=TRUE,Income_import[[#This Row],[Calculated]]=FALSE),0,1),1)</f>
        <v>0</v>
      </c>
      <c r="U21" s="85">
        <f>IF(_xlfn.XLOOKUP(Income_import[[#This Row],[FinancialYearCode]],Years[Years],Years[Years],1)=Income_import[[#This Row],[FinancialYearCode]],0,1)</f>
        <v>0</v>
      </c>
      <c r="V21" s="85">
        <f>IF(Income_import[[#This Row],[CalculatorCode]]="",0,IF(IF(_xlfn.XLOOKUP(Income_import[[#This Row],[CalculatorCode]],Calculators[CalculatorCode],Calculators[LockCheck])=1,TRUE,FALSE)=Income_import[[#This Row],[MatEditOnly]],0,1))</f>
        <v>0</v>
      </c>
      <c r="W21" s="85">
        <f>SUM(Income_import[[#This Row],[DuplicateLine]:[MAT edit only required]])</f>
        <v>4</v>
      </c>
      <c r="X21" s="80" t="e">
        <f>_xlfn.XLOOKUP(Income_import[[#This Row],[SchoolCode]],SCHOOLS[SchoolCode],SCHOOLS[Title])</f>
        <v>#N/A</v>
      </c>
      <c r="AA21" t="s">
        <v>2432</v>
      </c>
      <c r="AE21" t="s">
        <v>1537</v>
      </c>
      <c r="AF21" t="s">
        <v>1124</v>
      </c>
      <c r="AG21" t="s">
        <v>1541</v>
      </c>
      <c r="AJ21" t="b">
        <v>1</v>
      </c>
      <c r="AK21" t="s">
        <v>1497</v>
      </c>
      <c r="AL21" t="b">
        <v>1</v>
      </c>
    </row>
    <row r="22" spans="1:38" x14ac:dyDescent="0.3">
      <c r="A22" s="120" t="str">
        <f t="shared" si="0"/>
        <v>PRIDFC Grant - 7/12ths Sep - Mar2025/26</v>
      </c>
      <c r="B22" s="85">
        <f>COUNTIF(Income_import[Column1],Income_import[[#This Row],[Column1]])-1</f>
        <v>0</v>
      </c>
      <c r="C22" s="80" cm="1">
        <f t="array" ref="C22">IF(_xlfn.XLOOKUP(Income_import[[#This Row],[FinanceCode]],FinanceCodesBudget[FinanceCode],FinanceCodesBudget[AvailableToAllSchools],1,0,)=TRUE,0,IF(ISERROR(FIND(Income_import[[#This Row],[SchoolCode]],_xlfn.TEXTJOIN(",",TRUE,_xlfn.UNIQUE(IF(FinanceCodesBudget[FinanceCode]=Income_import[[#This Row],[FinanceCode]],FinanceCodesBudget[SchoolCodes],""))))),1,0))</f>
        <v>1</v>
      </c>
      <c r="D22" s="85">
        <f>IF(COUNTIF(SCHOOLS[SchoolCode],Income_import[[#This Row],[SchoolCode]])&gt;0,0,1)</f>
        <v>1</v>
      </c>
      <c r="E22" s="85">
        <f>IF(COUNTIF(LEDGER[],Income_import[[#This Row],[LedgerCode]])&gt;0,0,1)</f>
        <v>0</v>
      </c>
      <c r="F22" s="85">
        <f>IF(ISBLANK(Income_import[[#This Row],[MonthProfileCode]]),1,IF(COUNTIF(MONTHPRF[Code],Income_import[[#This Row],[MonthProfileCode]])&gt;0,0,1))</f>
        <v>0</v>
      </c>
      <c r="G22" s="80" cm="1">
        <f t="array" ref="G22">IF(_xlfn.XLOOKUP(Income_import[[#This Row],[DepartmentCode]]&amp;Income_import[[#This Row],[LedgerCode]],DEPTS[DepartmentCode]&amp;DEPTS[LedgerCode],DEPTS[AvailableToAllSchools],1,0,)=TRUE,0,IF(ISERROR(FIND(Income_import[[#This Row],[SchoolCode]],_xlfn.TEXTJOIN(",",TRUE,_xlfn.UNIQUE(IF(DEPTS[DepartmentCode]&amp;DEPTS[LedgerCode]=Income_import[[#This Row],[DepartmentCode]]&amp;Income_import[[#This Row],[LedgerCode]],DEPTS[SchoolCodes],""))))),1,0))</f>
        <v>1</v>
      </c>
      <c r="H22" s="85">
        <f>IF(Income_import[[#This Row],[FundCode]]=0,0,IF(COUNTIF(FUNDS[FundCode],Income_import[[#This Row],[FundCode]])&gt;0,0,1))</f>
        <v>0</v>
      </c>
      <c r="I22" s="80" cm="1">
        <f t="array" ref="I22">IF(_xlfn.XLOOKUP(Income_import[[#This Row],[DepartmentCode]]&amp;Income_import[[#This Row],[LedgerCode]],DEPTS[DepartmentCode]&amp;DEPTS[LedgerCode],DEPTS[AvailableToAllSchools])=TRUE,(IF((_xlfn.XLOOKUP(Income_import[[#This Row],[DepartmentCode]]&amp;Income_import[[#This Row],[LedgerCode]],DEPTS[DepartmentCode]&amp;DEPTS[LedgerCode],DEPTS[LedgerCode])=Income_import[[#This Row],[LedgerCode]]),0,1)),(IFERROR(IF(FIND(Income_import[[#This Row],[SchoolCode]],(_xlfn.TEXTJOIN(",",TRUE,IF(DEPTS[DepartmentCode]&amp;DEPTS[LedgerCode]=Income_import[[#This Row],[DepartmentCode]]&amp;Income_import[[#This Row],[LedgerCode]],DEPTS[SchoolCodes],"")))),0,1),1)))</f>
        <v>1</v>
      </c>
      <c r="J22" s="85">
        <f>IF(ISBLANK(Income_import[[#This Row],[YearValue]])=Income_import[[#This Row],[Calculated]],0,1)</f>
        <v>0</v>
      </c>
      <c r="K22" s="85">
        <f>IF(ISBLANK(Income_import[[#This Row],[CalculatorCode]]),0,IF(COUNTIF(Calculators[CalculatorCode],Income_import[[#This Row],[CalculatorCode]])&gt;0,0,1))</f>
        <v>0</v>
      </c>
      <c r="L22" s="85">
        <f>IF(TRIM(Income_import[[#This Row],[Description]])="",1,0)</f>
        <v>0</v>
      </c>
      <c r="M22" s="85">
        <f>IF(ISBLANK(Income_import[[#This Row],[MatEditOnly]]),1,0)</f>
        <v>0</v>
      </c>
      <c r="N22" s="85">
        <f>IF(ISBLANK(Income_import[[#This Row],[FinancialYearCode]]),1,0)</f>
        <v>0</v>
      </c>
      <c r="O22" s="85">
        <f>IF(ISBLANK(Income_import[[#This Row],[Calculated]]),1,0)</f>
        <v>0</v>
      </c>
      <c r="P22" s="85">
        <f>IF(EXACT(Income_import[[#This Row],[FinanceCode]],UPPER(Income_import[[#This Row],[FinanceCode]])),0,1)+IF(EXACT(Income_import[[#This Row],[SchoolCode]],UPPER(Income_import[[#This Row],[SchoolCode]])),0,1)+IF(EXACT(Income_import[[#This Row],[LedgerCode]],UPPER(Income_import[[#This Row],[LedgerCode]])),0,1)+IF(EXACT(Income_import[[#This Row],[DepartmentCode]],UPPER(Income_import[[#This Row],[DepartmentCode]])),0,1)+IF(EXACT(Income_import[[#This Row],[CalculatorCode]],UPPER(Income_import[[#This Row],[CalculatorCode]])),0,1)+IF(EXACT(Income_import[[#This Row],[MonthProfileCode]],UPPER(Income_import[[#This Row],[MonthProfileCode]])),0,1)+IF(EXACT(Income_import[[#This Row],[FundCode]],UPPER(Income_import[[#This Row],[FundCode]])),0,1)</f>
        <v>0</v>
      </c>
      <c r="Q22" s="85">
        <f>IF(LEN(Income_import[[#This Row],[Description]])&lt;100,0,1)</f>
        <v>0</v>
      </c>
      <c r="R22" s="85">
        <f>IF(LEN(Income_import[[#This Row],[Notes]])&lt;4000,0,1)</f>
        <v>0</v>
      </c>
      <c r="S22" s="85">
        <f>IF(LEN(Income_import[[#This Row],[YearNotes]])&lt;4000,0,1)</f>
        <v>0</v>
      </c>
      <c r="T22" s="85">
        <f>IF(OR(Income_import[[#This Row],[MatEditOnly]]=TRUE,Income_import[[#This Row],[MatEditOnly]]=FALSE),IF(OR(Income_import[[#This Row],[Calculated]]=TRUE,Income_import[[#This Row],[Calculated]]=FALSE),0,1),1)</f>
        <v>0</v>
      </c>
      <c r="U22" s="85">
        <f>IF(_xlfn.XLOOKUP(Income_import[[#This Row],[FinancialYearCode]],Years[Years],Years[Years],1)=Income_import[[#This Row],[FinancialYearCode]],0,1)</f>
        <v>0</v>
      </c>
      <c r="V22" s="85">
        <f>IF(Income_import[[#This Row],[CalculatorCode]]="",0,IF(IF(_xlfn.XLOOKUP(Income_import[[#This Row],[CalculatorCode]],Calculators[CalculatorCode],Calculators[LockCheck])=1,TRUE,FALSE)=Income_import[[#This Row],[MatEditOnly]],0,1))</f>
        <v>0</v>
      </c>
      <c r="W22" s="85">
        <f>SUM(Income_import[[#This Row],[DuplicateLine]:[MAT edit only required]])</f>
        <v>4</v>
      </c>
      <c r="X22" s="80" t="e">
        <f>_xlfn.XLOOKUP(Income_import[[#This Row],[SchoolCode]],SCHOOLS[SchoolCode],SCHOOLS[Title])</f>
        <v>#N/A</v>
      </c>
      <c r="AA22" t="s">
        <v>1630</v>
      </c>
      <c r="AE22" t="s">
        <v>1537</v>
      </c>
      <c r="AF22" t="s">
        <v>1124</v>
      </c>
      <c r="AG22" t="s">
        <v>1541</v>
      </c>
      <c r="AJ22" t="b">
        <v>1</v>
      </c>
      <c r="AK22" t="s">
        <v>1497</v>
      </c>
      <c r="AL22" t="b">
        <v>1</v>
      </c>
    </row>
    <row r="23" spans="1:38" x14ac:dyDescent="0.3">
      <c r="A23" s="120" t="str">
        <f t="shared" si="0"/>
        <v>PRIPE Grant2025/26</v>
      </c>
      <c r="B23" s="85">
        <f>COUNTIF(Income_import[Column1],Income_import[[#This Row],[Column1]])-1</f>
        <v>0</v>
      </c>
      <c r="C23" s="80" cm="1">
        <f t="array" ref="C23">IF(_xlfn.XLOOKUP(Income_import[[#This Row],[FinanceCode]],FinanceCodesBudget[FinanceCode],FinanceCodesBudget[AvailableToAllSchools],1,0,)=TRUE,0,IF(ISERROR(FIND(Income_import[[#This Row],[SchoolCode]],_xlfn.TEXTJOIN(",",TRUE,_xlfn.UNIQUE(IF(FinanceCodesBudget[FinanceCode]=Income_import[[#This Row],[FinanceCode]],FinanceCodesBudget[SchoolCodes],""))))),1,0))</f>
        <v>1</v>
      </c>
      <c r="D23" s="85">
        <f>IF(COUNTIF(SCHOOLS[SchoolCode],Income_import[[#This Row],[SchoolCode]])&gt;0,0,1)</f>
        <v>1</v>
      </c>
      <c r="E23" s="85">
        <f>IF(COUNTIF(LEDGER[],Income_import[[#This Row],[LedgerCode]])&gt;0,0,1)</f>
        <v>0</v>
      </c>
      <c r="F23" s="85">
        <f>IF(ISBLANK(Income_import[[#This Row],[MonthProfileCode]]),1,IF(COUNTIF(MONTHPRF[Code],Income_import[[#This Row],[MonthProfileCode]])&gt;0,0,1))</f>
        <v>0</v>
      </c>
      <c r="G23" s="80" cm="1">
        <f t="array" ref="G23">IF(_xlfn.XLOOKUP(Income_import[[#This Row],[DepartmentCode]]&amp;Income_import[[#This Row],[LedgerCode]],DEPTS[DepartmentCode]&amp;DEPTS[LedgerCode],DEPTS[AvailableToAllSchools],1,0,)=TRUE,0,IF(ISERROR(FIND(Income_import[[#This Row],[SchoolCode]],_xlfn.TEXTJOIN(",",TRUE,_xlfn.UNIQUE(IF(DEPTS[DepartmentCode]&amp;DEPTS[LedgerCode]=Income_import[[#This Row],[DepartmentCode]]&amp;Income_import[[#This Row],[LedgerCode]],DEPTS[SchoolCodes],""))))),1,0))</f>
        <v>1</v>
      </c>
      <c r="H23" s="85">
        <f>IF(Income_import[[#This Row],[FundCode]]=0,0,IF(COUNTIF(FUNDS[FundCode],Income_import[[#This Row],[FundCode]])&gt;0,0,1))</f>
        <v>0</v>
      </c>
      <c r="I23" s="80" cm="1">
        <f t="array" ref="I23">IF(_xlfn.XLOOKUP(Income_import[[#This Row],[DepartmentCode]]&amp;Income_import[[#This Row],[LedgerCode]],DEPTS[DepartmentCode]&amp;DEPTS[LedgerCode],DEPTS[AvailableToAllSchools])=TRUE,(IF((_xlfn.XLOOKUP(Income_import[[#This Row],[DepartmentCode]]&amp;Income_import[[#This Row],[LedgerCode]],DEPTS[DepartmentCode]&amp;DEPTS[LedgerCode],DEPTS[LedgerCode])=Income_import[[#This Row],[LedgerCode]]),0,1)),(IFERROR(IF(FIND(Income_import[[#This Row],[SchoolCode]],(_xlfn.TEXTJOIN(",",TRUE,IF(DEPTS[DepartmentCode]&amp;DEPTS[LedgerCode]=Income_import[[#This Row],[DepartmentCode]]&amp;Income_import[[#This Row],[LedgerCode]],DEPTS[SchoolCodes],"")))),0,1),1)))</f>
        <v>1</v>
      </c>
      <c r="J23" s="85">
        <f>IF(ISBLANK(Income_import[[#This Row],[YearValue]])=Income_import[[#This Row],[Calculated]],0,1)</f>
        <v>0</v>
      </c>
      <c r="K23" s="85">
        <f>IF(ISBLANK(Income_import[[#This Row],[CalculatorCode]]),0,IF(COUNTIF(Calculators[CalculatorCode],Income_import[[#This Row],[CalculatorCode]])&gt;0,0,1))</f>
        <v>0</v>
      </c>
      <c r="L23" s="85">
        <f>IF(TRIM(Income_import[[#This Row],[Description]])="",1,0)</f>
        <v>0</v>
      </c>
      <c r="M23" s="85">
        <f>IF(ISBLANK(Income_import[[#This Row],[MatEditOnly]]),1,0)</f>
        <v>0</v>
      </c>
      <c r="N23" s="85">
        <f>IF(ISBLANK(Income_import[[#This Row],[FinancialYearCode]]),1,0)</f>
        <v>0</v>
      </c>
      <c r="O23" s="85">
        <f>IF(ISBLANK(Income_import[[#This Row],[Calculated]]),1,0)</f>
        <v>0</v>
      </c>
      <c r="P23" s="85">
        <f>IF(EXACT(Income_import[[#This Row],[FinanceCode]],UPPER(Income_import[[#This Row],[FinanceCode]])),0,1)+IF(EXACT(Income_import[[#This Row],[SchoolCode]],UPPER(Income_import[[#This Row],[SchoolCode]])),0,1)+IF(EXACT(Income_import[[#This Row],[LedgerCode]],UPPER(Income_import[[#This Row],[LedgerCode]])),0,1)+IF(EXACT(Income_import[[#This Row],[DepartmentCode]],UPPER(Income_import[[#This Row],[DepartmentCode]])),0,1)+IF(EXACT(Income_import[[#This Row],[CalculatorCode]],UPPER(Income_import[[#This Row],[CalculatorCode]])),0,1)+IF(EXACT(Income_import[[#This Row],[MonthProfileCode]],UPPER(Income_import[[#This Row],[MonthProfileCode]])),0,1)+IF(EXACT(Income_import[[#This Row],[FundCode]],UPPER(Income_import[[#This Row],[FundCode]])),0,1)</f>
        <v>0</v>
      </c>
      <c r="Q23" s="85">
        <f>IF(LEN(Income_import[[#This Row],[Description]])&lt;100,0,1)</f>
        <v>0</v>
      </c>
      <c r="R23" s="85">
        <f>IF(LEN(Income_import[[#This Row],[Notes]])&lt;4000,0,1)</f>
        <v>0</v>
      </c>
      <c r="S23" s="85">
        <f>IF(LEN(Income_import[[#This Row],[YearNotes]])&lt;4000,0,1)</f>
        <v>0</v>
      </c>
      <c r="T23" s="85">
        <f>IF(OR(Income_import[[#This Row],[MatEditOnly]]=TRUE,Income_import[[#This Row],[MatEditOnly]]=FALSE),IF(OR(Income_import[[#This Row],[Calculated]]=TRUE,Income_import[[#This Row],[Calculated]]=FALSE),0,1),1)</f>
        <v>0</v>
      </c>
      <c r="U23" s="85">
        <f>IF(_xlfn.XLOOKUP(Income_import[[#This Row],[FinancialYearCode]],Years[Years],Years[Years],1)=Income_import[[#This Row],[FinancialYearCode]],0,1)</f>
        <v>0</v>
      </c>
      <c r="V23" s="85">
        <f>IF(Income_import[[#This Row],[CalculatorCode]]="",0,IF(IF(_xlfn.XLOOKUP(Income_import[[#This Row],[CalculatorCode]],Calculators[CalculatorCode],Calculators[LockCheck])=1,TRUE,FALSE)=Income_import[[#This Row],[MatEditOnly]],0,1))</f>
        <v>0</v>
      </c>
      <c r="W23" s="85">
        <f>SUM(Income_import[[#This Row],[DuplicateLine]:[MAT edit only required]])</f>
        <v>4</v>
      </c>
      <c r="X23" s="80" t="e">
        <f>_xlfn.XLOOKUP(Income_import[[#This Row],[SchoolCode]],SCHOOLS[SchoolCode],SCHOOLS[Title])</f>
        <v>#N/A</v>
      </c>
      <c r="AA23" t="s">
        <v>1630</v>
      </c>
      <c r="AE23" t="s">
        <v>1294</v>
      </c>
      <c r="AF23" t="s">
        <v>1124</v>
      </c>
      <c r="AG23" t="s">
        <v>1444</v>
      </c>
      <c r="AJ23" t="b">
        <v>1</v>
      </c>
      <c r="AK23" t="s">
        <v>1497</v>
      </c>
      <c r="AL23" t="b">
        <v>1</v>
      </c>
    </row>
    <row r="24" spans="1:38" x14ac:dyDescent="0.3">
      <c r="A24" s="120" t="str">
        <f t="shared" si="0"/>
        <v>PRIUIFSM Final2025/26</v>
      </c>
      <c r="B24" s="85">
        <f>COUNTIF(Income_import[Column1],Income_import[[#This Row],[Column1]])-1</f>
        <v>0</v>
      </c>
      <c r="C24" s="80" cm="1">
        <f t="array" ref="C24">IF(_xlfn.XLOOKUP(Income_import[[#This Row],[FinanceCode]],FinanceCodesBudget[FinanceCode],FinanceCodesBudget[AvailableToAllSchools],1,0,)=TRUE,0,IF(ISERROR(FIND(Income_import[[#This Row],[SchoolCode]],_xlfn.TEXTJOIN(",",TRUE,_xlfn.UNIQUE(IF(FinanceCodesBudget[FinanceCode]=Income_import[[#This Row],[FinanceCode]],FinanceCodesBudget[SchoolCodes],""))))),1,0))</f>
        <v>1</v>
      </c>
      <c r="D24" s="85">
        <f>IF(COUNTIF(SCHOOLS[SchoolCode],Income_import[[#This Row],[SchoolCode]])&gt;0,0,1)</f>
        <v>1</v>
      </c>
      <c r="E24" s="85">
        <f>IF(COUNTIF(LEDGER[],Income_import[[#This Row],[LedgerCode]])&gt;0,0,1)</f>
        <v>0</v>
      </c>
      <c r="F24" s="85">
        <f>IF(ISBLANK(Income_import[[#This Row],[MonthProfileCode]]),1,IF(COUNTIF(MONTHPRF[Code],Income_import[[#This Row],[MonthProfileCode]])&gt;0,0,1))</f>
        <v>0</v>
      </c>
      <c r="G24" s="80" cm="1">
        <f t="array" ref="G24">IF(_xlfn.XLOOKUP(Income_import[[#This Row],[DepartmentCode]]&amp;Income_import[[#This Row],[LedgerCode]],DEPTS[DepartmentCode]&amp;DEPTS[LedgerCode],DEPTS[AvailableToAllSchools],1,0,)=TRUE,0,IF(ISERROR(FIND(Income_import[[#This Row],[SchoolCode]],_xlfn.TEXTJOIN(",",TRUE,_xlfn.UNIQUE(IF(DEPTS[DepartmentCode]&amp;DEPTS[LedgerCode]=Income_import[[#This Row],[DepartmentCode]]&amp;Income_import[[#This Row],[LedgerCode]],DEPTS[SchoolCodes],""))))),1,0))</f>
        <v>1</v>
      </c>
      <c r="H24" s="85">
        <f>IF(Income_import[[#This Row],[FundCode]]=0,0,IF(COUNTIF(FUNDS[FundCode],Income_import[[#This Row],[FundCode]])&gt;0,0,1))</f>
        <v>0</v>
      </c>
      <c r="I24" s="80" cm="1">
        <f t="array" ref="I24">IF(_xlfn.XLOOKUP(Income_import[[#This Row],[DepartmentCode]]&amp;Income_import[[#This Row],[LedgerCode]],DEPTS[DepartmentCode]&amp;DEPTS[LedgerCode],DEPTS[AvailableToAllSchools])=TRUE,(IF((_xlfn.XLOOKUP(Income_import[[#This Row],[DepartmentCode]]&amp;Income_import[[#This Row],[LedgerCode]],DEPTS[DepartmentCode]&amp;DEPTS[LedgerCode],DEPTS[LedgerCode])=Income_import[[#This Row],[LedgerCode]]),0,1)),(IFERROR(IF(FIND(Income_import[[#This Row],[SchoolCode]],(_xlfn.TEXTJOIN(",",TRUE,IF(DEPTS[DepartmentCode]&amp;DEPTS[LedgerCode]=Income_import[[#This Row],[DepartmentCode]]&amp;Income_import[[#This Row],[LedgerCode]],DEPTS[SchoolCodes],"")))),0,1),1)))</f>
        <v>1</v>
      </c>
      <c r="J24" s="85">
        <f>IF(ISBLANK(Income_import[[#This Row],[YearValue]])=Income_import[[#This Row],[Calculated]],0,1)</f>
        <v>0</v>
      </c>
      <c r="K24" s="85">
        <f>IF(ISBLANK(Income_import[[#This Row],[CalculatorCode]]),0,IF(COUNTIF(Calculators[CalculatorCode],Income_import[[#This Row],[CalculatorCode]])&gt;0,0,1))</f>
        <v>0</v>
      </c>
      <c r="L24" s="85">
        <f>IF(TRIM(Income_import[[#This Row],[Description]])="",1,0)</f>
        <v>0</v>
      </c>
      <c r="M24" s="85">
        <f>IF(ISBLANK(Income_import[[#This Row],[MatEditOnly]]),1,0)</f>
        <v>0</v>
      </c>
      <c r="N24" s="85">
        <f>IF(ISBLANK(Income_import[[#This Row],[FinancialYearCode]]),1,0)</f>
        <v>0</v>
      </c>
      <c r="O24" s="85">
        <f>IF(ISBLANK(Income_import[[#This Row],[Calculated]]),1,0)</f>
        <v>0</v>
      </c>
      <c r="P24" s="85">
        <f>IF(EXACT(Income_import[[#This Row],[FinanceCode]],UPPER(Income_import[[#This Row],[FinanceCode]])),0,1)+IF(EXACT(Income_import[[#This Row],[SchoolCode]],UPPER(Income_import[[#This Row],[SchoolCode]])),0,1)+IF(EXACT(Income_import[[#This Row],[LedgerCode]],UPPER(Income_import[[#This Row],[LedgerCode]])),0,1)+IF(EXACT(Income_import[[#This Row],[DepartmentCode]],UPPER(Income_import[[#This Row],[DepartmentCode]])),0,1)+IF(EXACT(Income_import[[#This Row],[CalculatorCode]],UPPER(Income_import[[#This Row],[CalculatorCode]])),0,1)+IF(EXACT(Income_import[[#This Row],[MonthProfileCode]],UPPER(Income_import[[#This Row],[MonthProfileCode]])),0,1)+IF(EXACT(Income_import[[#This Row],[FundCode]],UPPER(Income_import[[#This Row],[FundCode]])),0,1)</f>
        <v>0</v>
      </c>
      <c r="Q24" s="85">
        <f>IF(LEN(Income_import[[#This Row],[Description]])&lt;100,0,1)</f>
        <v>0</v>
      </c>
      <c r="R24" s="85">
        <f>IF(LEN(Income_import[[#This Row],[Notes]])&lt;4000,0,1)</f>
        <v>0</v>
      </c>
      <c r="S24" s="85">
        <f>IF(LEN(Income_import[[#This Row],[YearNotes]])&lt;4000,0,1)</f>
        <v>0</v>
      </c>
      <c r="T24" s="85">
        <f>IF(OR(Income_import[[#This Row],[MatEditOnly]]=TRUE,Income_import[[#This Row],[MatEditOnly]]=FALSE),IF(OR(Income_import[[#This Row],[Calculated]]=TRUE,Income_import[[#This Row],[Calculated]]=FALSE),0,1),1)</f>
        <v>0</v>
      </c>
      <c r="U24" s="85">
        <f>IF(_xlfn.XLOOKUP(Income_import[[#This Row],[FinancialYearCode]],Years[Years],Years[Years],1)=Income_import[[#This Row],[FinancialYearCode]],0,1)</f>
        <v>0</v>
      </c>
      <c r="V24" s="85">
        <f>IF(Income_import[[#This Row],[CalculatorCode]]="",0,IF(IF(_xlfn.XLOOKUP(Income_import[[#This Row],[CalculatorCode]],Calculators[CalculatorCode],Calculators[LockCheck])=1,TRUE,FALSE)=Income_import[[#This Row],[MatEditOnly]],0,1))</f>
        <v>0</v>
      </c>
      <c r="W24" s="85">
        <f>SUM(Income_import[[#This Row],[DuplicateLine]:[MAT edit only required]])</f>
        <v>4</v>
      </c>
      <c r="X24" s="80" t="e">
        <f>_xlfn.XLOOKUP(Income_import[[#This Row],[SchoolCode]],SCHOOLS[SchoolCode],SCHOOLS[Title])</f>
        <v>#N/A</v>
      </c>
      <c r="AA24" t="s">
        <v>1630</v>
      </c>
      <c r="AE24" t="s">
        <v>2050</v>
      </c>
      <c r="AF24" t="s">
        <v>1124</v>
      </c>
      <c r="AG24" t="s">
        <v>2051</v>
      </c>
      <c r="AJ24" t="b">
        <v>1</v>
      </c>
      <c r="AK24" t="s">
        <v>1497</v>
      </c>
      <c r="AL24" t="b">
        <v>1</v>
      </c>
    </row>
    <row r="25" spans="1:38" x14ac:dyDescent="0.3">
      <c r="A25" s="120" t="str">
        <f t="shared" si="0"/>
        <v>PRIUIFSM Provisional2025/26</v>
      </c>
      <c r="B25" s="85">
        <f>COUNTIF(Income_import[Column1],Income_import[[#This Row],[Column1]])-1</f>
        <v>0</v>
      </c>
      <c r="C25" s="80" cm="1">
        <f t="array" ref="C25">IF(_xlfn.XLOOKUP(Income_import[[#This Row],[FinanceCode]],FinanceCodesBudget[FinanceCode],FinanceCodesBudget[AvailableToAllSchools],1,0,)=TRUE,0,IF(ISERROR(FIND(Income_import[[#This Row],[SchoolCode]],_xlfn.TEXTJOIN(",",TRUE,_xlfn.UNIQUE(IF(FinanceCodesBudget[FinanceCode]=Income_import[[#This Row],[FinanceCode]],FinanceCodesBudget[SchoolCodes],""))))),1,0))</f>
        <v>1</v>
      </c>
      <c r="D25" s="85">
        <f>IF(COUNTIF(SCHOOLS[SchoolCode],Income_import[[#This Row],[SchoolCode]])&gt;0,0,1)</f>
        <v>1</v>
      </c>
      <c r="E25" s="85">
        <f>IF(COUNTIF(LEDGER[],Income_import[[#This Row],[LedgerCode]])&gt;0,0,1)</f>
        <v>0</v>
      </c>
      <c r="F25" s="85">
        <f>IF(ISBLANK(Income_import[[#This Row],[MonthProfileCode]]),1,IF(COUNTIF(MONTHPRF[Code],Income_import[[#This Row],[MonthProfileCode]])&gt;0,0,1))</f>
        <v>0</v>
      </c>
      <c r="G25" s="80" cm="1">
        <f t="array" ref="G25">IF(_xlfn.XLOOKUP(Income_import[[#This Row],[DepartmentCode]]&amp;Income_import[[#This Row],[LedgerCode]],DEPTS[DepartmentCode]&amp;DEPTS[LedgerCode],DEPTS[AvailableToAllSchools],1,0,)=TRUE,0,IF(ISERROR(FIND(Income_import[[#This Row],[SchoolCode]],_xlfn.TEXTJOIN(",",TRUE,_xlfn.UNIQUE(IF(DEPTS[DepartmentCode]&amp;DEPTS[LedgerCode]=Income_import[[#This Row],[DepartmentCode]]&amp;Income_import[[#This Row],[LedgerCode]],DEPTS[SchoolCodes],""))))),1,0))</f>
        <v>1</v>
      </c>
      <c r="H25" s="85">
        <f>IF(Income_import[[#This Row],[FundCode]]=0,0,IF(COUNTIF(FUNDS[FundCode],Income_import[[#This Row],[FundCode]])&gt;0,0,1))</f>
        <v>0</v>
      </c>
      <c r="I25" s="80" cm="1">
        <f t="array" ref="I25">IF(_xlfn.XLOOKUP(Income_import[[#This Row],[DepartmentCode]]&amp;Income_import[[#This Row],[LedgerCode]],DEPTS[DepartmentCode]&amp;DEPTS[LedgerCode],DEPTS[AvailableToAllSchools])=TRUE,(IF((_xlfn.XLOOKUP(Income_import[[#This Row],[DepartmentCode]]&amp;Income_import[[#This Row],[LedgerCode]],DEPTS[DepartmentCode]&amp;DEPTS[LedgerCode],DEPTS[LedgerCode])=Income_import[[#This Row],[LedgerCode]]),0,1)),(IFERROR(IF(FIND(Income_import[[#This Row],[SchoolCode]],(_xlfn.TEXTJOIN(",",TRUE,IF(DEPTS[DepartmentCode]&amp;DEPTS[LedgerCode]=Income_import[[#This Row],[DepartmentCode]]&amp;Income_import[[#This Row],[LedgerCode]],DEPTS[SchoolCodes],"")))),0,1),1)))</f>
        <v>1</v>
      </c>
      <c r="J25" s="85">
        <f>IF(ISBLANK(Income_import[[#This Row],[YearValue]])=Income_import[[#This Row],[Calculated]],0,1)</f>
        <v>0</v>
      </c>
      <c r="K25" s="85">
        <f>IF(ISBLANK(Income_import[[#This Row],[CalculatorCode]]),0,IF(COUNTIF(Calculators[CalculatorCode],Income_import[[#This Row],[CalculatorCode]])&gt;0,0,1))</f>
        <v>0</v>
      </c>
      <c r="L25" s="85">
        <f>IF(TRIM(Income_import[[#This Row],[Description]])="",1,0)</f>
        <v>0</v>
      </c>
      <c r="M25" s="85">
        <f>IF(ISBLANK(Income_import[[#This Row],[MatEditOnly]]),1,0)</f>
        <v>0</v>
      </c>
      <c r="N25" s="85">
        <f>IF(ISBLANK(Income_import[[#This Row],[FinancialYearCode]]),1,0)</f>
        <v>0</v>
      </c>
      <c r="O25" s="85">
        <f>IF(ISBLANK(Income_import[[#This Row],[Calculated]]),1,0)</f>
        <v>0</v>
      </c>
      <c r="P25" s="85">
        <f>IF(EXACT(Income_import[[#This Row],[FinanceCode]],UPPER(Income_import[[#This Row],[FinanceCode]])),0,1)+IF(EXACT(Income_import[[#This Row],[SchoolCode]],UPPER(Income_import[[#This Row],[SchoolCode]])),0,1)+IF(EXACT(Income_import[[#This Row],[LedgerCode]],UPPER(Income_import[[#This Row],[LedgerCode]])),0,1)+IF(EXACT(Income_import[[#This Row],[DepartmentCode]],UPPER(Income_import[[#This Row],[DepartmentCode]])),0,1)+IF(EXACT(Income_import[[#This Row],[CalculatorCode]],UPPER(Income_import[[#This Row],[CalculatorCode]])),0,1)+IF(EXACT(Income_import[[#This Row],[MonthProfileCode]],UPPER(Income_import[[#This Row],[MonthProfileCode]])),0,1)+IF(EXACT(Income_import[[#This Row],[FundCode]],UPPER(Income_import[[#This Row],[FundCode]])),0,1)</f>
        <v>0</v>
      </c>
      <c r="Q25" s="85">
        <f>IF(LEN(Income_import[[#This Row],[Description]])&lt;100,0,1)</f>
        <v>0</v>
      </c>
      <c r="R25" s="85">
        <f>IF(LEN(Income_import[[#This Row],[Notes]])&lt;4000,0,1)</f>
        <v>0</v>
      </c>
      <c r="S25" s="85">
        <f>IF(LEN(Income_import[[#This Row],[YearNotes]])&lt;4000,0,1)</f>
        <v>0</v>
      </c>
      <c r="T25" s="85">
        <f>IF(OR(Income_import[[#This Row],[MatEditOnly]]=TRUE,Income_import[[#This Row],[MatEditOnly]]=FALSE),IF(OR(Income_import[[#This Row],[Calculated]]=TRUE,Income_import[[#This Row],[Calculated]]=FALSE),0,1),1)</f>
        <v>0</v>
      </c>
      <c r="U25" s="85">
        <f>IF(_xlfn.XLOOKUP(Income_import[[#This Row],[FinancialYearCode]],Years[Years],Years[Years],1)=Income_import[[#This Row],[FinancialYearCode]],0,1)</f>
        <v>0</v>
      </c>
      <c r="V25" s="85">
        <f>IF(Income_import[[#This Row],[CalculatorCode]]="",0,IF(IF(_xlfn.XLOOKUP(Income_import[[#This Row],[CalculatorCode]],Calculators[CalculatorCode],Calculators[LockCheck])=1,TRUE,FALSE)=Income_import[[#This Row],[MatEditOnly]],0,1))</f>
        <v>0</v>
      </c>
      <c r="W25" s="85">
        <f>SUM(Income_import[[#This Row],[DuplicateLine]:[MAT edit only required]])</f>
        <v>4</v>
      </c>
      <c r="X25" s="80" t="e">
        <f>_xlfn.XLOOKUP(Income_import[[#This Row],[SchoolCode]],SCHOOLS[SchoolCode],SCHOOLS[Title])</f>
        <v>#N/A</v>
      </c>
      <c r="AA25" t="s">
        <v>1630</v>
      </c>
      <c r="AE25" t="s">
        <v>2052</v>
      </c>
      <c r="AF25" t="s">
        <v>1124</v>
      </c>
      <c r="AG25" t="s">
        <v>2053</v>
      </c>
      <c r="AJ25" t="b">
        <v>1</v>
      </c>
      <c r="AK25" t="s">
        <v>1497</v>
      </c>
      <c r="AL25" t="b">
        <v>1</v>
      </c>
    </row>
    <row r="26" spans="1:38" x14ac:dyDescent="0.3">
      <c r="A26" s="120" t="str">
        <f t="shared" si="0"/>
        <v>MATSCA Grant2025/26</v>
      </c>
      <c r="B26" s="85">
        <f>COUNTIF(Income_import[Column1],Income_import[[#This Row],[Column1]])-1</f>
        <v>0</v>
      </c>
      <c r="C26" s="80" cm="1">
        <f t="array" ref="C26">IF(_xlfn.XLOOKUP(Income_import[[#This Row],[FinanceCode]],FinanceCodesBudget[FinanceCode],FinanceCodesBudget[AvailableToAllSchools],1,0,)=TRUE,0,IF(ISERROR(FIND(Income_import[[#This Row],[SchoolCode]],_xlfn.TEXTJOIN(",",TRUE,_xlfn.UNIQUE(IF(FinanceCodesBudget[FinanceCode]=Income_import[[#This Row],[FinanceCode]],FinanceCodesBudget[SchoolCodes],""))))),1,0))</f>
        <v>1</v>
      </c>
      <c r="D26" s="85">
        <f>IF(COUNTIF(SCHOOLS[SchoolCode],Income_import[[#This Row],[SchoolCode]])&gt;0,0,1)</f>
        <v>1</v>
      </c>
      <c r="E26" s="85">
        <f>IF(COUNTIF(LEDGER[],Income_import[[#This Row],[LedgerCode]])&gt;0,0,1)</f>
        <v>0</v>
      </c>
      <c r="F26" s="85">
        <f>IF(ISBLANK(Income_import[[#This Row],[MonthProfileCode]]),1,IF(COUNTIF(MONTHPRF[Code],Income_import[[#This Row],[MonthProfileCode]])&gt;0,0,1))</f>
        <v>0</v>
      </c>
      <c r="G26" s="80" cm="1">
        <f t="array" ref="G26">IF(_xlfn.XLOOKUP(Income_import[[#This Row],[DepartmentCode]]&amp;Income_import[[#This Row],[LedgerCode]],DEPTS[DepartmentCode]&amp;DEPTS[LedgerCode],DEPTS[AvailableToAllSchools],1,0,)=TRUE,0,IF(ISERROR(FIND(Income_import[[#This Row],[SchoolCode]],_xlfn.TEXTJOIN(",",TRUE,_xlfn.UNIQUE(IF(DEPTS[DepartmentCode]&amp;DEPTS[LedgerCode]=Income_import[[#This Row],[DepartmentCode]]&amp;Income_import[[#This Row],[LedgerCode]],DEPTS[SchoolCodes],""))))),1,0))</f>
        <v>1</v>
      </c>
      <c r="H26" s="85">
        <f>IF(Income_import[[#This Row],[FundCode]]=0,0,IF(COUNTIF(FUNDS[FundCode],Income_import[[#This Row],[FundCode]])&gt;0,0,1))</f>
        <v>0</v>
      </c>
      <c r="I26" s="80" cm="1">
        <f t="array" ref="I26">IF(_xlfn.XLOOKUP(Income_import[[#This Row],[DepartmentCode]]&amp;Income_import[[#This Row],[LedgerCode]],DEPTS[DepartmentCode]&amp;DEPTS[LedgerCode],DEPTS[AvailableToAllSchools])=TRUE,(IF((_xlfn.XLOOKUP(Income_import[[#This Row],[DepartmentCode]]&amp;Income_import[[#This Row],[LedgerCode]],DEPTS[DepartmentCode]&amp;DEPTS[LedgerCode],DEPTS[LedgerCode])=Income_import[[#This Row],[LedgerCode]]),0,1)),(IFERROR(IF(FIND(Income_import[[#This Row],[SchoolCode]],(_xlfn.TEXTJOIN(",",TRUE,IF(DEPTS[DepartmentCode]&amp;DEPTS[LedgerCode]=Income_import[[#This Row],[DepartmentCode]]&amp;Income_import[[#This Row],[LedgerCode]],DEPTS[SchoolCodes],"")))),0,1),1)))</f>
        <v>1</v>
      </c>
      <c r="J26" s="85">
        <f>IF(ISBLANK(Income_import[[#This Row],[YearValue]])=Income_import[[#This Row],[Calculated]],0,1)</f>
        <v>0</v>
      </c>
      <c r="K26" s="85">
        <f>IF(ISBLANK(Income_import[[#This Row],[CalculatorCode]]),0,IF(COUNTIF(Calculators[CalculatorCode],Income_import[[#This Row],[CalculatorCode]])&gt;0,0,1))</f>
        <v>0</v>
      </c>
      <c r="L26" s="85">
        <f>IF(TRIM(Income_import[[#This Row],[Description]])="",1,0)</f>
        <v>0</v>
      </c>
      <c r="M26" s="85">
        <f>IF(ISBLANK(Income_import[[#This Row],[MatEditOnly]]),1,0)</f>
        <v>0</v>
      </c>
      <c r="N26" s="85">
        <f>IF(ISBLANK(Income_import[[#This Row],[FinancialYearCode]]),1,0)</f>
        <v>0</v>
      </c>
      <c r="O26" s="85">
        <f>IF(ISBLANK(Income_import[[#This Row],[Calculated]]),1,0)</f>
        <v>0</v>
      </c>
      <c r="P26" s="85">
        <f>IF(EXACT(Income_import[[#This Row],[FinanceCode]],UPPER(Income_import[[#This Row],[FinanceCode]])),0,1)+IF(EXACT(Income_import[[#This Row],[SchoolCode]],UPPER(Income_import[[#This Row],[SchoolCode]])),0,1)+IF(EXACT(Income_import[[#This Row],[LedgerCode]],UPPER(Income_import[[#This Row],[LedgerCode]])),0,1)+IF(EXACT(Income_import[[#This Row],[DepartmentCode]],UPPER(Income_import[[#This Row],[DepartmentCode]])),0,1)+IF(EXACT(Income_import[[#This Row],[CalculatorCode]],UPPER(Income_import[[#This Row],[CalculatorCode]])),0,1)+IF(EXACT(Income_import[[#This Row],[MonthProfileCode]],UPPER(Income_import[[#This Row],[MonthProfileCode]])),0,1)+IF(EXACT(Income_import[[#This Row],[FundCode]],UPPER(Income_import[[#This Row],[FundCode]])),0,1)</f>
        <v>0</v>
      </c>
      <c r="Q26" s="85">
        <f>IF(LEN(Income_import[[#This Row],[Description]])&lt;100,0,1)</f>
        <v>0</v>
      </c>
      <c r="R26" s="85">
        <f>IF(LEN(Income_import[[#This Row],[Notes]])&lt;4000,0,1)</f>
        <v>0</v>
      </c>
      <c r="S26" s="85">
        <f>IF(LEN(Income_import[[#This Row],[YearNotes]])&lt;4000,0,1)</f>
        <v>0</v>
      </c>
      <c r="T26" s="85">
        <f>IF(OR(Income_import[[#This Row],[MatEditOnly]]=TRUE,Income_import[[#This Row],[MatEditOnly]]=FALSE),IF(OR(Income_import[[#This Row],[Calculated]]=TRUE,Income_import[[#This Row],[Calculated]]=FALSE),0,1),1)</f>
        <v>0</v>
      </c>
      <c r="U26" s="85">
        <f>IF(_xlfn.XLOOKUP(Income_import[[#This Row],[FinancialYearCode]],Years[Years],Years[Years],1)=Income_import[[#This Row],[FinancialYearCode]],0,1)</f>
        <v>0</v>
      </c>
      <c r="V26" s="85">
        <f>IF(Income_import[[#This Row],[CalculatorCode]]="",0,IF(IF(_xlfn.XLOOKUP(Income_import[[#This Row],[CalculatorCode]],Calculators[CalculatorCode],Calculators[LockCheck])=1,TRUE,FALSE)=Income_import[[#This Row],[MatEditOnly]],0,1))</f>
        <v>0</v>
      </c>
      <c r="W26" s="85">
        <f>SUM(Income_import[[#This Row],[DuplicateLine]:[MAT edit only required]])</f>
        <v>4</v>
      </c>
      <c r="X26" s="80" t="e">
        <f>_xlfn.XLOOKUP(Income_import[[#This Row],[SchoolCode]],SCHOOLS[SchoolCode],SCHOOLS[Title])</f>
        <v>#N/A</v>
      </c>
      <c r="AA26" t="s">
        <v>39</v>
      </c>
      <c r="AE26" t="s">
        <v>1036</v>
      </c>
      <c r="AF26" t="s">
        <v>1124</v>
      </c>
      <c r="AG26" t="s">
        <v>1445</v>
      </c>
      <c r="AJ26" t="b">
        <v>0</v>
      </c>
      <c r="AK26" t="s">
        <v>1497</v>
      </c>
      <c r="AL26" t="b">
        <v>1</v>
      </c>
    </row>
    <row r="27" spans="1:38" x14ac:dyDescent="0.3">
      <c r="A27" s="120" t="str">
        <f t="shared" si="0"/>
        <v>ALESNI Grant - April - August2025/26</v>
      </c>
      <c r="B27" s="85">
        <f>COUNTIF(Income_import[Column1],Income_import[[#This Row],[Column1]])-1</f>
        <v>0</v>
      </c>
      <c r="C27" s="80" cm="1">
        <f t="array" ref="C27">IF(_xlfn.XLOOKUP(Income_import[[#This Row],[FinanceCode]],FinanceCodesBudget[FinanceCode],FinanceCodesBudget[AvailableToAllSchools],1,0,)=TRUE,0,IF(ISERROR(FIND(Income_import[[#This Row],[SchoolCode]],_xlfn.TEXTJOIN(",",TRUE,_xlfn.UNIQUE(IF(FinanceCodesBudget[FinanceCode]=Income_import[[#This Row],[FinanceCode]],FinanceCodesBudget[SchoolCodes],""))))),1,0))</f>
        <v>1</v>
      </c>
      <c r="D27" s="85">
        <f>IF(COUNTIF(SCHOOLS[SchoolCode],Income_import[[#This Row],[SchoolCode]])&gt;0,0,1)</f>
        <v>1</v>
      </c>
      <c r="E27" s="85">
        <f>IF(COUNTIF(LEDGER[],Income_import[[#This Row],[LedgerCode]])&gt;0,0,1)</f>
        <v>0</v>
      </c>
      <c r="F27" s="85">
        <f>IF(ISBLANK(Income_import[[#This Row],[MonthProfileCode]]),1,IF(COUNTIF(MONTHPRF[Code],Income_import[[#This Row],[MonthProfileCode]])&gt;0,0,1))</f>
        <v>0</v>
      </c>
      <c r="G27" s="80" cm="1">
        <f t="array" ref="G27">IF(_xlfn.XLOOKUP(Income_import[[#This Row],[DepartmentCode]]&amp;Income_import[[#This Row],[LedgerCode]],DEPTS[DepartmentCode]&amp;DEPTS[LedgerCode],DEPTS[AvailableToAllSchools],1,0,)=TRUE,0,IF(ISERROR(FIND(Income_import[[#This Row],[SchoolCode]],_xlfn.TEXTJOIN(",",TRUE,_xlfn.UNIQUE(IF(DEPTS[DepartmentCode]&amp;DEPTS[LedgerCode]=Income_import[[#This Row],[DepartmentCode]]&amp;Income_import[[#This Row],[LedgerCode]],DEPTS[SchoolCodes],""))))),1,0))</f>
        <v>1</v>
      </c>
      <c r="H27" s="85">
        <f>IF(Income_import[[#This Row],[FundCode]]=0,0,IF(COUNTIF(FUNDS[FundCode],Income_import[[#This Row],[FundCode]])&gt;0,0,1))</f>
        <v>0</v>
      </c>
      <c r="I27" s="80" cm="1">
        <f t="array" ref="I27">IF(_xlfn.XLOOKUP(Income_import[[#This Row],[DepartmentCode]]&amp;Income_import[[#This Row],[LedgerCode]],DEPTS[DepartmentCode]&amp;DEPTS[LedgerCode],DEPTS[AvailableToAllSchools])=TRUE,(IF((_xlfn.XLOOKUP(Income_import[[#This Row],[DepartmentCode]]&amp;Income_import[[#This Row],[LedgerCode]],DEPTS[DepartmentCode]&amp;DEPTS[LedgerCode],DEPTS[LedgerCode])=Income_import[[#This Row],[LedgerCode]]),0,1)),(IFERROR(IF(FIND(Income_import[[#This Row],[SchoolCode]],(_xlfn.TEXTJOIN(",",TRUE,IF(DEPTS[DepartmentCode]&amp;DEPTS[LedgerCode]=Income_import[[#This Row],[DepartmentCode]]&amp;Income_import[[#This Row],[LedgerCode]],DEPTS[SchoolCodes],"")))),0,1),1)))</f>
        <v>1</v>
      </c>
      <c r="J27" s="85">
        <f>IF(ISBLANK(Income_import[[#This Row],[YearValue]])=Income_import[[#This Row],[Calculated]],0,1)</f>
        <v>1</v>
      </c>
      <c r="K27" s="85">
        <f>IF(ISBLANK(Income_import[[#This Row],[CalculatorCode]]),0,IF(COUNTIF(Calculators[CalculatorCode],Income_import[[#This Row],[CalculatorCode]])&gt;0,0,1))</f>
        <v>0</v>
      </c>
      <c r="L27" s="85">
        <f>IF(TRIM(Income_import[[#This Row],[Description]])="",1,0)</f>
        <v>0</v>
      </c>
      <c r="M27" s="85">
        <f>IF(ISBLANK(Income_import[[#This Row],[MatEditOnly]]),1,0)</f>
        <v>0</v>
      </c>
      <c r="N27" s="85">
        <f>IF(ISBLANK(Income_import[[#This Row],[FinancialYearCode]]),1,0)</f>
        <v>0</v>
      </c>
      <c r="O27" s="85">
        <f>IF(ISBLANK(Income_import[[#This Row],[Calculated]]),1,0)</f>
        <v>0</v>
      </c>
      <c r="P27" s="85">
        <f>IF(EXACT(Income_import[[#This Row],[FinanceCode]],UPPER(Income_import[[#This Row],[FinanceCode]])),0,1)+IF(EXACT(Income_import[[#This Row],[SchoolCode]],UPPER(Income_import[[#This Row],[SchoolCode]])),0,1)+IF(EXACT(Income_import[[#This Row],[LedgerCode]],UPPER(Income_import[[#This Row],[LedgerCode]])),0,1)+IF(EXACT(Income_import[[#This Row],[DepartmentCode]],UPPER(Income_import[[#This Row],[DepartmentCode]])),0,1)+IF(EXACT(Income_import[[#This Row],[CalculatorCode]],UPPER(Income_import[[#This Row],[CalculatorCode]])),0,1)+IF(EXACT(Income_import[[#This Row],[MonthProfileCode]],UPPER(Income_import[[#This Row],[MonthProfileCode]])),0,1)+IF(EXACT(Income_import[[#This Row],[FundCode]],UPPER(Income_import[[#This Row],[FundCode]])),0,1)</f>
        <v>0</v>
      </c>
      <c r="Q27" s="85">
        <f>IF(LEN(Income_import[[#This Row],[Description]])&lt;100,0,1)</f>
        <v>0</v>
      </c>
      <c r="R27" s="85">
        <f>IF(LEN(Income_import[[#This Row],[Notes]])&lt;4000,0,1)</f>
        <v>0</v>
      </c>
      <c r="S27" s="85">
        <f>IF(LEN(Income_import[[#This Row],[YearNotes]])&lt;4000,0,1)</f>
        <v>0</v>
      </c>
      <c r="T27" s="85">
        <f>IF(OR(Income_import[[#This Row],[MatEditOnly]]=TRUE,Income_import[[#This Row],[MatEditOnly]]=FALSE),IF(OR(Income_import[[#This Row],[Calculated]]=TRUE,Income_import[[#This Row],[Calculated]]=FALSE),0,1),1)</f>
        <v>0</v>
      </c>
      <c r="U27" s="85">
        <f>IF(_xlfn.XLOOKUP(Income_import[[#This Row],[FinancialYearCode]],Years[Years],Years[Years],1)=Income_import[[#This Row],[FinancialYearCode]],0,1)</f>
        <v>0</v>
      </c>
      <c r="V27" s="85">
        <f>IF(Income_import[[#This Row],[CalculatorCode]]="",0,IF(IF(_xlfn.XLOOKUP(Income_import[[#This Row],[CalculatorCode]],Calculators[CalculatorCode],Calculators[LockCheck])=1,TRUE,FALSE)=Income_import[[#This Row],[MatEditOnly]],0,1))</f>
        <v>0</v>
      </c>
      <c r="W27" s="85">
        <f>SUM(Income_import[[#This Row],[DuplicateLine]:[MAT edit only required]])</f>
        <v>5</v>
      </c>
      <c r="X27" s="80" t="e">
        <f>_xlfn.XLOOKUP(Income_import[[#This Row],[SchoolCode]],SCHOOLS[SchoolCode],SCHOOLS[Title])</f>
        <v>#N/A</v>
      </c>
      <c r="AA27" t="s">
        <v>2432</v>
      </c>
      <c r="AE27" t="s">
        <v>1303</v>
      </c>
      <c r="AF27" t="s">
        <v>1118</v>
      </c>
      <c r="AG27" t="s">
        <v>2418</v>
      </c>
      <c r="AJ27" t="b">
        <v>0</v>
      </c>
      <c r="AK27" t="s">
        <v>1497</v>
      </c>
      <c r="AL27" t="b">
        <v>0</v>
      </c>
    </row>
    <row r="28" spans="1:38" x14ac:dyDescent="0.3">
      <c r="A28" s="120" t="str">
        <f t="shared" si="0"/>
        <v>ALESSBSG - September - March2025/26</v>
      </c>
      <c r="B28" s="85">
        <f>COUNTIF(Income_import[Column1],Income_import[[#This Row],[Column1]])-1</f>
        <v>0</v>
      </c>
      <c r="C28" s="80" cm="1">
        <f t="array" ref="C28">IF(_xlfn.XLOOKUP(Income_import[[#This Row],[FinanceCode]],FinanceCodesBudget[FinanceCode],FinanceCodesBudget[AvailableToAllSchools],1,0,)=TRUE,0,IF(ISERROR(FIND(Income_import[[#This Row],[SchoolCode]],_xlfn.TEXTJOIN(",",TRUE,_xlfn.UNIQUE(IF(FinanceCodesBudget[FinanceCode]=Income_import[[#This Row],[FinanceCode]],FinanceCodesBudget[SchoolCodes],""))))),1,0))</f>
        <v>1</v>
      </c>
      <c r="D28" s="85">
        <f>IF(COUNTIF(SCHOOLS[SchoolCode],Income_import[[#This Row],[SchoolCode]])&gt;0,0,1)</f>
        <v>1</v>
      </c>
      <c r="E28" s="85">
        <f>IF(COUNTIF(LEDGER[],Income_import[[#This Row],[LedgerCode]])&gt;0,0,1)</f>
        <v>0</v>
      </c>
      <c r="F28" s="85">
        <f>IF(ISBLANK(Income_import[[#This Row],[MonthProfileCode]]),1,IF(COUNTIF(MONTHPRF[Code],Income_import[[#This Row],[MonthProfileCode]])&gt;0,0,1))</f>
        <v>0</v>
      </c>
      <c r="G28" s="80" cm="1">
        <f t="array" ref="G28">IF(_xlfn.XLOOKUP(Income_import[[#This Row],[DepartmentCode]]&amp;Income_import[[#This Row],[LedgerCode]],DEPTS[DepartmentCode]&amp;DEPTS[LedgerCode],DEPTS[AvailableToAllSchools],1,0,)=TRUE,0,IF(ISERROR(FIND(Income_import[[#This Row],[SchoolCode]],_xlfn.TEXTJOIN(",",TRUE,_xlfn.UNIQUE(IF(DEPTS[DepartmentCode]&amp;DEPTS[LedgerCode]=Income_import[[#This Row],[DepartmentCode]]&amp;Income_import[[#This Row],[LedgerCode]],DEPTS[SchoolCodes],""))))),1,0))</f>
        <v>1</v>
      </c>
      <c r="H28" s="85">
        <f>IF(Income_import[[#This Row],[FundCode]]=0,0,IF(COUNTIF(FUNDS[FundCode],Income_import[[#This Row],[FundCode]])&gt;0,0,1))</f>
        <v>0</v>
      </c>
      <c r="I28" s="80" cm="1">
        <f t="array" ref="I28">IF(_xlfn.XLOOKUP(Income_import[[#This Row],[DepartmentCode]]&amp;Income_import[[#This Row],[LedgerCode]],DEPTS[DepartmentCode]&amp;DEPTS[LedgerCode],DEPTS[AvailableToAllSchools])=TRUE,(IF((_xlfn.XLOOKUP(Income_import[[#This Row],[DepartmentCode]]&amp;Income_import[[#This Row],[LedgerCode]],DEPTS[DepartmentCode]&amp;DEPTS[LedgerCode],DEPTS[LedgerCode])=Income_import[[#This Row],[LedgerCode]]),0,1)),(IFERROR(IF(FIND(Income_import[[#This Row],[SchoolCode]],(_xlfn.TEXTJOIN(",",TRUE,IF(DEPTS[DepartmentCode]&amp;DEPTS[LedgerCode]=Income_import[[#This Row],[DepartmentCode]]&amp;Income_import[[#This Row],[LedgerCode]],DEPTS[SchoolCodes],"")))),0,1),1)))</f>
        <v>1</v>
      </c>
      <c r="J28" s="85">
        <f>IF(ISBLANK(Income_import[[#This Row],[YearValue]])=Income_import[[#This Row],[Calculated]],0,1)</f>
        <v>1</v>
      </c>
      <c r="K28" s="85">
        <f>IF(ISBLANK(Income_import[[#This Row],[CalculatorCode]]),0,IF(COUNTIF(Calculators[CalculatorCode],Income_import[[#This Row],[CalculatorCode]])&gt;0,0,1))</f>
        <v>0</v>
      </c>
      <c r="L28" s="85">
        <f>IF(TRIM(Income_import[[#This Row],[Description]])="",1,0)</f>
        <v>0</v>
      </c>
      <c r="M28" s="85">
        <f>IF(ISBLANK(Income_import[[#This Row],[MatEditOnly]]),1,0)</f>
        <v>0</v>
      </c>
      <c r="N28" s="85">
        <f>IF(ISBLANK(Income_import[[#This Row],[FinancialYearCode]]),1,0)</f>
        <v>0</v>
      </c>
      <c r="O28" s="85">
        <f>IF(ISBLANK(Income_import[[#This Row],[Calculated]]),1,0)</f>
        <v>0</v>
      </c>
      <c r="P28" s="85">
        <f>IF(EXACT(Income_import[[#This Row],[FinanceCode]],UPPER(Income_import[[#This Row],[FinanceCode]])),0,1)+IF(EXACT(Income_import[[#This Row],[SchoolCode]],UPPER(Income_import[[#This Row],[SchoolCode]])),0,1)+IF(EXACT(Income_import[[#This Row],[LedgerCode]],UPPER(Income_import[[#This Row],[LedgerCode]])),0,1)+IF(EXACT(Income_import[[#This Row],[DepartmentCode]],UPPER(Income_import[[#This Row],[DepartmentCode]])),0,1)+IF(EXACT(Income_import[[#This Row],[CalculatorCode]],UPPER(Income_import[[#This Row],[CalculatorCode]])),0,1)+IF(EXACT(Income_import[[#This Row],[MonthProfileCode]],UPPER(Income_import[[#This Row],[MonthProfileCode]])),0,1)+IF(EXACT(Income_import[[#This Row],[FundCode]],UPPER(Income_import[[#This Row],[FundCode]])),0,1)</f>
        <v>0</v>
      </c>
      <c r="Q28" s="85">
        <f>IF(LEN(Income_import[[#This Row],[Description]])&lt;100,0,1)</f>
        <v>0</v>
      </c>
      <c r="R28" s="85">
        <f>IF(LEN(Income_import[[#This Row],[Notes]])&lt;4000,0,1)</f>
        <v>0</v>
      </c>
      <c r="S28" s="85">
        <f>IF(LEN(Income_import[[#This Row],[YearNotes]])&lt;4000,0,1)</f>
        <v>0</v>
      </c>
      <c r="T28" s="85">
        <f>IF(OR(Income_import[[#This Row],[MatEditOnly]]=TRUE,Income_import[[#This Row],[MatEditOnly]]=FALSE),IF(OR(Income_import[[#This Row],[Calculated]]=TRUE,Income_import[[#This Row],[Calculated]]=FALSE),0,1),1)</f>
        <v>0</v>
      </c>
      <c r="U28" s="85">
        <f>IF(_xlfn.XLOOKUP(Income_import[[#This Row],[FinancialYearCode]],Years[Years],Years[Years],1)=Income_import[[#This Row],[FinancialYearCode]],0,1)</f>
        <v>0</v>
      </c>
      <c r="V28" s="85">
        <f>IF(Income_import[[#This Row],[CalculatorCode]]="",0,IF(IF(_xlfn.XLOOKUP(Income_import[[#This Row],[CalculatorCode]],Calculators[CalculatorCode],Calculators[LockCheck])=1,TRUE,FALSE)=Income_import[[#This Row],[MatEditOnly]],0,1))</f>
        <v>0</v>
      </c>
      <c r="W28" s="85">
        <f>SUM(Income_import[[#This Row],[DuplicateLine]:[MAT edit only required]])</f>
        <v>5</v>
      </c>
      <c r="X28" s="80" t="e">
        <f>_xlfn.XLOOKUP(Income_import[[#This Row],[SchoolCode]],SCHOOLS[SchoolCode],SCHOOLS[Title])</f>
        <v>#N/A</v>
      </c>
      <c r="AA28" t="s">
        <v>2432</v>
      </c>
      <c r="AE28" t="s">
        <v>1303</v>
      </c>
      <c r="AF28" t="s">
        <v>1120</v>
      </c>
      <c r="AG28" t="s">
        <v>2419</v>
      </c>
      <c r="AJ28" t="b">
        <v>0</v>
      </c>
      <c r="AK28" t="s">
        <v>1497</v>
      </c>
      <c r="AL28" t="b">
        <v>0</v>
      </c>
    </row>
    <row r="29" spans="1:38" x14ac:dyDescent="0.3">
      <c r="A29" s="120" t="str">
        <f t="shared" si="0"/>
        <v>ALESSBSG - April - August2025/26</v>
      </c>
      <c r="B29" s="85">
        <f>COUNTIF(Income_import[Column1],Income_import[[#This Row],[Column1]])-1</f>
        <v>0</v>
      </c>
      <c r="C29" s="80" cm="1">
        <f t="array" ref="C29">IF(_xlfn.XLOOKUP(Income_import[[#This Row],[FinanceCode]],FinanceCodesBudget[FinanceCode],FinanceCodesBudget[AvailableToAllSchools],1,0,)=TRUE,0,IF(ISERROR(FIND(Income_import[[#This Row],[SchoolCode]],_xlfn.TEXTJOIN(",",TRUE,_xlfn.UNIQUE(IF(FinanceCodesBudget[FinanceCode]=Income_import[[#This Row],[FinanceCode]],FinanceCodesBudget[SchoolCodes],""))))),1,0))</f>
        <v>1</v>
      </c>
      <c r="D29" s="85">
        <f>IF(COUNTIF(SCHOOLS[SchoolCode],Income_import[[#This Row],[SchoolCode]])&gt;0,0,1)</f>
        <v>1</v>
      </c>
      <c r="E29" s="85">
        <f>IF(COUNTIF(LEDGER[],Income_import[[#This Row],[LedgerCode]])&gt;0,0,1)</f>
        <v>0</v>
      </c>
      <c r="F29" s="85">
        <f>IF(ISBLANK(Income_import[[#This Row],[MonthProfileCode]]),1,IF(COUNTIF(MONTHPRF[Code],Income_import[[#This Row],[MonthProfileCode]])&gt;0,0,1))</f>
        <v>0</v>
      </c>
      <c r="G29" s="80" cm="1">
        <f t="array" ref="G29">IF(_xlfn.XLOOKUP(Income_import[[#This Row],[DepartmentCode]]&amp;Income_import[[#This Row],[LedgerCode]],DEPTS[DepartmentCode]&amp;DEPTS[LedgerCode],DEPTS[AvailableToAllSchools],1,0,)=TRUE,0,IF(ISERROR(FIND(Income_import[[#This Row],[SchoolCode]],_xlfn.TEXTJOIN(",",TRUE,_xlfn.UNIQUE(IF(DEPTS[DepartmentCode]&amp;DEPTS[LedgerCode]=Income_import[[#This Row],[DepartmentCode]]&amp;Income_import[[#This Row],[LedgerCode]],DEPTS[SchoolCodes],""))))),1,0))</f>
        <v>1</v>
      </c>
      <c r="H29" s="85">
        <f>IF(Income_import[[#This Row],[FundCode]]=0,0,IF(COUNTIF(FUNDS[FundCode],Income_import[[#This Row],[FundCode]])&gt;0,0,1))</f>
        <v>0</v>
      </c>
      <c r="I29" s="80" cm="1">
        <f t="array" ref="I29">IF(_xlfn.XLOOKUP(Income_import[[#This Row],[DepartmentCode]]&amp;Income_import[[#This Row],[LedgerCode]],DEPTS[DepartmentCode]&amp;DEPTS[LedgerCode],DEPTS[AvailableToAllSchools])=TRUE,(IF((_xlfn.XLOOKUP(Income_import[[#This Row],[DepartmentCode]]&amp;Income_import[[#This Row],[LedgerCode]],DEPTS[DepartmentCode]&amp;DEPTS[LedgerCode],DEPTS[LedgerCode])=Income_import[[#This Row],[LedgerCode]]),0,1)),(IFERROR(IF(FIND(Income_import[[#This Row],[SchoolCode]],(_xlfn.TEXTJOIN(",",TRUE,IF(DEPTS[DepartmentCode]&amp;DEPTS[LedgerCode]=Income_import[[#This Row],[DepartmentCode]]&amp;Income_import[[#This Row],[LedgerCode]],DEPTS[SchoolCodes],"")))),0,1),1)))</f>
        <v>1</v>
      </c>
      <c r="J29" s="85">
        <f>IF(ISBLANK(Income_import[[#This Row],[YearValue]])=Income_import[[#This Row],[Calculated]],0,1)</f>
        <v>1</v>
      </c>
      <c r="K29" s="85">
        <f>IF(ISBLANK(Income_import[[#This Row],[CalculatorCode]]),0,IF(COUNTIF(Calculators[CalculatorCode],Income_import[[#This Row],[CalculatorCode]])&gt;0,0,1))</f>
        <v>0</v>
      </c>
      <c r="L29" s="85">
        <f>IF(TRIM(Income_import[[#This Row],[Description]])="",1,0)</f>
        <v>0</v>
      </c>
      <c r="M29" s="85">
        <f>IF(ISBLANK(Income_import[[#This Row],[MatEditOnly]]),1,0)</f>
        <v>0</v>
      </c>
      <c r="N29" s="85">
        <f>IF(ISBLANK(Income_import[[#This Row],[FinancialYearCode]]),1,0)</f>
        <v>0</v>
      </c>
      <c r="O29" s="85">
        <f>IF(ISBLANK(Income_import[[#This Row],[Calculated]]),1,0)</f>
        <v>0</v>
      </c>
      <c r="P29" s="85">
        <f>IF(EXACT(Income_import[[#This Row],[FinanceCode]],UPPER(Income_import[[#This Row],[FinanceCode]])),0,1)+IF(EXACT(Income_import[[#This Row],[SchoolCode]],UPPER(Income_import[[#This Row],[SchoolCode]])),0,1)+IF(EXACT(Income_import[[#This Row],[LedgerCode]],UPPER(Income_import[[#This Row],[LedgerCode]])),0,1)+IF(EXACT(Income_import[[#This Row],[DepartmentCode]],UPPER(Income_import[[#This Row],[DepartmentCode]])),0,1)+IF(EXACT(Income_import[[#This Row],[CalculatorCode]],UPPER(Income_import[[#This Row],[CalculatorCode]])),0,1)+IF(EXACT(Income_import[[#This Row],[MonthProfileCode]],UPPER(Income_import[[#This Row],[MonthProfileCode]])),0,1)+IF(EXACT(Income_import[[#This Row],[FundCode]],UPPER(Income_import[[#This Row],[FundCode]])),0,1)</f>
        <v>0</v>
      </c>
      <c r="Q29" s="85">
        <f>IF(LEN(Income_import[[#This Row],[Description]])&lt;100,0,1)</f>
        <v>0</v>
      </c>
      <c r="R29" s="85">
        <f>IF(LEN(Income_import[[#This Row],[Notes]])&lt;4000,0,1)</f>
        <v>0</v>
      </c>
      <c r="S29" s="85">
        <f>IF(LEN(Income_import[[#This Row],[YearNotes]])&lt;4000,0,1)</f>
        <v>0</v>
      </c>
      <c r="T29" s="85">
        <f>IF(OR(Income_import[[#This Row],[MatEditOnly]]=TRUE,Income_import[[#This Row],[MatEditOnly]]=FALSE),IF(OR(Income_import[[#This Row],[Calculated]]=TRUE,Income_import[[#This Row],[Calculated]]=FALSE),0,1),1)</f>
        <v>0</v>
      </c>
      <c r="U29" s="85">
        <f>IF(_xlfn.XLOOKUP(Income_import[[#This Row],[FinancialYearCode]],Years[Years],Years[Years],1)=Income_import[[#This Row],[FinancialYearCode]],0,1)</f>
        <v>0</v>
      </c>
      <c r="V29" s="85">
        <f>IF(Income_import[[#This Row],[CalculatorCode]]="",0,IF(IF(_xlfn.XLOOKUP(Income_import[[#This Row],[CalculatorCode]],Calculators[CalculatorCode],Calculators[LockCheck])=1,TRUE,FALSE)=Income_import[[#This Row],[MatEditOnly]],0,1))</f>
        <v>0</v>
      </c>
      <c r="W29" s="85">
        <f>SUM(Income_import[[#This Row],[DuplicateLine]:[MAT edit only required]])</f>
        <v>5</v>
      </c>
      <c r="X29" s="80" t="e">
        <f>_xlfn.XLOOKUP(Income_import[[#This Row],[SchoolCode]],SCHOOLS[SchoolCode],SCHOOLS[Title])</f>
        <v>#N/A</v>
      </c>
      <c r="AA29" t="s">
        <v>2432</v>
      </c>
      <c r="AE29" t="s">
        <v>1303</v>
      </c>
      <c r="AF29" t="s">
        <v>1118</v>
      </c>
      <c r="AG29" t="s">
        <v>2420</v>
      </c>
      <c r="AJ29" t="b">
        <v>0</v>
      </c>
      <c r="AK29" t="s">
        <v>1497</v>
      </c>
      <c r="AL29" t="b">
        <v>0</v>
      </c>
    </row>
    <row r="30" spans="1:38" x14ac:dyDescent="0.3">
      <c r="A30" s="120" t="str">
        <f t="shared" si="0"/>
        <v>ALESNI Grant - September - March2025/26</v>
      </c>
      <c r="B30" s="85">
        <f>COUNTIF(Income_import[Column1],Income_import[[#This Row],[Column1]])-1</f>
        <v>0</v>
      </c>
      <c r="C30" s="80" cm="1">
        <f t="array" ref="C30">IF(_xlfn.XLOOKUP(Income_import[[#This Row],[FinanceCode]],FinanceCodesBudget[FinanceCode],FinanceCodesBudget[AvailableToAllSchools],1,0,)=TRUE,0,IF(ISERROR(FIND(Income_import[[#This Row],[SchoolCode]],_xlfn.TEXTJOIN(",",TRUE,_xlfn.UNIQUE(IF(FinanceCodesBudget[FinanceCode]=Income_import[[#This Row],[FinanceCode]],FinanceCodesBudget[SchoolCodes],""))))),1,0))</f>
        <v>1</v>
      </c>
      <c r="D30" s="85">
        <f>IF(COUNTIF(SCHOOLS[SchoolCode],Income_import[[#This Row],[SchoolCode]])&gt;0,0,1)</f>
        <v>1</v>
      </c>
      <c r="E30" s="85">
        <f>IF(COUNTIF(LEDGER[],Income_import[[#This Row],[LedgerCode]])&gt;0,0,1)</f>
        <v>0</v>
      </c>
      <c r="F30" s="85">
        <f>IF(ISBLANK(Income_import[[#This Row],[MonthProfileCode]]),1,IF(COUNTIF(MONTHPRF[Code],Income_import[[#This Row],[MonthProfileCode]])&gt;0,0,1))</f>
        <v>0</v>
      </c>
      <c r="G30" s="80" cm="1">
        <f t="array" ref="G30">IF(_xlfn.XLOOKUP(Income_import[[#This Row],[DepartmentCode]]&amp;Income_import[[#This Row],[LedgerCode]],DEPTS[DepartmentCode]&amp;DEPTS[LedgerCode],DEPTS[AvailableToAllSchools],1,0,)=TRUE,0,IF(ISERROR(FIND(Income_import[[#This Row],[SchoolCode]],_xlfn.TEXTJOIN(",",TRUE,_xlfn.UNIQUE(IF(DEPTS[DepartmentCode]&amp;DEPTS[LedgerCode]=Income_import[[#This Row],[DepartmentCode]]&amp;Income_import[[#This Row],[LedgerCode]],DEPTS[SchoolCodes],""))))),1,0))</f>
        <v>1</v>
      </c>
      <c r="H30" s="85">
        <f>IF(Income_import[[#This Row],[FundCode]]=0,0,IF(COUNTIF(FUNDS[FundCode],Income_import[[#This Row],[FundCode]])&gt;0,0,1))</f>
        <v>0</v>
      </c>
      <c r="I30" s="80" cm="1">
        <f t="array" ref="I30">IF(_xlfn.XLOOKUP(Income_import[[#This Row],[DepartmentCode]]&amp;Income_import[[#This Row],[LedgerCode]],DEPTS[DepartmentCode]&amp;DEPTS[LedgerCode],DEPTS[AvailableToAllSchools])=TRUE,(IF((_xlfn.XLOOKUP(Income_import[[#This Row],[DepartmentCode]]&amp;Income_import[[#This Row],[LedgerCode]],DEPTS[DepartmentCode]&amp;DEPTS[LedgerCode],DEPTS[LedgerCode])=Income_import[[#This Row],[LedgerCode]]),0,1)),(IFERROR(IF(FIND(Income_import[[#This Row],[SchoolCode]],(_xlfn.TEXTJOIN(",",TRUE,IF(DEPTS[DepartmentCode]&amp;DEPTS[LedgerCode]=Income_import[[#This Row],[DepartmentCode]]&amp;Income_import[[#This Row],[LedgerCode]],DEPTS[SchoolCodes],"")))),0,1),1)))</f>
        <v>1</v>
      </c>
      <c r="J30" s="85">
        <f>IF(ISBLANK(Income_import[[#This Row],[YearValue]])=Income_import[[#This Row],[Calculated]],0,1)</f>
        <v>1</v>
      </c>
      <c r="K30" s="85">
        <f>IF(ISBLANK(Income_import[[#This Row],[CalculatorCode]]),0,IF(COUNTIF(Calculators[CalculatorCode],Income_import[[#This Row],[CalculatorCode]])&gt;0,0,1))</f>
        <v>0</v>
      </c>
      <c r="L30" s="85">
        <f>IF(TRIM(Income_import[[#This Row],[Description]])="",1,0)</f>
        <v>0</v>
      </c>
      <c r="M30" s="85">
        <f>IF(ISBLANK(Income_import[[#This Row],[MatEditOnly]]),1,0)</f>
        <v>0</v>
      </c>
      <c r="N30" s="85">
        <f>IF(ISBLANK(Income_import[[#This Row],[FinancialYearCode]]),1,0)</f>
        <v>0</v>
      </c>
      <c r="O30" s="85">
        <f>IF(ISBLANK(Income_import[[#This Row],[Calculated]]),1,0)</f>
        <v>0</v>
      </c>
      <c r="P30" s="85">
        <f>IF(EXACT(Income_import[[#This Row],[FinanceCode]],UPPER(Income_import[[#This Row],[FinanceCode]])),0,1)+IF(EXACT(Income_import[[#This Row],[SchoolCode]],UPPER(Income_import[[#This Row],[SchoolCode]])),0,1)+IF(EXACT(Income_import[[#This Row],[LedgerCode]],UPPER(Income_import[[#This Row],[LedgerCode]])),0,1)+IF(EXACT(Income_import[[#This Row],[DepartmentCode]],UPPER(Income_import[[#This Row],[DepartmentCode]])),0,1)+IF(EXACT(Income_import[[#This Row],[CalculatorCode]],UPPER(Income_import[[#This Row],[CalculatorCode]])),0,1)+IF(EXACT(Income_import[[#This Row],[MonthProfileCode]],UPPER(Income_import[[#This Row],[MonthProfileCode]])),0,1)+IF(EXACT(Income_import[[#This Row],[FundCode]],UPPER(Income_import[[#This Row],[FundCode]])),0,1)</f>
        <v>0</v>
      </c>
      <c r="Q30" s="85">
        <f>IF(LEN(Income_import[[#This Row],[Description]])&lt;100,0,1)</f>
        <v>0</v>
      </c>
      <c r="R30" s="85">
        <f>IF(LEN(Income_import[[#This Row],[Notes]])&lt;4000,0,1)</f>
        <v>0</v>
      </c>
      <c r="S30" s="85">
        <f>IF(LEN(Income_import[[#This Row],[YearNotes]])&lt;4000,0,1)</f>
        <v>0</v>
      </c>
      <c r="T30" s="85">
        <f>IF(OR(Income_import[[#This Row],[MatEditOnly]]=TRUE,Income_import[[#This Row],[MatEditOnly]]=FALSE),IF(OR(Income_import[[#This Row],[Calculated]]=TRUE,Income_import[[#This Row],[Calculated]]=FALSE),0,1),1)</f>
        <v>0</v>
      </c>
      <c r="U30" s="85">
        <f>IF(_xlfn.XLOOKUP(Income_import[[#This Row],[FinancialYearCode]],Years[Years],Years[Years],1)=Income_import[[#This Row],[FinancialYearCode]],0,1)</f>
        <v>0</v>
      </c>
      <c r="V30" s="85">
        <f>IF(Income_import[[#This Row],[CalculatorCode]]="",0,IF(IF(_xlfn.XLOOKUP(Income_import[[#This Row],[CalculatorCode]],Calculators[CalculatorCode],Calculators[LockCheck])=1,TRUE,FALSE)=Income_import[[#This Row],[MatEditOnly]],0,1))</f>
        <v>0</v>
      </c>
      <c r="W30" s="85">
        <f>SUM(Income_import[[#This Row],[DuplicateLine]:[MAT edit only required]])</f>
        <v>5</v>
      </c>
      <c r="X30" s="80" t="e">
        <f>_xlfn.XLOOKUP(Income_import[[#This Row],[SchoolCode]],SCHOOLS[SchoolCode],SCHOOLS[Title])</f>
        <v>#N/A</v>
      </c>
      <c r="AA30" t="s">
        <v>2432</v>
      </c>
      <c r="AE30" t="s">
        <v>1303</v>
      </c>
      <c r="AF30" t="s">
        <v>1120</v>
      </c>
      <c r="AG30" t="s">
        <v>2417</v>
      </c>
      <c r="AJ30" t="b">
        <v>0</v>
      </c>
      <c r="AK30" t="s">
        <v>1497</v>
      </c>
      <c r="AL30" t="b">
        <v>0</v>
      </c>
    </row>
    <row r="31" spans="1:38" x14ac:dyDescent="0.3">
      <c r="A31" s="120" t="str">
        <f t="shared" si="0"/>
        <v>PRINI Grant - September - March2025/26</v>
      </c>
      <c r="B31" s="85">
        <f>COUNTIF(Income_import[Column1],Income_import[[#This Row],[Column1]])-1</f>
        <v>0</v>
      </c>
      <c r="C31" s="80" cm="1">
        <f t="array" ref="C31">IF(_xlfn.XLOOKUP(Income_import[[#This Row],[FinanceCode]],FinanceCodesBudget[FinanceCode],FinanceCodesBudget[AvailableToAllSchools],1,0,)=TRUE,0,IF(ISERROR(FIND(Income_import[[#This Row],[SchoolCode]],_xlfn.TEXTJOIN(",",TRUE,_xlfn.UNIQUE(IF(FinanceCodesBudget[FinanceCode]=Income_import[[#This Row],[FinanceCode]],FinanceCodesBudget[SchoolCodes],""))))),1,0))</f>
        <v>1</v>
      </c>
      <c r="D31" s="85">
        <f>IF(COUNTIF(SCHOOLS[SchoolCode],Income_import[[#This Row],[SchoolCode]])&gt;0,0,1)</f>
        <v>1</v>
      </c>
      <c r="E31" s="85">
        <f>IF(COUNTIF(LEDGER[],Income_import[[#This Row],[LedgerCode]])&gt;0,0,1)</f>
        <v>0</v>
      </c>
      <c r="F31" s="85">
        <f>IF(ISBLANK(Income_import[[#This Row],[MonthProfileCode]]),1,IF(COUNTIF(MONTHPRF[Code],Income_import[[#This Row],[MonthProfileCode]])&gt;0,0,1))</f>
        <v>0</v>
      </c>
      <c r="G31" s="80" cm="1">
        <f t="array" ref="G31">IF(_xlfn.XLOOKUP(Income_import[[#This Row],[DepartmentCode]]&amp;Income_import[[#This Row],[LedgerCode]],DEPTS[DepartmentCode]&amp;DEPTS[LedgerCode],DEPTS[AvailableToAllSchools],1,0,)=TRUE,0,IF(ISERROR(FIND(Income_import[[#This Row],[SchoolCode]],_xlfn.TEXTJOIN(",",TRUE,_xlfn.UNIQUE(IF(DEPTS[DepartmentCode]&amp;DEPTS[LedgerCode]=Income_import[[#This Row],[DepartmentCode]]&amp;Income_import[[#This Row],[LedgerCode]],DEPTS[SchoolCodes],""))))),1,0))</f>
        <v>1</v>
      </c>
      <c r="H31" s="85">
        <f>IF(Income_import[[#This Row],[FundCode]]=0,0,IF(COUNTIF(FUNDS[FundCode],Income_import[[#This Row],[FundCode]])&gt;0,0,1))</f>
        <v>0</v>
      </c>
      <c r="I31" s="80" cm="1">
        <f t="array" ref="I31">IF(_xlfn.XLOOKUP(Income_import[[#This Row],[DepartmentCode]]&amp;Income_import[[#This Row],[LedgerCode]],DEPTS[DepartmentCode]&amp;DEPTS[LedgerCode],DEPTS[AvailableToAllSchools])=TRUE,(IF((_xlfn.XLOOKUP(Income_import[[#This Row],[DepartmentCode]]&amp;Income_import[[#This Row],[LedgerCode]],DEPTS[DepartmentCode]&amp;DEPTS[LedgerCode],DEPTS[LedgerCode])=Income_import[[#This Row],[LedgerCode]]),0,1)),(IFERROR(IF(FIND(Income_import[[#This Row],[SchoolCode]],(_xlfn.TEXTJOIN(",",TRUE,IF(DEPTS[DepartmentCode]&amp;DEPTS[LedgerCode]=Income_import[[#This Row],[DepartmentCode]]&amp;Income_import[[#This Row],[LedgerCode]],DEPTS[SchoolCodes],"")))),0,1),1)))</f>
        <v>1</v>
      </c>
      <c r="J31" s="85">
        <f>IF(ISBLANK(Income_import[[#This Row],[YearValue]])=Income_import[[#This Row],[Calculated]],0,1)</f>
        <v>1</v>
      </c>
      <c r="K31" s="85">
        <f>IF(ISBLANK(Income_import[[#This Row],[CalculatorCode]]),0,IF(COUNTIF(Calculators[CalculatorCode],Income_import[[#This Row],[CalculatorCode]])&gt;0,0,1))</f>
        <v>0</v>
      </c>
      <c r="L31" s="85">
        <f>IF(TRIM(Income_import[[#This Row],[Description]])="",1,0)</f>
        <v>0</v>
      </c>
      <c r="M31" s="85">
        <f>IF(ISBLANK(Income_import[[#This Row],[MatEditOnly]]),1,0)</f>
        <v>0</v>
      </c>
      <c r="N31" s="85">
        <f>IF(ISBLANK(Income_import[[#This Row],[FinancialYearCode]]),1,0)</f>
        <v>0</v>
      </c>
      <c r="O31" s="85">
        <f>IF(ISBLANK(Income_import[[#This Row],[Calculated]]),1,0)</f>
        <v>0</v>
      </c>
      <c r="P31" s="85">
        <f>IF(EXACT(Income_import[[#This Row],[FinanceCode]],UPPER(Income_import[[#This Row],[FinanceCode]])),0,1)+IF(EXACT(Income_import[[#This Row],[SchoolCode]],UPPER(Income_import[[#This Row],[SchoolCode]])),0,1)+IF(EXACT(Income_import[[#This Row],[LedgerCode]],UPPER(Income_import[[#This Row],[LedgerCode]])),0,1)+IF(EXACT(Income_import[[#This Row],[DepartmentCode]],UPPER(Income_import[[#This Row],[DepartmentCode]])),0,1)+IF(EXACT(Income_import[[#This Row],[CalculatorCode]],UPPER(Income_import[[#This Row],[CalculatorCode]])),0,1)+IF(EXACT(Income_import[[#This Row],[MonthProfileCode]],UPPER(Income_import[[#This Row],[MonthProfileCode]])),0,1)+IF(EXACT(Income_import[[#This Row],[FundCode]],UPPER(Income_import[[#This Row],[FundCode]])),0,1)</f>
        <v>0</v>
      </c>
      <c r="Q31" s="85">
        <f>IF(LEN(Income_import[[#This Row],[Description]])&lt;100,0,1)</f>
        <v>0</v>
      </c>
      <c r="R31" s="85">
        <f>IF(LEN(Income_import[[#This Row],[Notes]])&lt;4000,0,1)</f>
        <v>0</v>
      </c>
      <c r="S31" s="85">
        <f>IF(LEN(Income_import[[#This Row],[YearNotes]])&lt;4000,0,1)</f>
        <v>0</v>
      </c>
      <c r="T31" s="85">
        <f>IF(OR(Income_import[[#This Row],[MatEditOnly]]=TRUE,Income_import[[#This Row],[MatEditOnly]]=FALSE),IF(OR(Income_import[[#This Row],[Calculated]]=TRUE,Income_import[[#This Row],[Calculated]]=FALSE),0,1),1)</f>
        <v>0</v>
      </c>
      <c r="U31" s="85">
        <f>IF(_xlfn.XLOOKUP(Income_import[[#This Row],[FinancialYearCode]],Years[Years],Years[Years],1)=Income_import[[#This Row],[FinancialYearCode]],0,1)</f>
        <v>0</v>
      </c>
      <c r="V31" s="85">
        <f>IF(Income_import[[#This Row],[CalculatorCode]]="",0,IF(IF(_xlfn.XLOOKUP(Income_import[[#This Row],[CalculatorCode]],Calculators[CalculatorCode],Calculators[LockCheck])=1,TRUE,FALSE)=Income_import[[#This Row],[MatEditOnly]],0,1))</f>
        <v>0</v>
      </c>
      <c r="W31" s="85">
        <f>SUM(Income_import[[#This Row],[DuplicateLine]:[MAT edit only required]])</f>
        <v>5</v>
      </c>
      <c r="X31" s="80" t="e">
        <f>_xlfn.XLOOKUP(Income_import[[#This Row],[SchoolCode]],SCHOOLS[SchoolCode],SCHOOLS[Title])</f>
        <v>#N/A</v>
      </c>
      <c r="AA31" t="s">
        <v>1630</v>
      </c>
      <c r="AE31" t="s">
        <v>1303</v>
      </c>
      <c r="AF31" t="s">
        <v>1120</v>
      </c>
      <c r="AG31" t="s">
        <v>2417</v>
      </c>
      <c r="AJ31" t="b">
        <v>0</v>
      </c>
      <c r="AK31" t="s">
        <v>1497</v>
      </c>
      <c r="AL31" t="b">
        <v>0</v>
      </c>
    </row>
    <row r="32" spans="1:38" x14ac:dyDescent="0.3">
      <c r="A32" s="120" t="str">
        <f t="shared" si="0"/>
        <v>PRINI Grant - April - August2025/26</v>
      </c>
      <c r="B32" s="85">
        <f>COUNTIF(Income_import[Column1],Income_import[[#This Row],[Column1]])-1</f>
        <v>0</v>
      </c>
      <c r="C32" s="80" cm="1">
        <f t="array" ref="C32">IF(_xlfn.XLOOKUP(Income_import[[#This Row],[FinanceCode]],FinanceCodesBudget[FinanceCode],FinanceCodesBudget[AvailableToAllSchools],1,0,)=TRUE,0,IF(ISERROR(FIND(Income_import[[#This Row],[SchoolCode]],_xlfn.TEXTJOIN(",",TRUE,_xlfn.UNIQUE(IF(FinanceCodesBudget[FinanceCode]=Income_import[[#This Row],[FinanceCode]],FinanceCodesBudget[SchoolCodes],""))))),1,0))</f>
        <v>1</v>
      </c>
      <c r="D32" s="85">
        <f>IF(COUNTIF(SCHOOLS[SchoolCode],Income_import[[#This Row],[SchoolCode]])&gt;0,0,1)</f>
        <v>1</v>
      </c>
      <c r="E32" s="85">
        <f>IF(COUNTIF(LEDGER[],Income_import[[#This Row],[LedgerCode]])&gt;0,0,1)</f>
        <v>0</v>
      </c>
      <c r="F32" s="85">
        <f>IF(ISBLANK(Income_import[[#This Row],[MonthProfileCode]]),1,IF(COUNTIF(MONTHPRF[Code],Income_import[[#This Row],[MonthProfileCode]])&gt;0,0,1))</f>
        <v>0</v>
      </c>
      <c r="G32" s="80" cm="1">
        <f t="array" ref="G32">IF(_xlfn.XLOOKUP(Income_import[[#This Row],[DepartmentCode]]&amp;Income_import[[#This Row],[LedgerCode]],DEPTS[DepartmentCode]&amp;DEPTS[LedgerCode],DEPTS[AvailableToAllSchools],1,0,)=TRUE,0,IF(ISERROR(FIND(Income_import[[#This Row],[SchoolCode]],_xlfn.TEXTJOIN(",",TRUE,_xlfn.UNIQUE(IF(DEPTS[DepartmentCode]&amp;DEPTS[LedgerCode]=Income_import[[#This Row],[DepartmentCode]]&amp;Income_import[[#This Row],[LedgerCode]],DEPTS[SchoolCodes],""))))),1,0))</f>
        <v>1</v>
      </c>
      <c r="H32" s="85">
        <f>IF(Income_import[[#This Row],[FundCode]]=0,0,IF(COUNTIF(FUNDS[FundCode],Income_import[[#This Row],[FundCode]])&gt;0,0,1))</f>
        <v>0</v>
      </c>
      <c r="I32" s="80" cm="1">
        <f t="array" ref="I32">IF(_xlfn.XLOOKUP(Income_import[[#This Row],[DepartmentCode]]&amp;Income_import[[#This Row],[LedgerCode]],DEPTS[DepartmentCode]&amp;DEPTS[LedgerCode],DEPTS[AvailableToAllSchools])=TRUE,(IF((_xlfn.XLOOKUP(Income_import[[#This Row],[DepartmentCode]]&amp;Income_import[[#This Row],[LedgerCode]],DEPTS[DepartmentCode]&amp;DEPTS[LedgerCode],DEPTS[LedgerCode])=Income_import[[#This Row],[LedgerCode]]),0,1)),(IFERROR(IF(FIND(Income_import[[#This Row],[SchoolCode]],(_xlfn.TEXTJOIN(",",TRUE,IF(DEPTS[DepartmentCode]&amp;DEPTS[LedgerCode]=Income_import[[#This Row],[DepartmentCode]]&amp;Income_import[[#This Row],[LedgerCode]],DEPTS[SchoolCodes],"")))),0,1),1)))</f>
        <v>1</v>
      </c>
      <c r="J32" s="85">
        <f>IF(ISBLANK(Income_import[[#This Row],[YearValue]])=Income_import[[#This Row],[Calculated]],0,1)</f>
        <v>1</v>
      </c>
      <c r="K32" s="85">
        <f>IF(ISBLANK(Income_import[[#This Row],[CalculatorCode]]),0,IF(COUNTIF(Calculators[CalculatorCode],Income_import[[#This Row],[CalculatorCode]])&gt;0,0,1))</f>
        <v>0</v>
      </c>
      <c r="L32" s="85">
        <f>IF(TRIM(Income_import[[#This Row],[Description]])="",1,0)</f>
        <v>0</v>
      </c>
      <c r="M32" s="85">
        <f>IF(ISBLANK(Income_import[[#This Row],[MatEditOnly]]),1,0)</f>
        <v>0</v>
      </c>
      <c r="N32" s="85">
        <f>IF(ISBLANK(Income_import[[#This Row],[FinancialYearCode]]),1,0)</f>
        <v>0</v>
      </c>
      <c r="O32" s="85">
        <f>IF(ISBLANK(Income_import[[#This Row],[Calculated]]),1,0)</f>
        <v>0</v>
      </c>
      <c r="P32" s="85">
        <f>IF(EXACT(Income_import[[#This Row],[FinanceCode]],UPPER(Income_import[[#This Row],[FinanceCode]])),0,1)+IF(EXACT(Income_import[[#This Row],[SchoolCode]],UPPER(Income_import[[#This Row],[SchoolCode]])),0,1)+IF(EXACT(Income_import[[#This Row],[LedgerCode]],UPPER(Income_import[[#This Row],[LedgerCode]])),0,1)+IF(EXACT(Income_import[[#This Row],[DepartmentCode]],UPPER(Income_import[[#This Row],[DepartmentCode]])),0,1)+IF(EXACT(Income_import[[#This Row],[CalculatorCode]],UPPER(Income_import[[#This Row],[CalculatorCode]])),0,1)+IF(EXACT(Income_import[[#This Row],[MonthProfileCode]],UPPER(Income_import[[#This Row],[MonthProfileCode]])),0,1)+IF(EXACT(Income_import[[#This Row],[FundCode]],UPPER(Income_import[[#This Row],[FundCode]])),0,1)</f>
        <v>0</v>
      </c>
      <c r="Q32" s="85">
        <f>IF(LEN(Income_import[[#This Row],[Description]])&lt;100,0,1)</f>
        <v>0</v>
      </c>
      <c r="R32" s="85">
        <f>IF(LEN(Income_import[[#This Row],[Notes]])&lt;4000,0,1)</f>
        <v>0</v>
      </c>
      <c r="S32" s="85">
        <f>IF(LEN(Income_import[[#This Row],[YearNotes]])&lt;4000,0,1)</f>
        <v>0</v>
      </c>
      <c r="T32" s="85">
        <f>IF(OR(Income_import[[#This Row],[MatEditOnly]]=TRUE,Income_import[[#This Row],[MatEditOnly]]=FALSE),IF(OR(Income_import[[#This Row],[Calculated]]=TRUE,Income_import[[#This Row],[Calculated]]=FALSE),0,1),1)</f>
        <v>0</v>
      </c>
      <c r="U32" s="85">
        <f>IF(_xlfn.XLOOKUP(Income_import[[#This Row],[FinancialYearCode]],Years[Years],Years[Years],1)=Income_import[[#This Row],[FinancialYearCode]],0,1)</f>
        <v>0</v>
      </c>
      <c r="V32" s="85">
        <f>IF(Income_import[[#This Row],[CalculatorCode]]="",0,IF(IF(_xlfn.XLOOKUP(Income_import[[#This Row],[CalculatorCode]],Calculators[CalculatorCode],Calculators[LockCheck])=1,TRUE,FALSE)=Income_import[[#This Row],[MatEditOnly]],0,1))</f>
        <v>0</v>
      </c>
      <c r="W32" s="85">
        <f>SUM(Income_import[[#This Row],[DuplicateLine]:[MAT edit only required]])</f>
        <v>5</v>
      </c>
      <c r="X32" s="80" t="e">
        <f>_xlfn.XLOOKUP(Income_import[[#This Row],[SchoolCode]],SCHOOLS[SchoolCode],SCHOOLS[Title])</f>
        <v>#N/A</v>
      </c>
      <c r="AA32" t="s">
        <v>1630</v>
      </c>
      <c r="AE32" t="s">
        <v>1303</v>
      </c>
      <c r="AF32" t="s">
        <v>1118</v>
      </c>
      <c r="AG32" t="s">
        <v>2418</v>
      </c>
      <c r="AJ32" t="b">
        <v>0</v>
      </c>
      <c r="AK32" t="s">
        <v>1497</v>
      </c>
      <c r="AL32" t="b">
        <v>0</v>
      </c>
    </row>
    <row r="33" spans="1:38" x14ac:dyDescent="0.3">
      <c r="A33" s="120" t="str">
        <f t="shared" si="0"/>
        <v>PRISBSG - April - August2025/26</v>
      </c>
      <c r="B33" s="85">
        <f>COUNTIF(Income_import[Column1],Income_import[[#This Row],[Column1]])-1</f>
        <v>0</v>
      </c>
      <c r="C33" s="80" cm="1">
        <f t="array" ref="C33">IF(_xlfn.XLOOKUP(Income_import[[#This Row],[FinanceCode]],FinanceCodesBudget[FinanceCode],FinanceCodesBudget[AvailableToAllSchools],1,0,)=TRUE,0,IF(ISERROR(FIND(Income_import[[#This Row],[SchoolCode]],_xlfn.TEXTJOIN(",",TRUE,_xlfn.UNIQUE(IF(FinanceCodesBudget[FinanceCode]=Income_import[[#This Row],[FinanceCode]],FinanceCodesBudget[SchoolCodes],""))))),1,0))</f>
        <v>1</v>
      </c>
      <c r="D33" s="85">
        <f>IF(COUNTIF(SCHOOLS[SchoolCode],Income_import[[#This Row],[SchoolCode]])&gt;0,0,1)</f>
        <v>1</v>
      </c>
      <c r="E33" s="85">
        <f>IF(COUNTIF(LEDGER[],Income_import[[#This Row],[LedgerCode]])&gt;0,0,1)</f>
        <v>0</v>
      </c>
      <c r="F33" s="85">
        <f>IF(ISBLANK(Income_import[[#This Row],[MonthProfileCode]]),1,IF(COUNTIF(MONTHPRF[Code],Income_import[[#This Row],[MonthProfileCode]])&gt;0,0,1))</f>
        <v>0</v>
      </c>
      <c r="G33" s="80" cm="1">
        <f t="array" ref="G33">IF(_xlfn.XLOOKUP(Income_import[[#This Row],[DepartmentCode]]&amp;Income_import[[#This Row],[LedgerCode]],DEPTS[DepartmentCode]&amp;DEPTS[LedgerCode],DEPTS[AvailableToAllSchools],1,0,)=TRUE,0,IF(ISERROR(FIND(Income_import[[#This Row],[SchoolCode]],_xlfn.TEXTJOIN(",",TRUE,_xlfn.UNIQUE(IF(DEPTS[DepartmentCode]&amp;DEPTS[LedgerCode]=Income_import[[#This Row],[DepartmentCode]]&amp;Income_import[[#This Row],[LedgerCode]],DEPTS[SchoolCodes],""))))),1,0))</f>
        <v>1</v>
      </c>
      <c r="H33" s="85">
        <f>IF(Income_import[[#This Row],[FundCode]]=0,0,IF(COUNTIF(FUNDS[FundCode],Income_import[[#This Row],[FundCode]])&gt;0,0,1))</f>
        <v>0</v>
      </c>
      <c r="I33" s="80" cm="1">
        <f t="array" ref="I33">IF(_xlfn.XLOOKUP(Income_import[[#This Row],[DepartmentCode]]&amp;Income_import[[#This Row],[LedgerCode]],DEPTS[DepartmentCode]&amp;DEPTS[LedgerCode],DEPTS[AvailableToAllSchools])=TRUE,(IF((_xlfn.XLOOKUP(Income_import[[#This Row],[DepartmentCode]]&amp;Income_import[[#This Row],[LedgerCode]],DEPTS[DepartmentCode]&amp;DEPTS[LedgerCode],DEPTS[LedgerCode])=Income_import[[#This Row],[LedgerCode]]),0,1)),(IFERROR(IF(FIND(Income_import[[#This Row],[SchoolCode]],(_xlfn.TEXTJOIN(",",TRUE,IF(DEPTS[DepartmentCode]&amp;DEPTS[LedgerCode]=Income_import[[#This Row],[DepartmentCode]]&amp;Income_import[[#This Row],[LedgerCode]],DEPTS[SchoolCodes],"")))),0,1),1)))</f>
        <v>1</v>
      </c>
      <c r="J33" s="85">
        <f>IF(ISBLANK(Income_import[[#This Row],[YearValue]])=Income_import[[#This Row],[Calculated]],0,1)</f>
        <v>1</v>
      </c>
      <c r="K33" s="85">
        <f>IF(ISBLANK(Income_import[[#This Row],[CalculatorCode]]),0,IF(COUNTIF(Calculators[CalculatorCode],Income_import[[#This Row],[CalculatorCode]])&gt;0,0,1))</f>
        <v>0</v>
      </c>
      <c r="L33" s="85">
        <f>IF(TRIM(Income_import[[#This Row],[Description]])="",1,0)</f>
        <v>0</v>
      </c>
      <c r="M33" s="85">
        <f>IF(ISBLANK(Income_import[[#This Row],[MatEditOnly]]),1,0)</f>
        <v>0</v>
      </c>
      <c r="N33" s="85">
        <f>IF(ISBLANK(Income_import[[#This Row],[FinancialYearCode]]),1,0)</f>
        <v>0</v>
      </c>
      <c r="O33" s="85">
        <f>IF(ISBLANK(Income_import[[#This Row],[Calculated]]),1,0)</f>
        <v>0</v>
      </c>
      <c r="P33" s="85">
        <f>IF(EXACT(Income_import[[#This Row],[FinanceCode]],UPPER(Income_import[[#This Row],[FinanceCode]])),0,1)+IF(EXACT(Income_import[[#This Row],[SchoolCode]],UPPER(Income_import[[#This Row],[SchoolCode]])),0,1)+IF(EXACT(Income_import[[#This Row],[LedgerCode]],UPPER(Income_import[[#This Row],[LedgerCode]])),0,1)+IF(EXACT(Income_import[[#This Row],[DepartmentCode]],UPPER(Income_import[[#This Row],[DepartmentCode]])),0,1)+IF(EXACT(Income_import[[#This Row],[CalculatorCode]],UPPER(Income_import[[#This Row],[CalculatorCode]])),0,1)+IF(EXACT(Income_import[[#This Row],[MonthProfileCode]],UPPER(Income_import[[#This Row],[MonthProfileCode]])),0,1)+IF(EXACT(Income_import[[#This Row],[FundCode]],UPPER(Income_import[[#This Row],[FundCode]])),0,1)</f>
        <v>0</v>
      </c>
      <c r="Q33" s="85">
        <f>IF(LEN(Income_import[[#This Row],[Description]])&lt;100,0,1)</f>
        <v>0</v>
      </c>
      <c r="R33" s="85">
        <f>IF(LEN(Income_import[[#This Row],[Notes]])&lt;4000,0,1)</f>
        <v>0</v>
      </c>
      <c r="S33" s="85">
        <f>IF(LEN(Income_import[[#This Row],[YearNotes]])&lt;4000,0,1)</f>
        <v>0</v>
      </c>
      <c r="T33" s="85">
        <f>IF(OR(Income_import[[#This Row],[MatEditOnly]]=TRUE,Income_import[[#This Row],[MatEditOnly]]=FALSE),IF(OR(Income_import[[#This Row],[Calculated]]=TRUE,Income_import[[#This Row],[Calculated]]=FALSE),0,1),1)</f>
        <v>0</v>
      </c>
      <c r="U33" s="85">
        <f>IF(_xlfn.XLOOKUP(Income_import[[#This Row],[FinancialYearCode]],Years[Years],Years[Years],1)=Income_import[[#This Row],[FinancialYearCode]],0,1)</f>
        <v>0</v>
      </c>
      <c r="V33" s="85">
        <f>IF(Income_import[[#This Row],[CalculatorCode]]="",0,IF(IF(_xlfn.XLOOKUP(Income_import[[#This Row],[CalculatorCode]],Calculators[CalculatorCode],Calculators[LockCheck])=1,TRUE,FALSE)=Income_import[[#This Row],[MatEditOnly]],0,1))</f>
        <v>0</v>
      </c>
      <c r="W33" s="85">
        <f>SUM(Income_import[[#This Row],[DuplicateLine]:[MAT edit only required]])</f>
        <v>5</v>
      </c>
      <c r="X33" s="80" t="e">
        <f>_xlfn.XLOOKUP(Income_import[[#This Row],[SchoolCode]],SCHOOLS[SchoolCode],SCHOOLS[Title])</f>
        <v>#N/A</v>
      </c>
      <c r="AA33" t="s">
        <v>1630</v>
      </c>
      <c r="AE33" t="s">
        <v>1303</v>
      </c>
      <c r="AF33" t="s">
        <v>1118</v>
      </c>
      <c r="AG33" t="s">
        <v>2420</v>
      </c>
      <c r="AJ33" t="b">
        <v>0</v>
      </c>
      <c r="AK33" t="s">
        <v>1497</v>
      </c>
      <c r="AL33" t="b">
        <v>0</v>
      </c>
    </row>
    <row r="34" spans="1:38" x14ac:dyDescent="0.3">
      <c r="A34" s="145" t="str">
        <f t="shared" si="0"/>
        <v>PRISBSG - September - March2025/26</v>
      </c>
      <c r="B34" s="96">
        <f>COUNTIF(Income_import[Column1],Income_import[[#This Row],[Column1]])-1</f>
        <v>0</v>
      </c>
      <c r="C34" s="80" cm="1">
        <f t="array" ref="C34">IF(_xlfn.XLOOKUP(Income_import[[#This Row],[FinanceCode]],FinanceCodesBudget[FinanceCode],FinanceCodesBudget[AvailableToAllSchools],1,0,)=TRUE,0,IF(ISERROR(FIND(Income_import[[#This Row],[SchoolCode]],_xlfn.TEXTJOIN(",",TRUE,_xlfn.UNIQUE(IF(FinanceCodesBudget[FinanceCode]=Income_import[[#This Row],[FinanceCode]],FinanceCodesBudget[SchoolCodes],""))))),1,0))</f>
        <v>1</v>
      </c>
      <c r="D34" s="96">
        <f>IF(COUNTIF(SCHOOLS[SchoolCode],Income_import[[#This Row],[SchoolCode]])&gt;0,0,1)</f>
        <v>1</v>
      </c>
      <c r="E34" s="96">
        <f>IF(COUNTIF(LEDGER[],Income_import[[#This Row],[LedgerCode]])&gt;0,0,1)</f>
        <v>0</v>
      </c>
      <c r="F34" s="96">
        <f>IF(ISBLANK(Income_import[[#This Row],[MonthProfileCode]]),1,IF(COUNTIF(MONTHPRF[Code],Income_import[[#This Row],[MonthProfileCode]])&gt;0,0,1))</f>
        <v>0</v>
      </c>
      <c r="G34" s="80" cm="1">
        <f t="array" ref="G34">IF(_xlfn.XLOOKUP(Income_import[[#This Row],[DepartmentCode]]&amp;Income_import[[#This Row],[LedgerCode]],DEPTS[DepartmentCode]&amp;DEPTS[LedgerCode],DEPTS[AvailableToAllSchools],1,0,)=TRUE,0,IF(ISERROR(FIND(Income_import[[#This Row],[SchoolCode]],_xlfn.TEXTJOIN(",",TRUE,_xlfn.UNIQUE(IF(DEPTS[DepartmentCode]&amp;DEPTS[LedgerCode]=Income_import[[#This Row],[DepartmentCode]]&amp;Income_import[[#This Row],[LedgerCode]],DEPTS[SchoolCodes],""))))),1,0))</f>
        <v>1</v>
      </c>
      <c r="H34" s="96">
        <f>IF(Income_import[[#This Row],[FundCode]]=0,0,IF(COUNTIF(FUNDS[FundCode],Income_import[[#This Row],[FundCode]])&gt;0,0,1))</f>
        <v>0</v>
      </c>
      <c r="I34" s="80" cm="1">
        <f t="array" ref="I34">IF(_xlfn.XLOOKUP(Income_import[[#This Row],[DepartmentCode]]&amp;Income_import[[#This Row],[LedgerCode]],DEPTS[DepartmentCode]&amp;DEPTS[LedgerCode],DEPTS[AvailableToAllSchools])=TRUE,(IF((_xlfn.XLOOKUP(Income_import[[#This Row],[DepartmentCode]]&amp;Income_import[[#This Row],[LedgerCode]],DEPTS[DepartmentCode]&amp;DEPTS[LedgerCode],DEPTS[LedgerCode])=Income_import[[#This Row],[LedgerCode]]),0,1)),(IFERROR(IF(FIND(Income_import[[#This Row],[SchoolCode]],(_xlfn.TEXTJOIN(",",TRUE,IF(DEPTS[DepartmentCode]&amp;DEPTS[LedgerCode]=Income_import[[#This Row],[DepartmentCode]]&amp;Income_import[[#This Row],[LedgerCode]],DEPTS[SchoolCodes],"")))),0,1),1)))</f>
        <v>1</v>
      </c>
      <c r="J34" s="96">
        <f>IF(ISBLANK(Income_import[[#This Row],[YearValue]])=Income_import[[#This Row],[Calculated]],0,1)</f>
        <v>1</v>
      </c>
      <c r="K34" s="96">
        <f>IF(ISBLANK(Income_import[[#This Row],[CalculatorCode]]),0,IF(COUNTIF(Calculators[CalculatorCode],Income_import[[#This Row],[CalculatorCode]])&gt;0,0,1))</f>
        <v>0</v>
      </c>
      <c r="L34" s="96">
        <f>IF(TRIM(Income_import[[#This Row],[Description]])="",1,0)</f>
        <v>0</v>
      </c>
      <c r="M34" s="96">
        <f>IF(ISBLANK(Income_import[[#This Row],[MatEditOnly]]),1,0)</f>
        <v>0</v>
      </c>
      <c r="N34" s="96">
        <f>IF(ISBLANK(Income_import[[#This Row],[FinancialYearCode]]),1,0)</f>
        <v>0</v>
      </c>
      <c r="O34" s="96">
        <f>IF(ISBLANK(Income_import[[#This Row],[Calculated]]),1,0)</f>
        <v>0</v>
      </c>
      <c r="P34" s="96">
        <f>IF(EXACT(Income_import[[#This Row],[FinanceCode]],UPPER(Income_import[[#This Row],[FinanceCode]])),0,1)+IF(EXACT(Income_import[[#This Row],[SchoolCode]],UPPER(Income_import[[#This Row],[SchoolCode]])),0,1)+IF(EXACT(Income_import[[#This Row],[LedgerCode]],UPPER(Income_import[[#This Row],[LedgerCode]])),0,1)+IF(EXACT(Income_import[[#This Row],[DepartmentCode]],UPPER(Income_import[[#This Row],[DepartmentCode]])),0,1)+IF(EXACT(Income_import[[#This Row],[CalculatorCode]],UPPER(Income_import[[#This Row],[CalculatorCode]])),0,1)+IF(EXACT(Income_import[[#This Row],[MonthProfileCode]],UPPER(Income_import[[#This Row],[MonthProfileCode]])),0,1)+IF(EXACT(Income_import[[#This Row],[FundCode]],UPPER(Income_import[[#This Row],[FundCode]])),0,1)</f>
        <v>0</v>
      </c>
      <c r="Q34" s="96">
        <f>IF(LEN(Income_import[[#This Row],[Description]])&lt;100,0,1)</f>
        <v>0</v>
      </c>
      <c r="R34" s="96">
        <f>IF(LEN(Income_import[[#This Row],[Notes]])&lt;4000,0,1)</f>
        <v>0</v>
      </c>
      <c r="S34" s="96">
        <f>IF(LEN(Income_import[[#This Row],[YearNotes]])&lt;4000,0,1)</f>
        <v>0</v>
      </c>
      <c r="T34" s="96">
        <f>IF(OR(Income_import[[#This Row],[MatEditOnly]]=TRUE,Income_import[[#This Row],[MatEditOnly]]=FALSE),IF(OR(Income_import[[#This Row],[Calculated]]=TRUE,Income_import[[#This Row],[Calculated]]=FALSE),0,1),1)</f>
        <v>0</v>
      </c>
      <c r="U34" s="96">
        <f>IF(_xlfn.XLOOKUP(Income_import[[#This Row],[FinancialYearCode]],Years[Years],Years[Years],1)=Income_import[[#This Row],[FinancialYearCode]],0,1)</f>
        <v>0</v>
      </c>
      <c r="V34" s="96">
        <f>IF(Income_import[[#This Row],[CalculatorCode]]="",0,IF(IF(_xlfn.XLOOKUP(Income_import[[#This Row],[CalculatorCode]],Calculators[CalculatorCode],Calculators[LockCheck])=1,TRUE,FALSE)=Income_import[[#This Row],[MatEditOnly]],0,1))</f>
        <v>0</v>
      </c>
      <c r="W34" s="96">
        <f>SUM(Income_import[[#This Row],[DuplicateLine]:[MAT edit only required]])</f>
        <v>5</v>
      </c>
      <c r="X34" s="80" t="e">
        <f>_xlfn.XLOOKUP(Income_import[[#This Row],[SchoolCode]],SCHOOLS[SchoolCode],SCHOOLS[Title])</f>
        <v>#N/A</v>
      </c>
      <c r="AA34" t="s">
        <v>1630</v>
      </c>
      <c r="AE34" t="s">
        <v>1303</v>
      </c>
      <c r="AF34" t="s">
        <v>1120</v>
      </c>
      <c r="AG34" t="s">
        <v>2419</v>
      </c>
      <c r="AJ34" t="b">
        <v>0</v>
      </c>
      <c r="AK34" t="s">
        <v>1497</v>
      </c>
      <c r="AL34" t="b">
        <v>0</v>
      </c>
    </row>
  </sheetData>
  <phoneticPr fontId="2" type="noConversion"/>
  <pageMargins left="0.7" right="0.7" top="0.75" bottom="0.75" header="0.3" footer="0.3"/>
  <pageSetup orientation="portrait" r:id="rId1"/>
  <tableParts count="1">
    <tablePart r:id="rId2"/>
  </tableParts>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6B95D-7062-4108-A3E1-464E86D114B0}">
  <sheetPr codeName="Sheet331">
    <tabColor theme="2" tint="-0.249977111117893"/>
  </sheetPr>
  <dimension ref="A1:Q185"/>
  <sheetViews>
    <sheetView zoomScale="80" zoomScaleNormal="80" workbookViewId="0">
      <pane ySplit="1" topLeftCell="A43" activePane="bottomLeft" state="frozen"/>
      <selection activeCell="I136" sqref="I136"/>
      <selection pane="bottomLeft" activeCell="K184" sqref="K184"/>
    </sheetView>
  </sheetViews>
  <sheetFormatPr defaultColWidth="9.33203125" defaultRowHeight="14.4" x14ac:dyDescent="0.3"/>
  <cols>
    <col min="1" max="1" width="18.5546875" bestFit="1" customWidth="1"/>
    <col min="2" max="2" width="18.5546875" customWidth="1"/>
    <col min="3" max="3" width="15.33203125" bestFit="1" customWidth="1"/>
    <col min="4" max="4" width="19.5546875" bestFit="1" customWidth="1"/>
    <col min="5" max="6" width="13.5546875" bestFit="1" customWidth="1"/>
    <col min="7" max="7" width="18.33203125" bestFit="1" customWidth="1"/>
    <col min="8" max="8" width="12.33203125" bestFit="1" customWidth="1"/>
    <col min="9" max="9" width="35.5546875" bestFit="1" customWidth="1"/>
    <col min="10" max="10" width="20.109375" bestFit="1" customWidth="1"/>
    <col min="11" max="11" width="61.44140625" bestFit="1" customWidth="1"/>
    <col min="14" max="14" width="14.33203125" bestFit="1" customWidth="1"/>
    <col min="15" max="15" width="19.33203125" bestFit="1" customWidth="1"/>
    <col min="16" max="16" width="12.33203125" bestFit="1" customWidth="1"/>
    <col min="17" max="17" width="12.109375" style="36" bestFit="1" customWidth="1"/>
  </cols>
  <sheetData>
    <row r="1" spans="1:17" x14ac:dyDescent="0.3">
      <c r="A1" s="33" t="s">
        <v>869</v>
      </c>
      <c r="B1" s="33" t="s">
        <v>892</v>
      </c>
      <c r="C1" s="13" t="s">
        <v>1331</v>
      </c>
      <c r="D1" s="13" t="s">
        <v>893</v>
      </c>
      <c r="E1" s="13" t="s">
        <v>871</v>
      </c>
      <c r="F1" s="13" t="s">
        <v>857</v>
      </c>
      <c r="G1" s="13" t="s">
        <v>884</v>
      </c>
      <c r="H1" s="13" t="s">
        <v>49</v>
      </c>
      <c r="I1" s="13" t="s">
        <v>1136</v>
      </c>
      <c r="J1" s="13" t="s">
        <v>1382</v>
      </c>
      <c r="K1" s="13" t="s">
        <v>1383</v>
      </c>
      <c r="L1" s="15" t="s">
        <v>44</v>
      </c>
      <c r="M1" s="15" t="s">
        <v>1384</v>
      </c>
      <c r="N1" s="14" t="s">
        <v>1374</v>
      </c>
      <c r="O1" s="13" t="s">
        <v>1385</v>
      </c>
      <c r="P1" s="14" t="s">
        <v>1386</v>
      </c>
      <c r="Q1" s="34" t="s">
        <v>1387</v>
      </c>
    </row>
    <row r="2" spans="1:17" x14ac:dyDescent="0.3">
      <c r="A2" s="27" t="s">
        <v>1548</v>
      </c>
      <c r="B2" s="27"/>
      <c r="C2" s="3"/>
      <c r="D2" s="3"/>
      <c r="E2" s="3"/>
      <c r="F2" s="3"/>
      <c r="G2" s="3"/>
      <c r="H2" s="27"/>
      <c r="I2" s="1" t="s">
        <v>1585</v>
      </c>
      <c r="J2" s="16" t="s">
        <v>1124</v>
      </c>
      <c r="K2" s="3" t="s">
        <v>2057</v>
      </c>
      <c r="L2" s="3"/>
      <c r="M2" s="3"/>
      <c r="N2" s="3" t="b">
        <v>1</v>
      </c>
      <c r="O2" s="3" t="s">
        <v>1497</v>
      </c>
      <c r="P2" s="3" t="b">
        <v>1</v>
      </c>
      <c r="Q2" s="35"/>
    </row>
    <row r="3" spans="1:17" x14ac:dyDescent="0.3">
      <c r="A3" s="27" t="s">
        <v>1548</v>
      </c>
      <c r="B3" s="27"/>
      <c r="C3" s="3"/>
      <c r="D3" s="3"/>
      <c r="E3" s="3"/>
      <c r="F3" s="3"/>
      <c r="G3" s="3"/>
      <c r="H3" s="27"/>
      <c r="I3" s="1" t="s">
        <v>1586</v>
      </c>
      <c r="J3" s="16" t="s">
        <v>1124</v>
      </c>
      <c r="K3" s="3" t="s">
        <v>2055</v>
      </c>
      <c r="L3" s="3"/>
      <c r="M3" s="3"/>
      <c r="N3" s="3" t="b">
        <v>1</v>
      </c>
      <c r="O3" s="3" t="s">
        <v>1497</v>
      </c>
      <c r="P3" s="3" t="b">
        <v>1</v>
      </c>
      <c r="Q3" s="35"/>
    </row>
    <row r="4" spans="1:17" x14ac:dyDescent="0.3">
      <c r="A4" s="27" t="s">
        <v>1548</v>
      </c>
      <c r="B4" s="27"/>
      <c r="C4" s="3"/>
      <c r="D4" s="3"/>
      <c r="E4" s="3"/>
      <c r="F4" s="3"/>
      <c r="G4" s="3"/>
      <c r="H4" s="27"/>
      <c r="I4" s="1" t="s">
        <v>2047</v>
      </c>
      <c r="J4" s="16" t="s">
        <v>1124</v>
      </c>
      <c r="K4" s="3" t="s">
        <v>2056</v>
      </c>
      <c r="L4" s="3"/>
      <c r="M4" s="3"/>
      <c r="N4" s="3" t="b">
        <v>1</v>
      </c>
      <c r="O4" s="3" t="s">
        <v>1497</v>
      </c>
      <c r="P4" s="3" t="b">
        <v>1</v>
      </c>
      <c r="Q4" s="35"/>
    </row>
    <row r="5" spans="1:17" x14ac:dyDescent="0.3">
      <c r="A5" s="27" t="s">
        <v>1548</v>
      </c>
      <c r="B5" s="27"/>
      <c r="C5" s="3"/>
      <c r="D5" s="3"/>
      <c r="E5" s="3"/>
      <c r="F5" s="3"/>
      <c r="G5" s="3"/>
      <c r="H5" s="27"/>
      <c r="I5" s="11" t="s">
        <v>904</v>
      </c>
      <c r="J5" s="16" t="s">
        <v>1124</v>
      </c>
      <c r="K5" s="3" t="s">
        <v>1764</v>
      </c>
      <c r="L5" s="3"/>
      <c r="M5" s="3"/>
      <c r="N5" s="3" t="b">
        <v>1</v>
      </c>
      <c r="O5" s="3" t="s">
        <v>1497</v>
      </c>
      <c r="P5" s="3" t="b">
        <v>1</v>
      </c>
      <c r="Q5" s="35"/>
    </row>
    <row r="6" spans="1:17" x14ac:dyDescent="0.3">
      <c r="A6" s="27" t="s">
        <v>1548</v>
      </c>
      <c r="B6" s="27"/>
      <c r="C6" s="3"/>
      <c r="D6" s="3"/>
      <c r="E6" s="3"/>
      <c r="F6" s="3"/>
      <c r="G6" s="3"/>
      <c r="H6" s="27"/>
      <c r="I6" s="11" t="s">
        <v>906</v>
      </c>
      <c r="J6" s="16" t="s">
        <v>1124</v>
      </c>
      <c r="K6" s="3" t="s">
        <v>1765</v>
      </c>
      <c r="L6" s="3"/>
      <c r="M6" s="3"/>
      <c r="N6" s="3" t="b">
        <v>1</v>
      </c>
      <c r="O6" s="3" t="s">
        <v>1497</v>
      </c>
      <c r="P6" s="3" t="b">
        <v>1</v>
      </c>
      <c r="Q6" s="35"/>
    </row>
    <row r="7" spans="1:17" x14ac:dyDescent="0.3">
      <c r="A7" s="27" t="s">
        <v>1548</v>
      </c>
      <c r="B7" s="132" t="s">
        <v>878</v>
      </c>
      <c r="C7" s="3"/>
      <c r="D7" s="3"/>
      <c r="E7" s="3"/>
      <c r="F7" s="3"/>
      <c r="G7" s="3"/>
      <c r="H7" s="27"/>
      <c r="I7" s="11" t="s">
        <v>2019</v>
      </c>
      <c r="J7" s="16" t="s">
        <v>1118</v>
      </c>
      <c r="K7" s="3" t="s">
        <v>2020</v>
      </c>
      <c r="L7" s="3"/>
      <c r="M7" s="3"/>
      <c r="N7" s="3" t="b">
        <v>1</v>
      </c>
      <c r="O7" s="3" t="s">
        <v>1497</v>
      </c>
      <c r="P7" s="3" t="b">
        <v>1</v>
      </c>
      <c r="Q7" s="35"/>
    </row>
    <row r="8" spans="1:17" x14ac:dyDescent="0.3">
      <c r="A8" s="27" t="s">
        <v>1548</v>
      </c>
      <c r="B8" s="132" t="s">
        <v>878</v>
      </c>
      <c r="C8" s="3"/>
      <c r="D8" s="3"/>
      <c r="E8" s="3"/>
      <c r="F8" s="3"/>
      <c r="G8" s="3"/>
      <c r="H8" s="27"/>
      <c r="I8" s="11" t="s">
        <v>2021</v>
      </c>
      <c r="J8" s="16" t="s">
        <v>1120</v>
      </c>
      <c r="K8" s="3" t="s">
        <v>2022</v>
      </c>
      <c r="L8" s="3"/>
      <c r="M8" s="3"/>
      <c r="N8" s="3" t="b">
        <v>1</v>
      </c>
      <c r="O8" s="3" t="s">
        <v>1497</v>
      </c>
      <c r="P8" s="3" t="b">
        <v>1</v>
      </c>
      <c r="Q8" s="35"/>
    </row>
    <row r="9" spans="1:17" x14ac:dyDescent="0.3">
      <c r="A9" s="27" t="s">
        <v>1548</v>
      </c>
      <c r="B9" s="132" t="s">
        <v>1014</v>
      </c>
      <c r="C9" s="3"/>
      <c r="D9" s="3"/>
      <c r="E9" s="3"/>
      <c r="F9" s="3"/>
      <c r="G9" s="3"/>
      <c r="H9" s="27"/>
      <c r="I9" s="11" t="s">
        <v>2023</v>
      </c>
      <c r="J9" s="16" t="s">
        <v>1118</v>
      </c>
      <c r="K9" s="3" t="s">
        <v>2024</v>
      </c>
      <c r="L9" s="3"/>
      <c r="M9" s="3"/>
      <c r="N9" s="3" t="b">
        <v>1</v>
      </c>
      <c r="O9" s="3" t="s">
        <v>1497</v>
      </c>
      <c r="P9" s="3" t="b">
        <v>1</v>
      </c>
      <c r="Q9" s="35"/>
    </row>
    <row r="10" spans="1:17" x14ac:dyDescent="0.3">
      <c r="A10" s="27" t="s">
        <v>1548</v>
      </c>
      <c r="B10" s="132" t="s">
        <v>1014</v>
      </c>
      <c r="C10" s="3"/>
      <c r="D10" s="3"/>
      <c r="E10" s="3"/>
      <c r="F10" s="3"/>
      <c r="G10" s="3"/>
      <c r="H10" s="27"/>
      <c r="I10" s="11" t="s">
        <v>2025</v>
      </c>
      <c r="J10" s="16" t="s">
        <v>1120</v>
      </c>
      <c r="K10" s="3" t="s">
        <v>2026</v>
      </c>
      <c r="L10" s="3"/>
      <c r="M10" s="3"/>
      <c r="N10" s="3" t="b">
        <v>1</v>
      </c>
      <c r="O10" s="3" t="s">
        <v>1497</v>
      </c>
      <c r="P10" s="3" t="b">
        <v>1</v>
      </c>
      <c r="Q10" s="35"/>
    </row>
    <row r="11" spans="1:17" x14ac:dyDescent="0.3">
      <c r="A11" s="27" t="s">
        <v>1548</v>
      </c>
      <c r="B11" s="132" t="s">
        <v>1015</v>
      </c>
      <c r="C11" s="3"/>
      <c r="D11" s="3"/>
      <c r="E11" s="3"/>
      <c r="F11" s="3"/>
      <c r="G11" s="3"/>
      <c r="H11" s="27"/>
      <c r="I11" s="11" t="s">
        <v>2027</v>
      </c>
      <c r="J11" s="16" t="s">
        <v>1118</v>
      </c>
      <c r="K11" s="3" t="s">
        <v>2028</v>
      </c>
      <c r="L11" s="3"/>
      <c r="M11" s="3"/>
      <c r="N11" s="3" t="b">
        <v>1</v>
      </c>
      <c r="O11" s="3" t="s">
        <v>1497</v>
      </c>
      <c r="P11" s="3" t="b">
        <v>1</v>
      </c>
      <c r="Q11" s="35"/>
    </row>
    <row r="12" spans="1:17" x14ac:dyDescent="0.3">
      <c r="A12" s="27" t="s">
        <v>1548</v>
      </c>
      <c r="B12" s="132" t="s">
        <v>1015</v>
      </c>
      <c r="C12" s="3"/>
      <c r="D12" s="3"/>
      <c r="E12" s="3"/>
      <c r="F12" s="3"/>
      <c r="G12" s="3"/>
      <c r="H12" s="27"/>
      <c r="I12" s="11" t="s">
        <v>2029</v>
      </c>
      <c r="J12" s="16" t="s">
        <v>1120</v>
      </c>
      <c r="K12" s="3" t="s">
        <v>2030</v>
      </c>
      <c r="L12" s="3"/>
      <c r="M12" s="3"/>
      <c r="N12" s="3" t="b">
        <v>1</v>
      </c>
      <c r="O12" s="3" t="s">
        <v>1497</v>
      </c>
      <c r="P12" s="3" t="b">
        <v>1</v>
      </c>
      <c r="Q12" s="35"/>
    </row>
    <row r="13" spans="1:17" x14ac:dyDescent="0.3">
      <c r="A13" s="27" t="s">
        <v>1548</v>
      </c>
      <c r="B13" s="132" t="s">
        <v>1016</v>
      </c>
      <c r="C13" s="3"/>
      <c r="D13" s="3"/>
      <c r="E13" s="3"/>
      <c r="F13" s="3"/>
      <c r="G13" s="3"/>
      <c r="H13" s="27"/>
      <c r="I13" s="11" t="s">
        <v>2031</v>
      </c>
      <c r="J13" s="16" t="s">
        <v>1118</v>
      </c>
      <c r="K13" s="3" t="s">
        <v>2032</v>
      </c>
      <c r="L13" s="3"/>
      <c r="M13" s="3"/>
      <c r="N13" s="3" t="b">
        <v>1</v>
      </c>
      <c r="O13" s="3" t="s">
        <v>1497</v>
      </c>
      <c r="P13" s="3" t="b">
        <v>1</v>
      </c>
      <c r="Q13" s="35"/>
    </row>
    <row r="14" spans="1:17" x14ac:dyDescent="0.3">
      <c r="A14" s="27" t="s">
        <v>1548</v>
      </c>
      <c r="B14" s="132" t="s">
        <v>1016</v>
      </c>
      <c r="C14" s="3"/>
      <c r="D14" s="3"/>
      <c r="E14" s="3"/>
      <c r="F14" s="3"/>
      <c r="G14" s="3"/>
      <c r="H14" s="27"/>
      <c r="I14" s="11" t="s">
        <v>2033</v>
      </c>
      <c r="J14" s="16" t="s">
        <v>1120</v>
      </c>
      <c r="K14" s="3" t="s">
        <v>2034</v>
      </c>
      <c r="L14" s="3"/>
      <c r="M14" s="3"/>
      <c r="N14" s="3" t="b">
        <v>1</v>
      </c>
      <c r="O14" s="3" t="s">
        <v>1497</v>
      </c>
      <c r="P14" s="3" t="b">
        <v>1</v>
      </c>
      <c r="Q14" s="35"/>
    </row>
    <row r="15" spans="1:17" x14ac:dyDescent="0.3">
      <c r="A15" s="27" t="s">
        <v>1548</v>
      </c>
      <c r="B15" s="27"/>
      <c r="C15" s="3"/>
      <c r="D15" s="3"/>
      <c r="E15" s="3"/>
      <c r="F15" s="3"/>
      <c r="G15" s="3"/>
      <c r="H15" s="27"/>
      <c r="I15" s="11" t="s">
        <v>1945</v>
      </c>
      <c r="J15" s="16" t="s">
        <v>1118</v>
      </c>
      <c r="K15" s="16" t="s">
        <v>1946</v>
      </c>
      <c r="L15" s="3"/>
      <c r="M15" s="3"/>
      <c r="N15" s="3" t="b">
        <v>1</v>
      </c>
      <c r="O15" s="3" t="s">
        <v>1497</v>
      </c>
      <c r="P15" s="3" t="b">
        <v>1</v>
      </c>
      <c r="Q15" s="35"/>
    </row>
    <row r="16" spans="1:17" x14ac:dyDescent="0.3">
      <c r="A16" s="27" t="s">
        <v>1548</v>
      </c>
      <c r="B16" s="27"/>
      <c r="C16" s="3"/>
      <c r="D16" s="3"/>
      <c r="E16" s="3"/>
      <c r="F16" s="3"/>
      <c r="G16" s="3"/>
      <c r="H16" s="27"/>
      <c r="I16" s="11" t="s">
        <v>1947</v>
      </c>
      <c r="J16" s="16" t="s">
        <v>1120</v>
      </c>
      <c r="K16" s="16" t="s">
        <v>1948</v>
      </c>
      <c r="L16" s="3"/>
      <c r="M16" s="3"/>
      <c r="N16" s="3" t="b">
        <v>1</v>
      </c>
      <c r="O16" s="3" t="s">
        <v>1497</v>
      </c>
      <c r="P16" s="3" t="b">
        <v>1</v>
      </c>
      <c r="Q16" s="35"/>
    </row>
    <row r="17" spans="1:17" x14ac:dyDescent="0.3">
      <c r="A17" s="27" t="s">
        <v>1548</v>
      </c>
      <c r="B17" s="27"/>
      <c r="C17" s="3"/>
      <c r="D17" s="3"/>
      <c r="E17" s="3"/>
      <c r="F17" s="3"/>
      <c r="G17" s="3"/>
      <c r="H17" s="27"/>
      <c r="I17" s="11" t="s">
        <v>1314</v>
      </c>
      <c r="J17" s="16" t="s">
        <v>1118</v>
      </c>
      <c r="K17" s="16" t="s">
        <v>1315</v>
      </c>
      <c r="L17" s="3"/>
      <c r="M17" s="3"/>
      <c r="N17" s="3" t="b">
        <v>1</v>
      </c>
      <c r="O17" s="3" t="s">
        <v>1497</v>
      </c>
      <c r="P17" s="3" t="b">
        <v>1</v>
      </c>
      <c r="Q17" s="35"/>
    </row>
    <row r="18" spans="1:17" x14ac:dyDescent="0.3">
      <c r="A18" s="27" t="s">
        <v>1548</v>
      </c>
      <c r="B18" s="27"/>
      <c r="C18" s="3"/>
      <c r="D18" s="3"/>
      <c r="E18" s="3"/>
      <c r="F18" s="3"/>
      <c r="G18" s="3"/>
      <c r="H18" s="27"/>
      <c r="I18" s="11" t="s">
        <v>1316</v>
      </c>
      <c r="J18" s="16" t="s">
        <v>1120</v>
      </c>
      <c r="K18" s="16" t="s">
        <v>1317</v>
      </c>
      <c r="L18" s="3"/>
      <c r="M18" s="3"/>
      <c r="N18" s="3" t="b">
        <v>1</v>
      </c>
      <c r="O18" s="3" t="s">
        <v>1497</v>
      </c>
      <c r="P18" s="3" t="b">
        <v>1</v>
      </c>
      <c r="Q18" s="35"/>
    </row>
    <row r="19" spans="1:17" x14ac:dyDescent="0.3">
      <c r="A19" s="27" t="s">
        <v>1548</v>
      </c>
      <c r="B19" s="27"/>
      <c r="C19" s="3"/>
      <c r="D19" s="3"/>
      <c r="E19" s="3"/>
      <c r="F19" s="3"/>
      <c r="G19" s="3"/>
      <c r="H19" s="27"/>
      <c r="I19" s="11" t="s">
        <v>1318</v>
      </c>
      <c r="J19" s="16" t="s">
        <v>1118</v>
      </c>
      <c r="K19" s="16" t="s">
        <v>1319</v>
      </c>
      <c r="L19" s="3"/>
      <c r="M19" s="3"/>
      <c r="N19" s="3" t="b">
        <v>1</v>
      </c>
      <c r="O19" s="3" t="s">
        <v>1497</v>
      </c>
      <c r="P19" s="3" t="b">
        <v>1</v>
      </c>
      <c r="Q19" s="35"/>
    </row>
    <row r="20" spans="1:17" x14ac:dyDescent="0.3">
      <c r="A20" s="27" t="s">
        <v>1548</v>
      </c>
      <c r="B20" s="27"/>
      <c r="C20" s="3"/>
      <c r="D20" s="3"/>
      <c r="E20" s="3"/>
      <c r="F20" s="3"/>
      <c r="G20" s="3"/>
      <c r="H20" s="27"/>
      <c r="I20" s="11" t="s">
        <v>1320</v>
      </c>
      <c r="J20" s="16" t="s">
        <v>1120</v>
      </c>
      <c r="K20" s="16" t="s">
        <v>1321</v>
      </c>
      <c r="L20" s="3"/>
      <c r="M20" s="3"/>
      <c r="N20" s="3" t="b">
        <v>1</v>
      </c>
      <c r="O20" s="3" t="s">
        <v>1497</v>
      </c>
      <c r="P20" s="3" t="b">
        <v>1</v>
      </c>
      <c r="Q20" s="35"/>
    </row>
    <row r="21" spans="1:17" x14ac:dyDescent="0.3">
      <c r="A21" s="27" t="s">
        <v>1548</v>
      </c>
      <c r="B21" s="27"/>
      <c r="C21" s="3"/>
      <c r="D21" s="3"/>
      <c r="E21" s="3"/>
      <c r="F21" s="3"/>
      <c r="G21" s="3"/>
      <c r="H21" s="27"/>
      <c r="I21" s="11" t="s">
        <v>1324</v>
      </c>
      <c r="J21" s="16" t="s">
        <v>1118</v>
      </c>
      <c r="K21" s="16" t="s">
        <v>1325</v>
      </c>
      <c r="L21" s="3"/>
      <c r="M21" s="3"/>
      <c r="N21" s="3" t="b">
        <v>1</v>
      </c>
      <c r="O21" s="3" t="s">
        <v>1497</v>
      </c>
      <c r="P21" s="3" t="b">
        <v>1</v>
      </c>
      <c r="Q21" s="35"/>
    </row>
    <row r="22" spans="1:17" x14ac:dyDescent="0.3">
      <c r="A22" s="27" t="s">
        <v>1548</v>
      </c>
      <c r="B22" s="27"/>
      <c r="C22" s="3"/>
      <c r="D22" s="3"/>
      <c r="E22" s="3"/>
      <c r="F22" s="3"/>
      <c r="G22" s="3"/>
      <c r="H22" s="27"/>
      <c r="I22" s="11" t="s">
        <v>1326</v>
      </c>
      <c r="J22" s="16" t="s">
        <v>1120</v>
      </c>
      <c r="K22" s="16" t="s">
        <v>1327</v>
      </c>
      <c r="L22" s="3"/>
      <c r="M22" s="3"/>
      <c r="N22" s="3" t="b">
        <v>1</v>
      </c>
      <c r="O22" s="3" t="s">
        <v>1497</v>
      </c>
      <c r="P22" s="3" t="b">
        <v>1</v>
      </c>
      <c r="Q22" s="35"/>
    </row>
    <row r="23" spans="1:17" x14ac:dyDescent="0.3">
      <c r="A23" s="27" t="s">
        <v>1548</v>
      </c>
      <c r="B23" s="27"/>
      <c r="C23" s="3"/>
      <c r="D23" s="3"/>
      <c r="E23" s="3"/>
      <c r="F23" s="3"/>
      <c r="G23" s="3"/>
      <c r="H23" s="27"/>
      <c r="I23" s="11" t="s">
        <v>1536</v>
      </c>
      <c r="J23" s="16" t="s">
        <v>1124</v>
      </c>
      <c r="K23" s="3" t="s">
        <v>1540</v>
      </c>
      <c r="L23" s="3"/>
      <c r="M23" s="3"/>
      <c r="N23" s="3" t="b">
        <v>1</v>
      </c>
      <c r="O23" s="3" t="s">
        <v>1497</v>
      </c>
      <c r="P23" s="3" t="b">
        <v>1</v>
      </c>
      <c r="Q23" s="35"/>
    </row>
    <row r="24" spans="1:17" x14ac:dyDescent="0.3">
      <c r="A24" s="27" t="s">
        <v>1548</v>
      </c>
      <c r="B24" s="27"/>
      <c r="C24" s="3"/>
      <c r="D24" s="3"/>
      <c r="E24" s="3"/>
      <c r="F24" s="3"/>
      <c r="G24" s="3"/>
      <c r="H24" s="27"/>
      <c r="I24" s="11" t="s">
        <v>1537</v>
      </c>
      <c r="J24" s="16" t="s">
        <v>1124</v>
      </c>
      <c r="K24" s="3" t="s">
        <v>1541</v>
      </c>
      <c r="L24" s="3"/>
      <c r="M24" s="3"/>
      <c r="N24" s="3" t="b">
        <v>1</v>
      </c>
      <c r="O24" s="3" t="s">
        <v>1497</v>
      </c>
      <c r="P24" s="3" t="b">
        <v>1</v>
      </c>
      <c r="Q24" s="35"/>
    </row>
    <row r="25" spans="1:17" x14ac:dyDescent="0.3">
      <c r="A25" s="27" t="s">
        <v>1548</v>
      </c>
      <c r="B25" s="27"/>
      <c r="C25" s="3"/>
      <c r="D25" s="3"/>
      <c r="E25" s="3"/>
      <c r="F25" s="3"/>
      <c r="G25" s="3"/>
      <c r="H25" s="27"/>
      <c r="I25" s="11" t="s">
        <v>1294</v>
      </c>
      <c r="J25" s="16" t="s">
        <v>1124</v>
      </c>
      <c r="K25" s="3" t="s">
        <v>1444</v>
      </c>
      <c r="L25" s="3"/>
      <c r="M25" s="3"/>
      <c r="N25" s="3" t="b">
        <v>1</v>
      </c>
      <c r="O25" s="3" t="s">
        <v>1497</v>
      </c>
      <c r="P25" s="3" t="b">
        <v>1</v>
      </c>
      <c r="Q25" s="35"/>
    </row>
    <row r="26" spans="1:17" x14ac:dyDescent="0.3">
      <c r="A26" s="27" t="s">
        <v>1548</v>
      </c>
      <c r="B26" s="27"/>
      <c r="C26" s="3"/>
      <c r="D26" s="3"/>
      <c r="E26" s="3"/>
      <c r="F26" s="3"/>
      <c r="G26" s="3"/>
      <c r="H26" s="27"/>
      <c r="I26" s="11" t="s">
        <v>2050</v>
      </c>
      <c r="J26" s="16" t="s">
        <v>1124</v>
      </c>
      <c r="K26" s="3" t="s">
        <v>2051</v>
      </c>
      <c r="L26" s="3"/>
      <c r="M26" s="3"/>
      <c r="N26" s="3" t="b">
        <v>1</v>
      </c>
      <c r="O26" s="3" t="s">
        <v>1497</v>
      </c>
      <c r="P26" s="3" t="b">
        <v>1</v>
      </c>
      <c r="Q26" s="35"/>
    </row>
    <row r="27" spans="1:17" x14ac:dyDescent="0.3">
      <c r="A27" s="27" t="s">
        <v>1548</v>
      </c>
      <c r="B27" s="27"/>
      <c r="C27" s="3"/>
      <c r="D27" s="3"/>
      <c r="E27" s="3"/>
      <c r="F27" s="3"/>
      <c r="G27" s="3"/>
      <c r="H27" s="27"/>
      <c r="I27" s="11" t="s">
        <v>2052</v>
      </c>
      <c r="J27" s="16" t="s">
        <v>1124</v>
      </c>
      <c r="K27" s="3" t="s">
        <v>2053</v>
      </c>
      <c r="L27" s="3"/>
      <c r="M27" s="3"/>
      <c r="N27" s="3" t="b">
        <v>1</v>
      </c>
      <c r="O27" s="3" t="s">
        <v>1497</v>
      </c>
      <c r="P27" s="3" t="b">
        <v>1</v>
      </c>
      <c r="Q27" s="35"/>
    </row>
    <row r="28" spans="1:17" x14ac:dyDescent="0.3">
      <c r="A28" s="25" t="s">
        <v>880</v>
      </c>
      <c r="B28" s="25"/>
      <c r="C28" s="3"/>
      <c r="D28" s="3"/>
      <c r="E28" s="3"/>
      <c r="F28" s="3"/>
      <c r="G28" s="3"/>
      <c r="H28" s="3"/>
      <c r="I28" s="3" t="s">
        <v>1184</v>
      </c>
      <c r="J28" s="3" t="s">
        <v>1124</v>
      </c>
      <c r="K28" s="3" t="s">
        <v>1443</v>
      </c>
      <c r="L28" s="3"/>
      <c r="M28" s="3"/>
      <c r="N28" s="3" t="b">
        <v>1</v>
      </c>
      <c r="O28" s="3" t="s">
        <v>1497</v>
      </c>
      <c r="P28" s="3" t="b">
        <v>1</v>
      </c>
      <c r="Q28" s="4"/>
    </row>
    <row r="29" spans="1:17" x14ac:dyDescent="0.3">
      <c r="A29" s="27" t="s">
        <v>880</v>
      </c>
      <c r="B29" s="27"/>
      <c r="C29" s="3"/>
      <c r="D29" s="3"/>
      <c r="E29" s="3"/>
      <c r="F29" s="3"/>
      <c r="G29" s="3"/>
      <c r="H29" s="27"/>
      <c r="I29" s="11" t="s">
        <v>1036</v>
      </c>
      <c r="J29" s="16" t="s">
        <v>1124</v>
      </c>
      <c r="K29" s="3" t="s">
        <v>1445</v>
      </c>
      <c r="L29" s="3"/>
      <c r="M29" s="3"/>
      <c r="N29" s="3" t="b">
        <v>0</v>
      </c>
      <c r="O29" s="3" t="s">
        <v>1497</v>
      </c>
      <c r="P29" s="3" t="b">
        <v>1</v>
      </c>
      <c r="Q29" s="35"/>
    </row>
    <row r="30" spans="1:17" x14ac:dyDescent="0.3">
      <c r="A30" s="25" t="s">
        <v>858</v>
      </c>
      <c r="B30" s="25"/>
      <c r="C30" s="3"/>
      <c r="D30" s="3"/>
      <c r="E30" s="3"/>
      <c r="F30" s="3"/>
      <c r="G30" s="3"/>
      <c r="H30" s="3"/>
      <c r="I30" s="1" t="s">
        <v>1585</v>
      </c>
      <c r="J30" s="3" t="s">
        <v>1124</v>
      </c>
      <c r="K30" s="3" t="s">
        <v>2057</v>
      </c>
      <c r="L30" s="3"/>
      <c r="M30" s="3"/>
      <c r="N30" s="3" t="b">
        <v>1</v>
      </c>
      <c r="O30" s="3" t="s">
        <v>1497</v>
      </c>
      <c r="P30" s="3" t="b">
        <v>1</v>
      </c>
      <c r="Q30" s="4"/>
    </row>
    <row r="31" spans="1:17" x14ac:dyDescent="0.3">
      <c r="A31" s="25" t="s">
        <v>858</v>
      </c>
      <c r="B31" s="25"/>
      <c r="C31" s="3"/>
      <c r="D31" s="3"/>
      <c r="E31" s="3"/>
      <c r="F31" s="3"/>
      <c r="G31" s="3"/>
      <c r="H31" s="3"/>
      <c r="I31" s="11" t="s">
        <v>906</v>
      </c>
      <c r="J31" s="16" t="s">
        <v>1124</v>
      </c>
      <c r="K31" s="3" t="s">
        <v>1765</v>
      </c>
      <c r="L31" s="3"/>
      <c r="M31" s="3"/>
      <c r="N31" s="3" t="b">
        <v>1</v>
      </c>
      <c r="O31" s="3" t="s">
        <v>1497</v>
      </c>
      <c r="P31" s="3" t="b">
        <v>1</v>
      </c>
      <c r="Q31" s="35"/>
    </row>
    <row r="32" spans="1:17" x14ac:dyDescent="0.3">
      <c r="A32" s="25" t="s">
        <v>858</v>
      </c>
      <c r="B32" s="25"/>
      <c r="C32" s="3"/>
      <c r="D32" s="3"/>
      <c r="E32" s="3"/>
      <c r="F32" s="3"/>
      <c r="G32" s="3"/>
      <c r="H32" s="27"/>
      <c r="I32" s="11" t="s">
        <v>1945</v>
      </c>
      <c r="J32" s="16" t="s">
        <v>1118</v>
      </c>
      <c r="K32" s="16" t="s">
        <v>1946</v>
      </c>
      <c r="L32" s="3"/>
      <c r="M32" s="3"/>
      <c r="N32" s="3" t="b">
        <v>1</v>
      </c>
      <c r="O32" s="3" t="s">
        <v>1497</v>
      </c>
      <c r="P32" s="3" t="b">
        <v>1</v>
      </c>
      <c r="Q32" s="35"/>
    </row>
    <row r="33" spans="1:17" x14ac:dyDescent="0.3">
      <c r="A33" s="25" t="s">
        <v>858</v>
      </c>
      <c r="B33" s="25"/>
      <c r="C33" s="3"/>
      <c r="D33" s="3"/>
      <c r="E33" s="3"/>
      <c r="F33" s="3"/>
      <c r="G33" s="3"/>
      <c r="H33" s="27"/>
      <c r="I33" s="11" t="s">
        <v>1947</v>
      </c>
      <c r="J33" s="16" t="s">
        <v>1120</v>
      </c>
      <c r="K33" s="16" t="s">
        <v>1948</v>
      </c>
      <c r="L33" s="3"/>
      <c r="M33" s="3"/>
      <c r="N33" s="3" t="b">
        <v>1</v>
      </c>
      <c r="O33" s="3" t="s">
        <v>1497</v>
      </c>
      <c r="P33" s="3" t="b">
        <v>1</v>
      </c>
      <c r="Q33" s="35"/>
    </row>
    <row r="34" spans="1:17" x14ac:dyDescent="0.3">
      <c r="A34" s="25" t="s">
        <v>858</v>
      </c>
      <c r="B34" s="25"/>
      <c r="C34" s="3"/>
      <c r="D34" s="3"/>
      <c r="E34" s="3"/>
      <c r="F34" s="3"/>
      <c r="G34" s="3"/>
      <c r="H34" s="27"/>
      <c r="I34" s="11" t="s">
        <v>1314</v>
      </c>
      <c r="J34" s="16" t="s">
        <v>1118</v>
      </c>
      <c r="K34" s="16" t="s">
        <v>1315</v>
      </c>
      <c r="L34" s="3"/>
      <c r="M34" s="3"/>
      <c r="N34" s="3" t="b">
        <v>1</v>
      </c>
      <c r="O34" s="3" t="s">
        <v>1497</v>
      </c>
      <c r="P34" s="3" t="b">
        <v>1</v>
      </c>
      <c r="Q34" s="35"/>
    </row>
    <row r="35" spans="1:17" x14ac:dyDescent="0.3">
      <c r="A35" s="25" t="s">
        <v>858</v>
      </c>
      <c r="B35" s="25"/>
      <c r="C35" s="3"/>
      <c r="D35" s="3"/>
      <c r="E35" s="3"/>
      <c r="F35" s="3"/>
      <c r="G35" s="3"/>
      <c r="H35" s="27"/>
      <c r="I35" s="11" t="s">
        <v>1316</v>
      </c>
      <c r="J35" s="16" t="s">
        <v>1120</v>
      </c>
      <c r="K35" s="16" t="s">
        <v>1317</v>
      </c>
      <c r="L35" s="3"/>
      <c r="M35" s="3"/>
      <c r="N35" s="3" t="b">
        <v>1</v>
      </c>
      <c r="O35" s="3" t="s">
        <v>1497</v>
      </c>
      <c r="P35" s="3" t="b">
        <v>1</v>
      </c>
      <c r="Q35" s="35"/>
    </row>
    <row r="36" spans="1:17" x14ac:dyDescent="0.3">
      <c r="A36" s="25" t="s">
        <v>858</v>
      </c>
      <c r="B36" s="25"/>
      <c r="C36" s="3"/>
      <c r="D36" s="3"/>
      <c r="E36" s="3"/>
      <c r="F36" s="3"/>
      <c r="G36" s="3"/>
      <c r="H36" s="27"/>
      <c r="I36" s="11" t="s">
        <v>1324</v>
      </c>
      <c r="J36" s="16" t="s">
        <v>1118</v>
      </c>
      <c r="K36" s="16" t="s">
        <v>1325</v>
      </c>
      <c r="L36" s="3"/>
      <c r="M36" s="3"/>
      <c r="N36" s="3" t="b">
        <v>1</v>
      </c>
      <c r="O36" s="3" t="s">
        <v>1497</v>
      </c>
      <c r="P36" s="3" t="b">
        <v>1</v>
      </c>
      <c r="Q36" s="35"/>
    </row>
    <row r="37" spans="1:17" x14ac:dyDescent="0.3">
      <c r="A37" s="25" t="s">
        <v>858</v>
      </c>
      <c r="B37" s="25"/>
      <c r="C37" s="3"/>
      <c r="D37" s="3"/>
      <c r="E37" s="3"/>
      <c r="F37" s="3"/>
      <c r="G37" s="3"/>
      <c r="H37" s="27"/>
      <c r="I37" s="11" t="s">
        <v>1326</v>
      </c>
      <c r="J37" s="16" t="s">
        <v>1120</v>
      </c>
      <c r="K37" s="16" t="s">
        <v>1327</v>
      </c>
      <c r="L37" s="3"/>
      <c r="M37" s="3"/>
      <c r="N37" s="3" t="b">
        <v>1</v>
      </c>
      <c r="O37" s="3" t="s">
        <v>1497</v>
      </c>
      <c r="P37" s="3" t="b">
        <v>1</v>
      </c>
      <c r="Q37" s="35"/>
    </row>
    <row r="38" spans="1:17" x14ac:dyDescent="0.3">
      <c r="A38" s="25" t="s">
        <v>858</v>
      </c>
      <c r="B38" s="25"/>
      <c r="C38" s="3"/>
      <c r="D38" s="3"/>
      <c r="E38" s="3"/>
      <c r="F38" s="3"/>
      <c r="G38" s="3"/>
      <c r="H38" s="27"/>
      <c r="I38" s="11" t="s">
        <v>1536</v>
      </c>
      <c r="J38" s="16" t="s">
        <v>1124</v>
      </c>
      <c r="K38" s="3" t="s">
        <v>1540</v>
      </c>
      <c r="L38" s="3"/>
      <c r="M38" s="3"/>
      <c r="N38" s="3" t="b">
        <v>1</v>
      </c>
      <c r="O38" s="3" t="s">
        <v>1497</v>
      </c>
      <c r="P38" s="3" t="b">
        <v>1</v>
      </c>
      <c r="Q38" s="35"/>
    </row>
    <row r="39" spans="1:17" x14ac:dyDescent="0.3">
      <c r="A39" s="25" t="s">
        <v>858</v>
      </c>
      <c r="B39" s="25"/>
      <c r="C39" s="3"/>
      <c r="D39" s="3"/>
      <c r="E39" s="3"/>
      <c r="F39" s="3"/>
      <c r="G39" s="3"/>
      <c r="H39" s="3"/>
      <c r="I39" s="11" t="s">
        <v>1537</v>
      </c>
      <c r="J39" s="16" t="s">
        <v>1124</v>
      </c>
      <c r="K39" s="3" t="s">
        <v>1541</v>
      </c>
      <c r="L39" s="3"/>
      <c r="M39" s="3"/>
      <c r="N39" s="3" t="b">
        <v>1</v>
      </c>
      <c r="O39" s="3" t="s">
        <v>1497</v>
      </c>
      <c r="P39" s="3" t="b">
        <v>1</v>
      </c>
      <c r="Q39" s="35"/>
    </row>
    <row r="40" spans="1:17" x14ac:dyDescent="0.3">
      <c r="A40" s="25" t="s">
        <v>858</v>
      </c>
      <c r="B40" s="25"/>
      <c r="C40" s="3"/>
      <c r="D40" s="3"/>
      <c r="E40" s="3"/>
      <c r="F40" s="3"/>
      <c r="G40" s="3"/>
      <c r="H40" s="3"/>
      <c r="I40" s="11" t="s">
        <v>1294</v>
      </c>
      <c r="J40" s="16" t="s">
        <v>1124</v>
      </c>
      <c r="K40" s="3" t="s">
        <v>1444</v>
      </c>
      <c r="L40" s="3"/>
      <c r="M40" s="3"/>
      <c r="N40" s="3" t="b">
        <v>1</v>
      </c>
      <c r="O40" s="3" t="s">
        <v>1497</v>
      </c>
      <c r="P40" s="3" t="b">
        <v>1</v>
      </c>
      <c r="Q40" s="35"/>
    </row>
    <row r="41" spans="1:17" x14ac:dyDescent="0.3">
      <c r="A41" s="25" t="s">
        <v>858</v>
      </c>
      <c r="B41" s="25"/>
      <c r="C41" s="3"/>
      <c r="D41" s="3"/>
      <c r="E41" s="3"/>
      <c r="F41" s="3"/>
      <c r="G41" s="3"/>
      <c r="H41" s="3"/>
      <c r="I41" s="11" t="s">
        <v>2050</v>
      </c>
      <c r="J41" s="16" t="s">
        <v>1124</v>
      </c>
      <c r="K41" s="3" t="s">
        <v>2051</v>
      </c>
      <c r="L41" s="3"/>
      <c r="M41" s="3"/>
      <c r="N41" s="3" t="b">
        <v>1</v>
      </c>
      <c r="O41" s="3" t="s">
        <v>1497</v>
      </c>
      <c r="P41" s="3" t="b">
        <v>1</v>
      </c>
      <c r="Q41" s="35"/>
    </row>
    <row r="42" spans="1:17" x14ac:dyDescent="0.3">
      <c r="A42" s="27" t="s">
        <v>858</v>
      </c>
      <c r="B42" s="27"/>
      <c r="C42" s="3"/>
      <c r="D42" s="3"/>
      <c r="E42" s="3"/>
      <c r="F42" s="3"/>
      <c r="G42" s="3"/>
      <c r="H42" s="27"/>
      <c r="I42" s="11" t="s">
        <v>2052</v>
      </c>
      <c r="J42" s="16" t="s">
        <v>1124</v>
      </c>
      <c r="K42" s="3" t="s">
        <v>2053</v>
      </c>
      <c r="L42" s="3"/>
      <c r="M42" s="3"/>
      <c r="N42" s="3" t="b">
        <v>1</v>
      </c>
      <c r="O42" s="3" t="s">
        <v>1497</v>
      </c>
      <c r="P42" s="3" t="b">
        <v>1</v>
      </c>
      <c r="Q42" s="35"/>
    </row>
    <row r="43" spans="1:17" x14ac:dyDescent="0.3">
      <c r="A43" s="25" t="s">
        <v>859</v>
      </c>
      <c r="B43" s="25"/>
      <c r="C43" s="3"/>
      <c r="D43" s="3"/>
      <c r="E43" s="3"/>
      <c r="F43" s="3"/>
      <c r="G43" s="3"/>
      <c r="H43" s="3"/>
      <c r="I43" s="1" t="s">
        <v>1585</v>
      </c>
      <c r="J43" s="3" t="s">
        <v>1124</v>
      </c>
      <c r="K43" s="3" t="s">
        <v>2057</v>
      </c>
      <c r="L43" s="3"/>
      <c r="M43" s="3"/>
      <c r="N43" s="3" t="b">
        <v>1</v>
      </c>
      <c r="O43" s="3" t="s">
        <v>1497</v>
      </c>
      <c r="P43" s="3" t="b">
        <v>1</v>
      </c>
      <c r="Q43" s="4"/>
    </row>
    <row r="44" spans="1:17" x14ac:dyDescent="0.3">
      <c r="A44" s="25" t="s">
        <v>859</v>
      </c>
      <c r="B44" s="25"/>
      <c r="C44" s="3"/>
      <c r="D44" s="3"/>
      <c r="E44" s="3"/>
      <c r="F44" s="3"/>
      <c r="G44" s="3"/>
      <c r="H44" s="3"/>
      <c r="I44" s="1" t="s">
        <v>1586</v>
      </c>
      <c r="J44" s="3" t="s">
        <v>1124</v>
      </c>
      <c r="K44" s="3" t="s">
        <v>2055</v>
      </c>
      <c r="L44" s="3"/>
      <c r="M44" s="3"/>
      <c r="N44" s="3" t="b">
        <v>1</v>
      </c>
      <c r="O44" s="3" t="s">
        <v>1497</v>
      </c>
      <c r="P44" s="3" t="b">
        <v>1</v>
      </c>
      <c r="Q44" s="4"/>
    </row>
    <row r="45" spans="1:17" x14ac:dyDescent="0.3">
      <c r="A45" s="25" t="s">
        <v>859</v>
      </c>
      <c r="B45" s="25"/>
      <c r="C45" s="3"/>
      <c r="D45" s="3"/>
      <c r="E45" s="3"/>
      <c r="F45" s="3"/>
      <c r="G45" s="3"/>
      <c r="H45" s="3"/>
      <c r="I45" s="1" t="s">
        <v>2047</v>
      </c>
      <c r="J45" s="3" t="s">
        <v>1124</v>
      </c>
      <c r="K45" s="3" t="s">
        <v>2056</v>
      </c>
      <c r="L45" s="3"/>
      <c r="M45" s="3"/>
      <c r="N45" s="3" t="b">
        <v>1</v>
      </c>
      <c r="O45" s="3" t="s">
        <v>1497</v>
      </c>
      <c r="P45" s="3" t="b">
        <v>1</v>
      </c>
      <c r="Q45" s="4"/>
    </row>
    <row r="46" spans="1:17" x14ac:dyDescent="0.3">
      <c r="A46" s="25" t="s">
        <v>859</v>
      </c>
      <c r="B46" s="25"/>
      <c r="C46" s="3"/>
      <c r="D46" s="3"/>
      <c r="E46" s="3"/>
      <c r="F46" s="3"/>
      <c r="G46" s="3"/>
      <c r="H46" s="3"/>
      <c r="I46" s="3" t="s">
        <v>904</v>
      </c>
      <c r="J46" s="3" t="s">
        <v>1124</v>
      </c>
      <c r="K46" s="3" t="s">
        <v>1764</v>
      </c>
      <c r="L46" s="3"/>
      <c r="M46" s="3"/>
      <c r="N46" s="3" t="b">
        <v>1</v>
      </c>
      <c r="O46" s="3" t="s">
        <v>1497</v>
      </c>
      <c r="P46" s="3" t="b">
        <v>1</v>
      </c>
      <c r="Q46" s="4"/>
    </row>
    <row r="47" spans="1:17" x14ac:dyDescent="0.3">
      <c r="A47" s="25" t="s">
        <v>859</v>
      </c>
      <c r="B47" s="25"/>
      <c r="C47" s="3"/>
      <c r="D47" s="3"/>
      <c r="E47" s="3"/>
      <c r="F47" s="3"/>
      <c r="G47" s="3"/>
      <c r="H47" s="3"/>
      <c r="I47" s="11" t="s">
        <v>906</v>
      </c>
      <c r="J47" s="16" t="s">
        <v>1124</v>
      </c>
      <c r="K47" s="3" t="s">
        <v>1765</v>
      </c>
      <c r="L47" s="3"/>
      <c r="M47" s="3"/>
      <c r="N47" s="3" t="b">
        <v>1</v>
      </c>
      <c r="O47" s="3" t="s">
        <v>1497</v>
      </c>
      <c r="P47" s="3" t="b">
        <v>1</v>
      </c>
      <c r="Q47" s="35"/>
    </row>
    <row r="48" spans="1:17" x14ac:dyDescent="0.3">
      <c r="A48" s="27" t="s">
        <v>859</v>
      </c>
      <c r="B48" s="31" t="s">
        <v>878</v>
      </c>
      <c r="C48" s="3"/>
      <c r="D48" s="3"/>
      <c r="E48" s="3"/>
      <c r="F48" s="3"/>
      <c r="G48" s="3"/>
      <c r="H48" s="27"/>
      <c r="I48" s="11" t="s">
        <v>2019</v>
      </c>
      <c r="J48" s="16" t="s">
        <v>1118</v>
      </c>
      <c r="K48" s="3" t="s">
        <v>2020</v>
      </c>
      <c r="L48" s="3"/>
      <c r="M48" s="3"/>
      <c r="N48" s="3" t="b">
        <v>1</v>
      </c>
      <c r="O48" s="3" t="s">
        <v>1497</v>
      </c>
      <c r="P48" s="3" t="b">
        <v>1</v>
      </c>
      <c r="Q48" s="35"/>
    </row>
    <row r="49" spans="1:17" x14ac:dyDescent="0.3">
      <c r="A49" s="27" t="s">
        <v>859</v>
      </c>
      <c r="B49" s="31" t="s">
        <v>878</v>
      </c>
      <c r="C49" s="3"/>
      <c r="D49" s="3"/>
      <c r="E49" s="3"/>
      <c r="F49" s="3"/>
      <c r="G49" s="3"/>
      <c r="H49" s="27"/>
      <c r="I49" s="11" t="s">
        <v>2021</v>
      </c>
      <c r="J49" s="16" t="s">
        <v>1120</v>
      </c>
      <c r="K49" s="3" t="s">
        <v>2022</v>
      </c>
      <c r="L49" s="3"/>
      <c r="M49" s="3"/>
      <c r="N49" s="3" t="b">
        <v>1</v>
      </c>
      <c r="O49" s="3" t="s">
        <v>1497</v>
      </c>
      <c r="P49" s="3" t="b">
        <v>1</v>
      </c>
      <c r="Q49" s="35"/>
    </row>
    <row r="50" spans="1:17" x14ac:dyDescent="0.3">
      <c r="A50" s="27" t="s">
        <v>859</v>
      </c>
      <c r="B50" s="31" t="s">
        <v>1014</v>
      </c>
      <c r="C50" s="3"/>
      <c r="D50" s="3"/>
      <c r="E50" s="3"/>
      <c r="F50" s="3"/>
      <c r="G50" s="3"/>
      <c r="H50" s="27"/>
      <c r="I50" s="11" t="s">
        <v>2023</v>
      </c>
      <c r="J50" s="16" t="s">
        <v>1118</v>
      </c>
      <c r="K50" s="3" t="s">
        <v>2024</v>
      </c>
      <c r="L50" s="3"/>
      <c r="M50" s="3"/>
      <c r="N50" s="3" t="b">
        <v>1</v>
      </c>
      <c r="O50" s="3" t="s">
        <v>1497</v>
      </c>
      <c r="P50" s="3" t="b">
        <v>1</v>
      </c>
      <c r="Q50" s="35"/>
    </row>
    <row r="51" spans="1:17" x14ac:dyDescent="0.3">
      <c r="A51" s="27" t="s">
        <v>859</v>
      </c>
      <c r="B51" s="31" t="s">
        <v>1014</v>
      </c>
      <c r="C51" s="3"/>
      <c r="D51" s="3"/>
      <c r="E51" s="3"/>
      <c r="F51" s="3"/>
      <c r="G51" s="3"/>
      <c r="H51" s="27"/>
      <c r="I51" s="11" t="s">
        <v>2025</v>
      </c>
      <c r="J51" s="16" t="s">
        <v>1120</v>
      </c>
      <c r="K51" s="3" t="s">
        <v>2026</v>
      </c>
      <c r="L51" s="3"/>
      <c r="M51" s="3"/>
      <c r="N51" s="3" t="b">
        <v>1</v>
      </c>
      <c r="O51" s="3" t="s">
        <v>1497</v>
      </c>
      <c r="P51" s="3" t="b">
        <v>1</v>
      </c>
      <c r="Q51" s="35"/>
    </row>
    <row r="52" spans="1:17" x14ac:dyDescent="0.3">
      <c r="A52" s="27" t="s">
        <v>859</v>
      </c>
      <c r="B52" s="31" t="s">
        <v>1015</v>
      </c>
      <c r="C52" s="3"/>
      <c r="D52" s="3"/>
      <c r="E52" s="3"/>
      <c r="F52" s="3"/>
      <c r="G52" s="3"/>
      <c r="H52" s="27"/>
      <c r="I52" s="11" t="s">
        <v>2027</v>
      </c>
      <c r="J52" s="16" t="s">
        <v>1118</v>
      </c>
      <c r="K52" s="3" t="s">
        <v>2028</v>
      </c>
      <c r="L52" s="3"/>
      <c r="M52" s="3"/>
      <c r="N52" s="3" t="b">
        <v>1</v>
      </c>
      <c r="O52" s="3" t="s">
        <v>1497</v>
      </c>
      <c r="P52" s="3" t="b">
        <v>1</v>
      </c>
      <c r="Q52" s="35"/>
    </row>
    <row r="53" spans="1:17" x14ac:dyDescent="0.3">
      <c r="A53" s="27" t="s">
        <v>859</v>
      </c>
      <c r="B53" s="31" t="s">
        <v>1015</v>
      </c>
      <c r="C53" s="3"/>
      <c r="D53" s="3"/>
      <c r="E53" s="3"/>
      <c r="F53" s="3"/>
      <c r="G53" s="3"/>
      <c r="H53" s="27"/>
      <c r="I53" s="11" t="s">
        <v>2029</v>
      </c>
      <c r="J53" s="16" t="s">
        <v>1120</v>
      </c>
      <c r="K53" s="3" t="s">
        <v>2030</v>
      </c>
      <c r="L53" s="3"/>
      <c r="M53" s="3"/>
      <c r="N53" s="3" t="b">
        <v>1</v>
      </c>
      <c r="O53" s="3" t="s">
        <v>1497</v>
      </c>
      <c r="P53" s="3" t="b">
        <v>1</v>
      </c>
      <c r="Q53" s="35"/>
    </row>
    <row r="54" spans="1:17" x14ac:dyDescent="0.3">
      <c r="A54" s="27" t="s">
        <v>859</v>
      </c>
      <c r="B54" s="31" t="s">
        <v>1016</v>
      </c>
      <c r="C54" s="3"/>
      <c r="D54" s="3"/>
      <c r="E54" s="3"/>
      <c r="F54" s="3"/>
      <c r="G54" s="3"/>
      <c r="H54" s="27"/>
      <c r="I54" s="11" t="s">
        <v>2031</v>
      </c>
      <c r="J54" s="16" t="s">
        <v>1118</v>
      </c>
      <c r="K54" s="3" t="s">
        <v>2032</v>
      </c>
      <c r="L54" s="3"/>
      <c r="M54" s="3"/>
      <c r="N54" s="3" t="b">
        <v>1</v>
      </c>
      <c r="O54" s="3" t="s">
        <v>1497</v>
      </c>
      <c r="P54" s="3" t="b">
        <v>1</v>
      </c>
      <c r="Q54" s="35"/>
    </row>
    <row r="55" spans="1:17" x14ac:dyDescent="0.3">
      <c r="A55" s="27" t="s">
        <v>859</v>
      </c>
      <c r="B55" s="31" t="s">
        <v>1016</v>
      </c>
      <c r="C55" s="3"/>
      <c r="D55" s="3"/>
      <c r="E55" s="3"/>
      <c r="F55" s="3"/>
      <c r="G55" s="3"/>
      <c r="H55" s="27"/>
      <c r="I55" s="11" t="s">
        <v>2033</v>
      </c>
      <c r="J55" s="16" t="s">
        <v>1120</v>
      </c>
      <c r="K55" s="3" t="s">
        <v>2034</v>
      </c>
      <c r="L55" s="3"/>
      <c r="M55" s="3"/>
      <c r="N55" s="3" t="b">
        <v>1</v>
      </c>
      <c r="O55" s="3" t="s">
        <v>1497</v>
      </c>
      <c r="P55" s="3" t="b">
        <v>1</v>
      </c>
      <c r="Q55" s="35"/>
    </row>
    <row r="56" spans="1:17" x14ac:dyDescent="0.3">
      <c r="A56" s="25" t="s">
        <v>859</v>
      </c>
      <c r="B56" s="25"/>
      <c r="C56" s="3"/>
      <c r="D56" s="3"/>
      <c r="E56" s="3"/>
      <c r="F56" s="3"/>
      <c r="G56" s="3"/>
      <c r="H56" s="27"/>
      <c r="I56" s="11" t="s">
        <v>1945</v>
      </c>
      <c r="J56" s="16" t="s">
        <v>1118</v>
      </c>
      <c r="K56" s="16" t="s">
        <v>1946</v>
      </c>
      <c r="L56" s="3"/>
      <c r="M56" s="3"/>
      <c r="N56" s="3" t="b">
        <v>1</v>
      </c>
      <c r="O56" s="3" t="s">
        <v>1497</v>
      </c>
      <c r="P56" s="3" t="b">
        <v>1</v>
      </c>
      <c r="Q56" s="35"/>
    </row>
    <row r="57" spans="1:17" x14ac:dyDescent="0.3">
      <c r="A57" s="25" t="s">
        <v>859</v>
      </c>
      <c r="B57" s="25"/>
      <c r="C57" s="3"/>
      <c r="D57" s="3"/>
      <c r="E57" s="3"/>
      <c r="F57" s="3"/>
      <c r="G57" s="3"/>
      <c r="H57" s="27"/>
      <c r="I57" s="11" t="s">
        <v>1947</v>
      </c>
      <c r="J57" s="16" t="s">
        <v>1120</v>
      </c>
      <c r="K57" s="16" t="s">
        <v>1948</v>
      </c>
      <c r="L57" s="3"/>
      <c r="M57" s="3"/>
      <c r="N57" s="3" t="b">
        <v>1</v>
      </c>
      <c r="O57" s="3" t="s">
        <v>1497</v>
      </c>
      <c r="P57" s="3" t="b">
        <v>1</v>
      </c>
      <c r="Q57" s="35"/>
    </row>
    <row r="58" spans="1:17" x14ac:dyDescent="0.3">
      <c r="A58" s="25" t="s">
        <v>859</v>
      </c>
      <c r="B58" s="25"/>
      <c r="C58" s="3"/>
      <c r="D58" s="3"/>
      <c r="E58" s="3"/>
      <c r="F58" s="3"/>
      <c r="G58" s="3"/>
      <c r="H58" s="27"/>
      <c r="I58" s="11" t="s">
        <v>1318</v>
      </c>
      <c r="J58" s="16" t="s">
        <v>1118</v>
      </c>
      <c r="K58" s="16" t="s">
        <v>1319</v>
      </c>
      <c r="L58" s="3"/>
      <c r="M58" s="3"/>
      <c r="N58" s="3" t="b">
        <v>1</v>
      </c>
      <c r="O58" s="3" t="s">
        <v>1497</v>
      </c>
      <c r="P58" s="3" t="b">
        <v>1</v>
      </c>
      <c r="Q58" s="35"/>
    </row>
    <row r="59" spans="1:17" x14ac:dyDescent="0.3">
      <c r="A59" s="25" t="s">
        <v>859</v>
      </c>
      <c r="B59" s="25"/>
      <c r="C59" s="3"/>
      <c r="D59" s="3"/>
      <c r="E59" s="3"/>
      <c r="F59" s="3"/>
      <c r="G59" s="3"/>
      <c r="H59" s="27"/>
      <c r="I59" s="11" t="s">
        <v>1320</v>
      </c>
      <c r="J59" s="16" t="s">
        <v>1120</v>
      </c>
      <c r="K59" s="16" t="s">
        <v>1321</v>
      </c>
      <c r="L59" s="3"/>
      <c r="M59" s="3"/>
      <c r="N59" s="3" t="b">
        <v>1</v>
      </c>
      <c r="O59" s="3" t="s">
        <v>1497</v>
      </c>
      <c r="P59" s="3" t="b">
        <v>1</v>
      </c>
      <c r="Q59" s="35"/>
    </row>
    <row r="60" spans="1:17" x14ac:dyDescent="0.3">
      <c r="A60" s="25" t="s">
        <v>859</v>
      </c>
      <c r="B60" s="25"/>
      <c r="C60" s="3"/>
      <c r="D60" s="3"/>
      <c r="E60" s="3"/>
      <c r="F60" s="3"/>
      <c r="G60" s="3"/>
      <c r="H60" s="27"/>
      <c r="I60" s="11" t="s">
        <v>1324</v>
      </c>
      <c r="J60" s="16" t="s">
        <v>1118</v>
      </c>
      <c r="K60" s="16" t="s">
        <v>1325</v>
      </c>
      <c r="L60" s="3"/>
      <c r="M60" s="3"/>
      <c r="N60" s="3" t="b">
        <v>1</v>
      </c>
      <c r="O60" s="3" t="s">
        <v>1497</v>
      </c>
      <c r="P60" s="3" t="b">
        <v>1</v>
      </c>
      <c r="Q60" s="35"/>
    </row>
    <row r="61" spans="1:17" x14ac:dyDescent="0.3">
      <c r="A61" s="25" t="s">
        <v>859</v>
      </c>
      <c r="B61" s="25"/>
      <c r="C61" s="3"/>
      <c r="D61" s="3"/>
      <c r="E61" s="3"/>
      <c r="F61" s="3"/>
      <c r="G61" s="3"/>
      <c r="H61" s="27"/>
      <c r="I61" s="11" t="s">
        <v>1326</v>
      </c>
      <c r="J61" s="16" t="s">
        <v>1120</v>
      </c>
      <c r="K61" s="16" t="s">
        <v>1327</v>
      </c>
      <c r="L61" s="3"/>
      <c r="M61" s="3"/>
      <c r="N61" s="3" t="b">
        <v>1</v>
      </c>
      <c r="O61" s="3" t="s">
        <v>1497</v>
      </c>
      <c r="P61" s="3" t="b">
        <v>1</v>
      </c>
      <c r="Q61" s="35"/>
    </row>
    <row r="62" spans="1:17" x14ac:dyDescent="0.3">
      <c r="A62" s="25" t="s">
        <v>859</v>
      </c>
      <c r="B62" s="25"/>
      <c r="C62" s="3"/>
      <c r="D62" s="3"/>
      <c r="E62" s="3"/>
      <c r="F62" s="3"/>
      <c r="G62" s="3"/>
      <c r="H62" s="27"/>
      <c r="I62" s="11" t="s">
        <v>1536</v>
      </c>
      <c r="J62" s="16" t="s">
        <v>1124</v>
      </c>
      <c r="K62" s="3" t="s">
        <v>1540</v>
      </c>
      <c r="L62" s="3"/>
      <c r="M62" s="3"/>
      <c r="N62" s="3" t="b">
        <v>1</v>
      </c>
      <c r="O62" s="3" t="s">
        <v>1497</v>
      </c>
      <c r="P62" s="3" t="b">
        <v>1</v>
      </c>
      <c r="Q62" s="35"/>
    </row>
    <row r="63" spans="1:17" x14ac:dyDescent="0.3">
      <c r="A63" s="25" t="s">
        <v>859</v>
      </c>
      <c r="B63" s="25"/>
      <c r="C63" s="3"/>
      <c r="D63" s="3"/>
      <c r="E63" s="3"/>
      <c r="F63" s="3"/>
      <c r="G63" s="3"/>
      <c r="H63" s="3"/>
      <c r="I63" s="11" t="s">
        <v>1537</v>
      </c>
      <c r="J63" s="16" t="s">
        <v>1124</v>
      </c>
      <c r="K63" s="3" t="s">
        <v>1541</v>
      </c>
      <c r="L63" s="3"/>
      <c r="M63" s="3"/>
      <c r="N63" s="3" t="b">
        <v>1</v>
      </c>
      <c r="O63" s="3" t="s">
        <v>1497</v>
      </c>
      <c r="P63" s="3" t="b">
        <v>1</v>
      </c>
      <c r="Q63" s="35"/>
    </row>
    <row r="64" spans="1:17" x14ac:dyDescent="0.3">
      <c r="A64" s="25" t="s">
        <v>860</v>
      </c>
      <c r="B64" s="25"/>
      <c r="C64" s="3"/>
      <c r="D64" s="3"/>
      <c r="E64" s="3"/>
      <c r="F64" s="3"/>
      <c r="G64" s="3"/>
      <c r="H64" s="3"/>
      <c r="I64" s="3" t="s">
        <v>904</v>
      </c>
      <c r="J64" s="3" t="s">
        <v>1124</v>
      </c>
      <c r="K64" s="3" t="s">
        <v>1764</v>
      </c>
      <c r="L64" s="3"/>
      <c r="M64" s="3"/>
      <c r="N64" s="3" t="b">
        <v>1</v>
      </c>
      <c r="O64" s="3" t="s">
        <v>1497</v>
      </c>
      <c r="P64" s="3" t="b">
        <v>1</v>
      </c>
      <c r="Q64" s="4"/>
    </row>
    <row r="65" spans="1:17" x14ac:dyDescent="0.3">
      <c r="A65" s="27" t="s">
        <v>860</v>
      </c>
      <c r="B65" s="27"/>
      <c r="C65" s="3"/>
      <c r="D65" s="3"/>
      <c r="E65" s="3"/>
      <c r="F65" s="3"/>
      <c r="G65" s="3"/>
      <c r="H65" s="3"/>
      <c r="I65" s="11" t="s">
        <v>906</v>
      </c>
      <c r="J65" s="16" t="s">
        <v>1124</v>
      </c>
      <c r="K65" s="3" t="s">
        <v>1765</v>
      </c>
      <c r="L65" s="3"/>
      <c r="M65" s="3"/>
      <c r="N65" s="3" t="b">
        <v>1</v>
      </c>
      <c r="O65" s="3" t="s">
        <v>1497</v>
      </c>
      <c r="P65" s="3" t="b">
        <v>1</v>
      </c>
      <c r="Q65" s="35"/>
    </row>
    <row r="66" spans="1:17" x14ac:dyDescent="0.3">
      <c r="A66" s="27" t="s">
        <v>860</v>
      </c>
      <c r="B66" s="27"/>
      <c r="C66" s="3"/>
      <c r="D66" s="3"/>
      <c r="E66" s="3"/>
      <c r="F66" s="3"/>
      <c r="G66" s="3"/>
      <c r="H66" s="27"/>
      <c r="I66" s="11" t="s">
        <v>1945</v>
      </c>
      <c r="J66" s="16" t="s">
        <v>1118</v>
      </c>
      <c r="K66" s="16" t="s">
        <v>1946</v>
      </c>
      <c r="L66" s="3"/>
      <c r="M66" s="3"/>
      <c r="N66" s="3" t="b">
        <v>1</v>
      </c>
      <c r="O66" s="3" t="s">
        <v>1497</v>
      </c>
      <c r="P66" s="3" t="b">
        <v>1</v>
      </c>
      <c r="Q66" s="35"/>
    </row>
    <row r="67" spans="1:17" x14ac:dyDescent="0.3">
      <c r="A67" s="27" t="s">
        <v>860</v>
      </c>
      <c r="B67" s="27"/>
      <c r="C67" s="3"/>
      <c r="D67" s="3"/>
      <c r="E67" s="3"/>
      <c r="F67" s="3"/>
      <c r="G67" s="3"/>
      <c r="H67" s="27"/>
      <c r="I67" s="11" t="s">
        <v>1947</v>
      </c>
      <c r="J67" s="16" t="s">
        <v>1120</v>
      </c>
      <c r="K67" s="16" t="s">
        <v>1948</v>
      </c>
      <c r="L67" s="3"/>
      <c r="M67" s="3"/>
      <c r="N67" s="3" t="b">
        <v>1</v>
      </c>
      <c r="O67" s="3" t="s">
        <v>1497</v>
      </c>
      <c r="P67" s="3" t="b">
        <v>1</v>
      </c>
      <c r="Q67" s="35"/>
    </row>
    <row r="68" spans="1:17" x14ac:dyDescent="0.3">
      <c r="A68" s="27" t="s">
        <v>860</v>
      </c>
      <c r="B68" s="27"/>
      <c r="C68" s="3"/>
      <c r="D68" s="3"/>
      <c r="E68" s="3"/>
      <c r="F68" s="3"/>
      <c r="G68" s="3"/>
      <c r="H68" s="27"/>
      <c r="I68" s="11" t="s">
        <v>1314</v>
      </c>
      <c r="J68" s="16" t="s">
        <v>1118</v>
      </c>
      <c r="K68" s="16" t="s">
        <v>1315</v>
      </c>
      <c r="L68" s="3"/>
      <c r="M68" s="3"/>
      <c r="N68" s="3" t="b">
        <v>1</v>
      </c>
      <c r="O68" s="3" t="s">
        <v>1497</v>
      </c>
      <c r="P68" s="3" t="b">
        <v>1</v>
      </c>
      <c r="Q68" s="35"/>
    </row>
    <row r="69" spans="1:17" x14ac:dyDescent="0.3">
      <c r="A69" s="27" t="s">
        <v>860</v>
      </c>
      <c r="B69" s="27"/>
      <c r="C69" s="3"/>
      <c r="D69" s="3"/>
      <c r="E69" s="3"/>
      <c r="F69" s="3"/>
      <c r="G69" s="3"/>
      <c r="H69" s="27"/>
      <c r="I69" s="11" t="s">
        <v>1316</v>
      </c>
      <c r="J69" s="16" t="s">
        <v>1120</v>
      </c>
      <c r="K69" s="16" t="s">
        <v>1317</v>
      </c>
      <c r="L69" s="3"/>
      <c r="M69" s="3"/>
      <c r="N69" s="3" t="b">
        <v>1</v>
      </c>
      <c r="O69" s="3" t="s">
        <v>1497</v>
      </c>
      <c r="P69" s="3" t="b">
        <v>1</v>
      </c>
      <c r="Q69" s="35"/>
    </row>
    <row r="70" spans="1:17" x14ac:dyDescent="0.3">
      <c r="A70" s="27" t="s">
        <v>860</v>
      </c>
      <c r="B70" s="27"/>
      <c r="C70" s="3"/>
      <c r="D70" s="3"/>
      <c r="E70" s="3"/>
      <c r="F70" s="3"/>
      <c r="G70" s="3"/>
      <c r="H70" s="27"/>
      <c r="I70" s="11" t="s">
        <v>1318</v>
      </c>
      <c r="J70" s="16" t="s">
        <v>1118</v>
      </c>
      <c r="K70" s="16" t="s">
        <v>1319</v>
      </c>
      <c r="L70" s="3"/>
      <c r="M70" s="3"/>
      <c r="N70" s="3" t="b">
        <v>1</v>
      </c>
      <c r="O70" s="3" t="s">
        <v>1497</v>
      </c>
      <c r="P70" s="3" t="b">
        <v>1</v>
      </c>
      <c r="Q70" s="35"/>
    </row>
    <row r="71" spans="1:17" x14ac:dyDescent="0.3">
      <c r="A71" s="27" t="s">
        <v>860</v>
      </c>
      <c r="B71" s="27"/>
      <c r="C71" s="3"/>
      <c r="D71" s="3"/>
      <c r="E71" s="3"/>
      <c r="F71" s="3"/>
      <c r="G71" s="3"/>
      <c r="H71" s="27"/>
      <c r="I71" s="11" t="s">
        <v>1320</v>
      </c>
      <c r="J71" s="16" t="s">
        <v>1120</v>
      </c>
      <c r="K71" s="16" t="s">
        <v>1321</v>
      </c>
      <c r="L71" s="3"/>
      <c r="M71" s="3"/>
      <c r="N71" s="3" t="b">
        <v>1</v>
      </c>
      <c r="O71" s="3" t="s">
        <v>1497</v>
      </c>
      <c r="P71" s="3" t="b">
        <v>1</v>
      </c>
      <c r="Q71" s="35"/>
    </row>
    <row r="72" spans="1:17" x14ac:dyDescent="0.3">
      <c r="A72" s="27" t="s">
        <v>860</v>
      </c>
      <c r="B72" s="27"/>
      <c r="C72" s="3"/>
      <c r="D72" s="3"/>
      <c r="E72" s="3"/>
      <c r="F72" s="3"/>
      <c r="G72" s="3"/>
      <c r="H72" s="27"/>
      <c r="I72" s="11" t="s">
        <v>1324</v>
      </c>
      <c r="J72" s="16" t="s">
        <v>1118</v>
      </c>
      <c r="K72" s="16" t="s">
        <v>1325</v>
      </c>
      <c r="L72" s="3"/>
      <c r="M72" s="3"/>
      <c r="N72" s="3" t="b">
        <v>1</v>
      </c>
      <c r="O72" s="3" t="s">
        <v>1497</v>
      </c>
      <c r="P72" s="3" t="b">
        <v>1</v>
      </c>
      <c r="Q72" s="35"/>
    </row>
    <row r="73" spans="1:17" x14ac:dyDescent="0.3">
      <c r="A73" s="27" t="s">
        <v>860</v>
      </c>
      <c r="B73" s="27"/>
      <c r="C73" s="3"/>
      <c r="D73" s="3"/>
      <c r="E73" s="3"/>
      <c r="F73" s="3"/>
      <c r="G73" s="3"/>
      <c r="H73" s="27"/>
      <c r="I73" s="11" t="s">
        <v>1326</v>
      </c>
      <c r="J73" s="16" t="s">
        <v>1120</v>
      </c>
      <c r="K73" s="16" t="s">
        <v>1327</v>
      </c>
      <c r="L73" s="3"/>
      <c r="M73" s="3"/>
      <c r="N73" s="3" t="b">
        <v>1</v>
      </c>
      <c r="O73" s="3" t="s">
        <v>1497</v>
      </c>
      <c r="P73" s="3" t="b">
        <v>1</v>
      </c>
      <c r="Q73" s="35"/>
    </row>
    <row r="74" spans="1:17" x14ac:dyDescent="0.3">
      <c r="A74" s="27" t="s">
        <v>860</v>
      </c>
      <c r="B74" s="27"/>
      <c r="C74" s="3"/>
      <c r="D74" s="3"/>
      <c r="E74" s="3"/>
      <c r="F74" s="3"/>
      <c r="G74" s="3"/>
      <c r="H74" s="27"/>
      <c r="I74" s="11" t="s">
        <v>1536</v>
      </c>
      <c r="J74" s="16" t="s">
        <v>1124</v>
      </c>
      <c r="K74" s="3" t="s">
        <v>1540</v>
      </c>
      <c r="L74" s="3"/>
      <c r="M74" s="3"/>
      <c r="N74" s="3" t="b">
        <v>1</v>
      </c>
      <c r="O74" s="3" t="s">
        <v>1497</v>
      </c>
      <c r="P74" s="3" t="b">
        <v>1</v>
      </c>
      <c r="Q74" s="35"/>
    </row>
    <row r="75" spans="1:17" x14ac:dyDescent="0.3">
      <c r="A75" s="27" t="s">
        <v>860</v>
      </c>
      <c r="B75" s="27"/>
      <c r="C75" s="3"/>
      <c r="D75" s="3"/>
      <c r="E75" s="3"/>
      <c r="F75" s="3"/>
      <c r="G75" s="3"/>
      <c r="H75" s="3"/>
      <c r="I75" s="11" t="s">
        <v>1537</v>
      </c>
      <c r="J75" s="16" t="s">
        <v>1124</v>
      </c>
      <c r="K75" s="3" t="s">
        <v>1541</v>
      </c>
      <c r="L75" s="3"/>
      <c r="M75" s="3"/>
      <c r="N75" s="3" t="b">
        <v>1</v>
      </c>
      <c r="O75" s="3" t="s">
        <v>1497</v>
      </c>
      <c r="P75" s="3" t="b">
        <v>1</v>
      </c>
      <c r="Q75" s="35"/>
    </row>
    <row r="76" spans="1:17" x14ac:dyDescent="0.3">
      <c r="A76" s="27" t="s">
        <v>860</v>
      </c>
      <c r="B76" s="27"/>
      <c r="C76" s="3"/>
      <c r="D76" s="3"/>
      <c r="E76" s="3"/>
      <c r="F76" s="3"/>
      <c r="G76" s="3"/>
      <c r="H76" s="3"/>
      <c r="I76" s="11" t="s">
        <v>1294</v>
      </c>
      <c r="J76" s="16" t="s">
        <v>1124</v>
      </c>
      <c r="K76" s="3" t="s">
        <v>1444</v>
      </c>
      <c r="L76" s="3"/>
      <c r="M76" s="3"/>
      <c r="N76" s="3" t="b">
        <v>1</v>
      </c>
      <c r="O76" s="3" t="s">
        <v>1497</v>
      </c>
      <c r="P76" s="3" t="b">
        <v>1</v>
      </c>
      <c r="Q76" s="35"/>
    </row>
    <row r="77" spans="1:17" x14ac:dyDescent="0.3">
      <c r="A77" s="27" t="s">
        <v>860</v>
      </c>
      <c r="B77" s="27"/>
      <c r="C77" s="3"/>
      <c r="D77" s="3"/>
      <c r="E77" s="3"/>
      <c r="F77" s="3"/>
      <c r="G77" s="3"/>
      <c r="H77" s="3"/>
      <c r="I77" s="11" t="s">
        <v>2050</v>
      </c>
      <c r="J77" s="16" t="s">
        <v>1124</v>
      </c>
      <c r="K77" s="3" t="s">
        <v>2051</v>
      </c>
      <c r="L77" s="3"/>
      <c r="M77" s="3"/>
      <c r="N77" s="3" t="b">
        <v>1</v>
      </c>
      <c r="O77" s="3" t="s">
        <v>1497</v>
      </c>
      <c r="P77" s="3" t="b">
        <v>1</v>
      </c>
      <c r="Q77" s="35"/>
    </row>
    <row r="78" spans="1:17" x14ac:dyDescent="0.3">
      <c r="A78" s="27" t="s">
        <v>860</v>
      </c>
      <c r="B78" s="27"/>
      <c r="C78" s="3"/>
      <c r="D78" s="3"/>
      <c r="E78" s="3"/>
      <c r="F78" s="3"/>
      <c r="G78" s="3"/>
      <c r="H78" s="27"/>
      <c r="I78" s="11" t="s">
        <v>2052</v>
      </c>
      <c r="J78" s="16" t="s">
        <v>1124</v>
      </c>
      <c r="K78" s="3" t="s">
        <v>2053</v>
      </c>
      <c r="L78" s="3"/>
      <c r="M78" s="3"/>
      <c r="N78" s="3" t="b">
        <v>1</v>
      </c>
      <c r="O78" s="3" t="s">
        <v>1497</v>
      </c>
      <c r="P78" s="3" t="b">
        <v>1</v>
      </c>
      <c r="Q78" s="35"/>
    </row>
    <row r="79" spans="1:17" x14ac:dyDescent="0.3">
      <c r="A79" s="27" t="s">
        <v>2179</v>
      </c>
      <c r="B79" s="27"/>
      <c r="C79" s="3"/>
      <c r="D79" s="3"/>
      <c r="E79" s="3"/>
      <c r="F79" s="3"/>
      <c r="G79" s="3"/>
      <c r="H79" s="27"/>
      <c r="I79" s="46" t="s">
        <v>1586</v>
      </c>
      <c r="J79" s="16" t="s">
        <v>1124</v>
      </c>
      <c r="K79" s="3" t="s">
        <v>2055</v>
      </c>
      <c r="L79" s="3"/>
      <c r="M79" s="3"/>
      <c r="N79" s="3" t="b">
        <v>1</v>
      </c>
      <c r="O79" s="3" t="s">
        <v>1497</v>
      </c>
      <c r="P79" s="3" t="b">
        <v>1</v>
      </c>
      <c r="Q79" s="35"/>
    </row>
    <row r="80" spans="1:17" x14ac:dyDescent="0.3">
      <c r="A80" s="27" t="s">
        <v>2179</v>
      </c>
      <c r="B80" s="27"/>
      <c r="C80" s="3"/>
      <c r="D80" s="3"/>
      <c r="E80" s="3"/>
      <c r="F80" s="3"/>
      <c r="G80" s="3"/>
      <c r="H80" s="27"/>
      <c r="I80" s="46" t="s">
        <v>2047</v>
      </c>
      <c r="J80" s="16" t="s">
        <v>1124</v>
      </c>
      <c r="K80" s="3" t="s">
        <v>2056</v>
      </c>
      <c r="L80" s="3"/>
      <c r="M80" s="3"/>
      <c r="N80" s="3" t="b">
        <v>1</v>
      </c>
      <c r="O80" s="3" t="s">
        <v>1497</v>
      </c>
      <c r="P80" s="3" t="b">
        <v>1</v>
      </c>
      <c r="Q80" s="35"/>
    </row>
    <row r="81" spans="1:17" x14ac:dyDescent="0.3">
      <c r="A81" s="27" t="s">
        <v>2179</v>
      </c>
      <c r="B81" s="27"/>
      <c r="C81" s="3"/>
      <c r="D81" s="3"/>
      <c r="E81" s="3"/>
      <c r="F81" s="3"/>
      <c r="G81" s="3"/>
      <c r="H81" s="27"/>
      <c r="I81" s="11" t="s">
        <v>904</v>
      </c>
      <c r="J81" s="16" t="s">
        <v>1124</v>
      </c>
      <c r="K81" s="3" t="s">
        <v>1764</v>
      </c>
      <c r="L81" s="3"/>
      <c r="M81" s="3"/>
      <c r="N81" s="3" t="b">
        <v>1</v>
      </c>
      <c r="O81" s="3" t="s">
        <v>1497</v>
      </c>
      <c r="P81" s="3" t="b">
        <v>1</v>
      </c>
      <c r="Q81" s="35"/>
    </row>
    <row r="82" spans="1:17" x14ac:dyDescent="0.3">
      <c r="A82" s="27" t="s">
        <v>2179</v>
      </c>
      <c r="B82" s="31" t="s">
        <v>878</v>
      </c>
      <c r="C82" s="3"/>
      <c r="D82" s="3"/>
      <c r="E82" s="3"/>
      <c r="F82" s="3"/>
      <c r="G82" s="3"/>
      <c r="H82" s="27"/>
      <c r="I82" s="11" t="s">
        <v>2019</v>
      </c>
      <c r="J82" s="16" t="s">
        <v>1118</v>
      </c>
      <c r="K82" s="3" t="s">
        <v>2020</v>
      </c>
      <c r="L82" s="3"/>
      <c r="M82" s="3"/>
      <c r="N82" s="3" t="b">
        <v>1</v>
      </c>
      <c r="O82" s="3" t="s">
        <v>1497</v>
      </c>
      <c r="P82" s="3" t="b">
        <v>1</v>
      </c>
      <c r="Q82" s="35"/>
    </row>
    <row r="83" spans="1:17" x14ac:dyDescent="0.3">
      <c r="A83" s="27" t="s">
        <v>2179</v>
      </c>
      <c r="B83" s="31" t="s">
        <v>878</v>
      </c>
      <c r="C83" s="3"/>
      <c r="D83" s="3"/>
      <c r="E83" s="3"/>
      <c r="F83" s="3"/>
      <c r="G83" s="3"/>
      <c r="H83" s="27"/>
      <c r="I83" s="11" t="s">
        <v>2021</v>
      </c>
      <c r="J83" s="16" t="s">
        <v>1120</v>
      </c>
      <c r="K83" s="3" t="s">
        <v>2022</v>
      </c>
      <c r="L83" s="3"/>
      <c r="M83" s="3"/>
      <c r="N83" s="3" t="b">
        <v>1</v>
      </c>
      <c r="O83" s="3" t="s">
        <v>1497</v>
      </c>
      <c r="P83" s="3" t="b">
        <v>1</v>
      </c>
      <c r="Q83" s="35"/>
    </row>
    <row r="84" spans="1:17" x14ac:dyDescent="0.3">
      <c r="A84" s="27" t="s">
        <v>2179</v>
      </c>
      <c r="B84" s="31" t="s">
        <v>1014</v>
      </c>
      <c r="C84" s="3"/>
      <c r="D84" s="3"/>
      <c r="E84" s="3"/>
      <c r="F84" s="3"/>
      <c r="G84" s="3"/>
      <c r="H84" s="27"/>
      <c r="I84" s="11" t="s">
        <v>2023</v>
      </c>
      <c r="J84" s="16" t="s">
        <v>1118</v>
      </c>
      <c r="K84" s="3" t="s">
        <v>2024</v>
      </c>
      <c r="L84" s="3"/>
      <c r="M84" s="3"/>
      <c r="N84" s="3" t="b">
        <v>1</v>
      </c>
      <c r="O84" s="3" t="s">
        <v>1497</v>
      </c>
      <c r="P84" s="3" t="b">
        <v>1</v>
      </c>
      <c r="Q84" s="35"/>
    </row>
    <row r="85" spans="1:17" x14ac:dyDescent="0.3">
      <c r="A85" s="27" t="s">
        <v>2179</v>
      </c>
      <c r="B85" s="31" t="s">
        <v>1014</v>
      </c>
      <c r="C85" s="3"/>
      <c r="D85" s="3"/>
      <c r="E85" s="3"/>
      <c r="F85" s="3"/>
      <c r="G85" s="3"/>
      <c r="H85" s="27"/>
      <c r="I85" s="11" t="s">
        <v>2025</v>
      </c>
      <c r="J85" s="16" t="s">
        <v>1120</v>
      </c>
      <c r="K85" s="3" t="s">
        <v>2026</v>
      </c>
      <c r="L85" s="3"/>
      <c r="M85" s="3"/>
      <c r="N85" s="3" t="b">
        <v>1</v>
      </c>
      <c r="O85" s="3" t="s">
        <v>1497</v>
      </c>
      <c r="P85" s="3" t="b">
        <v>1</v>
      </c>
      <c r="Q85" s="35"/>
    </row>
    <row r="86" spans="1:17" x14ac:dyDescent="0.3">
      <c r="A86" s="27" t="s">
        <v>2179</v>
      </c>
      <c r="B86" s="31" t="s">
        <v>1015</v>
      </c>
      <c r="C86" s="3"/>
      <c r="D86" s="3"/>
      <c r="E86" s="3"/>
      <c r="F86" s="3"/>
      <c r="G86" s="3"/>
      <c r="H86" s="27"/>
      <c r="I86" s="11" t="s">
        <v>2027</v>
      </c>
      <c r="J86" s="16" t="s">
        <v>1118</v>
      </c>
      <c r="K86" s="3" t="s">
        <v>2028</v>
      </c>
      <c r="L86" s="3"/>
      <c r="M86" s="3"/>
      <c r="N86" s="3" t="b">
        <v>1</v>
      </c>
      <c r="O86" s="3" t="s">
        <v>1497</v>
      </c>
      <c r="P86" s="3" t="b">
        <v>1</v>
      </c>
      <c r="Q86" s="35"/>
    </row>
    <row r="87" spans="1:17" x14ac:dyDescent="0.3">
      <c r="A87" s="27" t="s">
        <v>2179</v>
      </c>
      <c r="B87" s="31" t="s">
        <v>1015</v>
      </c>
      <c r="C87" s="3"/>
      <c r="D87" s="3"/>
      <c r="E87" s="3"/>
      <c r="F87" s="3"/>
      <c r="G87" s="3"/>
      <c r="H87" s="27"/>
      <c r="I87" s="11" t="s">
        <v>2029</v>
      </c>
      <c r="J87" s="16" t="s">
        <v>1120</v>
      </c>
      <c r="K87" s="3" t="s">
        <v>2030</v>
      </c>
      <c r="L87" s="3"/>
      <c r="M87" s="3"/>
      <c r="N87" s="3" t="b">
        <v>1</v>
      </c>
      <c r="O87" s="3" t="s">
        <v>1497</v>
      </c>
      <c r="P87" s="3" t="b">
        <v>1</v>
      </c>
      <c r="Q87" s="35"/>
    </row>
    <row r="88" spans="1:17" x14ac:dyDescent="0.3">
      <c r="A88" s="27" t="s">
        <v>2179</v>
      </c>
      <c r="B88" s="31" t="s">
        <v>1016</v>
      </c>
      <c r="C88" s="3"/>
      <c r="D88" s="3"/>
      <c r="E88" s="3"/>
      <c r="F88" s="3"/>
      <c r="G88" s="3"/>
      <c r="H88" s="27"/>
      <c r="I88" s="11" t="s">
        <v>2031</v>
      </c>
      <c r="J88" s="16" t="s">
        <v>1118</v>
      </c>
      <c r="K88" s="3" t="s">
        <v>2032</v>
      </c>
      <c r="L88" s="3"/>
      <c r="M88" s="3"/>
      <c r="N88" s="3" t="b">
        <v>1</v>
      </c>
      <c r="O88" s="3" t="s">
        <v>1497</v>
      </c>
      <c r="P88" s="3" t="b">
        <v>1</v>
      </c>
      <c r="Q88" s="35"/>
    </row>
    <row r="89" spans="1:17" x14ac:dyDescent="0.3">
      <c r="A89" s="27" t="s">
        <v>2179</v>
      </c>
      <c r="B89" s="31" t="s">
        <v>1016</v>
      </c>
      <c r="C89" s="3"/>
      <c r="D89" s="3"/>
      <c r="E89" s="3"/>
      <c r="F89" s="3"/>
      <c r="G89" s="3"/>
      <c r="H89" s="27"/>
      <c r="I89" s="11" t="s">
        <v>2033</v>
      </c>
      <c r="J89" s="16" t="s">
        <v>1120</v>
      </c>
      <c r="K89" s="3" t="s">
        <v>2034</v>
      </c>
      <c r="L89" s="3"/>
      <c r="M89" s="3"/>
      <c r="N89" s="3" t="b">
        <v>1</v>
      </c>
      <c r="O89" s="3" t="s">
        <v>1497</v>
      </c>
      <c r="P89" s="3" t="b">
        <v>1</v>
      </c>
      <c r="Q89" s="35"/>
    </row>
    <row r="90" spans="1:17" x14ac:dyDescent="0.3">
      <c r="A90" s="27" t="s">
        <v>2179</v>
      </c>
      <c r="B90" s="27"/>
      <c r="C90" s="3"/>
      <c r="D90" s="3"/>
      <c r="E90" s="3"/>
      <c r="F90" s="3"/>
      <c r="G90" s="3"/>
      <c r="H90" s="27"/>
      <c r="I90" s="11" t="s">
        <v>1536</v>
      </c>
      <c r="J90" s="16" t="s">
        <v>1124</v>
      </c>
      <c r="K90" s="3" t="s">
        <v>1540</v>
      </c>
      <c r="L90" s="3"/>
      <c r="M90" s="3"/>
      <c r="N90" s="3" t="b">
        <v>1</v>
      </c>
      <c r="O90" s="3" t="s">
        <v>1497</v>
      </c>
      <c r="P90" s="3" t="b">
        <v>1</v>
      </c>
      <c r="Q90" s="35"/>
    </row>
    <row r="91" spans="1:17" x14ac:dyDescent="0.3">
      <c r="A91" s="27" t="s">
        <v>2179</v>
      </c>
      <c r="B91" s="27"/>
      <c r="C91" s="3"/>
      <c r="D91" s="3"/>
      <c r="E91" s="3"/>
      <c r="F91" s="3"/>
      <c r="G91" s="3"/>
      <c r="H91" s="27"/>
      <c r="I91" s="11" t="s">
        <v>1537</v>
      </c>
      <c r="J91" s="16" t="s">
        <v>1124</v>
      </c>
      <c r="K91" s="3" t="s">
        <v>1541</v>
      </c>
      <c r="L91" s="3"/>
      <c r="M91" s="3"/>
      <c r="N91" s="3" t="b">
        <v>1</v>
      </c>
      <c r="O91" s="3" t="s">
        <v>1497</v>
      </c>
      <c r="P91" s="3" t="b">
        <v>1</v>
      </c>
      <c r="Q91" s="35"/>
    </row>
    <row r="92" spans="1:17" x14ac:dyDescent="0.3">
      <c r="A92" s="27" t="s">
        <v>2177</v>
      </c>
      <c r="B92" s="27"/>
      <c r="C92" s="3"/>
      <c r="D92" s="3"/>
      <c r="E92" s="3"/>
      <c r="F92" s="3"/>
      <c r="G92" s="3"/>
      <c r="H92" s="27"/>
      <c r="I92" s="46" t="s">
        <v>1585</v>
      </c>
      <c r="J92" s="16" t="s">
        <v>1124</v>
      </c>
      <c r="K92" s="3" t="s">
        <v>2057</v>
      </c>
      <c r="L92" s="3"/>
      <c r="M92" s="3"/>
      <c r="N92" s="3" t="b">
        <v>1</v>
      </c>
      <c r="O92" s="3" t="s">
        <v>1497</v>
      </c>
      <c r="P92" s="3" t="b">
        <v>1</v>
      </c>
      <c r="Q92" s="35"/>
    </row>
    <row r="93" spans="1:17" x14ac:dyDescent="0.3">
      <c r="A93" s="27" t="s">
        <v>2177</v>
      </c>
      <c r="B93" s="27"/>
      <c r="C93" s="3"/>
      <c r="D93" s="3"/>
      <c r="E93" s="3"/>
      <c r="F93" s="3"/>
      <c r="G93" s="3"/>
      <c r="H93" s="27"/>
      <c r="I93" s="11" t="s">
        <v>906</v>
      </c>
      <c r="J93" s="16" t="s">
        <v>1124</v>
      </c>
      <c r="K93" s="3" t="s">
        <v>1765</v>
      </c>
      <c r="L93" s="3"/>
      <c r="M93" s="3"/>
      <c r="N93" s="3" t="b">
        <v>1</v>
      </c>
      <c r="O93" s="3" t="s">
        <v>1497</v>
      </c>
      <c r="P93" s="3" t="b">
        <v>1</v>
      </c>
      <c r="Q93" s="35"/>
    </row>
    <row r="94" spans="1:17" x14ac:dyDescent="0.3">
      <c r="A94" s="27" t="s">
        <v>2177</v>
      </c>
      <c r="B94" s="27"/>
      <c r="C94" s="3"/>
      <c r="D94" s="3"/>
      <c r="E94" s="3"/>
      <c r="F94" s="3"/>
      <c r="G94" s="3"/>
      <c r="H94" s="27"/>
      <c r="I94" s="11" t="s">
        <v>1945</v>
      </c>
      <c r="J94" s="16" t="s">
        <v>1118</v>
      </c>
      <c r="K94" s="16" t="s">
        <v>1946</v>
      </c>
      <c r="L94" s="3"/>
      <c r="M94" s="3"/>
      <c r="N94" s="3" t="b">
        <v>1</v>
      </c>
      <c r="O94" s="3" t="s">
        <v>1497</v>
      </c>
      <c r="P94" s="3" t="b">
        <v>1</v>
      </c>
      <c r="Q94" s="35"/>
    </row>
    <row r="95" spans="1:17" x14ac:dyDescent="0.3">
      <c r="A95" s="27" t="s">
        <v>2177</v>
      </c>
      <c r="B95" s="27"/>
      <c r="C95" s="3"/>
      <c r="D95" s="3"/>
      <c r="E95" s="3"/>
      <c r="F95" s="3"/>
      <c r="G95" s="3"/>
      <c r="H95" s="27"/>
      <c r="I95" s="11" t="s">
        <v>1947</v>
      </c>
      <c r="J95" s="16" t="s">
        <v>1120</v>
      </c>
      <c r="K95" s="16" t="s">
        <v>1948</v>
      </c>
      <c r="L95" s="3"/>
      <c r="M95" s="3"/>
      <c r="N95" s="3" t="b">
        <v>1</v>
      </c>
      <c r="O95" s="3" t="s">
        <v>1497</v>
      </c>
      <c r="P95" s="3" t="b">
        <v>1</v>
      </c>
      <c r="Q95" s="35"/>
    </row>
    <row r="96" spans="1:17" x14ac:dyDescent="0.3">
      <c r="A96" s="27" t="s">
        <v>2177</v>
      </c>
      <c r="B96" s="27"/>
      <c r="C96" s="3"/>
      <c r="D96" s="3"/>
      <c r="E96" s="3"/>
      <c r="F96" s="3"/>
      <c r="G96" s="3"/>
      <c r="H96" s="27"/>
      <c r="I96" s="11" t="s">
        <v>1314</v>
      </c>
      <c r="J96" s="16" t="s">
        <v>1118</v>
      </c>
      <c r="K96" s="16" t="s">
        <v>1315</v>
      </c>
      <c r="L96" s="3"/>
      <c r="M96" s="3"/>
      <c r="N96" s="3" t="b">
        <v>1</v>
      </c>
      <c r="O96" s="3" t="s">
        <v>1497</v>
      </c>
      <c r="P96" s="3" t="b">
        <v>1</v>
      </c>
      <c r="Q96" s="35"/>
    </row>
    <row r="97" spans="1:17" x14ac:dyDescent="0.3">
      <c r="A97" s="27" t="s">
        <v>2177</v>
      </c>
      <c r="B97" s="27"/>
      <c r="C97" s="3"/>
      <c r="D97" s="3"/>
      <c r="E97" s="3"/>
      <c r="F97" s="3"/>
      <c r="G97" s="3"/>
      <c r="H97" s="27"/>
      <c r="I97" s="11" t="s">
        <v>1316</v>
      </c>
      <c r="J97" s="16" t="s">
        <v>1120</v>
      </c>
      <c r="K97" s="16" t="s">
        <v>1317</v>
      </c>
      <c r="L97" s="3"/>
      <c r="M97" s="3"/>
      <c r="N97" s="3" t="b">
        <v>1</v>
      </c>
      <c r="O97" s="3" t="s">
        <v>1497</v>
      </c>
      <c r="P97" s="3" t="b">
        <v>1</v>
      </c>
      <c r="Q97" s="35"/>
    </row>
    <row r="98" spans="1:17" x14ac:dyDescent="0.3">
      <c r="A98" s="27" t="s">
        <v>2177</v>
      </c>
      <c r="B98" s="27"/>
      <c r="C98" s="3"/>
      <c r="D98" s="3"/>
      <c r="E98" s="3"/>
      <c r="F98" s="3"/>
      <c r="G98" s="3"/>
      <c r="H98" s="27"/>
      <c r="I98" s="11" t="s">
        <v>1324</v>
      </c>
      <c r="J98" s="16" t="s">
        <v>1118</v>
      </c>
      <c r="K98" s="16" t="s">
        <v>1325</v>
      </c>
      <c r="L98" s="3"/>
      <c r="M98" s="3"/>
      <c r="N98" s="3" t="b">
        <v>1</v>
      </c>
      <c r="O98" s="3" t="s">
        <v>1497</v>
      </c>
      <c r="P98" s="3" t="b">
        <v>1</v>
      </c>
      <c r="Q98" s="35"/>
    </row>
    <row r="99" spans="1:17" x14ac:dyDescent="0.3">
      <c r="A99" s="27" t="s">
        <v>2177</v>
      </c>
      <c r="B99" s="27"/>
      <c r="C99" s="3"/>
      <c r="D99" s="3"/>
      <c r="E99" s="3"/>
      <c r="F99" s="3"/>
      <c r="G99" s="3"/>
      <c r="H99" s="27"/>
      <c r="I99" s="11" t="s">
        <v>1326</v>
      </c>
      <c r="J99" s="16" t="s">
        <v>1120</v>
      </c>
      <c r="K99" s="16" t="s">
        <v>1327</v>
      </c>
      <c r="L99" s="3"/>
      <c r="M99" s="3"/>
      <c r="N99" s="3" t="b">
        <v>1</v>
      </c>
      <c r="O99" s="3" t="s">
        <v>1497</v>
      </c>
      <c r="P99" s="3" t="b">
        <v>1</v>
      </c>
      <c r="Q99" s="35"/>
    </row>
    <row r="100" spans="1:17" x14ac:dyDescent="0.3">
      <c r="A100" s="27" t="s">
        <v>2177</v>
      </c>
      <c r="B100" s="27"/>
      <c r="C100" s="3"/>
      <c r="D100" s="3"/>
      <c r="E100" s="3"/>
      <c r="F100" s="3"/>
      <c r="G100" s="3"/>
      <c r="H100" s="27"/>
      <c r="I100" s="11" t="s">
        <v>1536</v>
      </c>
      <c r="J100" s="16" t="s">
        <v>1124</v>
      </c>
      <c r="K100" s="3" t="s">
        <v>1540</v>
      </c>
      <c r="L100" s="3"/>
      <c r="M100" s="3"/>
      <c r="N100" s="3" t="b">
        <v>1</v>
      </c>
      <c r="O100" s="3" t="s">
        <v>1497</v>
      </c>
      <c r="P100" s="3" t="b">
        <v>1</v>
      </c>
      <c r="Q100" s="35"/>
    </row>
    <row r="101" spans="1:17" x14ac:dyDescent="0.3">
      <c r="A101" s="27" t="s">
        <v>2177</v>
      </c>
      <c r="B101" s="27"/>
      <c r="C101" s="3"/>
      <c r="D101" s="3"/>
      <c r="E101" s="3"/>
      <c r="F101" s="3"/>
      <c r="G101" s="3"/>
      <c r="H101" s="27"/>
      <c r="I101" s="11" t="s">
        <v>1537</v>
      </c>
      <c r="J101" s="16" t="s">
        <v>1124</v>
      </c>
      <c r="K101" s="3" t="s">
        <v>1541</v>
      </c>
      <c r="L101" s="3"/>
      <c r="M101" s="3"/>
      <c r="N101" s="3" t="b">
        <v>1</v>
      </c>
      <c r="O101" s="3" t="s">
        <v>1497</v>
      </c>
      <c r="P101" s="3" t="b">
        <v>1</v>
      </c>
      <c r="Q101" s="35"/>
    </row>
    <row r="102" spans="1:17" x14ac:dyDescent="0.3">
      <c r="A102" s="27" t="s">
        <v>2177</v>
      </c>
      <c r="B102" s="27"/>
      <c r="C102" s="3"/>
      <c r="D102" s="3"/>
      <c r="E102" s="3"/>
      <c r="F102" s="3"/>
      <c r="G102" s="3"/>
      <c r="H102" s="27"/>
      <c r="I102" s="11" t="s">
        <v>1294</v>
      </c>
      <c r="J102" s="16" t="s">
        <v>1124</v>
      </c>
      <c r="K102" s="3" t="s">
        <v>1444</v>
      </c>
      <c r="L102" s="3"/>
      <c r="M102" s="3"/>
      <c r="N102" s="3" t="b">
        <v>1</v>
      </c>
      <c r="O102" s="3" t="s">
        <v>1497</v>
      </c>
      <c r="P102" s="3" t="b">
        <v>1</v>
      </c>
      <c r="Q102" s="35"/>
    </row>
    <row r="103" spans="1:17" x14ac:dyDescent="0.3">
      <c r="A103" s="27" t="s">
        <v>2178</v>
      </c>
      <c r="B103" s="27"/>
      <c r="C103" s="3"/>
      <c r="D103" s="3"/>
      <c r="E103" s="3"/>
      <c r="F103" s="3"/>
      <c r="G103" s="3"/>
      <c r="H103" s="27"/>
      <c r="I103" s="46" t="s">
        <v>1585</v>
      </c>
      <c r="J103" s="16" t="s">
        <v>1124</v>
      </c>
      <c r="K103" s="3" t="s">
        <v>2057</v>
      </c>
      <c r="L103" s="3"/>
      <c r="M103" s="3"/>
      <c r="N103" s="3" t="b">
        <v>1</v>
      </c>
      <c r="O103" s="3" t="s">
        <v>1497</v>
      </c>
      <c r="P103" s="3" t="b">
        <v>1</v>
      </c>
      <c r="Q103" s="35"/>
    </row>
    <row r="104" spans="1:17" x14ac:dyDescent="0.3">
      <c r="A104" s="27" t="s">
        <v>2178</v>
      </c>
      <c r="B104" s="27"/>
      <c r="C104" s="3"/>
      <c r="D104" s="3"/>
      <c r="E104" s="3"/>
      <c r="F104" s="3"/>
      <c r="G104" s="3"/>
      <c r="H104" s="27"/>
      <c r="I104" s="11" t="s">
        <v>906</v>
      </c>
      <c r="J104" s="16" t="s">
        <v>1124</v>
      </c>
      <c r="K104" s="3" t="s">
        <v>1765</v>
      </c>
      <c r="L104" s="3"/>
      <c r="M104" s="3"/>
      <c r="N104" s="3" t="b">
        <v>1</v>
      </c>
      <c r="O104" s="3" t="s">
        <v>1497</v>
      </c>
      <c r="P104" s="3" t="b">
        <v>1</v>
      </c>
      <c r="Q104" s="35"/>
    </row>
    <row r="105" spans="1:17" x14ac:dyDescent="0.3">
      <c r="A105" s="27" t="s">
        <v>2178</v>
      </c>
      <c r="B105" s="27"/>
      <c r="C105" s="3"/>
      <c r="D105" s="3"/>
      <c r="E105" s="3"/>
      <c r="F105" s="3"/>
      <c r="G105" s="3"/>
      <c r="H105" s="27"/>
      <c r="I105" s="11" t="s">
        <v>1945</v>
      </c>
      <c r="J105" s="16" t="s">
        <v>1118</v>
      </c>
      <c r="K105" s="16" t="s">
        <v>1946</v>
      </c>
      <c r="L105" s="3"/>
      <c r="M105" s="3"/>
      <c r="N105" s="3" t="b">
        <v>1</v>
      </c>
      <c r="O105" s="3" t="s">
        <v>1497</v>
      </c>
      <c r="P105" s="3" t="b">
        <v>1</v>
      </c>
      <c r="Q105" s="35"/>
    </row>
    <row r="106" spans="1:17" x14ac:dyDescent="0.3">
      <c r="A106" s="27" t="s">
        <v>2178</v>
      </c>
      <c r="B106" s="27"/>
      <c r="C106" s="3"/>
      <c r="D106" s="3"/>
      <c r="E106" s="3"/>
      <c r="F106" s="3"/>
      <c r="G106" s="3"/>
      <c r="H106" s="27"/>
      <c r="I106" s="11" t="s">
        <v>1947</v>
      </c>
      <c r="J106" s="16" t="s">
        <v>1120</v>
      </c>
      <c r="K106" s="16" t="s">
        <v>1948</v>
      </c>
      <c r="L106" s="3"/>
      <c r="M106" s="3"/>
      <c r="N106" s="3" t="b">
        <v>1</v>
      </c>
      <c r="O106" s="3" t="s">
        <v>1497</v>
      </c>
      <c r="P106" s="3" t="b">
        <v>1</v>
      </c>
      <c r="Q106" s="35"/>
    </row>
    <row r="107" spans="1:17" x14ac:dyDescent="0.3">
      <c r="A107" s="27" t="s">
        <v>2178</v>
      </c>
      <c r="B107" s="27"/>
      <c r="C107" s="3"/>
      <c r="D107" s="3"/>
      <c r="E107" s="3"/>
      <c r="F107" s="3"/>
      <c r="G107" s="3"/>
      <c r="H107" s="27"/>
      <c r="I107" s="11" t="s">
        <v>1314</v>
      </c>
      <c r="J107" s="16" t="s">
        <v>1118</v>
      </c>
      <c r="K107" s="16" t="s">
        <v>1315</v>
      </c>
      <c r="L107" s="3"/>
      <c r="M107" s="3"/>
      <c r="N107" s="3" t="b">
        <v>1</v>
      </c>
      <c r="O107" s="3" t="s">
        <v>1497</v>
      </c>
      <c r="P107" s="3" t="b">
        <v>1</v>
      </c>
      <c r="Q107" s="35"/>
    </row>
    <row r="108" spans="1:17" x14ac:dyDescent="0.3">
      <c r="A108" s="27" t="s">
        <v>2178</v>
      </c>
      <c r="B108" s="27"/>
      <c r="C108" s="3"/>
      <c r="D108" s="3"/>
      <c r="E108" s="3"/>
      <c r="F108" s="3"/>
      <c r="G108" s="3"/>
      <c r="H108" s="27"/>
      <c r="I108" s="11" t="s">
        <v>1316</v>
      </c>
      <c r="J108" s="16" t="s">
        <v>1120</v>
      </c>
      <c r="K108" s="16" t="s">
        <v>1317</v>
      </c>
      <c r="L108" s="3"/>
      <c r="M108" s="3"/>
      <c r="N108" s="3" t="b">
        <v>1</v>
      </c>
      <c r="O108" s="3" t="s">
        <v>1497</v>
      </c>
      <c r="P108" s="3" t="b">
        <v>1</v>
      </c>
      <c r="Q108" s="35"/>
    </row>
    <row r="109" spans="1:17" x14ac:dyDescent="0.3">
      <c r="A109" s="27" t="s">
        <v>2178</v>
      </c>
      <c r="B109" s="27"/>
      <c r="C109" s="3"/>
      <c r="D109" s="3"/>
      <c r="E109" s="3"/>
      <c r="F109" s="3"/>
      <c r="G109" s="3"/>
      <c r="H109" s="27"/>
      <c r="I109" s="11" t="s">
        <v>1324</v>
      </c>
      <c r="J109" s="16" t="s">
        <v>1118</v>
      </c>
      <c r="K109" s="16" t="s">
        <v>1325</v>
      </c>
      <c r="L109" s="3"/>
      <c r="M109" s="3"/>
      <c r="N109" s="3" t="b">
        <v>1</v>
      </c>
      <c r="O109" s="3" t="s">
        <v>1497</v>
      </c>
      <c r="P109" s="3" t="b">
        <v>1</v>
      </c>
      <c r="Q109" s="35"/>
    </row>
    <row r="110" spans="1:17" x14ac:dyDescent="0.3">
      <c r="A110" s="27" t="s">
        <v>2178</v>
      </c>
      <c r="B110" s="27"/>
      <c r="C110" s="3"/>
      <c r="D110" s="3"/>
      <c r="E110" s="3"/>
      <c r="F110" s="3"/>
      <c r="G110" s="3"/>
      <c r="H110" s="27"/>
      <c r="I110" s="11" t="s">
        <v>1326</v>
      </c>
      <c r="J110" s="16" t="s">
        <v>1120</v>
      </c>
      <c r="K110" s="16" t="s">
        <v>1327</v>
      </c>
      <c r="L110" s="3"/>
      <c r="M110" s="3"/>
      <c r="N110" s="3" t="b">
        <v>1</v>
      </c>
      <c r="O110" s="3" t="s">
        <v>1497</v>
      </c>
      <c r="P110" s="3" t="b">
        <v>1</v>
      </c>
      <c r="Q110" s="35"/>
    </row>
    <row r="111" spans="1:17" x14ac:dyDescent="0.3">
      <c r="A111" s="27" t="s">
        <v>2178</v>
      </c>
      <c r="B111" s="27"/>
      <c r="C111" s="3"/>
      <c r="D111" s="3"/>
      <c r="E111" s="3"/>
      <c r="F111" s="3"/>
      <c r="G111" s="3"/>
      <c r="H111" s="27"/>
      <c r="I111" s="11" t="s">
        <v>1536</v>
      </c>
      <c r="J111" s="16" t="s">
        <v>1124</v>
      </c>
      <c r="K111" s="3" t="s">
        <v>1540</v>
      </c>
      <c r="L111" s="3"/>
      <c r="M111" s="3"/>
      <c r="N111" s="3" t="b">
        <v>1</v>
      </c>
      <c r="O111" s="3" t="s">
        <v>1497</v>
      </c>
      <c r="P111" s="3" t="b">
        <v>1</v>
      </c>
      <c r="Q111" s="35"/>
    </row>
    <row r="112" spans="1:17" x14ac:dyDescent="0.3">
      <c r="A112" s="27" t="s">
        <v>2178</v>
      </c>
      <c r="B112" s="27"/>
      <c r="C112" s="3"/>
      <c r="D112" s="3"/>
      <c r="E112" s="3"/>
      <c r="F112" s="3"/>
      <c r="G112" s="3"/>
      <c r="H112" s="27"/>
      <c r="I112" s="11" t="s">
        <v>1537</v>
      </c>
      <c r="J112" s="16" t="s">
        <v>1124</v>
      </c>
      <c r="K112" s="3" t="s">
        <v>1541</v>
      </c>
      <c r="L112" s="3"/>
      <c r="M112" s="3"/>
      <c r="N112" s="3" t="b">
        <v>1</v>
      </c>
      <c r="O112" s="3" t="s">
        <v>1497</v>
      </c>
      <c r="P112" s="3" t="b">
        <v>1</v>
      </c>
      <c r="Q112" s="35"/>
    </row>
    <row r="113" spans="1:17" x14ac:dyDescent="0.3">
      <c r="A113" s="27" t="s">
        <v>2178</v>
      </c>
      <c r="B113" s="27"/>
      <c r="C113" s="3"/>
      <c r="D113" s="3"/>
      <c r="E113" s="3"/>
      <c r="F113" s="3"/>
      <c r="G113" s="3"/>
      <c r="H113" s="27"/>
      <c r="I113" s="11" t="s">
        <v>1294</v>
      </c>
      <c r="J113" s="16" t="s">
        <v>1124</v>
      </c>
      <c r="K113" s="3" t="s">
        <v>1444</v>
      </c>
      <c r="L113" s="3"/>
      <c r="M113" s="3"/>
      <c r="N113" s="3" t="b">
        <v>1</v>
      </c>
      <c r="O113" s="3" t="s">
        <v>1497</v>
      </c>
      <c r="P113" s="3" t="b">
        <v>1</v>
      </c>
      <c r="Q113" s="35"/>
    </row>
    <row r="114" spans="1:17" x14ac:dyDescent="0.3">
      <c r="A114" s="27" t="s">
        <v>2178</v>
      </c>
      <c r="B114" s="27"/>
      <c r="C114" s="3"/>
      <c r="D114" s="3"/>
      <c r="E114" s="3"/>
      <c r="F114" s="3"/>
      <c r="G114" s="3"/>
      <c r="H114" s="27"/>
      <c r="I114" s="11" t="s">
        <v>2050</v>
      </c>
      <c r="J114" s="16" t="s">
        <v>1124</v>
      </c>
      <c r="K114" s="3" t="s">
        <v>2051</v>
      </c>
      <c r="L114" s="3"/>
      <c r="M114" s="3"/>
      <c r="N114" s="3" t="b">
        <v>1</v>
      </c>
      <c r="O114" s="3" t="s">
        <v>1497</v>
      </c>
      <c r="P114" s="3" t="b">
        <v>1</v>
      </c>
      <c r="Q114" s="35"/>
    </row>
    <row r="115" spans="1:17" x14ac:dyDescent="0.3">
      <c r="A115" s="27" t="s">
        <v>2178</v>
      </c>
      <c r="B115" s="27"/>
      <c r="C115" s="3"/>
      <c r="D115" s="3"/>
      <c r="E115" s="3"/>
      <c r="F115" s="3"/>
      <c r="G115" s="3"/>
      <c r="H115" s="27"/>
      <c r="I115" s="11" t="s">
        <v>2052</v>
      </c>
      <c r="J115" s="16" t="s">
        <v>1124</v>
      </c>
      <c r="K115" s="3" t="s">
        <v>2053</v>
      </c>
      <c r="L115" s="3"/>
      <c r="M115" s="3"/>
      <c r="N115" s="3" t="b">
        <v>1</v>
      </c>
      <c r="O115" s="3" t="s">
        <v>1497</v>
      </c>
      <c r="P115" s="3" t="b">
        <v>1</v>
      </c>
      <c r="Q115" s="35"/>
    </row>
    <row r="116" spans="1:17" x14ac:dyDescent="0.3">
      <c r="A116" s="27" t="s">
        <v>2180</v>
      </c>
      <c r="B116" s="27"/>
      <c r="C116" s="3"/>
      <c r="D116" s="3"/>
      <c r="E116" s="3"/>
      <c r="F116" s="3"/>
      <c r="G116" s="3"/>
      <c r="H116" s="27"/>
      <c r="I116" s="46" t="s">
        <v>1585</v>
      </c>
      <c r="J116" s="16" t="s">
        <v>1124</v>
      </c>
      <c r="K116" s="3" t="s">
        <v>2057</v>
      </c>
      <c r="L116" s="3"/>
      <c r="M116" s="3"/>
      <c r="N116" s="3" t="b">
        <v>1</v>
      </c>
      <c r="O116" s="3" t="s">
        <v>1497</v>
      </c>
      <c r="P116" s="3" t="b">
        <v>1</v>
      </c>
      <c r="Q116" s="35"/>
    </row>
    <row r="117" spans="1:17" x14ac:dyDescent="0.3">
      <c r="A117" s="27" t="s">
        <v>2180</v>
      </c>
      <c r="B117" s="27"/>
      <c r="C117" s="3"/>
      <c r="D117" s="3"/>
      <c r="E117" s="3"/>
      <c r="F117" s="3"/>
      <c r="G117" s="3"/>
      <c r="H117" s="27"/>
      <c r="I117" s="11" t="s">
        <v>906</v>
      </c>
      <c r="J117" s="16" t="s">
        <v>1124</v>
      </c>
      <c r="K117" s="3" t="s">
        <v>1765</v>
      </c>
      <c r="L117" s="3"/>
      <c r="M117" s="3"/>
      <c r="N117" s="3" t="b">
        <v>1</v>
      </c>
      <c r="O117" s="3" t="s">
        <v>1497</v>
      </c>
      <c r="P117" s="3" t="b">
        <v>1</v>
      </c>
      <c r="Q117" s="35"/>
    </row>
    <row r="118" spans="1:17" x14ac:dyDescent="0.3">
      <c r="A118" s="27" t="s">
        <v>2180</v>
      </c>
      <c r="B118" s="27"/>
      <c r="C118" s="3"/>
      <c r="D118" s="3"/>
      <c r="E118" s="3"/>
      <c r="F118" s="3"/>
      <c r="G118" s="3"/>
      <c r="H118" s="27"/>
      <c r="I118" s="11" t="s">
        <v>1945</v>
      </c>
      <c r="J118" s="16" t="s">
        <v>1118</v>
      </c>
      <c r="K118" s="16" t="s">
        <v>1946</v>
      </c>
      <c r="L118" s="3"/>
      <c r="M118" s="3"/>
      <c r="N118" s="3" t="b">
        <v>1</v>
      </c>
      <c r="O118" s="3" t="s">
        <v>1497</v>
      </c>
      <c r="P118" s="3" t="b">
        <v>1</v>
      </c>
      <c r="Q118" s="35"/>
    </row>
    <row r="119" spans="1:17" x14ac:dyDescent="0.3">
      <c r="A119" s="27" t="s">
        <v>2180</v>
      </c>
      <c r="B119" s="27"/>
      <c r="C119" s="3"/>
      <c r="D119" s="3"/>
      <c r="E119" s="3"/>
      <c r="F119" s="3"/>
      <c r="G119" s="3"/>
      <c r="H119" s="27"/>
      <c r="I119" s="11" t="s">
        <v>1947</v>
      </c>
      <c r="J119" s="16" t="s">
        <v>1120</v>
      </c>
      <c r="K119" s="16" t="s">
        <v>1948</v>
      </c>
      <c r="L119" s="3"/>
      <c r="M119" s="3"/>
      <c r="N119" s="3" t="b">
        <v>1</v>
      </c>
      <c r="O119" s="3" t="s">
        <v>1497</v>
      </c>
      <c r="P119" s="3" t="b">
        <v>1</v>
      </c>
      <c r="Q119" s="35"/>
    </row>
    <row r="120" spans="1:17" x14ac:dyDescent="0.3">
      <c r="A120" s="27" t="s">
        <v>2180</v>
      </c>
      <c r="B120" s="27"/>
      <c r="C120" s="3"/>
      <c r="D120" s="3"/>
      <c r="E120" s="3"/>
      <c r="F120" s="3"/>
      <c r="G120" s="3"/>
      <c r="H120" s="27"/>
      <c r="I120" s="11" t="s">
        <v>1314</v>
      </c>
      <c r="J120" s="16" t="s">
        <v>1118</v>
      </c>
      <c r="K120" s="16" t="s">
        <v>1315</v>
      </c>
      <c r="L120" s="3"/>
      <c r="M120" s="3"/>
      <c r="N120" s="3" t="b">
        <v>1</v>
      </c>
      <c r="O120" s="3" t="s">
        <v>1497</v>
      </c>
      <c r="P120" s="3" t="b">
        <v>1</v>
      </c>
      <c r="Q120" s="35"/>
    </row>
    <row r="121" spans="1:17" x14ac:dyDescent="0.3">
      <c r="A121" s="27" t="s">
        <v>2180</v>
      </c>
      <c r="B121" s="27"/>
      <c r="C121" s="3"/>
      <c r="D121" s="3"/>
      <c r="E121" s="3"/>
      <c r="F121" s="3"/>
      <c r="G121" s="3"/>
      <c r="H121" s="27"/>
      <c r="I121" s="11" t="s">
        <v>1316</v>
      </c>
      <c r="J121" s="16" t="s">
        <v>1120</v>
      </c>
      <c r="K121" s="16" t="s">
        <v>1317</v>
      </c>
      <c r="L121" s="3"/>
      <c r="M121" s="3"/>
      <c r="N121" s="3" t="b">
        <v>1</v>
      </c>
      <c r="O121" s="3" t="s">
        <v>1497</v>
      </c>
      <c r="P121" s="3" t="b">
        <v>1</v>
      </c>
      <c r="Q121" s="35"/>
    </row>
    <row r="122" spans="1:17" x14ac:dyDescent="0.3">
      <c r="A122" s="27" t="s">
        <v>2180</v>
      </c>
      <c r="B122" s="27"/>
      <c r="C122" s="3"/>
      <c r="D122" s="3"/>
      <c r="E122" s="3"/>
      <c r="F122" s="3"/>
      <c r="G122" s="3"/>
      <c r="H122" s="27"/>
      <c r="I122" s="11" t="s">
        <v>1318</v>
      </c>
      <c r="J122" s="16" t="s">
        <v>1118</v>
      </c>
      <c r="K122" s="16" t="s">
        <v>1319</v>
      </c>
      <c r="L122" s="3"/>
      <c r="M122" s="3"/>
      <c r="N122" s="3" t="b">
        <v>1</v>
      </c>
      <c r="O122" s="3" t="s">
        <v>1497</v>
      </c>
      <c r="P122" s="3" t="b">
        <v>1</v>
      </c>
      <c r="Q122" s="35"/>
    </row>
    <row r="123" spans="1:17" x14ac:dyDescent="0.3">
      <c r="A123" s="27" t="s">
        <v>2180</v>
      </c>
      <c r="B123" s="27"/>
      <c r="C123" s="3"/>
      <c r="D123" s="3"/>
      <c r="E123" s="3"/>
      <c r="F123" s="3"/>
      <c r="G123" s="3"/>
      <c r="H123" s="27"/>
      <c r="I123" s="11" t="s">
        <v>1320</v>
      </c>
      <c r="J123" s="16" t="s">
        <v>1120</v>
      </c>
      <c r="K123" s="16" t="s">
        <v>1321</v>
      </c>
      <c r="L123" s="3"/>
      <c r="M123" s="3"/>
      <c r="N123" s="3" t="b">
        <v>1</v>
      </c>
      <c r="O123" s="3" t="s">
        <v>1497</v>
      </c>
      <c r="P123" s="3" t="b">
        <v>1</v>
      </c>
      <c r="Q123" s="35"/>
    </row>
    <row r="124" spans="1:17" x14ac:dyDescent="0.3">
      <c r="A124" s="27" t="s">
        <v>2180</v>
      </c>
      <c r="B124" s="27"/>
      <c r="C124" s="3"/>
      <c r="D124" s="3"/>
      <c r="E124" s="3"/>
      <c r="F124" s="3"/>
      <c r="G124" s="3"/>
      <c r="H124" s="27"/>
      <c r="I124" s="11" t="s">
        <v>1324</v>
      </c>
      <c r="J124" s="16" t="s">
        <v>1118</v>
      </c>
      <c r="K124" s="16" t="s">
        <v>1325</v>
      </c>
      <c r="L124" s="3"/>
      <c r="M124" s="3"/>
      <c r="N124" s="3" t="b">
        <v>1</v>
      </c>
      <c r="O124" s="3" t="s">
        <v>1497</v>
      </c>
      <c r="P124" s="3" t="b">
        <v>1</v>
      </c>
      <c r="Q124" s="35"/>
    </row>
    <row r="125" spans="1:17" x14ac:dyDescent="0.3">
      <c r="A125" s="27" t="s">
        <v>2180</v>
      </c>
      <c r="B125" s="27"/>
      <c r="C125" s="3"/>
      <c r="D125" s="3"/>
      <c r="E125" s="3"/>
      <c r="F125" s="3"/>
      <c r="G125" s="3"/>
      <c r="H125" s="27"/>
      <c r="I125" s="11" t="s">
        <v>1326</v>
      </c>
      <c r="J125" s="16" t="s">
        <v>1120</v>
      </c>
      <c r="K125" s="16" t="s">
        <v>1327</v>
      </c>
      <c r="L125" s="3"/>
      <c r="M125" s="3"/>
      <c r="N125" s="3" t="b">
        <v>1</v>
      </c>
      <c r="O125" s="3" t="s">
        <v>1497</v>
      </c>
      <c r="P125" s="3" t="b">
        <v>1</v>
      </c>
      <c r="Q125" s="35"/>
    </row>
    <row r="126" spans="1:17" x14ac:dyDescent="0.3">
      <c r="A126" s="27" t="s">
        <v>2180</v>
      </c>
      <c r="B126" s="27"/>
      <c r="C126" s="3"/>
      <c r="D126" s="3"/>
      <c r="E126" s="3"/>
      <c r="F126" s="3"/>
      <c r="G126" s="3"/>
      <c r="H126" s="27"/>
      <c r="I126" s="11" t="s">
        <v>1536</v>
      </c>
      <c r="J126" s="16" t="s">
        <v>1124</v>
      </c>
      <c r="K126" s="3" t="s">
        <v>1540</v>
      </c>
      <c r="L126" s="3"/>
      <c r="M126" s="3"/>
      <c r="N126" s="3" t="b">
        <v>1</v>
      </c>
      <c r="O126" s="3" t="s">
        <v>1497</v>
      </c>
      <c r="P126" s="3" t="b">
        <v>1</v>
      </c>
      <c r="Q126" s="35"/>
    </row>
    <row r="127" spans="1:17" x14ac:dyDescent="0.3">
      <c r="A127" s="27" t="s">
        <v>2180</v>
      </c>
      <c r="B127" s="27"/>
      <c r="C127" s="3"/>
      <c r="D127" s="3"/>
      <c r="E127" s="3"/>
      <c r="F127" s="3"/>
      <c r="G127" s="3"/>
      <c r="H127" s="27"/>
      <c r="I127" s="11" t="s">
        <v>1537</v>
      </c>
      <c r="J127" s="16" t="s">
        <v>1124</v>
      </c>
      <c r="K127" s="3" t="s">
        <v>1541</v>
      </c>
      <c r="L127" s="3"/>
      <c r="M127" s="3"/>
      <c r="N127" s="3" t="b">
        <v>1</v>
      </c>
      <c r="O127" s="3" t="s">
        <v>1497</v>
      </c>
      <c r="P127" s="3" t="b">
        <v>1</v>
      </c>
      <c r="Q127" s="35"/>
    </row>
    <row r="128" spans="1:17" x14ac:dyDescent="0.3">
      <c r="A128" s="27" t="s">
        <v>2180</v>
      </c>
      <c r="B128" s="27"/>
      <c r="C128" s="3"/>
      <c r="D128" s="3"/>
      <c r="E128" s="3"/>
      <c r="F128" s="3"/>
      <c r="G128" s="3"/>
      <c r="H128" s="27"/>
      <c r="I128" s="11" t="s">
        <v>1294</v>
      </c>
      <c r="J128" s="16" t="s">
        <v>1124</v>
      </c>
      <c r="K128" s="3" t="s">
        <v>1444</v>
      </c>
      <c r="L128" s="3"/>
      <c r="M128" s="3"/>
      <c r="N128" s="3" t="b">
        <v>1</v>
      </c>
      <c r="O128" s="3" t="s">
        <v>1497</v>
      </c>
      <c r="P128" s="3" t="b">
        <v>1</v>
      </c>
      <c r="Q128" s="35"/>
    </row>
    <row r="129" spans="1:17" x14ac:dyDescent="0.3">
      <c r="A129" s="27" t="s">
        <v>2181</v>
      </c>
      <c r="B129" s="27"/>
      <c r="C129" s="3"/>
      <c r="D129" s="3"/>
      <c r="E129" s="3"/>
      <c r="F129" s="3"/>
      <c r="G129" s="3"/>
      <c r="H129" s="27"/>
      <c r="I129" s="11" t="s">
        <v>1536</v>
      </c>
      <c r="J129" s="16" t="s">
        <v>1124</v>
      </c>
      <c r="K129" s="3" t="s">
        <v>1540</v>
      </c>
      <c r="L129" s="3"/>
      <c r="M129" s="3"/>
      <c r="N129" s="3" t="b">
        <v>1</v>
      </c>
      <c r="O129" s="3" t="s">
        <v>1497</v>
      </c>
      <c r="P129" s="3" t="b">
        <v>1</v>
      </c>
      <c r="Q129" s="35"/>
    </row>
    <row r="130" spans="1:17" x14ac:dyDescent="0.3">
      <c r="A130" s="27" t="s">
        <v>2181</v>
      </c>
      <c r="B130" s="27"/>
      <c r="C130" s="3"/>
      <c r="D130" s="3"/>
      <c r="E130" s="3"/>
      <c r="F130" s="3"/>
      <c r="G130" s="3"/>
      <c r="H130" s="27"/>
      <c r="I130" s="11" t="s">
        <v>1537</v>
      </c>
      <c r="J130" s="16" t="s">
        <v>1124</v>
      </c>
      <c r="K130" s="3" t="s">
        <v>1541</v>
      </c>
      <c r="L130" s="3"/>
      <c r="M130" s="3"/>
      <c r="N130" s="3" t="b">
        <v>1</v>
      </c>
      <c r="O130" s="3" t="s">
        <v>1497</v>
      </c>
      <c r="P130" s="3" t="b">
        <v>1</v>
      </c>
      <c r="Q130" s="35"/>
    </row>
    <row r="131" spans="1:17" x14ac:dyDescent="0.3">
      <c r="A131" s="27" t="s">
        <v>1548</v>
      </c>
      <c r="B131" s="27"/>
      <c r="C131" s="3"/>
      <c r="D131" s="3"/>
      <c r="E131" s="3"/>
      <c r="F131" s="3"/>
      <c r="G131" s="3"/>
      <c r="H131" s="27"/>
      <c r="I131" s="46" t="s">
        <v>1303</v>
      </c>
      <c r="J131" s="16" t="s">
        <v>1118</v>
      </c>
      <c r="K131" s="3" t="s">
        <v>2418</v>
      </c>
      <c r="L131" s="3"/>
      <c r="M131" s="3"/>
      <c r="N131" s="3" t="b">
        <v>0</v>
      </c>
      <c r="O131" s="3" t="s">
        <v>1497</v>
      </c>
      <c r="P131" s="3" t="b">
        <v>0</v>
      </c>
      <c r="Q131" s="35"/>
    </row>
    <row r="132" spans="1:17" x14ac:dyDescent="0.3">
      <c r="A132" s="27" t="s">
        <v>858</v>
      </c>
      <c r="B132" s="27"/>
      <c r="C132" s="3"/>
      <c r="D132" s="3"/>
      <c r="E132" s="3"/>
      <c r="F132" s="3"/>
      <c r="G132" s="3"/>
      <c r="H132" s="27"/>
      <c r="I132" s="46" t="s">
        <v>1303</v>
      </c>
      <c r="J132" s="16" t="s">
        <v>1118</v>
      </c>
      <c r="K132" s="3" t="s">
        <v>2418</v>
      </c>
      <c r="L132" s="3"/>
      <c r="M132" s="3"/>
      <c r="N132" s="3" t="b">
        <v>0</v>
      </c>
      <c r="O132" s="3" t="s">
        <v>1497</v>
      </c>
      <c r="P132" s="3" t="b">
        <v>0</v>
      </c>
      <c r="Q132" s="35"/>
    </row>
    <row r="133" spans="1:17" x14ac:dyDescent="0.3">
      <c r="A133" s="27" t="s">
        <v>859</v>
      </c>
      <c r="B133" s="27"/>
      <c r="C133" s="3"/>
      <c r="D133" s="3"/>
      <c r="E133" s="3"/>
      <c r="F133" s="3"/>
      <c r="G133" s="3"/>
      <c r="H133" s="27"/>
      <c r="I133" s="46" t="s">
        <v>1303</v>
      </c>
      <c r="J133" s="16" t="s">
        <v>1118</v>
      </c>
      <c r="K133" s="3" t="s">
        <v>2418</v>
      </c>
      <c r="L133" s="3"/>
      <c r="M133" s="3"/>
      <c r="N133" s="3" t="b">
        <v>0</v>
      </c>
      <c r="O133" s="3" t="s">
        <v>1497</v>
      </c>
      <c r="P133" s="3" t="b">
        <v>0</v>
      </c>
      <c r="Q133" s="35"/>
    </row>
    <row r="134" spans="1:17" x14ac:dyDescent="0.3">
      <c r="A134" s="27" t="s">
        <v>2177</v>
      </c>
      <c r="B134" s="27"/>
      <c r="C134" s="3"/>
      <c r="D134" s="3"/>
      <c r="E134" s="3"/>
      <c r="F134" s="3"/>
      <c r="G134" s="3"/>
      <c r="H134" s="27"/>
      <c r="I134" s="46" t="s">
        <v>1303</v>
      </c>
      <c r="J134" s="16" t="s">
        <v>1118</v>
      </c>
      <c r="K134" s="3" t="s">
        <v>2418</v>
      </c>
      <c r="L134" s="3"/>
      <c r="M134" s="3"/>
      <c r="N134" s="3" t="b">
        <v>0</v>
      </c>
      <c r="O134" s="3" t="s">
        <v>1497</v>
      </c>
      <c r="P134" s="3" t="b">
        <v>0</v>
      </c>
      <c r="Q134" s="35"/>
    </row>
    <row r="135" spans="1:17" x14ac:dyDescent="0.3">
      <c r="A135" s="27" t="s">
        <v>2178</v>
      </c>
      <c r="B135" s="27"/>
      <c r="C135" s="3"/>
      <c r="D135" s="3"/>
      <c r="E135" s="3"/>
      <c r="F135" s="3"/>
      <c r="G135" s="3"/>
      <c r="H135" s="27"/>
      <c r="I135" s="46" t="s">
        <v>1303</v>
      </c>
      <c r="J135" s="16" t="s">
        <v>1118</v>
      </c>
      <c r="K135" s="3" t="s">
        <v>2418</v>
      </c>
      <c r="L135" s="3"/>
      <c r="M135" s="3"/>
      <c r="N135" s="3" t="b">
        <v>0</v>
      </c>
      <c r="O135" s="3" t="s">
        <v>1497</v>
      </c>
      <c r="P135" s="3" t="b">
        <v>0</v>
      </c>
      <c r="Q135" s="35"/>
    </row>
    <row r="136" spans="1:17" x14ac:dyDescent="0.3">
      <c r="A136" s="27" t="s">
        <v>2180</v>
      </c>
      <c r="B136" s="27"/>
      <c r="C136" s="3"/>
      <c r="D136" s="3"/>
      <c r="E136" s="3"/>
      <c r="F136" s="3"/>
      <c r="G136" s="3"/>
      <c r="H136" s="27"/>
      <c r="I136" s="46" t="s">
        <v>1303</v>
      </c>
      <c r="J136" s="16" t="s">
        <v>1118</v>
      </c>
      <c r="K136" s="3" t="s">
        <v>2418</v>
      </c>
      <c r="L136" s="3"/>
      <c r="M136" s="3"/>
      <c r="N136" s="3" t="b">
        <v>0</v>
      </c>
      <c r="O136" s="3" t="s">
        <v>1497</v>
      </c>
      <c r="P136" s="3" t="b">
        <v>0</v>
      </c>
      <c r="Q136" s="35"/>
    </row>
    <row r="137" spans="1:17" x14ac:dyDescent="0.3">
      <c r="A137" s="27" t="s">
        <v>1548</v>
      </c>
      <c r="B137" s="27"/>
      <c r="C137" s="3"/>
      <c r="D137" s="3"/>
      <c r="E137" s="3"/>
      <c r="F137" s="3"/>
      <c r="G137" s="3"/>
      <c r="H137" s="27"/>
      <c r="I137" s="46" t="s">
        <v>1303</v>
      </c>
      <c r="J137" s="16" t="s">
        <v>1120</v>
      </c>
      <c r="K137" s="3" t="s">
        <v>2419</v>
      </c>
      <c r="L137" s="3"/>
      <c r="M137" s="3"/>
      <c r="N137" s="3" t="b">
        <v>0</v>
      </c>
      <c r="O137" s="3" t="s">
        <v>1497</v>
      </c>
      <c r="P137" s="3" t="b">
        <v>0</v>
      </c>
      <c r="Q137" s="35"/>
    </row>
    <row r="138" spans="1:17" x14ac:dyDescent="0.3">
      <c r="A138" s="27" t="s">
        <v>858</v>
      </c>
      <c r="B138" s="27"/>
      <c r="C138" s="3"/>
      <c r="D138" s="3"/>
      <c r="E138" s="3"/>
      <c r="F138" s="3"/>
      <c r="G138" s="3"/>
      <c r="H138" s="27"/>
      <c r="I138" s="46" t="s">
        <v>1303</v>
      </c>
      <c r="J138" s="16" t="s">
        <v>1120</v>
      </c>
      <c r="K138" s="3" t="s">
        <v>2419</v>
      </c>
      <c r="L138" s="3"/>
      <c r="M138" s="3"/>
      <c r="N138" s="3" t="b">
        <v>0</v>
      </c>
      <c r="O138" s="3" t="s">
        <v>1497</v>
      </c>
      <c r="P138" s="3" t="b">
        <v>0</v>
      </c>
      <c r="Q138" s="35"/>
    </row>
    <row r="139" spans="1:17" x14ac:dyDescent="0.3">
      <c r="A139" s="27" t="s">
        <v>859</v>
      </c>
      <c r="B139" s="27"/>
      <c r="C139" s="3"/>
      <c r="D139" s="3"/>
      <c r="E139" s="3"/>
      <c r="F139" s="3"/>
      <c r="G139" s="3"/>
      <c r="H139" s="27"/>
      <c r="I139" s="46" t="s">
        <v>1303</v>
      </c>
      <c r="J139" s="16" t="s">
        <v>1120</v>
      </c>
      <c r="K139" s="3" t="s">
        <v>2419</v>
      </c>
      <c r="L139" s="3"/>
      <c r="M139" s="3"/>
      <c r="N139" s="3" t="b">
        <v>0</v>
      </c>
      <c r="O139" s="3" t="s">
        <v>1497</v>
      </c>
      <c r="P139" s="3" t="b">
        <v>0</v>
      </c>
      <c r="Q139" s="35"/>
    </row>
    <row r="140" spans="1:17" x14ac:dyDescent="0.3">
      <c r="A140" s="27" t="s">
        <v>2177</v>
      </c>
      <c r="B140" s="27"/>
      <c r="C140" s="3"/>
      <c r="D140" s="3"/>
      <c r="E140" s="3"/>
      <c r="F140" s="3"/>
      <c r="G140" s="3"/>
      <c r="H140" s="27"/>
      <c r="I140" s="46" t="s">
        <v>1303</v>
      </c>
      <c r="J140" s="16" t="s">
        <v>1120</v>
      </c>
      <c r="K140" s="3" t="s">
        <v>2419</v>
      </c>
      <c r="L140" s="3"/>
      <c r="M140" s="3"/>
      <c r="N140" s="3" t="b">
        <v>0</v>
      </c>
      <c r="O140" s="3" t="s">
        <v>1497</v>
      </c>
      <c r="P140" s="3" t="b">
        <v>0</v>
      </c>
      <c r="Q140" s="35"/>
    </row>
    <row r="141" spans="1:17" x14ac:dyDescent="0.3">
      <c r="A141" s="27" t="s">
        <v>2178</v>
      </c>
      <c r="B141" s="27"/>
      <c r="C141" s="3"/>
      <c r="D141" s="3"/>
      <c r="E141" s="3"/>
      <c r="F141" s="3"/>
      <c r="G141" s="3"/>
      <c r="H141" s="27"/>
      <c r="I141" s="46" t="s">
        <v>1303</v>
      </c>
      <c r="J141" s="16" t="s">
        <v>1120</v>
      </c>
      <c r="K141" s="3" t="s">
        <v>2419</v>
      </c>
      <c r="L141" s="3"/>
      <c r="M141" s="3"/>
      <c r="N141" s="3" t="b">
        <v>0</v>
      </c>
      <c r="O141" s="3" t="s">
        <v>1497</v>
      </c>
      <c r="P141" s="3" t="b">
        <v>0</v>
      </c>
      <c r="Q141" s="35"/>
    </row>
    <row r="142" spans="1:17" x14ac:dyDescent="0.3">
      <c r="A142" s="27" t="s">
        <v>2180</v>
      </c>
      <c r="B142" s="27"/>
      <c r="C142" s="3"/>
      <c r="D142" s="3"/>
      <c r="E142" s="3"/>
      <c r="F142" s="3"/>
      <c r="G142" s="3"/>
      <c r="H142" s="27"/>
      <c r="I142" s="46" t="s">
        <v>1303</v>
      </c>
      <c r="J142" s="16" t="s">
        <v>1120</v>
      </c>
      <c r="K142" s="3" t="s">
        <v>2419</v>
      </c>
      <c r="L142" s="3"/>
      <c r="M142" s="3"/>
      <c r="N142" s="3" t="b">
        <v>0</v>
      </c>
      <c r="O142" s="3" t="s">
        <v>1497</v>
      </c>
      <c r="P142" s="3" t="b">
        <v>0</v>
      </c>
      <c r="Q142" s="35"/>
    </row>
    <row r="143" spans="1:17" x14ac:dyDescent="0.3">
      <c r="A143" s="27" t="s">
        <v>1548</v>
      </c>
      <c r="B143" s="27"/>
      <c r="C143" s="3"/>
      <c r="D143" s="3"/>
      <c r="E143" s="3"/>
      <c r="F143" s="3"/>
      <c r="G143" s="3"/>
      <c r="H143" s="27"/>
      <c r="I143" s="46" t="s">
        <v>1303</v>
      </c>
      <c r="J143" s="16" t="s">
        <v>1120</v>
      </c>
      <c r="K143" s="3" t="s">
        <v>2417</v>
      </c>
      <c r="L143" s="3"/>
      <c r="M143" s="3"/>
      <c r="N143" s="3" t="b">
        <v>0</v>
      </c>
      <c r="O143" s="3" t="s">
        <v>1497</v>
      </c>
      <c r="P143" s="3" t="b">
        <v>0</v>
      </c>
      <c r="Q143" s="35"/>
    </row>
    <row r="144" spans="1:17" x14ac:dyDescent="0.3">
      <c r="A144" s="25" t="s">
        <v>858</v>
      </c>
      <c r="B144" s="25"/>
      <c r="C144" s="3"/>
      <c r="D144" s="3"/>
      <c r="E144" s="3"/>
      <c r="F144" s="3"/>
      <c r="G144" s="3"/>
      <c r="H144" s="3"/>
      <c r="I144" s="46" t="s">
        <v>1303</v>
      </c>
      <c r="J144" s="16" t="s">
        <v>1120</v>
      </c>
      <c r="K144" s="3" t="s">
        <v>2417</v>
      </c>
      <c r="L144" s="3"/>
      <c r="M144" s="3"/>
      <c r="N144" s="3" t="b">
        <v>0</v>
      </c>
      <c r="O144" s="3" t="s">
        <v>1497</v>
      </c>
      <c r="P144" s="3" t="b">
        <v>0</v>
      </c>
      <c r="Q144" s="35"/>
    </row>
    <row r="145" spans="1:17" x14ac:dyDescent="0.3">
      <c r="A145" s="25" t="s">
        <v>859</v>
      </c>
      <c r="B145" s="25"/>
      <c r="C145" s="3"/>
      <c r="D145" s="3"/>
      <c r="E145" s="3"/>
      <c r="F145" s="3"/>
      <c r="G145" s="3"/>
      <c r="H145" s="3"/>
      <c r="I145" s="46" t="s">
        <v>1303</v>
      </c>
      <c r="J145" s="16" t="s">
        <v>1120</v>
      </c>
      <c r="K145" s="3" t="s">
        <v>2417</v>
      </c>
      <c r="L145" s="3"/>
      <c r="M145" s="3"/>
      <c r="N145" s="3" t="b">
        <v>0</v>
      </c>
      <c r="O145" s="3" t="s">
        <v>1497</v>
      </c>
      <c r="P145" s="3" t="b">
        <v>0</v>
      </c>
      <c r="Q145" s="35"/>
    </row>
    <row r="146" spans="1:17" x14ac:dyDescent="0.3">
      <c r="A146" s="27" t="s">
        <v>2177</v>
      </c>
      <c r="B146" s="27"/>
      <c r="C146" s="3"/>
      <c r="D146" s="3"/>
      <c r="E146" s="3"/>
      <c r="F146" s="3"/>
      <c r="G146" s="3"/>
      <c r="H146" s="27"/>
      <c r="I146" s="46" t="s">
        <v>1303</v>
      </c>
      <c r="J146" s="16" t="s">
        <v>1120</v>
      </c>
      <c r="K146" s="3" t="s">
        <v>2417</v>
      </c>
      <c r="L146" s="3"/>
      <c r="M146" s="3"/>
      <c r="N146" s="3" t="b">
        <v>0</v>
      </c>
      <c r="O146" s="3" t="s">
        <v>1497</v>
      </c>
      <c r="P146" s="3" t="b">
        <v>0</v>
      </c>
      <c r="Q146" s="35"/>
    </row>
    <row r="147" spans="1:17" x14ac:dyDescent="0.3">
      <c r="A147" s="27" t="s">
        <v>2178</v>
      </c>
      <c r="B147" s="27"/>
      <c r="C147" s="3"/>
      <c r="D147" s="3"/>
      <c r="E147" s="3"/>
      <c r="F147" s="3"/>
      <c r="G147" s="3"/>
      <c r="H147" s="27"/>
      <c r="I147" s="46" t="s">
        <v>1303</v>
      </c>
      <c r="J147" s="16" t="s">
        <v>1120</v>
      </c>
      <c r="K147" s="3" t="s">
        <v>2417</v>
      </c>
      <c r="L147" s="3"/>
      <c r="M147" s="3"/>
      <c r="N147" s="3" t="b">
        <v>0</v>
      </c>
      <c r="O147" s="3" t="s">
        <v>1497</v>
      </c>
      <c r="P147" s="3" t="b">
        <v>0</v>
      </c>
      <c r="Q147" s="35"/>
    </row>
    <row r="148" spans="1:17" x14ac:dyDescent="0.3">
      <c r="A148" s="27" t="s">
        <v>2180</v>
      </c>
      <c r="B148" s="27"/>
      <c r="C148" s="3"/>
      <c r="D148" s="3"/>
      <c r="E148" s="3"/>
      <c r="F148" s="3"/>
      <c r="G148" s="3"/>
      <c r="H148" s="27"/>
      <c r="I148" s="46" t="s">
        <v>1303</v>
      </c>
      <c r="J148" s="16" t="s">
        <v>1120</v>
      </c>
      <c r="K148" s="3" t="s">
        <v>2417</v>
      </c>
      <c r="L148" s="3"/>
      <c r="M148" s="3"/>
      <c r="N148" s="3" t="b">
        <v>0</v>
      </c>
      <c r="O148" s="3" t="s">
        <v>1497</v>
      </c>
      <c r="P148" s="3" t="b">
        <v>0</v>
      </c>
      <c r="Q148" s="35"/>
    </row>
    <row r="149" spans="1:17" x14ac:dyDescent="0.3">
      <c r="A149" s="27" t="s">
        <v>1548</v>
      </c>
      <c r="B149" s="27"/>
      <c r="C149" s="3"/>
      <c r="D149" s="3"/>
      <c r="E149" s="3"/>
      <c r="F149" s="3"/>
      <c r="G149" s="3"/>
      <c r="H149" s="27"/>
      <c r="I149" s="46" t="s">
        <v>1303</v>
      </c>
      <c r="J149" s="16" t="s">
        <v>1118</v>
      </c>
      <c r="K149" s="3" t="s">
        <v>2420</v>
      </c>
      <c r="L149" s="3"/>
      <c r="M149" s="3"/>
      <c r="N149" s="3" t="b">
        <v>0</v>
      </c>
      <c r="O149" s="3" t="s">
        <v>1497</v>
      </c>
      <c r="P149" s="3" t="b">
        <v>0</v>
      </c>
      <c r="Q149" s="35"/>
    </row>
    <row r="150" spans="1:17" x14ac:dyDescent="0.3">
      <c r="A150" s="27" t="s">
        <v>858</v>
      </c>
      <c r="B150" s="27"/>
      <c r="C150" s="3"/>
      <c r="D150" s="3"/>
      <c r="E150" s="3"/>
      <c r="F150" s="3"/>
      <c r="G150" s="3"/>
      <c r="H150" s="27"/>
      <c r="I150" s="46" t="s">
        <v>1303</v>
      </c>
      <c r="J150" s="16" t="s">
        <v>1118</v>
      </c>
      <c r="K150" s="3" t="s">
        <v>2420</v>
      </c>
      <c r="L150" s="3"/>
      <c r="M150" s="3"/>
      <c r="N150" s="3" t="b">
        <v>0</v>
      </c>
      <c r="O150" s="3" t="s">
        <v>1497</v>
      </c>
      <c r="P150" s="3" t="b">
        <v>0</v>
      </c>
      <c r="Q150" s="35"/>
    </row>
    <row r="151" spans="1:17" x14ac:dyDescent="0.3">
      <c r="A151" s="27" t="s">
        <v>859</v>
      </c>
      <c r="B151" s="27"/>
      <c r="C151" s="3"/>
      <c r="D151" s="3"/>
      <c r="E151" s="3"/>
      <c r="F151" s="3"/>
      <c r="G151" s="3"/>
      <c r="H151" s="27"/>
      <c r="I151" s="46" t="s">
        <v>1303</v>
      </c>
      <c r="J151" s="16" t="s">
        <v>1118</v>
      </c>
      <c r="K151" s="3" t="s">
        <v>2420</v>
      </c>
      <c r="L151" s="3"/>
      <c r="M151" s="3"/>
      <c r="N151" s="3" t="b">
        <v>0</v>
      </c>
      <c r="O151" s="3" t="s">
        <v>1497</v>
      </c>
      <c r="P151" s="3" t="b">
        <v>0</v>
      </c>
      <c r="Q151" s="35"/>
    </row>
    <row r="152" spans="1:17" x14ac:dyDescent="0.3">
      <c r="A152" s="27" t="s">
        <v>2177</v>
      </c>
      <c r="B152" s="27"/>
      <c r="C152" s="3"/>
      <c r="D152" s="3"/>
      <c r="E152" s="3"/>
      <c r="F152" s="3"/>
      <c r="G152" s="3"/>
      <c r="H152" s="27"/>
      <c r="I152" s="46" t="s">
        <v>1303</v>
      </c>
      <c r="J152" s="16" t="s">
        <v>1118</v>
      </c>
      <c r="K152" s="3" t="s">
        <v>2420</v>
      </c>
      <c r="L152" s="3"/>
      <c r="M152" s="3"/>
      <c r="N152" s="3" t="b">
        <v>0</v>
      </c>
      <c r="O152" s="3" t="s">
        <v>1497</v>
      </c>
      <c r="P152" s="3" t="b">
        <v>0</v>
      </c>
      <c r="Q152" s="35"/>
    </row>
    <row r="153" spans="1:17" x14ac:dyDescent="0.3">
      <c r="A153" s="27" t="s">
        <v>2178</v>
      </c>
      <c r="B153" s="27"/>
      <c r="C153" s="3"/>
      <c r="D153" s="3"/>
      <c r="E153" s="3"/>
      <c r="F153" s="3"/>
      <c r="G153" s="3"/>
      <c r="H153" s="27"/>
      <c r="I153" s="46" t="s">
        <v>1303</v>
      </c>
      <c r="J153" s="16" t="s">
        <v>1118</v>
      </c>
      <c r="K153" s="3" t="s">
        <v>2420</v>
      </c>
      <c r="L153" s="3"/>
      <c r="M153" s="3"/>
      <c r="N153" s="3" t="b">
        <v>0</v>
      </c>
      <c r="O153" s="3" t="s">
        <v>1497</v>
      </c>
      <c r="P153" s="3" t="b">
        <v>0</v>
      </c>
      <c r="Q153" s="35"/>
    </row>
    <row r="154" spans="1:17" x14ac:dyDescent="0.3">
      <c r="A154" s="27" t="s">
        <v>2180</v>
      </c>
      <c r="B154" s="27"/>
      <c r="C154" s="3"/>
      <c r="D154" s="3"/>
      <c r="E154" s="3"/>
      <c r="F154" s="3"/>
      <c r="G154" s="3"/>
      <c r="H154" s="27"/>
      <c r="I154" s="46" t="s">
        <v>1303</v>
      </c>
      <c r="J154" s="16" t="s">
        <v>1118</v>
      </c>
      <c r="K154" s="3" t="s">
        <v>2420</v>
      </c>
      <c r="L154" s="3"/>
      <c r="M154" s="3"/>
      <c r="N154" s="3" t="b">
        <v>0</v>
      </c>
      <c r="O154" s="3" t="s">
        <v>1497</v>
      </c>
      <c r="P154" s="3" t="b">
        <v>0</v>
      </c>
      <c r="Q154" s="35"/>
    </row>
    <row r="155" spans="1:17" x14ac:dyDescent="0.3">
      <c r="A155" s="27" t="s">
        <v>2422</v>
      </c>
      <c r="B155" s="27"/>
      <c r="C155" s="3"/>
      <c r="D155" s="3"/>
      <c r="E155" s="3"/>
      <c r="F155" s="3"/>
      <c r="G155" s="3"/>
      <c r="H155" s="27"/>
      <c r="I155" s="46" t="s">
        <v>1585</v>
      </c>
      <c r="J155" s="16" t="s">
        <v>1124</v>
      </c>
      <c r="K155" s="3" t="s">
        <v>2057</v>
      </c>
      <c r="L155" s="3"/>
      <c r="M155" s="3"/>
      <c r="N155" s="3" t="b">
        <v>1</v>
      </c>
      <c r="O155" s="3" t="s">
        <v>1497</v>
      </c>
      <c r="P155" s="3" t="b">
        <v>1</v>
      </c>
      <c r="Q155" s="35"/>
    </row>
    <row r="156" spans="1:17" x14ac:dyDescent="0.3">
      <c r="A156" s="27" t="s">
        <v>2422</v>
      </c>
      <c r="B156" s="27"/>
      <c r="C156" s="3"/>
      <c r="D156" s="3"/>
      <c r="E156" s="3"/>
      <c r="F156" s="3"/>
      <c r="G156" s="3"/>
      <c r="H156" s="27"/>
      <c r="I156" s="11" t="s">
        <v>906</v>
      </c>
      <c r="J156" s="16" t="s">
        <v>1124</v>
      </c>
      <c r="K156" s="3" t="s">
        <v>1765</v>
      </c>
      <c r="L156" s="3"/>
      <c r="M156" s="3"/>
      <c r="N156" s="3" t="b">
        <v>1</v>
      </c>
      <c r="O156" s="3" t="s">
        <v>1497</v>
      </c>
      <c r="P156" s="3" t="b">
        <v>1</v>
      </c>
      <c r="Q156" s="35"/>
    </row>
    <row r="157" spans="1:17" x14ac:dyDescent="0.3">
      <c r="A157" s="27" t="s">
        <v>2422</v>
      </c>
      <c r="B157" s="27"/>
      <c r="C157" s="3"/>
      <c r="D157" s="3"/>
      <c r="E157" s="3"/>
      <c r="F157" s="3"/>
      <c r="G157" s="3"/>
      <c r="H157" s="27"/>
      <c r="I157" s="11" t="s">
        <v>1945</v>
      </c>
      <c r="J157" s="16" t="s">
        <v>1118</v>
      </c>
      <c r="K157" s="16" t="s">
        <v>1946</v>
      </c>
      <c r="L157" s="3"/>
      <c r="M157" s="3"/>
      <c r="N157" s="3" t="b">
        <v>1</v>
      </c>
      <c r="O157" s="3" t="s">
        <v>1497</v>
      </c>
      <c r="P157" s="3" t="b">
        <v>1</v>
      </c>
      <c r="Q157" s="35"/>
    </row>
    <row r="158" spans="1:17" x14ac:dyDescent="0.3">
      <c r="A158" s="27" t="s">
        <v>2422</v>
      </c>
      <c r="B158" s="27"/>
      <c r="C158" s="3"/>
      <c r="D158" s="3"/>
      <c r="E158" s="3"/>
      <c r="F158" s="3"/>
      <c r="G158" s="3"/>
      <c r="H158" s="27"/>
      <c r="I158" s="11" t="s">
        <v>1947</v>
      </c>
      <c r="J158" s="16" t="s">
        <v>1120</v>
      </c>
      <c r="K158" s="16" t="s">
        <v>1948</v>
      </c>
      <c r="L158" s="3"/>
      <c r="M158" s="3"/>
      <c r="N158" s="3" t="b">
        <v>1</v>
      </c>
      <c r="O158" s="3" t="s">
        <v>1497</v>
      </c>
      <c r="P158" s="3" t="b">
        <v>1</v>
      </c>
      <c r="Q158" s="35"/>
    </row>
    <row r="159" spans="1:17" x14ac:dyDescent="0.3">
      <c r="A159" s="27" t="s">
        <v>2422</v>
      </c>
      <c r="B159" s="27"/>
      <c r="C159" s="3"/>
      <c r="D159" s="3"/>
      <c r="E159" s="3"/>
      <c r="F159" s="3"/>
      <c r="G159" s="3"/>
      <c r="H159" s="27"/>
      <c r="I159" s="11" t="s">
        <v>1314</v>
      </c>
      <c r="J159" s="16" t="s">
        <v>1118</v>
      </c>
      <c r="K159" s="16" t="s">
        <v>1315</v>
      </c>
      <c r="L159" s="3"/>
      <c r="M159" s="3"/>
      <c r="N159" s="3" t="b">
        <v>1</v>
      </c>
      <c r="O159" s="3" t="s">
        <v>1497</v>
      </c>
      <c r="P159" s="3" t="b">
        <v>1</v>
      </c>
      <c r="Q159" s="35"/>
    </row>
    <row r="160" spans="1:17" x14ac:dyDescent="0.3">
      <c r="A160" s="27" t="s">
        <v>2422</v>
      </c>
      <c r="B160" s="27"/>
      <c r="C160" s="3"/>
      <c r="D160" s="3"/>
      <c r="E160" s="3"/>
      <c r="F160" s="3"/>
      <c r="G160" s="3"/>
      <c r="H160" s="27"/>
      <c r="I160" s="11" t="s">
        <v>1316</v>
      </c>
      <c r="J160" s="16" t="s">
        <v>1120</v>
      </c>
      <c r="K160" s="16" t="s">
        <v>1317</v>
      </c>
      <c r="L160" s="3"/>
      <c r="M160" s="3"/>
      <c r="N160" s="3" t="b">
        <v>1</v>
      </c>
      <c r="O160" s="3" t="s">
        <v>1497</v>
      </c>
      <c r="P160" s="3" t="b">
        <v>1</v>
      </c>
      <c r="Q160" s="35"/>
    </row>
    <row r="161" spans="1:17" x14ac:dyDescent="0.3">
      <c r="A161" s="27" t="s">
        <v>2422</v>
      </c>
      <c r="B161" s="27"/>
      <c r="C161" s="3"/>
      <c r="D161" s="3"/>
      <c r="E161" s="3"/>
      <c r="F161" s="3"/>
      <c r="G161" s="3"/>
      <c r="H161" s="27"/>
      <c r="I161" s="11" t="s">
        <v>1324</v>
      </c>
      <c r="J161" s="16" t="s">
        <v>1118</v>
      </c>
      <c r="K161" s="16" t="s">
        <v>1325</v>
      </c>
      <c r="L161" s="3"/>
      <c r="M161" s="3"/>
      <c r="N161" s="3" t="b">
        <v>1</v>
      </c>
      <c r="O161" s="3" t="s">
        <v>1497</v>
      </c>
      <c r="P161" s="3" t="b">
        <v>1</v>
      </c>
      <c r="Q161" s="35"/>
    </row>
    <row r="162" spans="1:17" x14ac:dyDescent="0.3">
      <c r="A162" s="27" t="s">
        <v>2422</v>
      </c>
      <c r="B162" s="27"/>
      <c r="C162" s="3"/>
      <c r="D162" s="3"/>
      <c r="E162" s="3"/>
      <c r="F162" s="3"/>
      <c r="G162" s="3"/>
      <c r="H162" s="27"/>
      <c r="I162" s="11" t="s">
        <v>1326</v>
      </c>
      <c r="J162" s="16" t="s">
        <v>1120</v>
      </c>
      <c r="K162" s="16" t="s">
        <v>1327</v>
      </c>
      <c r="L162" s="3"/>
      <c r="M162" s="3"/>
      <c r="N162" s="3" t="b">
        <v>1</v>
      </c>
      <c r="O162" s="3" t="s">
        <v>1497</v>
      </c>
      <c r="P162" s="3" t="b">
        <v>1</v>
      </c>
      <c r="Q162" s="35"/>
    </row>
    <row r="163" spans="1:17" x14ac:dyDescent="0.3">
      <c r="A163" s="27" t="s">
        <v>2422</v>
      </c>
      <c r="B163" s="27"/>
      <c r="C163" s="3"/>
      <c r="D163" s="3"/>
      <c r="E163" s="3"/>
      <c r="F163" s="3"/>
      <c r="G163" s="3"/>
      <c r="H163" s="27"/>
      <c r="I163" s="11" t="s">
        <v>1536</v>
      </c>
      <c r="J163" s="16" t="s">
        <v>1124</v>
      </c>
      <c r="K163" s="3" t="s">
        <v>1540</v>
      </c>
      <c r="L163" s="3"/>
      <c r="M163" s="3"/>
      <c r="N163" s="3" t="b">
        <v>1</v>
      </c>
      <c r="O163" s="3" t="s">
        <v>1497</v>
      </c>
      <c r="P163" s="3" t="b">
        <v>1</v>
      </c>
      <c r="Q163" s="35"/>
    </row>
    <row r="164" spans="1:17" x14ac:dyDescent="0.3">
      <c r="A164" s="27" t="s">
        <v>2422</v>
      </c>
      <c r="B164" s="27"/>
      <c r="C164" s="3"/>
      <c r="D164" s="3"/>
      <c r="E164" s="3"/>
      <c r="F164" s="3"/>
      <c r="G164" s="3"/>
      <c r="H164" s="27"/>
      <c r="I164" s="11" t="s">
        <v>1537</v>
      </c>
      <c r="J164" s="16" t="s">
        <v>1124</v>
      </c>
      <c r="K164" s="3" t="s">
        <v>1541</v>
      </c>
      <c r="L164" s="3"/>
      <c r="M164" s="3"/>
      <c r="N164" s="3" t="b">
        <v>1</v>
      </c>
      <c r="O164" s="3" t="s">
        <v>1497</v>
      </c>
      <c r="P164" s="3" t="b">
        <v>1</v>
      </c>
      <c r="Q164" s="35"/>
    </row>
    <row r="165" spans="1:17" x14ac:dyDescent="0.3">
      <c r="A165" s="27" t="s">
        <v>2422</v>
      </c>
      <c r="B165" s="27"/>
      <c r="C165" s="3"/>
      <c r="D165" s="3"/>
      <c r="E165" s="3"/>
      <c r="F165" s="3"/>
      <c r="G165" s="3"/>
      <c r="H165" s="27"/>
      <c r="I165" s="11" t="s">
        <v>1294</v>
      </c>
      <c r="J165" s="16" t="s">
        <v>1124</v>
      </c>
      <c r="K165" s="3" t="s">
        <v>1444</v>
      </c>
      <c r="L165" s="3"/>
      <c r="M165" s="3"/>
      <c r="N165" s="3" t="b">
        <v>1</v>
      </c>
      <c r="O165" s="3" t="s">
        <v>1497</v>
      </c>
      <c r="P165" s="3" t="b">
        <v>1</v>
      </c>
      <c r="Q165" s="35"/>
    </row>
    <row r="166" spans="1:17" x14ac:dyDescent="0.3">
      <c r="A166" s="27" t="s">
        <v>2422</v>
      </c>
      <c r="B166" s="27"/>
      <c r="C166" s="3"/>
      <c r="D166" s="3"/>
      <c r="E166" s="3"/>
      <c r="F166" s="3"/>
      <c r="G166" s="3"/>
      <c r="H166" s="27"/>
      <c r="I166" s="11" t="s">
        <v>2050</v>
      </c>
      <c r="J166" s="16" t="s">
        <v>1124</v>
      </c>
      <c r="K166" s="3" t="s">
        <v>2051</v>
      </c>
      <c r="L166" s="3"/>
      <c r="M166" s="3"/>
      <c r="N166" s="3" t="b">
        <v>1</v>
      </c>
      <c r="O166" s="3" t="s">
        <v>1497</v>
      </c>
      <c r="P166" s="3" t="b">
        <v>1</v>
      </c>
      <c r="Q166" s="35"/>
    </row>
    <row r="167" spans="1:17" x14ac:dyDescent="0.3">
      <c r="A167" s="27" t="s">
        <v>2422</v>
      </c>
      <c r="B167" s="27"/>
      <c r="C167" s="3"/>
      <c r="D167" s="3"/>
      <c r="E167" s="3"/>
      <c r="F167" s="3"/>
      <c r="G167" s="3"/>
      <c r="H167" s="27"/>
      <c r="I167" s="11" t="s">
        <v>2052</v>
      </c>
      <c r="J167" s="16" t="s">
        <v>1124</v>
      </c>
      <c r="K167" s="3" t="s">
        <v>2053</v>
      </c>
      <c r="L167" s="3"/>
      <c r="M167" s="3"/>
      <c r="N167" s="3" t="b">
        <v>1</v>
      </c>
      <c r="O167" s="3" t="s">
        <v>1497</v>
      </c>
      <c r="P167" s="3" t="b">
        <v>1</v>
      </c>
      <c r="Q167" s="35"/>
    </row>
    <row r="168" spans="1:17" x14ac:dyDescent="0.3">
      <c r="A168" s="27" t="s">
        <v>2422</v>
      </c>
      <c r="B168" s="27"/>
      <c r="C168" s="3"/>
      <c r="D168" s="3"/>
      <c r="E168" s="3"/>
      <c r="F168" s="3"/>
      <c r="G168" s="3"/>
      <c r="H168" s="27"/>
      <c r="I168" s="46" t="s">
        <v>1303</v>
      </c>
      <c r="J168" s="16" t="s">
        <v>1118</v>
      </c>
      <c r="K168" s="3" t="s">
        <v>2418</v>
      </c>
      <c r="L168" s="3"/>
      <c r="M168" s="3"/>
      <c r="N168" s="3" t="b">
        <v>0</v>
      </c>
      <c r="O168" s="3" t="s">
        <v>1497</v>
      </c>
      <c r="P168" s="3" t="b">
        <v>0</v>
      </c>
      <c r="Q168" s="35"/>
    </row>
    <row r="169" spans="1:17" x14ac:dyDescent="0.3">
      <c r="A169" s="27" t="s">
        <v>2422</v>
      </c>
      <c r="B169" s="27"/>
      <c r="C169" s="3"/>
      <c r="D169" s="3"/>
      <c r="E169" s="3"/>
      <c r="F169" s="3"/>
      <c r="G169" s="3"/>
      <c r="H169" s="27"/>
      <c r="I169" s="46" t="s">
        <v>1303</v>
      </c>
      <c r="J169" s="16" t="s">
        <v>1120</v>
      </c>
      <c r="K169" s="3" t="s">
        <v>2419</v>
      </c>
      <c r="L169" s="3"/>
      <c r="M169" s="3"/>
      <c r="N169" s="3" t="b">
        <v>0</v>
      </c>
      <c r="O169" s="3" t="s">
        <v>1497</v>
      </c>
      <c r="P169" s="3" t="b">
        <v>0</v>
      </c>
      <c r="Q169" s="35"/>
    </row>
    <row r="170" spans="1:17" x14ac:dyDescent="0.3">
      <c r="A170" s="27" t="s">
        <v>2422</v>
      </c>
      <c r="B170" s="25"/>
      <c r="C170" s="3"/>
      <c r="D170" s="3"/>
      <c r="E170" s="3"/>
      <c r="F170" s="3"/>
      <c r="G170" s="3"/>
      <c r="H170" s="3"/>
      <c r="I170" s="46" t="s">
        <v>1303</v>
      </c>
      <c r="J170" s="16" t="s">
        <v>1120</v>
      </c>
      <c r="K170" s="3" t="s">
        <v>2417</v>
      </c>
      <c r="L170" s="3"/>
      <c r="M170" s="3"/>
      <c r="N170" s="3" t="b">
        <v>0</v>
      </c>
      <c r="O170" s="3" t="s">
        <v>1497</v>
      </c>
      <c r="P170" s="3" t="b">
        <v>0</v>
      </c>
      <c r="Q170" s="35"/>
    </row>
    <row r="171" spans="1:17" x14ac:dyDescent="0.3">
      <c r="A171" s="27" t="s">
        <v>2422</v>
      </c>
      <c r="B171" s="27"/>
      <c r="C171" s="3"/>
      <c r="D171" s="3"/>
      <c r="E171" s="3"/>
      <c r="F171" s="3"/>
      <c r="G171" s="3"/>
      <c r="H171" s="27"/>
      <c r="I171" s="46" t="s">
        <v>1303</v>
      </c>
      <c r="J171" s="16" t="s">
        <v>1118</v>
      </c>
      <c r="K171" s="3" t="s">
        <v>2420</v>
      </c>
      <c r="L171" s="3"/>
      <c r="M171" s="3"/>
      <c r="N171" s="3" t="b">
        <v>0</v>
      </c>
      <c r="O171" s="3" t="s">
        <v>1497</v>
      </c>
      <c r="P171" s="3" t="b">
        <v>0</v>
      </c>
      <c r="Q171" s="35"/>
    </row>
    <row r="172" spans="1:17" x14ac:dyDescent="0.3">
      <c r="A172" s="27" t="s">
        <v>2431</v>
      </c>
      <c r="B172" s="27"/>
      <c r="C172" s="3"/>
      <c r="D172" s="3"/>
      <c r="E172" s="3"/>
      <c r="F172" s="3"/>
      <c r="G172" s="3"/>
      <c r="H172" s="27"/>
      <c r="I172" s="46" t="s">
        <v>1585</v>
      </c>
      <c r="J172" s="16" t="s">
        <v>1124</v>
      </c>
      <c r="K172" s="3" t="s">
        <v>2057</v>
      </c>
      <c r="L172" s="3"/>
      <c r="M172" s="3"/>
      <c r="N172" s="3" t="b">
        <v>1</v>
      </c>
      <c r="O172" s="3" t="s">
        <v>1497</v>
      </c>
      <c r="P172" s="3" t="b">
        <v>1</v>
      </c>
      <c r="Q172" s="35"/>
    </row>
    <row r="173" spans="1:17" x14ac:dyDescent="0.3">
      <c r="A173" s="27" t="s">
        <v>2431</v>
      </c>
      <c r="B173" s="27"/>
      <c r="C173" s="3"/>
      <c r="D173" s="3"/>
      <c r="E173" s="3"/>
      <c r="F173" s="3"/>
      <c r="G173" s="3"/>
      <c r="H173" s="27"/>
      <c r="I173" s="11" t="s">
        <v>906</v>
      </c>
      <c r="J173" s="16" t="s">
        <v>1124</v>
      </c>
      <c r="K173" s="3" t="s">
        <v>1765</v>
      </c>
      <c r="L173" s="3"/>
      <c r="M173" s="3"/>
      <c r="N173" s="3" t="b">
        <v>1</v>
      </c>
      <c r="O173" s="3" t="s">
        <v>1497</v>
      </c>
      <c r="P173" s="3" t="b">
        <v>1</v>
      </c>
      <c r="Q173" s="35"/>
    </row>
    <row r="174" spans="1:17" x14ac:dyDescent="0.3">
      <c r="A174" s="27" t="s">
        <v>2431</v>
      </c>
      <c r="B174" s="27"/>
      <c r="C174" s="3"/>
      <c r="D174" s="3"/>
      <c r="E174" s="3"/>
      <c r="F174" s="3"/>
      <c r="G174" s="3"/>
      <c r="H174" s="27"/>
      <c r="I174" s="11" t="s">
        <v>1945</v>
      </c>
      <c r="J174" s="16" t="s">
        <v>1118</v>
      </c>
      <c r="K174" s="16" t="s">
        <v>1946</v>
      </c>
      <c r="L174" s="3"/>
      <c r="M174" s="3"/>
      <c r="N174" s="3" t="b">
        <v>1</v>
      </c>
      <c r="O174" s="3" t="s">
        <v>1497</v>
      </c>
      <c r="P174" s="3" t="b">
        <v>1</v>
      </c>
      <c r="Q174" s="35"/>
    </row>
    <row r="175" spans="1:17" x14ac:dyDescent="0.3">
      <c r="A175" s="27" t="s">
        <v>2431</v>
      </c>
      <c r="B175" s="27"/>
      <c r="C175" s="3"/>
      <c r="D175" s="3"/>
      <c r="E175" s="3"/>
      <c r="F175" s="3"/>
      <c r="G175" s="3"/>
      <c r="H175" s="27"/>
      <c r="I175" s="11" t="s">
        <v>1947</v>
      </c>
      <c r="J175" s="16" t="s">
        <v>1120</v>
      </c>
      <c r="K175" s="16" t="s">
        <v>1948</v>
      </c>
      <c r="L175" s="3"/>
      <c r="M175" s="3"/>
      <c r="N175" s="3" t="b">
        <v>1</v>
      </c>
      <c r="O175" s="3" t="s">
        <v>1497</v>
      </c>
      <c r="P175" s="3" t="b">
        <v>1</v>
      </c>
      <c r="Q175" s="35"/>
    </row>
    <row r="176" spans="1:17" x14ac:dyDescent="0.3">
      <c r="A176" s="27" t="s">
        <v>2431</v>
      </c>
      <c r="B176" s="27"/>
      <c r="C176" s="3"/>
      <c r="D176" s="3"/>
      <c r="E176" s="3"/>
      <c r="F176" s="3"/>
      <c r="G176" s="3"/>
      <c r="H176" s="27"/>
      <c r="I176" s="11" t="s">
        <v>1318</v>
      </c>
      <c r="J176" s="16" t="s">
        <v>1118</v>
      </c>
      <c r="K176" s="16" t="s">
        <v>1319</v>
      </c>
      <c r="L176" s="3"/>
      <c r="M176" s="3"/>
      <c r="N176" s="3" t="b">
        <v>1</v>
      </c>
      <c r="O176" s="3" t="s">
        <v>1497</v>
      </c>
      <c r="P176" s="3" t="b">
        <v>1</v>
      </c>
      <c r="Q176" s="35"/>
    </row>
    <row r="177" spans="1:17" x14ac:dyDescent="0.3">
      <c r="A177" s="27" t="s">
        <v>2431</v>
      </c>
      <c r="B177" s="27"/>
      <c r="C177" s="3"/>
      <c r="D177" s="3"/>
      <c r="E177" s="3"/>
      <c r="F177" s="3"/>
      <c r="G177" s="3"/>
      <c r="H177" s="27"/>
      <c r="I177" s="11" t="s">
        <v>1320</v>
      </c>
      <c r="J177" s="16" t="s">
        <v>1120</v>
      </c>
      <c r="K177" s="16" t="s">
        <v>1321</v>
      </c>
      <c r="L177" s="3"/>
      <c r="M177" s="3"/>
      <c r="N177" s="3" t="b">
        <v>1</v>
      </c>
      <c r="O177" s="3" t="s">
        <v>1497</v>
      </c>
      <c r="P177" s="3" t="b">
        <v>1</v>
      </c>
      <c r="Q177" s="35"/>
    </row>
    <row r="178" spans="1:17" x14ac:dyDescent="0.3">
      <c r="A178" s="27" t="s">
        <v>2431</v>
      </c>
      <c r="B178" s="27"/>
      <c r="C178" s="3"/>
      <c r="D178" s="3"/>
      <c r="E178" s="3"/>
      <c r="F178" s="3"/>
      <c r="G178" s="3"/>
      <c r="H178" s="27"/>
      <c r="I178" s="11" t="s">
        <v>1324</v>
      </c>
      <c r="J178" s="16" t="s">
        <v>1118</v>
      </c>
      <c r="K178" s="16" t="s">
        <v>1325</v>
      </c>
      <c r="L178" s="3"/>
      <c r="M178" s="3"/>
      <c r="N178" s="3" t="b">
        <v>1</v>
      </c>
      <c r="O178" s="3" t="s">
        <v>1497</v>
      </c>
      <c r="P178" s="3" t="b">
        <v>1</v>
      </c>
      <c r="Q178" s="35"/>
    </row>
    <row r="179" spans="1:17" x14ac:dyDescent="0.3">
      <c r="A179" s="27" t="s">
        <v>2431</v>
      </c>
      <c r="B179" s="27"/>
      <c r="C179" s="3"/>
      <c r="D179" s="3"/>
      <c r="E179" s="3"/>
      <c r="F179" s="3"/>
      <c r="G179" s="3"/>
      <c r="H179" s="27"/>
      <c r="I179" s="11" t="s">
        <v>1326</v>
      </c>
      <c r="J179" s="16" t="s">
        <v>1120</v>
      </c>
      <c r="K179" s="16" t="s">
        <v>1327</v>
      </c>
      <c r="L179" s="3"/>
      <c r="M179" s="3"/>
      <c r="N179" s="3" t="b">
        <v>1</v>
      </c>
      <c r="O179" s="3" t="s">
        <v>1497</v>
      </c>
      <c r="P179" s="3" t="b">
        <v>1</v>
      </c>
      <c r="Q179" s="35"/>
    </row>
    <row r="180" spans="1:17" x14ac:dyDescent="0.3">
      <c r="A180" s="27" t="s">
        <v>2431</v>
      </c>
      <c r="B180" s="27"/>
      <c r="C180" s="3"/>
      <c r="D180" s="3"/>
      <c r="E180" s="3"/>
      <c r="F180" s="3"/>
      <c r="G180" s="3"/>
      <c r="H180" s="27"/>
      <c r="I180" s="11" t="s">
        <v>1536</v>
      </c>
      <c r="J180" s="16" t="s">
        <v>1124</v>
      </c>
      <c r="K180" s="3" t="s">
        <v>1540</v>
      </c>
      <c r="L180" s="3"/>
      <c r="M180" s="3"/>
      <c r="N180" s="3" t="b">
        <v>1</v>
      </c>
      <c r="O180" s="3" t="s">
        <v>1497</v>
      </c>
      <c r="P180" s="3" t="b">
        <v>1</v>
      </c>
      <c r="Q180" s="35"/>
    </row>
    <row r="181" spans="1:17" x14ac:dyDescent="0.3">
      <c r="A181" s="27" t="s">
        <v>2431</v>
      </c>
      <c r="B181" s="27"/>
      <c r="C181" s="3"/>
      <c r="D181" s="3"/>
      <c r="E181" s="3"/>
      <c r="F181" s="3"/>
      <c r="G181" s="3"/>
      <c r="H181" s="27"/>
      <c r="I181" s="11" t="s">
        <v>1537</v>
      </c>
      <c r="J181" s="16" t="s">
        <v>1124</v>
      </c>
      <c r="K181" s="3" t="s">
        <v>1541</v>
      </c>
      <c r="L181" s="3"/>
      <c r="M181" s="3"/>
      <c r="N181" s="3" t="b">
        <v>1</v>
      </c>
      <c r="O181" s="3" t="s">
        <v>1497</v>
      </c>
      <c r="P181" s="3" t="b">
        <v>1</v>
      </c>
      <c r="Q181" s="35"/>
    </row>
    <row r="182" spans="1:17" x14ac:dyDescent="0.3">
      <c r="A182" s="27" t="s">
        <v>2431</v>
      </c>
      <c r="B182" s="27"/>
      <c r="C182" s="3"/>
      <c r="D182" s="3"/>
      <c r="E182" s="3"/>
      <c r="F182" s="3"/>
      <c r="G182" s="3"/>
      <c r="H182" s="27"/>
      <c r="I182" s="46" t="s">
        <v>1303</v>
      </c>
      <c r="J182" s="16" t="s">
        <v>1118</v>
      </c>
      <c r="K182" s="3" t="s">
        <v>2418</v>
      </c>
      <c r="L182" s="3"/>
      <c r="M182" s="3"/>
      <c r="N182" s="3" t="b">
        <v>0</v>
      </c>
      <c r="O182" s="3" t="s">
        <v>1497</v>
      </c>
      <c r="P182" s="3" t="b">
        <v>0</v>
      </c>
      <c r="Q182" s="35"/>
    </row>
    <row r="183" spans="1:17" x14ac:dyDescent="0.3">
      <c r="A183" s="27" t="s">
        <v>2431</v>
      </c>
      <c r="B183" s="27"/>
      <c r="C183" s="3"/>
      <c r="D183" s="3"/>
      <c r="E183" s="3"/>
      <c r="F183" s="3"/>
      <c r="G183" s="3"/>
      <c r="H183" s="27"/>
      <c r="I183" s="46" t="s">
        <v>1303</v>
      </c>
      <c r="J183" s="16" t="s">
        <v>1120</v>
      </c>
      <c r="K183" s="3" t="s">
        <v>2419</v>
      </c>
      <c r="L183" s="3"/>
      <c r="M183" s="3"/>
      <c r="N183" s="3" t="b">
        <v>0</v>
      </c>
      <c r="O183" s="3" t="s">
        <v>1497</v>
      </c>
      <c r="P183" s="3" t="b">
        <v>0</v>
      </c>
      <c r="Q183" s="35"/>
    </row>
    <row r="184" spans="1:17" x14ac:dyDescent="0.3">
      <c r="A184" s="27" t="s">
        <v>2431</v>
      </c>
      <c r="B184" s="25"/>
      <c r="C184" s="3"/>
      <c r="D184" s="3"/>
      <c r="E184" s="3"/>
      <c r="F184" s="3"/>
      <c r="G184" s="3"/>
      <c r="H184" s="3"/>
      <c r="I184" s="46" t="s">
        <v>1303</v>
      </c>
      <c r="J184" s="16" t="s">
        <v>1120</v>
      </c>
      <c r="K184" s="3" t="s">
        <v>2417</v>
      </c>
      <c r="L184" s="3"/>
      <c r="M184" s="3"/>
      <c r="N184" s="3" t="b">
        <v>0</v>
      </c>
      <c r="O184" s="3" t="s">
        <v>1497</v>
      </c>
      <c r="P184" s="3" t="b">
        <v>0</v>
      </c>
      <c r="Q184" s="35"/>
    </row>
    <row r="185" spans="1:17" x14ac:dyDescent="0.3">
      <c r="A185" s="27" t="s">
        <v>2431</v>
      </c>
      <c r="B185" s="27"/>
      <c r="C185" s="3"/>
      <c r="D185" s="3"/>
      <c r="E185" s="3"/>
      <c r="F185" s="3"/>
      <c r="G185" s="3"/>
      <c r="H185" s="27"/>
      <c r="I185" s="46" t="s">
        <v>1303</v>
      </c>
      <c r="J185" s="16" t="s">
        <v>1118</v>
      </c>
      <c r="K185" s="3" t="s">
        <v>2420</v>
      </c>
      <c r="L185" s="3"/>
      <c r="M185" s="3"/>
      <c r="N185" s="3" t="b">
        <v>0</v>
      </c>
      <c r="O185" s="3" t="s">
        <v>1497</v>
      </c>
      <c r="P185" s="3" t="b">
        <v>0</v>
      </c>
      <c r="Q185" s="35"/>
    </row>
  </sheetData>
  <phoneticPr fontId="2" type="noConversion"/>
  <pageMargins left="0.7" right="0.7" top="0.75" bottom="0.75" header="0.3" footer="0.3"/>
  <pageSetup paperSize="9" orientation="portrait" r:id="rId1"/>
  <legacyDrawing r:id="rId2"/>
  <tableParts count="1">
    <tablePart r:id="rId3"/>
  </tableParts>
  <extLst>
    <ext xmlns:x14="http://schemas.microsoft.com/office/spreadsheetml/2009/9/main" uri="{CCE6A557-97BC-4b89-ADB6-D9C93CAAB3DF}">
      <x14:dataValidations xmlns:xm="http://schemas.microsoft.com/office/excel/2006/main" count="4">
        <x14:dataValidation type="list" allowBlank="1" showInputMessage="1" showErrorMessage="1" xr:uid="{4CCC47B7-D3A4-433B-9F4A-816C57D7AEC5}">
          <x14:formula1>
            <xm:f>Validation!$A$15:$A$22</xm:f>
          </x14:formula1>
          <xm:sqref>B2:B185</xm:sqref>
        </x14:dataValidation>
        <x14:dataValidation type="list" allowBlank="1" showInputMessage="1" showErrorMessage="1" xr:uid="{3087086C-7558-43A0-969A-2FA43315D60E}">
          <x14:formula1>
            <xm:f>Validation!$G$2:$G$4</xm:f>
          </x14:formula1>
          <xm:sqref>N2:N185</xm:sqref>
        </x14:dataValidation>
        <x14:dataValidation type="list" allowBlank="1" showInputMessage="1" showErrorMessage="1" xr:uid="{A1196927-25ED-4AA3-B8D9-D8463D770FFE}">
          <x14:formula1>
            <xm:f>Validation!$A$15:$A$26</xm:f>
          </x14:formula1>
          <xm:sqref>A2:A185</xm:sqref>
        </x14:dataValidation>
        <x14:dataValidation type="list" allowBlank="1" showInputMessage="1" showErrorMessage="1" xr:uid="{7C8AA322-0102-484C-8F00-56887638AD9B}">
          <x14:formula1>
            <xm:f>CalculatorsTempl!$E:$E</xm:f>
          </x14:formula1>
          <xm:sqref>I2:I185</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4500A-D697-4129-B1F8-8B73B7A8CAA8}">
  <sheetPr codeName="Sheet36">
    <tabColor rgb="FFDCCEE4"/>
  </sheetPr>
  <dimension ref="A1:AN73"/>
  <sheetViews>
    <sheetView topLeftCell="AA34" workbookViewId="0">
      <selection activeCell="AN40" sqref="AN40:AN59"/>
    </sheetView>
  </sheetViews>
  <sheetFormatPr defaultRowHeight="14.4" outlineLevelCol="1" x14ac:dyDescent="0.3"/>
  <cols>
    <col min="1" max="1" width="32.6640625" hidden="1" customWidth="1" outlineLevel="1"/>
    <col min="2" max="2" width="15.5546875" hidden="1" customWidth="1" outlineLevel="1"/>
    <col min="3" max="3" width="19.5546875" hidden="1" customWidth="1" outlineLevel="1"/>
    <col min="4" max="4" width="15.44140625" hidden="1" customWidth="1" outlineLevel="1"/>
    <col min="5" max="5" width="13.88671875" hidden="1" customWidth="1" outlineLevel="1"/>
    <col min="6" max="6" width="20.109375" hidden="1" customWidth="1" outlineLevel="1"/>
    <col min="7" max="7" width="18.6640625" hidden="1" customWidth="1" outlineLevel="1"/>
    <col min="8" max="8" width="17.6640625" hidden="1" customWidth="1" outlineLevel="1"/>
    <col min="9" max="9" width="21.44140625" hidden="1" customWidth="1" outlineLevel="1"/>
    <col min="10" max="10" width="21.109375" hidden="1" customWidth="1" outlineLevel="1"/>
    <col min="11" max="11" width="11.88671875" hidden="1" customWidth="1" outlineLevel="1"/>
    <col min="12" max="12" width="18.88671875" hidden="1" customWidth="1" outlineLevel="1"/>
    <col min="13" max="13" width="20.6640625" hidden="1" customWidth="1" outlineLevel="1"/>
    <col min="14" max="14" width="17.6640625" hidden="1" customWidth="1" outlineLevel="1"/>
    <col min="15" max="15" width="18" hidden="1" customWidth="1" outlineLevel="1"/>
    <col min="16" max="16" width="22.109375" hidden="1" customWidth="1" outlineLevel="1"/>
    <col min="17" max="17" width="26" hidden="1" customWidth="1" outlineLevel="1"/>
    <col min="18" max="18" width="21" hidden="1" customWidth="1" outlineLevel="1"/>
    <col min="19" max="19" width="25.33203125" hidden="1" customWidth="1" outlineLevel="1"/>
    <col min="20" max="20" width="19.88671875" hidden="1" customWidth="1" outlineLevel="1"/>
    <col min="21" max="21" width="25.88671875" hidden="1" customWidth="1" outlineLevel="1"/>
    <col min="22" max="22" width="24.33203125" hidden="1" customWidth="1" outlineLevel="1"/>
    <col min="23" max="23" width="16.6640625" bestFit="1" customWidth="1" collapsed="1"/>
    <col min="24" max="24" width="12.5546875" bestFit="1" customWidth="1"/>
    <col min="25" max="25" width="34.33203125" bestFit="1" customWidth="1"/>
    <col min="26" max="26" width="15.5546875" bestFit="1" customWidth="1"/>
    <col min="27" max="27" width="14.6640625" bestFit="1" customWidth="1"/>
    <col min="28" max="28" width="13.6640625" bestFit="1" customWidth="1"/>
    <col min="29" max="29" width="13.88671875" bestFit="1" customWidth="1"/>
    <col min="30" max="30" width="18.6640625" bestFit="1" customWidth="1"/>
    <col min="31" max="31" width="12.33203125" bestFit="1" customWidth="1"/>
    <col min="32" max="32" width="17.33203125" bestFit="1" customWidth="1"/>
    <col min="33" max="33" width="20.109375" bestFit="1" customWidth="1"/>
    <col min="34" max="34" width="30.6640625" bestFit="1" customWidth="1"/>
    <col min="35" max="35" width="8.5546875" bestFit="1" customWidth="1"/>
    <col min="36" max="36" width="12.5546875" bestFit="1" customWidth="1"/>
    <col min="37" max="37" width="14.44140625" bestFit="1" customWidth="1"/>
    <col min="38" max="38" width="20" bestFit="1" customWidth="1"/>
    <col min="39" max="39" width="12.5546875" bestFit="1" customWidth="1"/>
    <col min="40" max="40" width="12.44140625" bestFit="1" customWidth="1"/>
    <col min="41" max="41" width="12.33203125" bestFit="1" customWidth="1"/>
    <col min="42" max="42" width="13.33203125" bestFit="1" customWidth="1"/>
    <col min="43" max="43" width="18.33203125" bestFit="1" customWidth="1"/>
    <col min="44" max="44" width="11.88671875" bestFit="1" customWidth="1"/>
    <col min="45" max="45" width="16.5546875" bestFit="1" customWidth="1"/>
    <col min="46" max="46" width="19.5546875" bestFit="1" customWidth="1"/>
    <col min="47" max="47" width="20" bestFit="1" customWidth="1"/>
    <col min="48" max="48" width="8.33203125" bestFit="1" customWidth="1"/>
    <col min="49" max="49" width="12.33203125" bestFit="1" customWidth="1"/>
    <col min="50" max="50" width="14" bestFit="1" customWidth="1"/>
    <col min="51" max="51" width="21.5546875" bestFit="1" customWidth="1"/>
    <col min="52" max="52" width="19.33203125" bestFit="1" customWidth="1"/>
    <col min="53" max="53" width="12.33203125" bestFit="1" customWidth="1"/>
    <col min="54" max="54" width="12.109375" bestFit="1" customWidth="1"/>
    <col min="55" max="55" width="20.5546875" bestFit="1" customWidth="1"/>
  </cols>
  <sheetData>
    <row r="1" spans="1:40" x14ac:dyDescent="0.3">
      <c r="A1" s="92" t="s">
        <v>43</v>
      </c>
      <c r="B1" s="82" t="s">
        <v>1375</v>
      </c>
      <c r="C1" s="93" t="s">
        <v>1376</v>
      </c>
      <c r="D1" s="93" t="s">
        <v>1377</v>
      </c>
      <c r="E1" s="93" t="s">
        <v>883</v>
      </c>
      <c r="F1" s="93" t="s">
        <v>1378</v>
      </c>
      <c r="G1" s="93" t="s">
        <v>1372</v>
      </c>
      <c r="H1" s="93" t="s">
        <v>1442</v>
      </c>
      <c r="I1" s="93" t="s">
        <v>1379</v>
      </c>
      <c r="J1" s="93" t="s">
        <v>1380</v>
      </c>
      <c r="K1" s="93" t="s">
        <v>1381</v>
      </c>
      <c r="L1" s="93" t="s">
        <v>1747</v>
      </c>
      <c r="M1" s="93" t="s">
        <v>1748</v>
      </c>
      <c r="N1" s="93" t="s">
        <v>1749</v>
      </c>
      <c r="O1" s="93" t="s">
        <v>1750</v>
      </c>
      <c r="P1" s="93" t="s">
        <v>1927</v>
      </c>
      <c r="Q1" s="93" t="s">
        <v>2038</v>
      </c>
      <c r="R1" s="93" t="s">
        <v>1989</v>
      </c>
      <c r="S1" s="93" t="s">
        <v>1990</v>
      </c>
      <c r="T1" s="93" t="s">
        <v>1996</v>
      </c>
      <c r="U1" s="93" t="s">
        <v>1932</v>
      </c>
      <c r="V1" s="93" t="s">
        <v>2090</v>
      </c>
      <c r="W1" s="82" t="s">
        <v>867</v>
      </c>
      <c r="X1" s="83" t="s">
        <v>1605</v>
      </c>
      <c r="Y1" s="83" t="s">
        <v>1606</v>
      </c>
      <c r="Z1" t="s">
        <v>1331</v>
      </c>
      <c r="AA1" t="s">
        <v>893</v>
      </c>
      <c r="AB1" t="s">
        <v>871</v>
      </c>
      <c r="AC1" t="s">
        <v>857</v>
      </c>
      <c r="AD1" t="s">
        <v>884</v>
      </c>
      <c r="AE1" t="s">
        <v>49</v>
      </c>
      <c r="AF1" t="s">
        <v>1136</v>
      </c>
      <c r="AG1" t="s">
        <v>1382</v>
      </c>
      <c r="AH1" t="s">
        <v>1383</v>
      </c>
      <c r="AI1" t="s">
        <v>44</v>
      </c>
      <c r="AJ1" t="s">
        <v>1384</v>
      </c>
      <c r="AK1" t="s">
        <v>1374</v>
      </c>
      <c r="AL1" t="s">
        <v>1385</v>
      </c>
      <c r="AM1" t="s">
        <v>1386</v>
      </c>
      <c r="AN1" t="s">
        <v>1387</v>
      </c>
    </row>
    <row r="2" spans="1:40" hidden="1" x14ac:dyDescent="0.3">
      <c r="A2" s="121" t="str">
        <f t="shared" ref="A2:A33" si="0">AA2&amp;AB2&amp;TRIM(AH2)&amp;AL2&amp;AD2</f>
        <v>BBPCentral Charge School2025/26</v>
      </c>
      <c r="B2" s="95">
        <f>COUNTIF(Expenditure_import[Column1],Expenditure_import[[#This Row],[Column1]])-1</f>
        <v>0</v>
      </c>
      <c r="C2" s="80" cm="1">
        <f t="array" ref="C2">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2" s="95">
        <f>IF(COUNTIF(SCHOOLS[SchoolCode],Expenditure_import[[#This Row],[SchoolCode]])&gt;0,0,1)</f>
        <v>0</v>
      </c>
      <c r="E2" s="95">
        <f>IF(COUNTIF(LEDGER[],Expenditure_import[[#This Row],[LedgerCode]])&gt;0,0,1)</f>
        <v>0</v>
      </c>
      <c r="F2" s="95">
        <f>IF(ISBLANK(Expenditure_import[[#This Row],[MonthProfileCode]]),1,IF(COUNTIF(MONTHPRF[Code],Expenditure_import[[#This Row],[MonthProfileCode]])&gt;0,0,1))</f>
        <v>0</v>
      </c>
      <c r="G2" s="80" cm="1">
        <f t="array" ref="G2">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2" s="95">
        <f>IF(Expenditure_import[[#This Row],[FundCode]]=0,0,IF(COUNTIF(FUNDS[FundCode],Expenditure_import[[#This Row],[FundCode]])&gt;0,0,1))</f>
        <v>0</v>
      </c>
      <c r="I2" s="80" cm="1">
        <f t="array" ref="I2">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2" s="95">
        <f>IF(ISBLANK(Expenditure_import[[#This Row],[YearValue]])=Expenditure_import[[#This Row],[Calculated]],0,1)</f>
        <v>0</v>
      </c>
      <c r="K2" s="95">
        <f>IF(ISBLANK(Expenditure_import[[#This Row],[CalculatorCode]]),0,IF(COUNTIF(Calculators[CalculatorCode],Expenditure_import[[#This Row],[CalculatorCode]])&gt;0,0,1))</f>
        <v>0</v>
      </c>
      <c r="L2" s="95">
        <f>IF(TRIM(Expenditure_import[[#This Row],[Description]])="",1,0)</f>
        <v>0</v>
      </c>
      <c r="M2" s="95">
        <f>IF(ISBLANK(Expenditure_import[[#This Row],[MatEditOnly]]),1,0)</f>
        <v>0</v>
      </c>
      <c r="N2" s="95">
        <f>IF(ISBLANK(Expenditure_import[[#This Row],[FinancialYearCode]]),1,0)</f>
        <v>0</v>
      </c>
      <c r="O2" s="95">
        <f>IF(ISBLANK(Expenditure_import[[#This Row],[Calculated]]),1,0)</f>
        <v>0</v>
      </c>
      <c r="P2" s="9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2" s="95">
        <f>IF(LEN(Expenditure_import[[#This Row],[Description]])&lt;100,0,1)</f>
        <v>0</v>
      </c>
      <c r="R2" s="95">
        <f>IF(LEN(Expenditure_import[[#This Row],[Notes]])&lt;4000,0,1)</f>
        <v>0</v>
      </c>
      <c r="S2" s="95">
        <f>IF(LEN(Expenditure_import[[#This Row],[YearNotes]])&lt;4000,0,1)</f>
        <v>0</v>
      </c>
      <c r="T2" s="95">
        <f>IF(OR(Expenditure_import[[#This Row],[MatEditOnly]]=TRUE,Expenditure_import[[#This Row],[MatEditOnly]]=FALSE),IF(OR(Expenditure_import[[#This Row],[Calculated]]=TRUE,Expenditure_import[[#This Row],[Calculated]]=FALSE),0,1),1)</f>
        <v>0</v>
      </c>
      <c r="U2" s="95">
        <f>IF(_xlfn.XLOOKUP(Expenditure_import[[#This Row],[FinancialYearCode]],Years[Years],Years[Years],1)=Expenditure_import[[#This Row],[FinancialYearCode]],0,1)</f>
        <v>0</v>
      </c>
      <c r="V2" s="95">
        <f>IF(Expenditure_import[[#This Row],[CalculatorCode]]="",0,IF(IF(_xlfn.XLOOKUP(Expenditure_import[[#This Row],[CalculatorCode]],Calculators[CalculatorCode],Calculators[LockCheck])=1,TRUE,FALSE)=Expenditure_import[[#This Row],[MatEditOnly]],0,1))</f>
        <v>0</v>
      </c>
      <c r="W2" s="95">
        <f>SUM(Expenditure_import[[#This Row],[DuplicateLine]:[MAT edit only required]])</f>
        <v>3</v>
      </c>
      <c r="X2" s="80">
        <f>COUNTIF(SRG[GrossSalaryFinanceCode],Expenditure_import[[#This Row],[FinanceCode]])+COUNTIF(SRG[EmployersNiFinanceCode],Expenditure_import[[#This Row],[FinanceCode]])+COUNTIF(SRG[PensionFinanceCode],Expenditure_import[[#This Row],[FinanceCode]])</f>
        <v>0</v>
      </c>
      <c r="Y2" s="80" t="str">
        <f>_xlfn.XLOOKUP(Expenditure_import[[#This Row],[SchoolCode]],SCHOOLS[SchoolCode],SCHOOLS[Title])</f>
        <v>Bolton Brow Primary Academy</v>
      </c>
      <c r="AB2" t="s">
        <v>2588</v>
      </c>
      <c r="AF2" t="s">
        <v>1186</v>
      </c>
      <c r="AG2" t="s">
        <v>1124</v>
      </c>
      <c r="AH2" t="s">
        <v>1446</v>
      </c>
      <c r="AK2" t="b">
        <v>1</v>
      </c>
      <c r="AL2" t="s">
        <v>1497</v>
      </c>
      <c r="AM2" t="b">
        <v>1</v>
      </c>
    </row>
    <row r="3" spans="1:40" hidden="1" x14ac:dyDescent="0.3">
      <c r="A3" s="120" t="str">
        <f t="shared" si="0"/>
        <v>BBSCentral Charge School2025/26</v>
      </c>
      <c r="B3" s="85">
        <f>COUNTIF(Expenditure_import[Column1],Expenditure_import[[#This Row],[Column1]])-1</f>
        <v>0</v>
      </c>
      <c r="C3" s="80" cm="1">
        <f t="array" ref="C3">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3" s="85">
        <f>IF(COUNTIF(SCHOOLS[SchoolCode],Expenditure_import[[#This Row],[SchoolCode]])&gt;0,0,1)</f>
        <v>0</v>
      </c>
      <c r="E3" s="85">
        <f>IF(COUNTIF(LEDGER[],Expenditure_import[[#This Row],[LedgerCode]])&gt;0,0,1)</f>
        <v>0</v>
      </c>
      <c r="F3" s="85">
        <f>IF(ISBLANK(Expenditure_import[[#This Row],[MonthProfileCode]]),1,IF(COUNTIF(MONTHPRF[Code],Expenditure_import[[#This Row],[MonthProfileCode]])&gt;0,0,1))</f>
        <v>0</v>
      </c>
      <c r="G3" s="80" cm="1">
        <f t="array" ref="G3">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3" s="85">
        <f>IF(Expenditure_import[[#This Row],[FundCode]]=0,0,IF(COUNTIF(FUNDS[FundCode],Expenditure_import[[#This Row],[FundCode]])&gt;0,0,1))</f>
        <v>0</v>
      </c>
      <c r="I3" s="80" cm="1">
        <f t="array" ref="I3">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3" s="85">
        <f>IF(ISBLANK(Expenditure_import[[#This Row],[YearValue]])=Expenditure_import[[#This Row],[Calculated]],0,1)</f>
        <v>0</v>
      </c>
      <c r="K3" s="85">
        <f>IF(ISBLANK(Expenditure_import[[#This Row],[CalculatorCode]]),0,IF(COUNTIF(Calculators[CalculatorCode],Expenditure_import[[#This Row],[CalculatorCode]])&gt;0,0,1))</f>
        <v>0</v>
      </c>
      <c r="L3" s="85">
        <f>IF(TRIM(Expenditure_import[[#This Row],[Description]])="",1,0)</f>
        <v>0</v>
      </c>
      <c r="M3" s="85">
        <f>IF(ISBLANK(Expenditure_import[[#This Row],[MatEditOnly]]),1,0)</f>
        <v>0</v>
      </c>
      <c r="N3" s="85">
        <f>IF(ISBLANK(Expenditure_import[[#This Row],[FinancialYearCode]]),1,0)</f>
        <v>0</v>
      </c>
      <c r="O3" s="85">
        <f>IF(ISBLANK(Expenditure_import[[#This Row],[Calculated]]),1,0)</f>
        <v>0</v>
      </c>
      <c r="P3"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3" s="85">
        <f>IF(LEN(Expenditure_import[[#This Row],[Description]])&lt;100,0,1)</f>
        <v>0</v>
      </c>
      <c r="R3" s="85">
        <f>IF(LEN(Expenditure_import[[#This Row],[Notes]])&lt;4000,0,1)</f>
        <v>0</v>
      </c>
      <c r="S3" s="85">
        <f>IF(LEN(Expenditure_import[[#This Row],[YearNotes]])&lt;4000,0,1)</f>
        <v>0</v>
      </c>
      <c r="T3" s="85">
        <f>IF(OR(Expenditure_import[[#This Row],[MatEditOnly]]=TRUE,Expenditure_import[[#This Row],[MatEditOnly]]=FALSE),IF(OR(Expenditure_import[[#This Row],[Calculated]]=TRUE,Expenditure_import[[#This Row],[Calculated]]=FALSE),0,1),1)</f>
        <v>0</v>
      </c>
      <c r="U3" s="85">
        <f>IF(_xlfn.XLOOKUP(Expenditure_import[[#This Row],[FinancialYearCode]],Years[Years],Years[Years],1)=Expenditure_import[[#This Row],[FinancialYearCode]],0,1)</f>
        <v>0</v>
      </c>
      <c r="V3" s="85">
        <f>IF(Expenditure_import[[#This Row],[CalculatorCode]]="",0,IF(IF(_xlfn.XLOOKUP(Expenditure_import[[#This Row],[CalculatorCode]],Calculators[CalculatorCode],Calculators[LockCheck])=1,TRUE,FALSE)=Expenditure_import[[#This Row],[MatEditOnly]],0,1))</f>
        <v>0</v>
      </c>
      <c r="W3" s="85">
        <f>SUM(Expenditure_import[[#This Row],[DuplicateLine]:[MAT edit only required]])</f>
        <v>3</v>
      </c>
      <c r="X3" s="80">
        <f>COUNTIF(SRG[GrossSalaryFinanceCode],Expenditure_import[[#This Row],[FinanceCode]])+COUNTIF(SRG[EmployersNiFinanceCode],Expenditure_import[[#This Row],[FinanceCode]])+COUNTIF(SRG[PensionFinanceCode],Expenditure_import[[#This Row],[FinanceCode]])</f>
        <v>0</v>
      </c>
      <c r="Y3" s="80" t="str">
        <f>_xlfn.XLOOKUP(Expenditure_import[[#This Row],[SchoolCode]],SCHOOLS[SchoolCode],SCHOOLS[Title])</f>
        <v>The Brooksbank School</v>
      </c>
      <c r="AB3" t="s">
        <v>2591</v>
      </c>
      <c r="AF3" t="s">
        <v>1186</v>
      </c>
      <c r="AG3" t="s">
        <v>1124</v>
      </c>
      <c r="AH3" t="s">
        <v>1446</v>
      </c>
      <c r="AK3" t="b">
        <v>1</v>
      </c>
      <c r="AL3" t="s">
        <v>1497</v>
      </c>
      <c r="AM3" t="b">
        <v>1</v>
      </c>
    </row>
    <row r="4" spans="1:40" hidden="1" x14ac:dyDescent="0.3">
      <c r="A4" s="120" t="str">
        <f t="shared" si="0"/>
        <v>CHSCentral Charge School2025/26</v>
      </c>
      <c r="B4" s="85">
        <f>COUNTIF(Expenditure_import[Column1],Expenditure_import[[#This Row],[Column1]])-1</f>
        <v>0</v>
      </c>
      <c r="C4" s="80" cm="1">
        <f t="array" ref="C4">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4" s="85">
        <f>IF(COUNTIF(SCHOOLS[SchoolCode],Expenditure_import[[#This Row],[SchoolCode]])&gt;0,0,1)</f>
        <v>0</v>
      </c>
      <c r="E4" s="85">
        <f>IF(COUNTIF(LEDGER[],Expenditure_import[[#This Row],[LedgerCode]])&gt;0,0,1)</f>
        <v>0</v>
      </c>
      <c r="F4" s="85">
        <f>IF(ISBLANK(Expenditure_import[[#This Row],[MonthProfileCode]]),1,IF(COUNTIF(MONTHPRF[Code],Expenditure_import[[#This Row],[MonthProfileCode]])&gt;0,0,1))</f>
        <v>0</v>
      </c>
      <c r="G4" s="80" cm="1">
        <f t="array" ref="G4">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4" s="85">
        <f>IF(Expenditure_import[[#This Row],[FundCode]]=0,0,IF(COUNTIF(FUNDS[FundCode],Expenditure_import[[#This Row],[FundCode]])&gt;0,0,1))</f>
        <v>0</v>
      </c>
      <c r="I4" s="80" cm="1">
        <f t="array" ref="I4">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4" s="85">
        <f>IF(ISBLANK(Expenditure_import[[#This Row],[YearValue]])=Expenditure_import[[#This Row],[Calculated]],0,1)</f>
        <v>0</v>
      </c>
      <c r="K4" s="85">
        <f>IF(ISBLANK(Expenditure_import[[#This Row],[CalculatorCode]]),0,IF(COUNTIF(Calculators[CalculatorCode],Expenditure_import[[#This Row],[CalculatorCode]])&gt;0,0,1))</f>
        <v>0</v>
      </c>
      <c r="L4" s="85">
        <f>IF(TRIM(Expenditure_import[[#This Row],[Description]])="",1,0)</f>
        <v>0</v>
      </c>
      <c r="M4" s="85">
        <f>IF(ISBLANK(Expenditure_import[[#This Row],[MatEditOnly]]),1,0)</f>
        <v>0</v>
      </c>
      <c r="N4" s="85">
        <f>IF(ISBLANK(Expenditure_import[[#This Row],[FinancialYearCode]]),1,0)</f>
        <v>0</v>
      </c>
      <c r="O4" s="85">
        <f>IF(ISBLANK(Expenditure_import[[#This Row],[Calculated]]),1,0)</f>
        <v>0</v>
      </c>
      <c r="P4"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4" s="85">
        <f>IF(LEN(Expenditure_import[[#This Row],[Description]])&lt;100,0,1)</f>
        <v>0</v>
      </c>
      <c r="R4" s="85">
        <f>IF(LEN(Expenditure_import[[#This Row],[Notes]])&lt;4000,0,1)</f>
        <v>0</v>
      </c>
      <c r="S4" s="85">
        <f>IF(LEN(Expenditure_import[[#This Row],[YearNotes]])&lt;4000,0,1)</f>
        <v>0</v>
      </c>
      <c r="T4" s="85">
        <f>IF(OR(Expenditure_import[[#This Row],[MatEditOnly]]=TRUE,Expenditure_import[[#This Row],[MatEditOnly]]=FALSE),IF(OR(Expenditure_import[[#This Row],[Calculated]]=TRUE,Expenditure_import[[#This Row],[Calculated]]=FALSE),0,1),1)</f>
        <v>0</v>
      </c>
      <c r="U4" s="85">
        <f>IF(_xlfn.XLOOKUP(Expenditure_import[[#This Row],[FinancialYearCode]],Years[Years],Years[Years],1)=Expenditure_import[[#This Row],[FinancialYearCode]],0,1)</f>
        <v>0</v>
      </c>
      <c r="V4" s="85">
        <f>IF(Expenditure_import[[#This Row],[CalculatorCode]]="",0,IF(IF(_xlfn.XLOOKUP(Expenditure_import[[#This Row],[CalculatorCode]],Calculators[CalculatorCode],Calculators[LockCheck])=1,TRUE,FALSE)=Expenditure_import[[#This Row],[MatEditOnly]],0,1))</f>
        <v>0</v>
      </c>
      <c r="W4" s="85">
        <f>SUM(Expenditure_import[[#This Row],[DuplicateLine]:[MAT edit only required]])</f>
        <v>3</v>
      </c>
      <c r="X4" s="80">
        <f>COUNTIF(SRG[GrossSalaryFinanceCode],Expenditure_import[[#This Row],[FinanceCode]])+COUNTIF(SRG[EmployersNiFinanceCode],Expenditure_import[[#This Row],[FinanceCode]])+COUNTIF(SRG[PensionFinanceCode],Expenditure_import[[#This Row],[FinanceCode]])</f>
        <v>0</v>
      </c>
      <c r="Y4" s="80" t="str">
        <f>_xlfn.XLOOKUP(Expenditure_import[[#This Row],[SchoolCode]],SCHOOLS[SchoolCode],SCHOOLS[Title])</f>
        <v>Castle Hill School</v>
      </c>
      <c r="AB4" t="s">
        <v>2594</v>
      </c>
      <c r="AF4" t="s">
        <v>1186</v>
      </c>
      <c r="AG4" t="s">
        <v>1124</v>
      </c>
      <c r="AH4" t="s">
        <v>1446</v>
      </c>
      <c r="AK4" t="b">
        <v>1</v>
      </c>
      <c r="AL4" t="s">
        <v>1497</v>
      </c>
      <c r="AM4" t="b">
        <v>1</v>
      </c>
    </row>
    <row r="5" spans="1:40" hidden="1" x14ac:dyDescent="0.3">
      <c r="A5" s="120" t="str">
        <f t="shared" si="0"/>
        <v>HHSCentral Charge School2025/26</v>
      </c>
      <c r="B5" s="85">
        <f>COUNTIF(Expenditure_import[Column1],Expenditure_import[[#This Row],[Column1]])-1</f>
        <v>0</v>
      </c>
      <c r="C5" s="80" cm="1">
        <f t="array" ref="C5">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5" s="85">
        <f>IF(COUNTIF(SCHOOLS[SchoolCode],Expenditure_import[[#This Row],[SchoolCode]])&gt;0,0,1)</f>
        <v>0</v>
      </c>
      <c r="E5" s="85">
        <f>IF(COUNTIF(LEDGER[],Expenditure_import[[#This Row],[LedgerCode]])&gt;0,0,1)</f>
        <v>0</v>
      </c>
      <c r="F5" s="85">
        <f>IF(ISBLANK(Expenditure_import[[#This Row],[MonthProfileCode]]),1,IF(COUNTIF(MONTHPRF[Code],Expenditure_import[[#This Row],[MonthProfileCode]])&gt;0,0,1))</f>
        <v>0</v>
      </c>
      <c r="G5" s="80" cm="1">
        <f t="array" ref="G5">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5" s="85">
        <f>IF(Expenditure_import[[#This Row],[FundCode]]=0,0,IF(COUNTIF(FUNDS[FundCode],Expenditure_import[[#This Row],[FundCode]])&gt;0,0,1))</f>
        <v>0</v>
      </c>
      <c r="I5" s="80" cm="1">
        <f t="array" ref="I5">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5" s="85">
        <f>IF(ISBLANK(Expenditure_import[[#This Row],[YearValue]])=Expenditure_import[[#This Row],[Calculated]],0,1)</f>
        <v>0</v>
      </c>
      <c r="K5" s="85">
        <f>IF(ISBLANK(Expenditure_import[[#This Row],[CalculatorCode]]),0,IF(COUNTIF(Calculators[CalculatorCode],Expenditure_import[[#This Row],[CalculatorCode]])&gt;0,0,1))</f>
        <v>0</v>
      </c>
      <c r="L5" s="85">
        <f>IF(TRIM(Expenditure_import[[#This Row],[Description]])="",1,0)</f>
        <v>0</v>
      </c>
      <c r="M5" s="85">
        <f>IF(ISBLANK(Expenditure_import[[#This Row],[MatEditOnly]]),1,0)</f>
        <v>0</v>
      </c>
      <c r="N5" s="85">
        <f>IF(ISBLANK(Expenditure_import[[#This Row],[FinancialYearCode]]),1,0)</f>
        <v>0</v>
      </c>
      <c r="O5" s="85">
        <f>IF(ISBLANK(Expenditure_import[[#This Row],[Calculated]]),1,0)</f>
        <v>0</v>
      </c>
      <c r="P5"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5" s="85">
        <f>IF(LEN(Expenditure_import[[#This Row],[Description]])&lt;100,0,1)</f>
        <v>0</v>
      </c>
      <c r="R5" s="85">
        <f>IF(LEN(Expenditure_import[[#This Row],[Notes]])&lt;4000,0,1)</f>
        <v>0</v>
      </c>
      <c r="S5" s="85">
        <f>IF(LEN(Expenditure_import[[#This Row],[YearNotes]])&lt;4000,0,1)</f>
        <v>0</v>
      </c>
      <c r="T5" s="85">
        <f>IF(OR(Expenditure_import[[#This Row],[MatEditOnly]]=TRUE,Expenditure_import[[#This Row],[MatEditOnly]]=FALSE),IF(OR(Expenditure_import[[#This Row],[Calculated]]=TRUE,Expenditure_import[[#This Row],[Calculated]]=FALSE),0,1),1)</f>
        <v>0</v>
      </c>
      <c r="U5" s="85">
        <f>IF(_xlfn.XLOOKUP(Expenditure_import[[#This Row],[FinancialYearCode]],Years[Years],Years[Years],1)=Expenditure_import[[#This Row],[FinancialYearCode]],0,1)</f>
        <v>0</v>
      </c>
      <c r="V5" s="85">
        <f>IF(Expenditure_import[[#This Row],[CalculatorCode]]="",0,IF(IF(_xlfn.XLOOKUP(Expenditure_import[[#This Row],[CalculatorCode]],Calculators[CalculatorCode],Calculators[LockCheck])=1,TRUE,FALSE)=Expenditure_import[[#This Row],[MatEditOnly]],0,1))</f>
        <v>0</v>
      </c>
      <c r="W5" s="85">
        <f>SUM(Expenditure_import[[#This Row],[DuplicateLine]:[MAT edit only required]])</f>
        <v>3</v>
      </c>
      <c r="X5" s="80">
        <f>COUNTIF(SRG[GrossSalaryFinanceCode],Expenditure_import[[#This Row],[FinanceCode]])+COUNTIF(SRG[EmployersNiFinanceCode],Expenditure_import[[#This Row],[FinanceCode]])+COUNTIF(SRG[PensionFinanceCode],Expenditure_import[[#This Row],[FinanceCode]])</f>
        <v>0</v>
      </c>
      <c r="Y5" s="80" t="str">
        <f>_xlfn.XLOOKUP(Expenditure_import[[#This Row],[SchoolCode]],SCHOOLS[SchoolCode],SCHOOLS[Title])</f>
        <v>Honley High School</v>
      </c>
      <c r="AB5" t="s">
        <v>2597</v>
      </c>
      <c r="AF5" t="s">
        <v>1186</v>
      </c>
      <c r="AG5" t="s">
        <v>1124</v>
      </c>
      <c r="AH5" t="s">
        <v>1446</v>
      </c>
      <c r="AK5" t="b">
        <v>1</v>
      </c>
      <c r="AL5" t="s">
        <v>1497</v>
      </c>
      <c r="AM5" t="b">
        <v>1</v>
      </c>
    </row>
    <row r="6" spans="1:40" hidden="1" x14ac:dyDescent="0.3">
      <c r="A6" s="120" t="str">
        <f t="shared" si="0"/>
        <v>LCPCentral Charge School2025/26</v>
      </c>
      <c r="B6" s="85">
        <f>COUNTIF(Expenditure_import[Column1],Expenditure_import[[#This Row],[Column1]])-1</f>
        <v>0</v>
      </c>
      <c r="C6" s="80" cm="1">
        <f t="array" ref="C6">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6" s="85">
        <f>IF(COUNTIF(SCHOOLS[SchoolCode],Expenditure_import[[#This Row],[SchoolCode]])&gt;0,0,1)</f>
        <v>0</v>
      </c>
      <c r="E6" s="85">
        <f>IF(COUNTIF(LEDGER[],Expenditure_import[[#This Row],[LedgerCode]])&gt;0,0,1)</f>
        <v>0</v>
      </c>
      <c r="F6" s="85">
        <f>IF(ISBLANK(Expenditure_import[[#This Row],[MonthProfileCode]]),1,IF(COUNTIF(MONTHPRF[Code],Expenditure_import[[#This Row],[MonthProfileCode]])&gt;0,0,1))</f>
        <v>0</v>
      </c>
      <c r="G6" s="80" cm="1">
        <f t="array" ref="G6">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6" s="85">
        <f>IF(Expenditure_import[[#This Row],[FundCode]]=0,0,IF(COUNTIF(FUNDS[FundCode],Expenditure_import[[#This Row],[FundCode]])&gt;0,0,1))</f>
        <v>0</v>
      </c>
      <c r="I6" s="80" cm="1">
        <f t="array" ref="I6">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6" s="85">
        <f>IF(ISBLANK(Expenditure_import[[#This Row],[YearValue]])=Expenditure_import[[#This Row],[Calculated]],0,1)</f>
        <v>0</v>
      </c>
      <c r="K6" s="85">
        <f>IF(ISBLANK(Expenditure_import[[#This Row],[CalculatorCode]]),0,IF(COUNTIF(Calculators[CalculatorCode],Expenditure_import[[#This Row],[CalculatorCode]])&gt;0,0,1))</f>
        <v>0</v>
      </c>
      <c r="L6" s="85">
        <f>IF(TRIM(Expenditure_import[[#This Row],[Description]])="",1,0)</f>
        <v>0</v>
      </c>
      <c r="M6" s="85">
        <f>IF(ISBLANK(Expenditure_import[[#This Row],[MatEditOnly]]),1,0)</f>
        <v>0</v>
      </c>
      <c r="N6" s="85">
        <f>IF(ISBLANK(Expenditure_import[[#This Row],[FinancialYearCode]]),1,0)</f>
        <v>0</v>
      </c>
      <c r="O6" s="85">
        <f>IF(ISBLANK(Expenditure_import[[#This Row],[Calculated]]),1,0)</f>
        <v>0</v>
      </c>
      <c r="P6"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6" s="85">
        <f>IF(LEN(Expenditure_import[[#This Row],[Description]])&lt;100,0,1)</f>
        <v>0</v>
      </c>
      <c r="R6" s="85">
        <f>IF(LEN(Expenditure_import[[#This Row],[Notes]])&lt;4000,0,1)</f>
        <v>0</v>
      </c>
      <c r="S6" s="85">
        <f>IF(LEN(Expenditure_import[[#This Row],[YearNotes]])&lt;4000,0,1)</f>
        <v>0</v>
      </c>
      <c r="T6" s="85">
        <f>IF(OR(Expenditure_import[[#This Row],[MatEditOnly]]=TRUE,Expenditure_import[[#This Row],[MatEditOnly]]=FALSE),IF(OR(Expenditure_import[[#This Row],[Calculated]]=TRUE,Expenditure_import[[#This Row],[Calculated]]=FALSE),0,1),1)</f>
        <v>0</v>
      </c>
      <c r="U6" s="85">
        <f>IF(_xlfn.XLOOKUP(Expenditure_import[[#This Row],[FinancialYearCode]],Years[Years],Years[Years],1)=Expenditure_import[[#This Row],[FinancialYearCode]],0,1)</f>
        <v>0</v>
      </c>
      <c r="V6" s="85">
        <f>IF(Expenditure_import[[#This Row],[CalculatorCode]]="",0,IF(IF(_xlfn.XLOOKUP(Expenditure_import[[#This Row],[CalculatorCode]],Calculators[CalculatorCode],Calculators[LockCheck])=1,TRUE,FALSE)=Expenditure_import[[#This Row],[MatEditOnly]],0,1))</f>
        <v>0</v>
      </c>
      <c r="W6" s="85">
        <f>SUM(Expenditure_import[[#This Row],[DuplicateLine]:[MAT edit only required]])</f>
        <v>3</v>
      </c>
      <c r="X6" s="80">
        <f>COUNTIF(SRG[GrossSalaryFinanceCode],Expenditure_import[[#This Row],[FinanceCode]])+COUNTIF(SRG[EmployersNiFinanceCode],Expenditure_import[[#This Row],[FinanceCode]])+COUNTIF(SRG[PensionFinanceCode],Expenditure_import[[#This Row],[FinanceCode]])</f>
        <v>0</v>
      </c>
      <c r="Y6" s="80" t="str">
        <f>_xlfn.XLOOKUP(Expenditure_import[[#This Row],[SchoolCode]],SCHOOLS[SchoolCode],SCHOOLS[Title])</f>
        <v>Linthwaite Clough Primary School</v>
      </c>
      <c r="AB6" t="s">
        <v>2599</v>
      </c>
      <c r="AF6" t="s">
        <v>1186</v>
      </c>
      <c r="AG6" t="s">
        <v>1124</v>
      </c>
      <c r="AH6" t="s">
        <v>1446</v>
      </c>
      <c r="AK6" t="b">
        <v>1</v>
      </c>
      <c r="AL6" t="s">
        <v>1497</v>
      </c>
      <c r="AM6" t="b">
        <v>1</v>
      </c>
    </row>
    <row r="7" spans="1:40" hidden="1" x14ac:dyDescent="0.3">
      <c r="A7" s="120" t="str">
        <f t="shared" si="0"/>
        <v>MMPCentral Charge School2025/26</v>
      </c>
      <c r="B7" s="85">
        <f>COUNTIF(Expenditure_import[Column1],Expenditure_import[[#This Row],[Column1]])-1</f>
        <v>0</v>
      </c>
      <c r="C7" s="80" cm="1">
        <f t="array" ref="C7">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7" s="85">
        <f>IF(COUNTIF(SCHOOLS[SchoolCode],Expenditure_import[[#This Row],[SchoolCode]])&gt;0,0,1)</f>
        <v>0</v>
      </c>
      <c r="E7" s="85">
        <f>IF(COUNTIF(LEDGER[],Expenditure_import[[#This Row],[LedgerCode]])&gt;0,0,1)</f>
        <v>0</v>
      </c>
      <c r="F7" s="85">
        <f>IF(ISBLANK(Expenditure_import[[#This Row],[MonthProfileCode]]),1,IF(COUNTIF(MONTHPRF[Code],Expenditure_import[[#This Row],[MonthProfileCode]])&gt;0,0,1))</f>
        <v>0</v>
      </c>
      <c r="G7" s="80" cm="1">
        <f t="array" ref="G7">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7" s="85">
        <f>IF(Expenditure_import[[#This Row],[FundCode]]=0,0,IF(COUNTIF(FUNDS[FundCode],Expenditure_import[[#This Row],[FundCode]])&gt;0,0,1))</f>
        <v>0</v>
      </c>
      <c r="I7" s="80" cm="1">
        <f t="array" ref="I7">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7" s="85">
        <f>IF(ISBLANK(Expenditure_import[[#This Row],[YearValue]])=Expenditure_import[[#This Row],[Calculated]],0,1)</f>
        <v>0</v>
      </c>
      <c r="K7" s="85">
        <f>IF(ISBLANK(Expenditure_import[[#This Row],[CalculatorCode]]),0,IF(COUNTIF(Calculators[CalculatorCode],Expenditure_import[[#This Row],[CalculatorCode]])&gt;0,0,1))</f>
        <v>0</v>
      </c>
      <c r="L7" s="85">
        <f>IF(TRIM(Expenditure_import[[#This Row],[Description]])="",1,0)</f>
        <v>0</v>
      </c>
      <c r="M7" s="85">
        <f>IF(ISBLANK(Expenditure_import[[#This Row],[MatEditOnly]]),1,0)</f>
        <v>0</v>
      </c>
      <c r="N7" s="85">
        <f>IF(ISBLANK(Expenditure_import[[#This Row],[FinancialYearCode]]),1,0)</f>
        <v>0</v>
      </c>
      <c r="O7" s="85">
        <f>IF(ISBLANK(Expenditure_import[[#This Row],[Calculated]]),1,0)</f>
        <v>0</v>
      </c>
      <c r="P7"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7" s="85">
        <f>IF(LEN(Expenditure_import[[#This Row],[Description]])&lt;100,0,1)</f>
        <v>0</v>
      </c>
      <c r="R7" s="85">
        <f>IF(LEN(Expenditure_import[[#This Row],[Notes]])&lt;4000,0,1)</f>
        <v>0</v>
      </c>
      <c r="S7" s="85">
        <f>IF(LEN(Expenditure_import[[#This Row],[YearNotes]])&lt;4000,0,1)</f>
        <v>0</v>
      </c>
      <c r="T7" s="85">
        <f>IF(OR(Expenditure_import[[#This Row],[MatEditOnly]]=TRUE,Expenditure_import[[#This Row],[MatEditOnly]]=FALSE),IF(OR(Expenditure_import[[#This Row],[Calculated]]=TRUE,Expenditure_import[[#This Row],[Calculated]]=FALSE),0,1),1)</f>
        <v>0</v>
      </c>
      <c r="U7" s="85">
        <f>IF(_xlfn.XLOOKUP(Expenditure_import[[#This Row],[FinancialYearCode]],Years[Years],Years[Years],1)=Expenditure_import[[#This Row],[FinancialYearCode]],0,1)</f>
        <v>0</v>
      </c>
      <c r="V7" s="85">
        <f>IF(Expenditure_import[[#This Row],[CalculatorCode]]="",0,IF(IF(_xlfn.XLOOKUP(Expenditure_import[[#This Row],[CalculatorCode]],Calculators[CalculatorCode],Calculators[LockCheck])=1,TRUE,FALSE)=Expenditure_import[[#This Row],[MatEditOnly]],0,1))</f>
        <v>0</v>
      </c>
      <c r="W7" s="85">
        <f>SUM(Expenditure_import[[#This Row],[DuplicateLine]:[MAT edit only required]])</f>
        <v>3</v>
      </c>
      <c r="X7" s="80">
        <f>COUNTIF(SRG[GrossSalaryFinanceCode],Expenditure_import[[#This Row],[FinanceCode]])+COUNTIF(SRG[EmployersNiFinanceCode],Expenditure_import[[#This Row],[FinanceCode]])+COUNTIF(SRG[PensionFinanceCode],Expenditure_import[[#This Row],[FinanceCode]])</f>
        <v>0</v>
      </c>
      <c r="Y7" s="80" t="str">
        <f>_xlfn.XLOOKUP(Expenditure_import[[#This Row],[SchoolCode]],SCHOOLS[SchoolCode],SCHOOLS[Title])</f>
        <v>Meltham Moor Primary School</v>
      </c>
      <c r="AB7" t="s">
        <v>2601</v>
      </c>
      <c r="AF7" t="s">
        <v>1186</v>
      </c>
      <c r="AG7" t="s">
        <v>1124</v>
      </c>
      <c r="AH7" t="s">
        <v>1446</v>
      </c>
      <c r="AK7" t="b">
        <v>1</v>
      </c>
      <c r="AL7" t="s">
        <v>1497</v>
      </c>
      <c r="AM7" t="b">
        <v>1</v>
      </c>
    </row>
    <row r="8" spans="1:40" hidden="1" x14ac:dyDescent="0.3">
      <c r="A8" s="120" t="str">
        <f t="shared" si="0"/>
        <v>NINCentral Charge School2025/26</v>
      </c>
      <c r="B8" s="85">
        <f>COUNTIF(Expenditure_import[Column1],Expenditure_import[[#This Row],[Column1]])-1</f>
        <v>0</v>
      </c>
      <c r="C8" s="80" cm="1">
        <f t="array" ref="C8">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8" s="85">
        <f>IF(COUNTIF(SCHOOLS[SchoolCode],Expenditure_import[[#This Row],[SchoolCode]])&gt;0,0,1)</f>
        <v>0</v>
      </c>
      <c r="E8" s="85">
        <f>IF(COUNTIF(LEDGER[],Expenditure_import[[#This Row],[LedgerCode]])&gt;0,0,1)</f>
        <v>0</v>
      </c>
      <c r="F8" s="85">
        <f>IF(ISBLANK(Expenditure_import[[#This Row],[MonthProfileCode]]),1,IF(COUNTIF(MONTHPRF[Code],Expenditure_import[[#This Row],[MonthProfileCode]])&gt;0,0,1))</f>
        <v>0</v>
      </c>
      <c r="G8" s="80" cm="1">
        <f t="array" ref="G8">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8" s="85">
        <f>IF(Expenditure_import[[#This Row],[FundCode]]=0,0,IF(COUNTIF(FUNDS[FundCode],Expenditure_import[[#This Row],[FundCode]])&gt;0,0,1))</f>
        <v>0</v>
      </c>
      <c r="I8" s="80" cm="1">
        <f t="array" ref="I8">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8" s="85">
        <f>IF(ISBLANK(Expenditure_import[[#This Row],[YearValue]])=Expenditure_import[[#This Row],[Calculated]],0,1)</f>
        <v>0</v>
      </c>
      <c r="K8" s="85">
        <f>IF(ISBLANK(Expenditure_import[[#This Row],[CalculatorCode]]),0,IF(COUNTIF(Calculators[CalculatorCode],Expenditure_import[[#This Row],[CalculatorCode]])&gt;0,0,1))</f>
        <v>0</v>
      </c>
      <c r="L8" s="85">
        <f>IF(TRIM(Expenditure_import[[#This Row],[Description]])="",1,0)</f>
        <v>0</v>
      </c>
      <c r="M8" s="85">
        <f>IF(ISBLANK(Expenditure_import[[#This Row],[MatEditOnly]]),1,0)</f>
        <v>0</v>
      </c>
      <c r="N8" s="85">
        <f>IF(ISBLANK(Expenditure_import[[#This Row],[FinancialYearCode]]),1,0)</f>
        <v>0</v>
      </c>
      <c r="O8" s="85">
        <f>IF(ISBLANK(Expenditure_import[[#This Row],[Calculated]]),1,0)</f>
        <v>0</v>
      </c>
      <c r="P8"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8" s="85">
        <f>IF(LEN(Expenditure_import[[#This Row],[Description]])&lt;100,0,1)</f>
        <v>0</v>
      </c>
      <c r="R8" s="85">
        <f>IF(LEN(Expenditure_import[[#This Row],[Notes]])&lt;4000,0,1)</f>
        <v>0</v>
      </c>
      <c r="S8" s="85">
        <f>IF(LEN(Expenditure_import[[#This Row],[YearNotes]])&lt;4000,0,1)</f>
        <v>0</v>
      </c>
      <c r="T8" s="85">
        <f>IF(OR(Expenditure_import[[#This Row],[MatEditOnly]]=TRUE,Expenditure_import[[#This Row],[MatEditOnly]]=FALSE),IF(OR(Expenditure_import[[#This Row],[Calculated]]=TRUE,Expenditure_import[[#This Row],[Calculated]]=FALSE),0,1),1)</f>
        <v>0</v>
      </c>
      <c r="U8" s="85">
        <f>IF(_xlfn.XLOOKUP(Expenditure_import[[#This Row],[FinancialYearCode]],Years[Years],Years[Years],1)=Expenditure_import[[#This Row],[FinancialYearCode]],0,1)</f>
        <v>0</v>
      </c>
      <c r="V8" s="85">
        <f>IF(Expenditure_import[[#This Row],[CalculatorCode]]="",0,IF(IF(_xlfn.XLOOKUP(Expenditure_import[[#This Row],[CalculatorCode]],Calculators[CalculatorCode],Calculators[LockCheck])=1,TRUE,FALSE)=Expenditure_import[[#This Row],[MatEditOnly]],0,1))</f>
        <v>0</v>
      </c>
      <c r="W8" s="85">
        <f>SUM(Expenditure_import[[#This Row],[DuplicateLine]:[MAT edit only required]])</f>
        <v>3</v>
      </c>
      <c r="X8" s="80">
        <f>COUNTIF(SRG[GrossSalaryFinanceCode],Expenditure_import[[#This Row],[FinanceCode]])+COUNTIF(SRG[EmployersNiFinanceCode],Expenditure_import[[#This Row],[FinanceCode]])+COUNTIF(SRG[PensionFinanceCode],Expenditure_import[[#This Row],[FinanceCode]])</f>
        <v>0</v>
      </c>
      <c r="Y8" s="80" t="str">
        <f>_xlfn.XLOOKUP(Expenditure_import[[#This Row],[SchoolCode]],SCHOOLS[SchoolCode],SCHOOLS[Title])</f>
        <v>Netherton Infant and Nursery School</v>
      </c>
      <c r="AB8" t="s">
        <v>2603</v>
      </c>
      <c r="AF8" t="s">
        <v>1186</v>
      </c>
      <c r="AG8" t="s">
        <v>1124</v>
      </c>
      <c r="AH8" t="s">
        <v>1446</v>
      </c>
      <c r="AK8" t="b">
        <v>1</v>
      </c>
      <c r="AL8" t="s">
        <v>1497</v>
      </c>
      <c r="AM8" t="b">
        <v>1</v>
      </c>
    </row>
    <row r="9" spans="1:40" hidden="1" x14ac:dyDescent="0.3">
      <c r="A9" s="120" t="str">
        <f t="shared" si="0"/>
        <v>RVSCentral Charge School2025/26</v>
      </c>
      <c r="B9" s="85">
        <f>COUNTIF(Expenditure_import[Column1],Expenditure_import[[#This Row],[Column1]])-1</f>
        <v>0</v>
      </c>
      <c r="C9" s="80" cm="1">
        <f t="array" ref="C9">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9" s="85">
        <f>IF(COUNTIF(SCHOOLS[SchoolCode],Expenditure_import[[#This Row],[SchoolCode]])&gt;0,0,1)</f>
        <v>0</v>
      </c>
      <c r="E9" s="85">
        <f>IF(COUNTIF(LEDGER[],Expenditure_import[[#This Row],[LedgerCode]])&gt;0,0,1)</f>
        <v>0</v>
      </c>
      <c r="F9" s="85">
        <f>IF(ISBLANK(Expenditure_import[[#This Row],[MonthProfileCode]]),1,IF(COUNTIF(MONTHPRF[Code],Expenditure_import[[#This Row],[MonthProfileCode]])&gt;0,0,1))</f>
        <v>0</v>
      </c>
      <c r="G9" s="80" cm="1">
        <f t="array" ref="G9">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9" s="85">
        <f>IF(Expenditure_import[[#This Row],[FundCode]]=0,0,IF(COUNTIF(FUNDS[FundCode],Expenditure_import[[#This Row],[FundCode]])&gt;0,0,1))</f>
        <v>0</v>
      </c>
      <c r="I9" s="80" cm="1">
        <f t="array" ref="I9">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9" s="85">
        <f>IF(ISBLANK(Expenditure_import[[#This Row],[YearValue]])=Expenditure_import[[#This Row],[Calculated]],0,1)</f>
        <v>0</v>
      </c>
      <c r="K9" s="85">
        <f>IF(ISBLANK(Expenditure_import[[#This Row],[CalculatorCode]]),0,IF(COUNTIF(Calculators[CalculatorCode],Expenditure_import[[#This Row],[CalculatorCode]])&gt;0,0,1))</f>
        <v>0</v>
      </c>
      <c r="L9" s="85">
        <f>IF(TRIM(Expenditure_import[[#This Row],[Description]])="",1,0)</f>
        <v>0</v>
      </c>
      <c r="M9" s="85">
        <f>IF(ISBLANK(Expenditure_import[[#This Row],[MatEditOnly]]),1,0)</f>
        <v>0</v>
      </c>
      <c r="N9" s="85">
        <f>IF(ISBLANK(Expenditure_import[[#This Row],[FinancialYearCode]]),1,0)</f>
        <v>0</v>
      </c>
      <c r="O9" s="85">
        <f>IF(ISBLANK(Expenditure_import[[#This Row],[Calculated]]),1,0)</f>
        <v>0</v>
      </c>
      <c r="P9"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9" s="85">
        <f>IF(LEN(Expenditure_import[[#This Row],[Description]])&lt;100,0,1)</f>
        <v>0</v>
      </c>
      <c r="R9" s="85">
        <f>IF(LEN(Expenditure_import[[#This Row],[Notes]])&lt;4000,0,1)</f>
        <v>0</v>
      </c>
      <c r="S9" s="85">
        <f>IF(LEN(Expenditure_import[[#This Row],[YearNotes]])&lt;4000,0,1)</f>
        <v>0</v>
      </c>
      <c r="T9" s="85">
        <f>IF(OR(Expenditure_import[[#This Row],[MatEditOnly]]=TRUE,Expenditure_import[[#This Row],[MatEditOnly]]=FALSE),IF(OR(Expenditure_import[[#This Row],[Calculated]]=TRUE,Expenditure_import[[#This Row],[Calculated]]=FALSE),0,1),1)</f>
        <v>0</v>
      </c>
      <c r="U9" s="85">
        <f>IF(_xlfn.XLOOKUP(Expenditure_import[[#This Row],[FinancialYearCode]],Years[Years],Years[Years],1)=Expenditure_import[[#This Row],[FinancialYearCode]],0,1)</f>
        <v>0</v>
      </c>
      <c r="V9" s="85">
        <f>IF(Expenditure_import[[#This Row],[CalculatorCode]]="",0,IF(IF(_xlfn.XLOOKUP(Expenditure_import[[#This Row],[CalculatorCode]],Calculators[CalculatorCode],Calculators[LockCheck])=1,TRUE,FALSE)=Expenditure_import[[#This Row],[MatEditOnly]],0,1))</f>
        <v>0</v>
      </c>
      <c r="W9" s="85">
        <f>SUM(Expenditure_import[[#This Row],[DuplicateLine]:[MAT edit only required]])</f>
        <v>3</v>
      </c>
      <c r="X9" s="80">
        <f>COUNTIF(SRG[GrossSalaryFinanceCode],Expenditure_import[[#This Row],[FinanceCode]])+COUNTIF(SRG[EmployersNiFinanceCode],Expenditure_import[[#This Row],[FinanceCode]])+COUNTIF(SRG[PensionFinanceCode],Expenditure_import[[#This Row],[FinanceCode]])</f>
        <v>0</v>
      </c>
      <c r="Y9" s="80" t="str">
        <f>_xlfn.XLOOKUP(Expenditure_import[[#This Row],[SchoolCode]],SCHOOLS[SchoolCode],SCHOOLS[Title])</f>
        <v>Ryburn Valley High School</v>
      </c>
      <c r="AB9" t="s">
        <v>2605</v>
      </c>
      <c r="AF9" t="s">
        <v>1186</v>
      </c>
      <c r="AG9" t="s">
        <v>1124</v>
      </c>
      <c r="AH9" t="s">
        <v>1446</v>
      </c>
      <c r="AK9" t="b">
        <v>1</v>
      </c>
      <c r="AL9" t="s">
        <v>1497</v>
      </c>
      <c r="AM9" t="b">
        <v>1</v>
      </c>
    </row>
    <row r="10" spans="1:40" hidden="1" x14ac:dyDescent="0.3">
      <c r="A10" s="120" t="str">
        <f t="shared" si="0"/>
        <v>SRACentral Charge School2025/26</v>
      </c>
      <c r="B10" s="85">
        <f>COUNTIF(Expenditure_import[Column1],Expenditure_import[[#This Row],[Column1]])-1</f>
        <v>0</v>
      </c>
      <c r="C10" s="80" cm="1">
        <f t="array" ref="C10">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10" s="85">
        <f>IF(COUNTIF(SCHOOLS[SchoolCode],Expenditure_import[[#This Row],[SchoolCode]])&gt;0,0,1)</f>
        <v>0</v>
      </c>
      <c r="E10" s="85">
        <f>IF(COUNTIF(LEDGER[],Expenditure_import[[#This Row],[LedgerCode]])&gt;0,0,1)</f>
        <v>0</v>
      </c>
      <c r="F10" s="85">
        <f>IF(ISBLANK(Expenditure_import[[#This Row],[MonthProfileCode]]),1,IF(COUNTIF(MONTHPRF[Code],Expenditure_import[[#This Row],[MonthProfileCode]])&gt;0,0,1))</f>
        <v>0</v>
      </c>
      <c r="G10" s="80" cm="1">
        <f t="array" ref="G10">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10" s="85">
        <f>IF(Expenditure_import[[#This Row],[FundCode]]=0,0,IF(COUNTIF(FUNDS[FundCode],Expenditure_import[[#This Row],[FundCode]])&gt;0,0,1))</f>
        <v>0</v>
      </c>
      <c r="I10" s="80" cm="1">
        <f t="array" ref="I10">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10" s="85">
        <f>IF(ISBLANK(Expenditure_import[[#This Row],[YearValue]])=Expenditure_import[[#This Row],[Calculated]],0,1)</f>
        <v>0</v>
      </c>
      <c r="K10" s="85">
        <f>IF(ISBLANK(Expenditure_import[[#This Row],[CalculatorCode]]),0,IF(COUNTIF(Calculators[CalculatorCode],Expenditure_import[[#This Row],[CalculatorCode]])&gt;0,0,1))</f>
        <v>0</v>
      </c>
      <c r="L10" s="85">
        <f>IF(TRIM(Expenditure_import[[#This Row],[Description]])="",1,0)</f>
        <v>0</v>
      </c>
      <c r="M10" s="85">
        <f>IF(ISBLANK(Expenditure_import[[#This Row],[MatEditOnly]]),1,0)</f>
        <v>0</v>
      </c>
      <c r="N10" s="85">
        <f>IF(ISBLANK(Expenditure_import[[#This Row],[FinancialYearCode]]),1,0)</f>
        <v>0</v>
      </c>
      <c r="O10" s="85">
        <f>IF(ISBLANK(Expenditure_import[[#This Row],[Calculated]]),1,0)</f>
        <v>0</v>
      </c>
      <c r="P10"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10" s="85">
        <f>IF(LEN(Expenditure_import[[#This Row],[Description]])&lt;100,0,1)</f>
        <v>0</v>
      </c>
      <c r="R10" s="85">
        <f>IF(LEN(Expenditure_import[[#This Row],[Notes]])&lt;4000,0,1)</f>
        <v>0</v>
      </c>
      <c r="S10" s="85">
        <f>IF(LEN(Expenditure_import[[#This Row],[YearNotes]])&lt;4000,0,1)</f>
        <v>0</v>
      </c>
      <c r="T10" s="85">
        <f>IF(OR(Expenditure_import[[#This Row],[MatEditOnly]]=TRUE,Expenditure_import[[#This Row],[MatEditOnly]]=FALSE),IF(OR(Expenditure_import[[#This Row],[Calculated]]=TRUE,Expenditure_import[[#This Row],[Calculated]]=FALSE),0,1),1)</f>
        <v>0</v>
      </c>
      <c r="U10" s="85">
        <f>IF(_xlfn.XLOOKUP(Expenditure_import[[#This Row],[FinancialYearCode]],Years[Years],Years[Years],1)=Expenditure_import[[#This Row],[FinancialYearCode]],0,1)</f>
        <v>0</v>
      </c>
      <c r="V10" s="85">
        <f>IF(Expenditure_import[[#This Row],[CalculatorCode]]="",0,IF(IF(_xlfn.XLOOKUP(Expenditure_import[[#This Row],[CalculatorCode]],Calculators[CalculatorCode],Calculators[LockCheck])=1,TRUE,FALSE)=Expenditure_import[[#This Row],[MatEditOnly]],0,1))</f>
        <v>0</v>
      </c>
      <c r="W10" s="85">
        <f>SUM(Expenditure_import[[#This Row],[DuplicateLine]:[MAT edit only required]])</f>
        <v>3</v>
      </c>
      <c r="X10" s="80">
        <f>COUNTIF(SRG[GrossSalaryFinanceCode],Expenditure_import[[#This Row],[FinanceCode]])+COUNTIF(SRG[EmployersNiFinanceCode],Expenditure_import[[#This Row],[FinanceCode]])+COUNTIF(SRG[PensionFinanceCode],Expenditure_import[[#This Row],[FinanceCode]])</f>
        <v>0</v>
      </c>
      <c r="Y10" s="80" t="str">
        <f>_xlfn.XLOOKUP(Expenditure_import[[#This Row],[SchoolCode]],SCHOOLS[SchoolCode],SCHOOLS[Title])</f>
        <v>Scout Road Academy</v>
      </c>
      <c r="AB10" t="s">
        <v>2607</v>
      </c>
      <c r="AF10" t="s">
        <v>1186</v>
      </c>
      <c r="AG10" t="s">
        <v>1124</v>
      </c>
      <c r="AH10" t="s">
        <v>1446</v>
      </c>
      <c r="AK10" t="b">
        <v>1</v>
      </c>
      <c r="AL10" t="s">
        <v>1497</v>
      </c>
      <c r="AM10" t="b">
        <v>1</v>
      </c>
    </row>
    <row r="11" spans="1:40" hidden="1" x14ac:dyDescent="0.3">
      <c r="A11" s="120" t="str">
        <f t="shared" si="0"/>
        <v>BBPDFC Expenditure2025/26</v>
      </c>
      <c r="B11" s="85">
        <f>COUNTIF(Expenditure_import[Column1],Expenditure_import[[#This Row],[Column1]])-1</f>
        <v>0</v>
      </c>
      <c r="C11" s="80" cm="1">
        <f t="array" ref="C11">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11" s="85">
        <f>IF(COUNTIF(SCHOOLS[SchoolCode],Expenditure_import[[#This Row],[SchoolCode]])&gt;0,0,1)</f>
        <v>0</v>
      </c>
      <c r="E11" s="85">
        <f>IF(COUNTIF(LEDGER[],Expenditure_import[[#This Row],[LedgerCode]])&gt;0,0,1)</f>
        <v>0</v>
      </c>
      <c r="F11" s="85">
        <f>IF(ISBLANK(Expenditure_import[[#This Row],[MonthProfileCode]]),1,IF(COUNTIF(MONTHPRF[Code],Expenditure_import[[#This Row],[MonthProfileCode]])&gt;0,0,1))</f>
        <v>0</v>
      </c>
      <c r="G11" s="80" cm="1">
        <f t="array" ref="G11">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11" s="85">
        <f>IF(Expenditure_import[[#This Row],[FundCode]]=0,0,IF(COUNTIF(FUNDS[FundCode],Expenditure_import[[#This Row],[FundCode]])&gt;0,0,1))</f>
        <v>0</v>
      </c>
      <c r="I11" s="80" cm="1">
        <f t="array" ref="I11">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11" s="85">
        <f>IF(ISBLANK(Expenditure_import[[#This Row],[YearValue]])=Expenditure_import[[#This Row],[Calculated]],0,1)</f>
        <v>0</v>
      </c>
      <c r="K11" s="85">
        <f>IF(ISBLANK(Expenditure_import[[#This Row],[CalculatorCode]]),0,IF(COUNTIF(Calculators[CalculatorCode],Expenditure_import[[#This Row],[CalculatorCode]])&gt;0,0,1))</f>
        <v>0</v>
      </c>
      <c r="L11" s="85">
        <f>IF(TRIM(Expenditure_import[[#This Row],[Description]])="",1,0)</f>
        <v>0</v>
      </c>
      <c r="M11" s="85">
        <f>IF(ISBLANK(Expenditure_import[[#This Row],[MatEditOnly]]),1,0)</f>
        <v>0</v>
      </c>
      <c r="N11" s="85">
        <f>IF(ISBLANK(Expenditure_import[[#This Row],[FinancialYearCode]]),1,0)</f>
        <v>0</v>
      </c>
      <c r="O11" s="85">
        <f>IF(ISBLANK(Expenditure_import[[#This Row],[Calculated]]),1,0)</f>
        <v>0</v>
      </c>
      <c r="P11"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11" s="85">
        <f>IF(LEN(Expenditure_import[[#This Row],[Description]])&lt;100,0,1)</f>
        <v>0</v>
      </c>
      <c r="R11" s="85">
        <f>IF(LEN(Expenditure_import[[#This Row],[Notes]])&lt;4000,0,1)</f>
        <v>0</v>
      </c>
      <c r="S11" s="85">
        <f>IF(LEN(Expenditure_import[[#This Row],[YearNotes]])&lt;4000,0,1)</f>
        <v>0</v>
      </c>
      <c r="T11" s="85">
        <f>IF(OR(Expenditure_import[[#This Row],[MatEditOnly]]=TRUE,Expenditure_import[[#This Row],[MatEditOnly]]=FALSE),IF(OR(Expenditure_import[[#This Row],[Calculated]]=TRUE,Expenditure_import[[#This Row],[Calculated]]=FALSE),0,1),1)</f>
        <v>0</v>
      </c>
      <c r="U11" s="85">
        <f>IF(_xlfn.XLOOKUP(Expenditure_import[[#This Row],[FinancialYearCode]],Years[Years],Years[Years],1)=Expenditure_import[[#This Row],[FinancialYearCode]],0,1)</f>
        <v>0</v>
      </c>
      <c r="V11" s="85">
        <f>IF(Expenditure_import[[#This Row],[CalculatorCode]]="",0,IF(IF(_xlfn.XLOOKUP(Expenditure_import[[#This Row],[CalculatorCode]],Calculators[CalculatorCode],Calculators[LockCheck])=1,TRUE,FALSE)=Expenditure_import[[#This Row],[MatEditOnly]],0,1))</f>
        <v>0</v>
      </c>
      <c r="W11" s="85">
        <f>SUM(Expenditure_import[[#This Row],[DuplicateLine]:[MAT edit only required]])</f>
        <v>3</v>
      </c>
      <c r="X11" s="80">
        <f>COUNTIF(SRG[GrossSalaryFinanceCode],Expenditure_import[[#This Row],[FinanceCode]])+COUNTIF(SRG[EmployersNiFinanceCode],Expenditure_import[[#This Row],[FinanceCode]])+COUNTIF(SRG[PensionFinanceCode],Expenditure_import[[#This Row],[FinanceCode]])</f>
        <v>0</v>
      </c>
      <c r="Y11" s="80" t="str">
        <f>_xlfn.XLOOKUP(Expenditure_import[[#This Row],[SchoolCode]],SCHOOLS[SchoolCode],SCHOOLS[Title])</f>
        <v>Bolton Brow Primary Academy</v>
      </c>
      <c r="AB11" t="s">
        <v>2588</v>
      </c>
      <c r="AF11" t="s">
        <v>1994</v>
      </c>
      <c r="AG11" t="s">
        <v>1124</v>
      </c>
      <c r="AH11" t="s">
        <v>1995</v>
      </c>
      <c r="AK11" t="b">
        <v>1</v>
      </c>
      <c r="AL11" t="s">
        <v>1497</v>
      </c>
      <c r="AM11" t="b">
        <v>1</v>
      </c>
    </row>
    <row r="12" spans="1:40" hidden="1" x14ac:dyDescent="0.3">
      <c r="A12" s="120" t="str">
        <f t="shared" si="0"/>
        <v>BBSDFC Expenditure2025/26</v>
      </c>
      <c r="B12" s="85">
        <f>COUNTIF(Expenditure_import[Column1],Expenditure_import[[#This Row],[Column1]])-1</f>
        <v>0</v>
      </c>
      <c r="C12" s="80" cm="1">
        <f t="array" ref="C12">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12" s="85">
        <f>IF(COUNTIF(SCHOOLS[SchoolCode],Expenditure_import[[#This Row],[SchoolCode]])&gt;0,0,1)</f>
        <v>0</v>
      </c>
      <c r="E12" s="85">
        <f>IF(COUNTIF(LEDGER[],Expenditure_import[[#This Row],[LedgerCode]])&gt;0,0,1)</f>
        <v>0</v>
      </c>
      <c r="F12" s="85">
        <f>IF(ISBLANK(Expenditure_import[[#This Row],[MonthProfileCode]]),1,IF(COUNTIF(MONTHPRF[Code],Expenditure_import[[#This Row],[MonthProfileCode]])&gt;0,0,1))</f>
        <v>0</v>
      </c>
      <c r="G12" s="80" cm="1">
        <f t="array" ref="G12">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12" s="85">
        <f>IF(Expenditure_import[[#This Row],[FundCode]]=0,0,IF(COUNTIF(FUNDS[FundCode],Expenditure_import[[#This Row],[FundCode]])&gt;0,0,1))</f>
        <v>0</v>
      </c>
      <c r="I12" s="80" cm="1">
        <f t="array" ref="I12">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12" s="85">
        <f>IF(ISBLANK(Expenditure_import[[#This Row],[YearValue]])=Expenditure_import[[#This Row],[Calculated]],0,1)</f>
        <v>0</v>
      </c>
      <c r="K12" s="85">
        <f>IF(ISBLANK(Expenditure_import[[#This Row],[CalculatorCode]]),0,IF(COUNTIF(Calculators[CalculatorCode],Expenditure_import[[#This Row],[CalculatorCode]])&gt;0,0,1))</f>
        <v>0</v>
      </c>
      <c r="L12" s="85">
        <f>IF(TRIM(Expenditure_import[[#This Row],[Description]])="",1,0)</f>
        <v>0</v>
      </c>
      <c r="M12" s="85">
        <f>IF(ISBLANK(Expenditure_import[[#This Row],[MatEditOnly]]),1,0)</f>
        <v>0</v>
      </c>
      <c r="N12" s="85">
        <f>IF(ISBLANK(Expenditure_import[[#This Row],[FinancialYearCode]]),1,0)</f>
        <v>0</v>
      </c>
      <c r="O12" s="85">
        <f>IF(ISBLANK(Expenditure_import[[#This Row],[Calculated]]),1,0)</f>
        <v>0</v>
      </c>
      <c r="P12"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12" s="85">
        <f>IF(LEN(Expenditure_import[[#This Row],[Description]])&lt;100,0,1)</f>
        <v>0</v>
      </c>
      <c r="R12" s="85">
        <f>IF(LEN(Expenditure_import[[#This Row],[Notes]])&lt;4000,0,1)</f>
        <v>0</v>
      </c>
      <c r="S12" s="85">
        <f>IF(LEN(Expenditure_import[[#This Row],[YearNotes]])&lt;4000,0,1)</f>
        <v>0</v>
      </c>
      <c r="T12" s="85">
        <f>IF(OR(Expenditure_import[[#This Row],[MatEditOnly]]=TRUE,Expenditure_import[[#This Row],[MatEditOnly]]=FALSE),IF(OR(Expenditure_import[[#This Row],[Calculated]]=TRUE,Expenditure_import[[#This Row],[Calculated]]=FALSE),0,1),1)</f>
        <v>0</v>
      </c>
      <c r="U12" s="85">
        <f>IF(_xlfn.XLOOKUP(Expenditure_import[[#This Row],[FinancialYearCode]],Years[Years],Years[Years],1)=Expenditure_import[[#This Row],[FinancialYearCode]],0,1)</f>
        <v>0</v>
      </c>
      <c r="V12" s="85">
        <f>IF(Expenditure_import[[#This Row],[CalculatorCode]]="",0,IF(IF(_xlfn.XLOOKUP(Expenditure_import[[#This Row],[CalculatorCode]],Calculators[CalculatorCode],Calculators[LockCheck])=1,TRUE,FALSE)=Expenditure_import[[#This Row],[MatEditOnly]],0,1))</f>
        <v>0</v>
      </c>
      <c r="W12" s="85">
        <f>SUM(Expenditure_import[[#This Row],[DuplicateLine]:[MAT edit only required]])</f>
        <v>3</v>
      </c>
      <c r="X12" s="80">
        <f>COUNTIF(SRG[GrossSalaryFinanceCode],Expenditure_import[[#This Row],[FinanceCode]])+COUNTIF(SRG[EmployersNiFinanceCode],Expenditure_import[[#This Row],[FinanceCode]])+COUNTIF(SRG[PensionFinanceCode],Expenditure_import[[#This Row],[FinanceCode]])</f>
        <v>0</v>
      </c>
      <c r="Y12" s="80" t="str">
        <f>_xlfn.XLOOKUP(Expenditure_import[[#This Row],[SchoolCode]],SCHOOLS[SchoolCode],SCHOOLS[Title])</f>
        <v>The Brooksbank School</v>
      </c>
      <c r="AB12" t="s">
        <v>2591</v>
      </c>
      <c r="AF12" t="s">
        <v>1994</v>
      </c>
      <c r="AG12" t="s">
        <v>1124</v>
      </c>
      <c r="AH12" t="s">
        <v>1995</v>
      </c>
      <c r="AK12" t="b">
        <v>1</v>
      </c>
      <c r="AL12" t="s">
        <v>1497</v>
      </c>
      <c r="AM12" t="b">
        <v>1</v>
      </c>
    </row>
    <row r="13" spans="1:40" hidden="1" x14ac:dyDescent="0.3">
      <c r="A13" s="120" t="str">
        <f t="shared" si="0"/>
        <v>CHSDFC Expenditure2025/26</v>
      </c>
      <c r="B13" s="85">
        <f>COUNTIF(Expenditure_import[Column1],Expenditure_import[[#This Row],[Column1]])-1</f>
        <v>0</v>
      </c>
      <c r="C13" s="80" cm="1">
        <f t="array" ref="C13">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13" s="85">
        <f>IF(COUNTIF(SCHOOLS[SchoolCode],Expenditure_import[[#This Row],[SchoolCode]])&gt;0,0,1)</f>
        <v>0</v>
      </c>
      <c r="E13" s="85">
        <f>IF(COUNTIF(LEDGER[],Expenditure_import[[#This Row],[LedgerCode]])&gt;0,0,1)</f>
        <v>0</v>
      </c>
      <c r="F13" s="85">
        <f>IF(ISBLANK(Expenditure_import[[#This Row],[MonthProfileCode]]),1,IF(COUNTIF(MONTHPRF[Code],Expenditure_import[[#This Row],[MonthProfileCode]])&gt;0,0,1))</f>
        <v>0</v>
      </c>
      <c r="G13" s="80" cm="1">
        <f t="array" ref="G13">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13" s="85">
        <f>IF(Expenditure_import[[#This Row],[FundCode]]=0,0,IF(COUNTIF(FUNDS[FundCode],Expenditure_import[[#This Row],[FundCode]])&gt;0,0,1))</f>
        <v>0</v>
      </c>
      <c r="I13" s="80" cm="1">
        <f t="array" ref="I13">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13" s="85">
        <f>IF(ISBLANK(Expenditure_import[[#This Row],[YearValue]])=Expenditure_import[[#This Row],[Calculated]],0,1)</f>
        <v>0</v>
      </c>
      <c r="K13" s="85">
        <f>IF(ISBLANK(Expenditure_import[[#This Row],[CalculatorCode]]),0,IF(COUNTIF(Calculators[CalculatorCode],Expenditure_import[[#This Row],[CalculatorCode]])&gt;0,0,1))</f>
        <v>0</v>
      </c>
      <c r="L13" s="85">
        <f>IF(TRIM(Expenditure_import[[#This Row],[Description]])="",1,0)</f>
        <v>0</v>
      </c>
      <c r="M13" s="85">
        <f>IF(ISBLANK(Expenditure_import[[#This Row],[MatEditOnly]]),1,0)</f>
        <v>0</v>
      </c>
      <c r="N13" s="85">
        <f>IF(ISBLANK(Expenditure_import[[#This Row],[FinancialYearCode]]),1,0)</f>
        <v>0</v>
      </c>
      <c r="O13" s="85">
        <f>IF(ISBLANK(Expenditure_import[[#This Row],[Calculated]]),1,0)</f>
        <v>0</v>
      </c>
      <c r="P13"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13" s="85">
        <f>IF(LEN(Expenditure_import[[#This Row],[Description]])&lt;100,0,1)</f>
        <v>0</v>
      </c>
      <c r="R13" s="85">
        <f>IF(LEN(Expenditure_import[[#This Row],[Notes]])&lt;4000,0,1)</f>
        <v>0</v>
      </c>
      <c r="S13" s="85">
        <f>IF(LEN(Expenditure_import[[#This Row],[YearNotes]])&lt;4000,0,1)</f>
        <v>0</v>
      </c>
      <c r="T13" s="85">
        <f>IF(OR(Expenditure_import[[#This Row],[MatEditOnly]]=TRUE,Expenditure_import[[#This Row],[MatEditOnly]]=FALSE),IF(OR(Expenditure_import[[#This Row],[Calculated]]=TRUE,Expenditure_import[[#This Row],[Calculated]]=FALSE),0,1),1)</f>
        <v>0</v>
      </c>
      <c r="U13" s="85">
        <f>IF(_xlfn.XLOOKUP(Expenditure_import[[#This Row],[FinancialYearCode]],Years[Years],Years[Years],1)=Expenditure_import[[#This Row],[FinancialYearCode]],0,1)</f>
        <v>0</v>
      </c>
      <c r="V13" s="85">
        <f>IF(Expenditure_import[[#This Row],[CalculatorCode]]="",0,IF(IF(_xlfn.XLOOKUP(Expenditure_import[[#This Row],[CalculatorCode]],Calculators[CalculatorCode],Calculators[LockCheck])=1,TRUE,FALSE)=Expenditure_import[[#This Row],[MatEditOnly]],0,1))</f>
        <v>0</v>
      </c>
      <c r="W13" s="85">
        <f>SUM(Expenditure_import[[#This Row],[DuplicateLine]:[MAT edit only required]])</f>
        <v>3</v>
      </c>
      <c r="X13" s="80">
        <f>COUNTIF(SRG[GrossSalaryFinanceCode],Expenditure_import[[#This Row],[FinanceCode]])+COUNTIF(SRG[EmployersNiFinanceCode],Expenditure_import[[#This Row],[FinanceCode]])+COUNTIF(SRG[PensionFinanceCode],Expenditure_import[[#This Row],[FinanceCode]])</f>
        <v>0</v>
      </c>
      <c r="Y13" s="80" t="str">
        <f>_xlfn.XLOOKUP(Expenditure_import[[#This Row],[SchoolCode]],SCHOOLS[SchoolCode],SCHOOLS[Title])</f>
        <v>Castle Hill School</v>
      </c>
      <c r="AB13" t="s">
        <v>2594</v>
      </c>
      <c r="AF13" t="s">
        <v>1994</v>
      </c>
      <c r="AG13" t="s">
        <v>1124</v>
      </c>
      <c r="AH13" t="s">
        <v>1995</v>
      </c>
      <c r="AK13" t="b">
        <v>1</v>
      </c>
      <c r="AL13" t="s">
        <v>1497</v>
      </c>
      <c r="AM13" t="b">
        <v>1</v>
      </c>
    </row>
    <row r="14" spans="1:40" hidden="1" x14ac:dyDescent="0.3">
      <c r="A14" s="120" t="str">
        <f t="shared" si="0"/>
        <v>HHSDFC Expenditure2025/26</v>
      </c>
      <c r="B14" s="85">
        <f>COUNTIF(Expenditure_import[Column1],Expenditure_import[[#This Row],[Column1]])-1</f>
        <v>0</v>
      </c>
      <c r="C14" s="80" cm="1">
        <f t="array" ref="C14">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14" s="85">
        <f>IF(COUNTIF(SCHOOLS[SchoolCode],Expenditure_import[[#This Row],[SchoolCode]])&gt;0,0,1)</f>
        <v>0</v>
      </c>
      <c r="E14" s="85">
        <f>IF(COUNTIF(LEDGER[],Expenditure_import[[#This Row],[LedgerCode]])&gt;0,0,1)</f>
        <v>0</v>
      </c>
      <c r="F14" s="85">
        <f>IF(ISBLANK(Expenditure_import[[#This Row],[MonthProfileCode]]),1,IF(COUNTIF(MONTHPRF[Code],Expenditure_import[[#This Row],[MonthProfileCode]])&gt;0,0,1))</f>
        <v>0</v>
      </c>
      <c r="G14" s="80" cm="1">
        <f t="array" ref="G14">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14" s="85">
        <f>IF(Expenditure_import[[#This Row],[FundCode]]=0,0,IF(COUNTIF(FUNDS[FundCode],Expenditure_import[[#This Row],[FundCode]])&gt;0,0,1))</f>
        <v>0</v>
      </c>
      <c r="I14" s="80" cm="1">
        <f t="array" ref="I14">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14" s="85">
        <f>IF(ISBLANK(Expenditure_import[[#This Row],[YearValue]])=Expenditure_import[[#This Row],[Calculated]],0,1)</f>
        <v>0</v>
      </c>
      <c r="K14" s="85">
        <f>IF(ISBLANK(Expenditure_import[[#This Row],[CalculatorCode]]),0,IF(COUNTIF(Calculators[CalculatorCode],Expenditure_import[[#This Row],[CalculatorCode]])&gt;0,0,1))</f>
        <v>0</v>
      </c>
      <c r="L14" s="85">
        <f>IF(TRIM(Expenditure_import[[#This Row],[Description]])="",1,0)</f>
        <v>0</v>
      </c>
      <c r="M14" s="85">
        <f>IF(ISBLANK(Expenditure_import[[#This Row],[MatEditOnly]]),1,0)</f>
        <v>0</v>
      </c>
      <c r="N14" s="85">
        <f>IF(ISBLANK(Expenditure_import[[#This Row],[FinancialYearCode]]),1,0)</f>
        <v>0</v>
      </c>
      <c r="O14" s="85">
        <f>IF(ISBLANK(Expenditure_import[[#This Row],[Calculated]]),1,0)</f>
        <v>0</v>
      </c>
      <c r="P14"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14" s="85">
        <f>IF(LEN(Expenditure_import[[#This Row],[Description]])&lt;100,0,1)</f>
        <v>0</v>
      </c>
      <c r="R14" s="85">
        <f>IF(LEN(Expenditure_import[[#This Row],[Notes]])&lt;4000,0,1)</f>
        <v>0</v>
      </c>
      <c r="S14" s="85">
        <f>IF(LEN(Expenditure_import[[#This Row],[YearNotes]])&lt;4000,0,1)</f>
        <v>0</v>
      </c>
      <c r="T14" s="85">
        <f>IF(OR(Expenditure_import[[#This Row],[MatEditOnly]]=TRUE,Expenditure_import[[#This Row],[MatEditOnly]]=FALSE),IF(OR(Expenditure_import[[#This Row],[Calculated]]=TRUE,Expenditure_import[[#This Row],[Calculated]]=FALSE),0,1),1)</f>
        <v>0</v>
      </c>
      <c r="U14" s="85">
        <f>IF(_xlfn.XLOOKUP(Expenditure_import[[#This Row],[FinancialYearCode]],Years[Years],Years[Years],1)=Expenditure_import[[#This Row],[FinancialYearCode]],0,1)</f>
        <v>0</v>
      </c>
      <c r="V14" s="85">
        <f>IF(Expenditure_import[[#This Row],[CalculatorCode]]="",0,IF(IF(_xlfn.XLOOKUP(Expenditure_import[[#This Row],[CalculatorCode]],Calculators[CalculatorCode],Calculators[LockCheck])=1,TRUE,FALSE)=Expenditure_import[[#This Row],[MatEditOnly]],0,1))</f>
        <v>0</v>
      </c>
      <c r="W14" s="85">
        <f>SUM(Expenditure_import[[#This Row],[DuplicateLine]:[MAT edit only required]])</f>
        <v>3</v>
      </c>
      <c r="X14" s="80">
        <f>COUNTIF(SRG[GrossSalaryFinanceCode],Expenditure_import[[#This Row],[FinanceCode]])+COUNTIF(SRG[EmployersNiFinanceCode],Expenditure_import[[#This Row],[FinanceCode]])+COUNTIF(SRG[PensionFinanceCode],Expenditure_import[[#This Row],[FinanceCode]])</f>
        <v>0</v>
      </c>
      <c r="Y14" s="80" t="str">
        <f>_xlfn.XLOOKUP(Expenditure_import[[#This Row],[SchoolCode]],SCHOOLS[SchoolCode],SCHOOLS[Title])</f>
        <v>Honley High School</v>
      </c>
      <c r="AB14" t="s">
        <v>2597</v>
      </c>
      <c r="AF14" t="s">
        <v>1994</v>
      </c>
      <c r="AG14" t="s">
        <v>1124</v>
      </c>
      <c r="AH14" t="s">
        <v>1995</v>
      </c>
      <c r="AK14" t="b">
        <v>1</v>
      </c>
      <c r="AL14" t="s">
        <v>1497</v>
      </c>
      <c r="AM14" t="b">
        <v>1</v>
      </c>
    </row>
    <row r="15" spans="1:40" hidden="1" x14ac:dyDescent="0.3">
      <c r="A15" s="120" t="str">
        <f t="shared" si="0"/>
        <v>LCPDFC Expenditure2025/26</v>
      </c>
      <c r="B15" s="85">
        <f>COUNTIF(Expenditure_import[Column1],Expenditure_import[[#This Row],[Column1]])-1</f>
        <v>0</v>
      </c>
      <c r="C15" s="80" cm="1">
        <f t="array" ref="C15">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15" s="85">
        <f>IF(COUNTIF(SCHOOLS[SchoolCode],Expenditure_import[[#This Row],[SchoolCode]])&gt;0,0,1)</f>
        <v>0</v>
      </c>
      <c r="E15" s="85">
        <f>IF(COUNTIF(LEDGER[],Expenditure_import[[#This Row],[LedgerCode]])&gt;0,0,1)</f>
        <v>0</v>
      </c>
      <c r="F15" s="85">
        <f>IF(ISBLANK(Expenditure_import[[#This Row],[MonthProfileCode]]),1,IF(COUNTIF(MONTHPRF[Code],Expenditure_import[[#This Row],[MonthProfileCode]])&gt;0,0,1))</f>
        <v>0</v>
      </c>
      <c r="G15" s="80" cm="1">
        <f t="array" ref="G15">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15" s="85">
        <f>IF(Expenditure_import[[#This Row],[FundCode]]=0,0,IF(COUNTIF(FUNDS[FundCode],Expenditure_import[[#This Row],[FundCode]])&gt;0,0,1))</f>
        <v>0</v>
      </c>
      <c r="I15" s="80" cm="1">
        <f t="array" ref="I15">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15" s="85">
        <f>IF(ISBLANK(Expenditure_import[[#This Row],[YearValue]])=Expenditure_import[[#This Row],[Calculated]],0,1)</f>
        <v>0</v>
      </c>
      <c r="K15" s="85">
        <f>IF(ISBLANK(Expenditure_import[[#This Row],[CalculatorCode]]),0,IF(COUNTIF(Calculators[CalculatorCode],Expenditure_import[[#This Row],[CalculatorCode]])&gt;0,0,1))</f>
        <v>0</v>
      </c>
      <c r="L15" s="85">
        <f>IF(TRIM(Expenditure_import[[#This Row],[Description]])="",1,0)</f>
        <v>0</v>
      </c>
      <c r="M15" s="85">
        <f>IF(ISBLANK(Expenditure_import[[#This Row],[MatEditOnly]]),1,0)</f>
        <v>0</v>
      </c>
      <c r="N15" s="85">
        <f>IF(ISBLANK(Expenditure_import[[#This Row],[FinancialYearCode]]),1,0)</f>
        <v>0</v>
      </c>
      <c r="O15" s="85">
        <f>IF(ISBLANK(Expenditure_import[[#This Row],[Calculated]]),1,0)</f>
        <v>0</v>
      </c>
      <c r="P15"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15" s="85">
        <f>IF(LEN(Expenditure_import[[#This Row],[Description]])&lt;100,0,1)</f>
        <v>0</v>
      </c>
      <c r="R15" s="85">
        <f>IF(LEN(Expenditure_import[[#This Row],[Notes]])&lt;4000,0,1)</f>
        <v>0</v>
      </c>
      <c r="S15" s="85">
        <f>IF(LEN(Expenditure_import[[#This Row],[YearNotes]])&lt;4000,0,1)</f>
        <v>0</v>
      </c>
      <c r="T15" s="85">
        <f>IF(OR(Expenditure_import[[#This Row],[MatEditOnly]]=TRUE,Expenditure_import[[#This Row],[MatEditOnly]]=FALSE),IF(OR(Expenditure_import[[#This Row],[Calculated]]=TRUE,Expenditure_import[[#This Row],[Calculated]]=FALSE),0,1),1)</f>
        <v>0</v>
      </c>
      <c r="U15" s="85">
        <f>IF(_xlfn.XLOOKUP(Expenditure_import[[#This Row],[FinancialYearCode]],Years[Years],Years[Years],1)=Expenditure_import[[#This Row],[FinancialYearCode]],0,1)</f>
        <v>0</v>
      </c>
      <c r="V15" s="85">
        <f>IF(Expenditure_import[[#This Row],[CalculatorCode]]="",0,IF(IF(_xlfn.XLOOKUP(Expenditure_import[[#This Row],[CalculatorCode]],Calculators[CalculatorCode],Calculators[LockCheck])=1,TRUE,FALSE)=Expenditure_import[[#This Row],[MatEditOnly]],0,1))</f>
        <v>0</v>
      </c>
      <c r="W15" s="85">
        <f>SUM(Expenditure_import[[#This Row],[DuplicateLine]:[MAT edit only required]])</f>
        <v>3</v>
      </c>
      <c r="X15" s="80">
        <f>COUNTIF(SRG[GrossSalaryFinanceCode],Expenditure_import[[#This Row],[FinanceCode]])+COUNTIF(SRG[EmployersNiFinanceCode],Expenditure_import[[#This Row],[FinanceCode]])+COUNTIF(SRG[PensionFinanceCode],Expenditure_import[[#This Row],[FinanceCode]])</f>
        <v>0</v>
      </c>
      <c r="Y15" s="80" t="str">
        <f>_xlfn.XLOOKUP(Expenditure_import[[#This Row],[SchoolCode]],SCHOOLS[SchoolCode],SCHOOLS[Title])</f>
        <v>Linthwaite Clough Primary School</v>
      </c>
      <c r="AB15" t="s">
        <v>2599</v>
      </c>
      <c r="AF15" t="s">
        <v>1994</v>
      </c>
      <c r="AG15" t="s">
        <v>1124</v>
      </c>
      <c r="AH15" t="s">
        <v>1995</v>
      </c>
      <c r="AK15" t="b">
        <v>1</v>
      </c>
      <c r="AL15" t="s">
        <v>1497</v>
      </c>
      <c r="AM15" t="b">
        <v>1</v>
      </c>
    </row>
    <row r="16" spans="1:40" hidden="1" x14ac:dyDescent="0.3">
      <c r="A16" s="120" t="str">
        <f t="shared" si="0"/>
        <v>MMPDFC Expenditure2025/26</v>
      </c>
      <c r="B16" s="85">
        <f>COUNTIF(Expenditure_import[Column1],Expenditure_import[[#This Row],[Column1]])-1</f>
        <v>0</v>
      </c>
      <c r="C16" s="80" cm="1">
        <f t="array" ref="C16">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16" s="85">
        <f>IF(COUNTIF(SCHOOLS[SchoolCode],Expenditure_import[[#This Row],[SchoolCode]])&gt;0,0,1)</f>
        <v>0</v>
      </c>
      <c r="E16" s="85">
        <f>IF(COUNTIF(LEDGER[],Expenditure_import[[#This Row],[LedgerCode]])&gt;0,0,1)</f>
        <v>0</v>
      </c>
      <c r="F16" s="85">
        <f>IF(ISBLANK(Expenditure_import[[#This Row],[MonthProfileCode]]),1,IF(COUNTIF(MONTHPRF[Code],Expenditure_import[[#This Row],[MonthProfileCode]])&gt;0,0,1))</f>
        <v>0</v>
      </c>
      <c r="G16" s="80" cm="1">
        <f t="array" ref="G16">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16" s="85">
        <f>IF(Expenditure_import[[#This Row],[FundCode]]=0,0,IF(COUNTIF(FUNDS[FundCode],Expenditure_import[[#This Row],[FundCode]])&gt;0,0,1))</f>
        <v>0</v>
      </c>
      <c r="I16" s="80" cm="1">
        <f t="array" ref="I16">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16" s="85">
        <f>IF(ISBLANK(Expenditure_import[[#This Row],[YearValue]])=Expenditure_import[[#This Row],[Calculated]],0,1)</f>
        <v>0</v>
      </c>
      <c r="K16" s="85">
        <f>IF(ISBLANK(Expenditure_import[[#This Row],[CalculatorCode]]),0,IF(COUNTIF(Calculators[CalculatorCode],Expenditure_import[[#This Row],[CalculatorCode]])&gt;0,0,1))</f>
        <v>0</v>
      </c>
      <c r="L16" s="85">
        <f>IF(TRIM(Expenditure_import[[#This Row],[Description]])="",1,0)</f>
        <v>0</v>
      </c>
      <c r="M16" s="85">
        <f>IF(ISBLANK(Expenditure_import[[#This Row],[MatEditOnly]]),1,0)</f>
        <v>0</v>
      </c>
      <c r="N16" s="85">
        <f>IF(ISBLANK(Expenditure_import[[#This Row],[FinancialYearCode]]),1,0)</f>
        <v>0</v>
      </c>
      <c r="O16" s="85">
        <f>IF(ISBLANK(Expenditure_import[[#This Row],[Calculated]]),1,0)</f>
        <v>0</v>
      </c>
      <c r="P16"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16" s="85">
        <f>IF(LEN(Expenditure_import[[#This Row],[Description]])&lt;100,0,1)</f>
        <v>0</v>
      </c>
      <c r="R16" s="85">
        <f>IF(LEN(Expenditure_import[[#This Row],[Notes]])&lt;4000,0,1)</f>
        <v>0</v>
      </c>
      <c r="S16" s="85">
        <f>IF(LEN(Expenditure_import[[#This Row],[YearNotes]])&lt;4000,0,1)</f>
        <v>0</v>
      </c>
      <c r="T16" s="85">
        <f>IF(OR(Expenditure_import[[#This Row],[MatEditOnly]]=TRUE,Expenditure_import[[#This Row],[MatEditOnly]]=FALSE),IF(OR(Expenditure_import[[#This Row],[Calculated]]=TRUE,Expenditure_import[[#This Row],[Calculated]]=FALSE),0,1),1)</f>
        <v>0</v>
      </c>
      <c r="U16" s="85">
        <f>IF(_xlfn.XLOOKUP(Expenditure_import[[#This Row],[FinancialYearCode]],Years[Years],Years[Years],1)=Expenditure_import[[#This Row],[FinancialYearCode]],0,1)</f>
        <v>0</v>
      </c>
      <c r="V16" s="85">
        <f>IF(Expenditure_import[[#This Row],[CalculatorCode]]="",0,IF(IF(_xlfn.XLOOKUP(Expenditure_import[[#This Row],[CalculatorCode]],Calculators[CalculatorCode],Calculators[LockCheck])=1,TRUE,FALSE)=Expenditure_import[[#This Row],[MatEditOnly]],0,1))</f>
        <v>0</v>
      </c>
      <c r="W16" s="85">
        <f>SUM(Expenditure_import[[#This Row],[DuplicateLine]:[MAT edit only required]])</f>
        <v>3</v>
      </c>
      <c r="X16" s="80">
        <f>COUNTIF(SRG[GrossSalaryFinanceCode],Expenditure_import[[#This Row],[FinanceCode]])+COUNTIF(SRG[EmployersNiFinanceCode],Expenditure_import[[#This Row],[FinanceCode]])+COUNTIF(SRG[PensionFinanceCode],Expenditure_import[[#This Row],[FinanceCode]])</f>
        <v>0</v>
      </c>
      <c r="Y16" s="80" t="str">
        <f>_xlfn.XLOOKUP(Expenditure_import[[#This Row],[SchoolCode]],SCHOOLS[SchoolCode],SCHOOLS[Title])</f>
        <v>Meltham Moor Primary School</v>
      </c>
      <c r="AB16" t="s">
        <v>2601</v>
      </c>
      <c r="AF16" t="s">
        <v>1994</v>
      </c>
      <c r="AG16" t="s">
        <v>1124</v>
      </c>
      <c r="AH16" t="s">
        <v>1995</v>
      </c>
      <c r="AK16" t="b">
        <v>1</v>
      </c>
      <c r="AL16" t="s">
        <v>1497</v>
      </c>
      <c r="AM16" t="b">
        <v>1</v>
      </c>
    </row>
    <row r="17" spans="1:39" hidden="1" x14ac:dyDescent="0.3">
      <c r="A17" s="120" t="str">
        <f t="shared" si="0"/>
        <v>NINDFC Expenditure2025/26</v>
      </c>
      <c r="B17" s="85">
        <f>COUNTIF(Expenditure_import[Column1],Expenditure_import[[#This Row],[Column1]])-1</f>
        <v>0</v>
      </c>
      <c r="C17" s="80" cm="1">
        <f t="array" ref="C17">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17" s="85">
        <f>IF(COUNTIF(SCHOOLS[SchoolCode],Expenditure_import[[#This Row],[SchoolCode]])&gt;0,0,1)</f>
        <v>0</v>
      </c>
      <c r="E17" s="85">
        <f>IF(COUNTIF(LEDGER[],Expenditure_import[[#This Row],[LedgerCode]])&gt;0,0,1)</f>
        <v>0</v>
      </c>
      <c r="F17" s="85">
        <f>IF(ISBLANK(Expenditure_import[[#This Row],[MonthProfileCode]]),1,IF(COUNTIF(MONTHPRF[Code],Expenditure_import[[#This Row],[MonthProfileCode]])&gt;0,0,1))</f>
        <v>0</v>
      </c>
      <c r="G17" s="80" cm="1">
        <f t="array" ref="G17">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17" s="85">
        <f>IF(Expenditure_import[[#This Row],[FundCode]]=0,0,IF(COUNTIF(FUNDS[FundCode],Expenditure_import[[#This Row],[FundCode]])&gt;0,0,1))</f>
        <v>0</v>
      </c>
      <c r="I17" s="80" cm="1">
        <f t="array" ref="I17">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17" s="85">
        <f>IF(ISBLANK(Expenditure_import[[#This Row],[YearValue]])=Expenditure_import[[#This Row],[Calculated]],0,1)</f>
        <v>0</v>
      </c>
      <c r="K17" s="85">
        <f>IF(ISBLANK(Expenditure_import[[#This Row],[CalculatorCode]]),0,IF(COUNTIF(Calculators[CalculatorCode],Expenditure_import[[#This Row],[CalculatorCode]])&gt;0,0,1))</f>
        <v>0</v>
      </c>
      <c r="L17" s="85">
        <f>IF(TRIM(Expenditure_import[[#This Row],[Description]])="",1,0)</f>
        <v>0</v>
      </c>
      <c r="M17" s="85">
        <f>IF(ISBLANK(Expenditure_import[[#This Row],[MatEditOnly]]),1,0)</f>
        <v>0</v>
      </c>
      <c r="N17" s="85">
        <f>IF(ISBLANK(Expenditure_import[[#This Row],[FinancialYearCode]]),1,0)</f>
        <v>0</v>
      </c>
      <c r="O17" s="85">
        <f>IF(ISBLANK(Expenditure_import[[#This Row],[Calculated]]),1,0)</f>
        <v>0</v>
      </c>
      <c r="P17"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17" s="85">
        <f>IF(LEN(Expenditure_import[[#This Row],[Description]])&lt;100,0,1)</f>
        <v>0</v>
      </c>
      <c r="R17" s="85">
        <f>IF(LEN(Expenditure_import[[#This Row],[Notes]])&lt;4000,0,1)</f>
        <v>0</v>
      </c>
      <c r="S17" s="85">
        <f>IF(LEN(Expenditure_import[[#This Row],[YearNotes]])&lt;4000,0,1)</f>
        <v>0</v>
      </c>
      <c r="T17" s="85">
        <f>IF(OR(Expenditure_import[[#This Row],[MatEditOnly]]=TRUE,Expenditure_import[[#This Row],[MatEditOnly]]=FALSE),IF(OR(Expenditure_import[[#This Row],[Calculated]]=TRUE,Expenditure_import[[#This Row],[Calculated]]=FALSE),0,1),1)</f>
        <v>0</v>
      </c>
      <c r="U17" s="85">
        <f>IF(_xlfn.XLOOKUP(Expenditure_import[[#This Row],[FinancialYearCode]],Years[Years],Years[Years],1)=Expenditure_import[[#This Row],[FinancialYearCode]],0,1)</f>
        <v>0</v>
      </c>
      <c r="V17" s="85">
        <f>IF(Expenditure_import[[#This Row],[CalculatorCode]]="",0,IF(IF(_xlfn.XLOOKUP(Expenditure_import[[#This Row],[CalculatorCode]],Calculators[CalculatorCode],Calculators[LockCheck])=1,TRUE,FALSE)=Expenditure_import[[#This Row],[MatEditOnly]],0,1))</f>
        <v>0</v>
      </c>
      <c r="W17" s="85">
        <f>SUM(Expenditure_import[[#This Row],[DuplicateLine]:[MAT edit only required]])</f>
        <v>3</v>
      </c>
      <c r="X17" s="80">
        <f>COUNTIF(SRG[GrossSalaryFinanceCode],Expenditure_import[[#This Row],[FinanceCode]])+COUNTIF(SRG[EmployersNiFinanceCode],Expenditure_import[[#This Row],[FinanceCode]])+COUNTIF(SRG[PensionFinanceCode],Expenditure_import[[#This Row],[FinanceCode]])</f>
        <v>0</v>
      </c>
      <c r="Y17" s="80" t="str">
        <f>_xlfn.XLOOKUP(Expenditure_import[[#This Row],[SchoolCode]],SCHOOLS[SchoolCode],SCHOOLS[Title])</f>
        <v>Netherton Infant and Nursery School</v>
      </c>
      <c r="AB17" t="s">
        <v>2603</v>
      </c>
      <c r="AF17" t="s">
        <v>1994</v>
      </c>
      <c r="AG17" t="s">
        <v>1124</v>
      </c>
      <c r="AH17" t="s">
        <v>1995</v>
      </c>
      <c r="AK17" t="b">
        <v>1</v>
      </c>
      <c r="AL17" t="s">
        <v>1497</v>
      </c>
      <c r="AM17" t="b">
        <v>1</v>
      </c>
    </row>
    <row r="18" spans="1:39" hidden="1" x14ac:dyDescent="0.3">
      <c r="A18" s="120" t="str">
        <f t="shared" si="0"/>
        <v>RVSDFC Expenditure2025/26</v>
      </c>
      <c r="B18" s="85">
        <f>COUNTIF(Expenditure_import[Column1],Expenditure_import[[#This Row],[Column1]])-1</f>
        <v>0</v>
      </c>
      <c r="C18" s="80" cm="1">
        <f t="array" ref="C18">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18" s="85">
        <f>IF(COUNTIF(SCHOOLS[SchoolCode],Expenditure_import[[#This Row],[SchoolCode]])&gt;0,0,1)</f>
        <v>0</v>
      </c>
      <c r="E18" s="85">
        <f>IF(COUNTIF(LEDGER[],Expenditure_import[[#This Row],[LedgerCode]])&gt;0,0,1)</f>
        <v>0</v>
      </c>
      <c r="F18" s="85">
        <f>IF(ISBLANK(Expenditure_import[[#This Row],[MonthProfileCode]]),1,IF(COUNTIF(MONTHPRF[Code],Expenditure_import[[#This Row],[MonthProfileCode]])&gt;0,0,1))</f>
        <v>0</v>
      </c>
      <c r="G18" s="80" cm="1">
        <f t="array" ref="G18">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18" s="85">
        <f>IF(Expenditure_import[[#This Row],[FundCode]]=0,0,IF(COUNTIF(FUNDS[FundCode],Expenditure_import[[#This Row],[FundCode]])&gt;0,0,1))</f>
        <v>0</v>
      </c>
      <c r="I18" s="80" cm="1">
        <f t="array" ref="I18">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18" s="85">
        <f>IF(ISBLANK(Expenditure_import[[#This Row],[YearValue]])=Expenditure_import[[#This Row],[Calculated]],0,1)</f>
        <v>0</v>
      </c>
      <c r="K18" s="85">
        <f>IF(ISBLANK(Expenditure_import[[#This Row],[CalculatorCode]]),0,IF(COUNTIF(Calculators[CalculatorCode],Expenditure_import[[#This Row],[CalculatorCode]])&gt;0,0,1))</f>
        <v>0</v>
      </c>
      <c r="L18" s="85">
        <f>IF(TRIM(Expenditure_import[[#This Row],[Description]])="",1,0)</f>
        <v>0</v>
      </c>
      <c r="M18" s="85">
        <f>IF(ISBLANK(Expenditure_import[[#This Row],[MatEditOnly]]),1,0)</f>
        <v>0</v>
      </c>
      <c r="N18" s="85">
        <f>IF(ISBLANK(Expenditure_import[[#This Row],[FinancialYearCode]]),1,0)</f>
        <v>0</v>
      </c>
      <c r="O18" s="85">
        <f>IF(ISBLANK(Expenditure_import[[#This Row],[Calculated]]),1,0)</f>
        <v>0</v>
      </c>
      <c r="P18"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18" s="85">
        <f>IF(LEN(Expenditure_import[[#This Row],[Description]])&lt;100,0,1)</f>
        <v>0</v>
      </c>
      <c r="R18" s="85">
        <f>IF(LEN(Expenditure_import[[#This Row],[Notes]])&lt;4000,0,1)</f>
        <v>0</v>
      </c>
      <c r="S18" s="85">
        <f>IF(LEN(Expenditure_import[[#This Row],[YearNotes]])&lt;4000,0,1)</f>
        <v>0</v>
      </c>
      <c r="T18" s="85">
        <f>IF(OR(Expenditure_import[[#This Row],[MatEditOnly]]=TRUE,Expenditure_import[[#This Row],[MatEditOnly]]=FALSE),IF(OR(Expenditure_import[[#This Row],[Calculated]]=TRUE,Expenditure_import[[#This Row],[Calculated]]=FALSE),0,1),1)</f>
        <v>0</v>
      </c>
      <c r="U18" s="85">
        <f>IF(_xlfn.XLOOKUP(Expenditure_import[[#This Row],[FinancialYearCode]],Years[Years],Years[Years],1)=Expenditure_import[[#This Row],[FinancialYearCode]],0,1)</f>
        <v>0</v>
      </c>
      <c r="V18" s="85">
        <f>IF(Expenditure_import[[#This Row],[CalculatorCode]]="",0,IF(IF(_xlfn.XLOOKUP(Expenditure_import[[#This Row],[CalculatorCode]],Calculators[CalculatorCode],Calculators[LockCheck])=1,TRUE,FALSE)=Expenditure_import[[#This Row],[MatEditOnly]],0,1))</f>
        <v>0</v>
      </c>
      <c r="W18" s="85">
        <f>SUM(Expenditure_import[[#This Row],[DuplicateLine]:[MAT edit only required]])</f>
        <v>3</v>
      </c>
      <c r="X18" s="80">
        <f>COUNTIF(SRG[GrossSalaryFinanceCode],Expenditure_import[[#This Row],[FinanceCode]])+COUNTIF(SRG[EmployersNiFinanceCode],Expenditure_import[[#This Row],[FinanceCode]])+COUNTIF(SRG[PensionFinanceCode],Expenditure_import[[#This Row],[FinanceCode]])</f>
        <v>0</v>
      </c>
      <c r="Y18" s="80" t="str">
        <f>_xlfn.XLOOKUP(Expenditure_import[[#This Row],[SchoolCode]],SCHOOLS[SchoolCode],SCHOOLS[Title])</f>
        <v>Ryburn Valley High School</v>
      </c>
      <c r="AB18" t="s">
        <v>2605</v>
      </c>
      <c r="AF18" t="s">
        <v>1994</v>
      </c>
      <c r="AG18" t="s">
        <v>1124</v>
      </c>
      <c r="AH18" t="s">
        <v>1995</v>
      </c>
      <c r="AK18" t="b">
        <v>1</v>
      </c>
      <c r="AL18" t="s">
        <v>1497</v>
      </c>
      <c r="AM18" t="b">
        <v>1</v>
      </c>
    </row>
    <row r="19" spans="1:39" hidden="1" x14ac:dyDescent="0.3">
      <c r="A19" s="120" t="str">
        <f t="shared" si="0"/>
        <v>SRADFC Expenditure2025/26</v>
      </c>
      <c r="B19" s="85">
        <f>COUNTIF(Expenditure_import[Column1],Expenditure_import[[#This Row],[Column1]])-1</f>
        <v>0</v>
      </c>
      <c r="C19" s="80" cm="1">
        <f t="array" ref="C19">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19" s="85">
        <f>IF(COUNTIF(SCHOOLS[SchoolCode],Expenditure_import[[#This Row],[SchoolCode]])&gt;0,0,1)</f>
        <v>0</v>
      </c>
      <c r="E19" s="85">
        <f>IF(COUNTIF(LEDGER[],Expenditure_import[[#This Row],[LedgerCode]])&gt;0,0,1)</f>
        <v>0</v>
      </c>
      <c r="F19" s="85">
        <f>IF(ISBLANK(Expenditure_import[[#This Row],[MonthProfileCode]]),1,IF(COUNTIF(MONTHPRF[Code],Expenditure_import[[#This Row],[MonthProfileCode]])&gt;0,0,1))</f>
        <v>0</v>
      </c>
      <c r="G19" s="80" cm="1">
        <f t="array" ref="G19">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19" s="85">
        <f>IF(Expenditure_import[[#This Row],[FundCode]]=0,0,IF(COUNTIF(FUNDS[FundCode],Expenditure_import[[#This Row],[FundCode]])&gt;0,0,1))</f>
        <v>0</v>
      </c>
      <c r="I19" s="80" cm="1">
        <f t="array" ref="I19">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19" s="85">
        <f>IF(ISBLANK(Expenditure_import[[#This Row],[YearValue]])=Expenditure_import[[#This Row],[Calculated]],0,1)</f>
        <v>0</v>
      </c>
      <c r="K19" s="85">
        <f>IF(ISBLANK(Expenditure_import[[#This Row],[CalculatorCode]]),0,IF(COUNTIF(Calculators[CalculatorCode],Expenditure_import[[#This Row],[CalculatorCode]])&gt;0,0,1))</f>
        <v>0</v>
      </c>
      <c r="L19" s="85">
        <f>IF(TRIM(Expenditure_import[[#This Row],[Description]])="",1,0)</f>
        <v>0</v>
      </c>
      <c r="M19" s="85">
        <f>IF(ISBLANK(Expenditure_import[[#This Row],[MatEditOnly]]),1,0)</f>
        <v>0</v>
      </c>
      <c r="N19" s="85">
        <f>IF(ISBLANK(Expenditure_import[[#This Row],[FinancialYearCode]]),1,0)</f>
        <v>0</v>
      </c>
      <c r="O19" s="85">
        <f>IF(ISBLANK(Expenditure_import[[#This Row],[Calculated]]),1,0)</f>
        <v>0</v>
      </c>
      <c r="P19"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19" s="85">
        <f>IF(LEN(Expenditure_import[[#This Row],[Description]])&lt;100,0,1)</f>
        <v>0</v>
      </c>
      <c r="R19" s="85">
        <f>IF(LEN(Expenditure_import[[#This Row],[Notes]])&lt;4000,0,1)</f>
        <v>0</v>
      </c>
      <c r="S19" s="85">
        <f>IF(LEN(Expenditure_import[[#This Row],[YearNotes]])&lt;4000,0,1)</f>
        <v>0</v>
      </c>
      <c r="T19" s="85">
        <f>IF(OR(Expenditure_import[[#This Row],[MatEditOnly]]=TRUE,Expenditure_import[[#This Row],[MatEditOnly]]=FALSE),IF(OR(Expenditure_import[[#This Row],[Calculated]]=TRUE,Expenditure_import[[#This Row],[Calculated]]=FALSE),0,1),1)</f>
        <v>0</v>
      </c>
      <c r="U19" s="85">
        <f>IF(_xlfn.XLOOKUP(Expenditure_import[[#This Row],[FinancialYearCode]],Years[Years],Years[Years],1)=Expenditure_import[[#This Row],[FinancialYearCode]],0,1)</f>
        <v>0</v>
      </c>
      <c r="V19" s="85">
        <f>IF(Expenditure_import[[#This Row],[CalculatorCode]]="",0,IF(IF(_xlfn.XLOOKUP(Expenditure_import[[#This Row],[CalculatorCode]],Calculators[CalculatorCode],Calculators[LockCheck])=1,TRUE,FALSE)=Expenditure_import[[#This Row],[MatEditOnly]],0,1))</f>
        <v>0</v>
      </c>
      <c r="W19" s="85">
        <f>SUM(Expenditure_import[[#This Row],[DuplicateLine]:[MAT edit only required]])</f>
        <v>3</v>
      </c>
      <c r="X19" s="80">
        <f>COUNTIF(SRG[GrossSalaryFinanceCode],Expenditure_import[[#This Row],[FinanceCode]])+COUNTIF(SRG[EmployersNiFinanceCode],Expenditure_import[[#This Row],[FinanceCode]])+COUNTIF(SRG[PensionFinanceCode],Expenditure_import[[#This Row],[FinanceCode]])</f>
        <v>0</v>
      </c>
      <c r="Y19" s="80" t="str">
        <f>_xlfn.XLOOKUP(Expenditure_import[[#This Row],[SchoolCode]],SCHOOLS[SchoolCode],SCHOOLS[Title])</f>
        <v>Scout Road Academy</v>
      </c>
      <c r="AB19" t="s">
        <v>2607</v>
      </c>
      <c r="AF19" t="s">
        <v>1994</v>
      </c>
      <c r="AG19" t="s">
        <v>1124</v>
      </c>
      <c r="AH19" t="s">
        <v>1995</v>
      </c>
      <c r="AK19" t="b">
        <v>1</v>
      </c>
      <c r="AL19" t="s">
        <v>1497</v>
      </c>
      <c r="AM19" t="b">
        <v>1</v>
      </c>
    </row>
    <row r="20" spans="1:39" x14ac:dyDescent="0.3">
      <c r="A20" s="120" t="str">
        <f t="shared" si="0"/>
        <v>675110BBPApprentice Allowance - Support2025/26</v>
      </c>
      <c r="B20" s="85">
        <f>COUNTIF(Expenditure_import[Column1],Expenditure_import[[#This Row],[Column1]])-1</f>
        <v>0</v>
      </c>
      <c r="C20" s="80" cm="1">
        <f t="array" ref="C20">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20" s="85">
        <f>IF(COUNTIF(SCHOOLS[SchoolCode],Expenditure_import[[#This Row],[SchoolCode]])&gt;0,0,1)</f>
        <v>0</v>
      </c>
      <c r="E20" s="85">
        <f>IF(COUNTIF(LEDGER[],Expenditure_import[[#This Row],[LedgerCode]])&gt;0,0,1)</f>
        <v>0</v>
      </c>
      <c r="F20" s="85">
        <f>IF(ISBLANK(Expenditure_import[[#This Row],[MonthProfileCode]]),1,IF(COUNTIF(MONTHPRF[Code],Expenditure_import[[#This Row],[MonthProfileCode]])&gt;0,0,1))</f>
        <v>0</v>
      </c>
      <c r="G20" s="80" cm="1">
        <f t="array" ref="G20">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20" s="85">
        <f>IF(Expenditure_import[[#This Row],[FundCode]]=0,0,IF(COUNTIF(FUNDS[FundCode],Expenditure_import[[#This Row],[FundCode]])&gt;0,0,1))</f>
        <v>0</v>
      </c>
      <c r="I20" s="80" cm="1">
        <f t="array" ref="I20">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20" s="85">
        <f>IF(ISBLANK(Expenditure_import[[#This Row],[YearValue]])=Expenditure_import[[#This Row],[Calculated]],0,1)</f>
        <v>0</v>
      </c>
      <c r="K20" s="85">
        <f>IF(ISBLANK(Expenditure_import[[#This Row],[CalculatorCode]]),0,IF(COUNTIF(Calculators[CalculatorCode],Expenditure_import[[#This Row],[CalculatorCode]])&gt;0,0,1))</f>
        <v>0</v>
      </c>
      <c r="L20" s="85">
        <f>IF(TRIM(Expenditure_import[[#This Row],[Description]])="",1,0)</f>
        <v>0</v>
      </c>
      <c r="M20" s="85">
        <f>IF(ISBLANK(Expenditure_import[[#This Row],[MatEditOnly]]),1,0)</f>
        <v>0</v>
      </c>
      <c r="N20" s="85">
        <f>IF(ISBLANK(Expenditure_import[[#This Row],[FinancialYearCode]]),1,0)</f>
        <v>0</v>
      </c>
      <c r="O20" s="85">
        <f>IF(ISBLANK(Expenditure_import[[#This Row],[Calculated]]),1,0)</f>
        <v>0</v>
      </c>
      <c r="P20"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20" s="85">
        <f>IF(LEN(Expenditure_import[[#This Row],[Description]])&lt;100,0,1)</f>
        <v>0</v>
      </c>
      <c r="R20" s="85">
        <f>IF(LEN(Expenditure_import[[#This Row],[Notes]])&lt;4000,0,1)</f>
        <v>0</v>
      </c>
      <c r="S20" s="85">
        <f>IF(LEN(Expenditure_import[[#This Row],[YearNotes]])&lt;4000,0,1)</f>
        <v>0</v>
      </c>
      <c r="T20" s="85">
        <f>IF(OR(Expenditure_import[[#This Row],[MatEditOnly]]=TRUE,Expenditure_import[[#This Row],[MatEditOnly]]=FALSE),IF(OR(Expenditure_import[[#This Row],[Calculated]]=TRUE,Expenditure_import[[#This Row],[Calculated]]=FALSE),0,1),1)</f>
        <v>0</v>
      </c>
      <c r="U20" s="85">
        <f>IF(_xlfn.XLOOKUP(Expenditure_import[[#This Row],[FinancialYearCode]],Years[Years],Years[Years],1)=Expenditure_import[[#This Row],[FinancialYearCode]],0,1)</f>
        <v>0</v>
      </c>
      <c r="V20" s="85">
        <f>IF(Expenditure_import[[#This Row],[CalculatorCode]]="",0,IF(IF(_xlfn.XLOOKUP(Expenditure_import[[#This Row],[CalculatorCode]],Calculators[CalculatorCode],Calculators[LockCheck])=1,TRUE,FALSE)=Expenditure_import[[#This Row],[MatEditOnly]],0,1))</f>
        <v>0</v>
      </c>
      <c r="W20" s="85">
        <f>SUM(Expenditure_import[[#This Row],[DuplicateLine]:[MAT edit only required]])</f>
        <v>3</v>
      </c>
      <c r="X20" s="80">
        <f>COUNTIF(SRG[GrossSalaryFinanceCode],Expenditure_import[[#This Row],[FinanceCode]])+COUNTIF(SRG[EmployersNiFinanceCode],Expenditure_import[[#This Row],[FinanceCode]])+COUNTIF(SRG[PensionFinanceCode],Expenditure_import[[#This Row],[FinanceCode]])</f>
        <v>0</v>
      </c>
      <c r="Y20" s="80" t="str">
        <f>_xlfn.XLOOKUP(Expenditure_import[[#This Row],[SchoolCode]],SCHOOLS[SchoolCode],SCHOOLS[Title])</f>
        <v>Bolton Brow Primary Academy</v>
      </c>
      <c r="AA20">
        <v>675110</v>
      </c>
      <c r="AB20" t="s">
        <v>2588</v>
      </c>
      <c r="AF20" t="s">
        <v>2346</v>
      </c>
      <c r="AG20" t="s">
        <v>1124</v>
      </c>
      <c r="AH20" t="s">
        <v>2409</v>
      </c>
      <c r="AK20" t="b">
        <v>1</v>
      </c>
      <c r="AL20" t="s">
        <v>1497</v>
      </c>
      <c r="AM20" t="b">
        <v>1</v>
      </c>
    </row>
    <row r="21" spans="1:39" x14ac:dyDescent="0.3">
      <c r="A21" s="120" t="str">
        <f t="shared" si="0"/>
        <v>675110BBSApprentice Allowance - Support2025/26</v>
      </c>
      <c r="B21" s="85">
        <f>COUNTIF(Expenditure_import[Column1],Expenditure_import[[#This Row],[Column1]])-1</f>
        <v>0</v>
      </c>
      <c r="C21" s="80" cm="1">
        <f t="array" ref="C21">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21" s="85">
        <f>IF(COUNTIF(SCHOOLS[SchoolCode],Expenditure_import[[#This Row],[SchoolCode]])&gt;0,0,1)</f>
        <v>0</v>
      </c>
      <c r="E21" s="85">
        <f>IF(COUNTIF(LEDGER[],Expenditure_import[[#This Row],[LedgerCode]])&gt;0,0,1)</f>
        <v>0</v>
      </c>
      <c r="F21" s="85">
        <f>IF(ISBLANK(Expenditure_import[[#This Row],[MonthProfileCode]]),1,IF(COUNTIF(MONTHPRF[Code],Expenditure_import[[#This Row],[MonthProfileCode]])&gt;0,0,1))</f>
        <v>0</v>
      </c>
      <c r="G21" s="80" cm="1">
        <f t="array" ref="G21">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21" s="85">
        <f>IF(Expenditure_import[[#This Row],[FundCode]]=0,0,IF(COUNTIF(FUNDS[FundCode],Expenditure_import[[#This Row],[FundCode]])&gt;0,0,1))</f>
        <v>0</v>
      </c>
      <c r="I21" s="80" cm="1">
        <f t="array" ref="I21">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21" s="85">
        <f>IF(ISBLANK(Expenditure_import[[#This Row],[YearValue]])=Expenditure_import[[#This Row],[Calculated]],0,1)</f>
        <v>0</v>
      </c>
      <c r="K21" s="85">
        <f>IF(ISBLANK(Expenditure_import[[#This Row],[CalculatorCode]]),0,IF(COUNTIF(Calculators[CalculatorCode],Expenditure_import[[#This Row],[CalculatorCode]])&gt;0,0,1))</f>
        <v>0</v>
      </c>
      <c r="L21" s="85">
        <f>IF(TRIM(Expenditure_import[[#This Row],[Description]])="",1,0)</f>
        <v>0</v>
      </c>
      <c r="M21" s="85">
        <f>IF(ISBLANK(Expenditure_import[[#This Row],[MatEditOnly]]),1,0)</f>
        <v>0</v>
      </c>
      <c r="N21" s="85">
        <f>IF(ISBLANK(Expenditure_import[[#This Row],[FinancialYearCode]]),1,0)</f>
        <v>0</v>
      </c>
      <c r="O21" s="85">
        <f>IF(ISBLANK(Expenditure_import[[#This Row],[Calculated]]),1,0)</f>
        <v>0</v>
      </c>
      <c r="P21"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21" s="85">
        <f>IF(LEN(Expenditure_import[[#This Row],[Description]])&lt;100,0,1)</f>
        <v>0</v>
      </c>
      <c r="R21" s="85">
        <f>IF(LEN(Expenditure_import[[#This Row],[Notes]])&lt;4000,0,1)</f>
        <v>0</v>
      </c>
      <c r="S21" s="85">
        <f>IF(LEN(Expenditure_import[[#This Row],[YearNotes]])&lt;4000,0,1)</f>
        <v>0</v>
      </c>
      <c r="T21" s="85">
        <f>IF(OR(Expenditure_import[[#This Row],[MatEditOnly]]=TRUE,Expenditure_import[[#This Row],[MatEditOnly]]=FALSE),IF(OR(Expenditure_import[[#This Row],[Calculated]]=TRUE,Expenditure_import[[#This Row],[Calculated]]=FALSE),0,1),1)</f>
        <v>0</v>
      </c>
      <c r="U21" s="85">
        <f>IF(_xlfn.XLOOKUP(Expenditure_import[[#This Row],[FinancialYearCode]],Years[Years],Years[Years],1)=Expenditure_import[[#This Row],[FinancialYearCode]],0,1)</f>
        <v>0</v>
      </c>
      <c r="V21" s="85">
        <f>IF(Expenditure_import[[#This Row],[CalculatorCode]]="",0,IF(IF(_xlfn.XLOOKUP(Expenditure_import[[#This Row],[CalculatorCode]],Calculators[CalculatorCode],Calculators[LockCheck])=1,TRUE,FALSE)=Expenditure_import[[#This Row],[MatEditOnly]],0,1))</f>
        <v>0</v>
      </c>
      <c r="W21" s="85">
        <f>SUM(Expenditure_import[[#This Row],[DuplicateLine]:[MAT edit only required]])</f>
        <v>3</v>
      </c>
      <c r="X21" s="80">
        <f>COUNTIF(SRG[GrossSalaryFinanceCode],Expenditure_import[[#This Row],[FinanceCode]])+COUNTIF(SRG[EmployersNiFinanceCode],Expenditure_import[[#This Row],[FinanceCode]])+COUNTIF(SRG[PensionFinanceCode],Expenditure_import[[#This Row],[FinanceCode]])</f>
        <v>0</v>
      </c>
      <c r="Y21" s="80" t="str">
        <f>_xlfn.XLOOKUP(Expenditure_import[[#This Row],[SchoolCode]],SCHOOLS[SchoolCode],SCHOOLS[Title])</f>
        <v>The Brooksbank School</v>
      </c>
      <c r="AA21">
        <v>675110</v>
      </c>
      <c r="AB21" t="s">
        <v>2591</v>
      </c>
      <c r="AF21" t="s">
        <v>2346</v>
      </c>
      <c r="AG21" t="s">
        <v>1124</v>
      </c>
      <c r="AH21" t="s">
        <v>2409</v>
      </c>
      <c r="AK21" t="b">
        <v>1</v>
      </c>
      <c r="AL21" t="s">
        <v>1497</v>
      </c>
      <c r="AM21" t="b">
        <v>1</v>
      </c>
    </row>
    <row r="22" spans="1:39" x14ac:dyDescent="0.3">
      <c r="A22" s="120" t="str">
        <f t="shared" si="0"/>
        <v>675110CHSApprentice Allowance - Support2025/26</v>
      </c>
      <c r="B22" s="85">
        <f>COUNTIF(Expenditure_import[Column1],Expenditure_import[[#This Row],[Column1]])-1</f>
        <v>0</v>
      </c>
      <c r="C22" s="80" cm="1">
        <f t="array" ref="C22">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22" s="85">
        <f>IF(COUNTIF(SCHOOLS[SchoolCode],Expenditure_import[[#This Row],[SchoolCode]])&gt;0,0,1)</f>
        <v>0</v>
      </c>
      <c r="E22" s="85">
        <f>IF(COUNTIF(LEDGER[],Expenditure_import[[#This Row],[LedgerCode]])&gt;0,0,1)</f>
        <v>0</v>
      </c>
      <c r="F22" s="85">
        <f>IF(ISBLANK(Expenditure_import[[#This Row],[MonthProfileCode]]),1,IF(COUNTIF(MONTHPRF[Code],Expenditure_import[[#This Row],[MonthProfileCode]])&gt;0,0,1))</f>
        <v>0</v>
      </c>
      <c r="G22" s="80" cm="1">
        <f t="array" ref="G22">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22" s="85">
        <f>IF(Expenditure_import[[#This Row],[FundCode]]=0,0,IF(COUNTIF(FUNDS[FundCode],Expenditure_import[[#This Row],[FundCode]])&gt;0,0,1))</f>
        <v>0</v>
      </c>
      <c r="I22" s="80" cm="1">
        <f t="array" ref="I22">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22" s="85">
        <f>IF(ISBLANK(Expenditure_import[[#This Row],[YearValue]])=Expenditure_import[[#This Row],[Calculated]],0,1)</f>
        <v>0</v>
      </c>
      <c r="K22" s="85">
        <f>IF(ISBLANK(Expenditure_import[[#This Row],[CalculatorCode]]),0,IF(COUNTIF(Calculators[CalculatorCode],Expenditure_import[[#This Row],[CalculatorCode]])&gt;0,0,1))</f>
        <v>0</v>
      </c>
      <c r="L22" s="85">
        <f>IF(TRIM(Expenditure_import[[#This Row],[Description]])="",1,0)</f>
        <v>0</v>
      </c>
      <c r="M22" s="85">
        <f>IF(ISBLANK(Expenditure_import[[#This Row],[MatEditOnly]]),1,0)</f>
        <v>0</v>
      </c>
      <c r="N22" s="85">
        <f>IF(ISBLANK(Expenditure_import[[#This Row],[FinancialYearCode]]),1,0)</f>
        <v>0</v>
      </c>
      <c r="O22" s="85">
        <f>IF(ISBLANK(Expenditure_import[[#This Row],[Calculated]]),1,0)</f>
        <v>0</v>
      </c>
      <c r="P22"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22" s="85">
        <f>IF(LEN(Expenditure_import[[#This Row],[Description]])&lt;100,0,1)</f>
        <v>0</v>
      </c>
      <c r="R22" s="85">
        <f>IF(LEN(Expenditure_import[[#This Row],[Notes]])&lt;4000,0,1)</f>
        <v>0</v>
      </c>
      <c r="S22" s="85">
        <f>IF(LEN(Expenditure_import[[#This Row],[YearNotes]])&lt;4000,0,1)</f>
        <v>0</v>
      </c>
      <c r="T22" s="85">
        <f>IF(OR(Expenditure_import[[#This Row],[MatEditOnly]]=TRUE,Expenditure_import[[#This Row],[MatEditOnly]]=FALSE),IF(OR(Expenditure_import[[#This Row],[Calculated]]=TRUE,Expenditure_import[[#This Row],[Calculated]]=FALSE),0,1),1)</f>
        <v>0</v>
      </c>
      <c r="U22" s="85">
        <f>IF(_xlfn.XLOOKUP(Expenditure_import[[#This Row],[FinancialYearCode]],Years[Years],Years[Years],1)=Expenditure_import[[#This Row],[FinancialYearCode]],0,1)</f>
        <v>0</v>
      </c>
      <c r="V22" s="85">
        <f>IF(Expenditure_import[[#This Row],[CalculatorCode]]="",0,IF(IF(_xlfn.XLOOKUP(Expenditure_import[[#This Row],[CalculatorCode]],Calculators[CalculatorCode],Calculators[LockCheck])=1,TRUE,FALSE)=Expenditure_import[[#This Row],[MatEditOnly]],0,1))</f>
        <v>0</v>
      </c>
      <c r="W22" s="85">
        <f>SUM(Expenditure_import[[#This Row],[DuplicateLine]:[MAT edit only required]])</f>
        <v>3</v>
      </c>
      <c r="X22" s="80">
        <f>COUNTIF(SRG[GrossSalaryFinanceCode],Expenditure_import[[#This Row],[FinanceCode]])+COUNTIF(SRG[EmployersNiFinanceCode],Expenditure_import[[#This Row],[FinanceCode]])+COUNTIF(SRG[PensionFinanceCode],Expenditure_import[[#This Row],[FinanceCode]])</f>
        <v>0</v>
      </c>
      <c r="Y22" s="80" t="str">
        <f>_xlfn.XLOOKUP(Expenditure_import[[#This Row],[SchoolCode]],SCHOOLS[SchoolCode],SCHOOLS[Title])</f>
        <v>Castle Hill School</v>
      </c>
      <c r="AA22">
        <v>675110</v>
      </c>
      <c r="AB22" t="s">
        <v>2594</v>
      </c>
      <c r="AF22" t="s">
        <v>2346</v>
      </c>
      <c r="AG22" t="s">
        <v>1124</v>
      </c>
      <c r="AH22" t="s">
        <v>2409</v>
      </c>
      <c r="AK22" t="b">
        <v>1</v>
      </c>
      <c r="AL22" t="s">
        <v>1497</v>
      </c>
      <c r="AM22" t="b">
        <v>1</v>
      </c>
    </row>
    <row r="23" spans="1:39" x14ac:dyDescent="0.3">
      <c r="A23" s="120" t="str">
        <f t="shared" si="0"/>
        <v>675110HHSApprentice Allowance - Support2025/26</v>
      </c>
      <c r="B23" s="85">
        <f>COUNTIF(Expenditure_import[Column1],Expenditure_import[[#This Row],[Column1]])-1</f>
        <v>0</v>
      </c>
      <c r="C23" s="80" cm="1">
        <f t="array" ref="C23">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23" s="85">
        <f>IF(COUNTIF(SCHOOLS[SchoolCode],Expenditure_import[[#This Row],[SchoolCode]])&gt;0,0,1)</f>
        <v>0</v>
      </c>
      <c r="E23" s="85">
        <f>IF(COUNTIF(LEDGER[],Expenditure_import[[#This Row],[LedgerCode]])&gt;0,0,1)</f>
        <v>0</v>
      </c>
      <c r="F23" s="85">
        <f>IF(ISBLANK(Expenditure_import[[#This Row],[MonthProfileCode]]),1,IF(COUNTIF(MONTHPRF[Code],Expenditure_import[[#This Row],[MonthProfileCode]])&gt;0,0,1))</f>
        <v>0</v>
      </c>
      <c r="G23" s="80" cm="1">
        <f t="array" ref="G23">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23" s="85">
        <f>IF(Expenditure_import[[#This Row],[FundCode]]=0,0,IF(COUNTIF(FUNDS[FundCode],Expenditure_import[[#This Row],[FundCode]])&gt;0,0,1))</f>
        <v>0</v>
      </c>
      <c r="I23" s="80" cm="1">
        <f t="array" ref="I23">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23" s="85">
        <f>IF(ISBLANK(Expenditure_import[[#This Row],[YearValue]])=Expenditure_import[[#This Row],[Calculated]],0,1)</f>
        <v>0</v>
      </c>
      <c r="K23" s="85">
        <f>IF(ISBLANK(Expenditure_import[[#This Row],[CalculatorCode]]),0,IF(COUNTIF(Calculators[CalculatorCode],Expenditure_import[[#This Row],[CalculatorCode]])&gt;0,0,1))</f>
        <v>0</v>
      </c>
      <c r="L23" s="85">
        <f>IF(TRIM(Expenditure_import[[#This Row],[Description]])="",1,0)</f>
        <v>0</v>
      </c>
      <c r="M23" s="85">
        <f>IF(ISBLANK(Expenditure_import[[#This Row],[MatEditOnly]]),1,0)</f>
        <v>0</v>
      </c>
      <c r="N23" s="85">
        <f>IF(ISBLANK(Expenditure_import[[#This Row],[FinancialYearCode]]),1,0)</f>
        <v>0</v>
      </c>
      <c r="O23" s="85">
        <f>IF(ISBLANK(Expenditure_import[[#This Row],[Calculated]]),1,0)</f>
        <v>0</v>
      </c>
      <c r="P23"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23" s="85">
        <f>IF(LEN(Expenditure_import[[#This Row],[Description]])&lt;100,0,1)</f>
        <v>0</v>
      </c>
      <c r="R23" s="85">
        <f>IF(LEN(Expenditure_import[[#This Row],[Notes]])&lt;4000,0,1)</f>
        <v>0</v>
      </c>
      <c r="S23" s="85">
        <f>IF(LEN(Expenditure_import[[#This Row],[YearNotes]])&lt;4000,0,1)</f>
        <v>0</v>
      </c>
      <c r="T23" s="85">
        <f>IF(OR(Expenditure_import[[#This Row],[MatEditOnly]]=TRUE,Expenditure_import[[#This Row],[MatEditOnly]]=FALSE),IF(OR(Expenditure_import[[#This Row],[Calculated]]=TRUE,Expenditure_import[[#This Row],[Calculated]]=FALSE),0,1),1)</f>
        <v>0</v>
      </c>
      <c r="U23" s="85">
        <f>IF(_xlfn.XLOOKUP(Expenditure_import[[#This Row],[FinancialYearCode]],Years[Years],Years[Years],1)=Expenditure_import[[#This Row],[FinancialYearCode]],0,1)</f>
        <v>0</v>
      </c>
      <c r="V23" s="85">
        <f>IF(Expenditure_import[[#This Row],[CalculatorCode]]="",0,IF(IF(_xlfn.XLOOKUP(Expenditure_import[[#This Row],[CalculatorCode]],Calculators[CalculatorCode],Calculators[LockCheck])=1,TRUE,FALSE)=Expenditure_import[[#This Row],[MatEditOnly]],0,1))</f>
        <v>0</v>
      </c>
      <c r="W23" s="85">
        <f>SUM(Expenditure_import[[#This Row],[DuplicateLine]:[MAT edit only required]])</f>
        <v>3</v>
      </c>
      <c r="X23" s="80">
        <f>COUNTIF(SRG[GrossSalaryFinanceCode],Expenditure_import[[#This Row],[FinanceCode]])+COUNTIF(SRG[EmployersNiFinanceCode],Expenditure_import[[#This Row],[FinanceCode]])+COUNTIF(SRG[PensionFinanceCode],Expenditure_import[[#This Row],[FinanceCode]])</f>
        <v>0</v>
      </c>
      <c r="Y23" s="80" t="str">
        <f>_xlfn.XLOOKUP(Expenditure_import[[#This Row],[SchoolCode]],SCHOOLS[SchoolCode],SCHOOLS[Title])</f>
        <v>Honley High School</v>
      </c>
      <c r="AA23">
        <v>675110</v>
      </c>
      <c r="AB23" t="s">
        <v>2597</v>
      </c>
      <c r="AF23" t="s">
        <v>2346</v>
      </c>
      <c r="AG23" t="s">
        <v>1124</v>
      </c>
      <c r="AH23" t="s">
        <v>2409</v>
      </c>
      <c r="AK23" t="b">
        <v>1</v>
      </c>
      <c r="AL23" t="s">
        <v>1497</v>
      </c>
      <c r="AM23" t="b">
        <v>1</v>
      </c>
    </row>
    <row r="24" spans="1:39" x14ac:dyDescent="0.3">
      <c r="A24" s="120" t="str">
        <f t="shared" si="0"/>
        <v>675110LCPApprentice Allowance - Support2025/26</v>
      </c>
      <c r="B24" s="85">
        <f>COUNTIF(Expenditure_import[Column1],Expenditure_import[[#This Row],[Column1]])-1</f>
        <v>0</v>
      </c>
      <c r="C24" s="80" cm="1">
        <f t="array" ref="C24">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24" s="85">
        <f>IF(COUNTIF(SCHOOLS[SchoolCode],Expenditure_import[[#This Row],[SchoolCode]])&gt;0,0,1)</f>
        <v>0</v>
      </c>
      <c r="E24" s="85">
        <f>IF(COUNTIF(LEDGER[],Expenditure_import[[#This Row],[LedgerCode]])&gt;0,0,1)</f>
        <v>0</v>
      </c>
      <c r="F24" s="85">
        <f>IF(ISBLANK(Expenditure_import[[#This Row],[MonthProfileCode]]),1,IF(COUNTIF(MONTHPRF[Code],Expenditure_import[[#This Row],[MonthProfileCode]])&gt;0,0,1))</f>
        <v>0</v>
      </c>
      <c r="G24" s="80" cm="1">
        <f t="array" ref="G24">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24" s="85">
        <f>IF(Expenditure_import[[#This Row],[FundCode]]=0,0,IF(COUNTIF(FUNDS[FundCode],Expenditure_import[[#This Row],[FundCode]])&gt;0,0,1))</f>
        <v>0</v>
      </c>
      <c r="I24" s="80" cm="1">
        <f t="array" ref="I24">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24" s="85">
        <f>IF(ISBLANK(Expenditure_import[[#This Row],[YearValue]])=Expenditure_import[[#This Row],[Calculated]],0,1)</f>
        <v>0</v>
      </c>
      <c r="K24" s="85">
        <f>IF(ISBLANK(Expenditure_import[[#This Row],[CalculatorCode]]),0,IF(COUNTIF(Calculators[CalculatorCode],Expenditure_import[[#This Row],[CalculatorCode]])&gt;0,0,1))</f>
        <v>0</v>
      </c>
      <c r="L24" s="85">
        <f>IF(TRIM(Expenditure_import[[#This Row],[Description]])="",1,0)</f>
        <v>0</v>
      </c>
      <c r="M24" s="85">
        <f>IF(ISBLANK(Expenditure_import[[#This Row],[MatEditOnly]]),1,0)</f>
        <v>0</v>
      </c>
      <c r="N24" s="85">
        <f>IF(ISBLANK(Expenditure_import[[#This Row],[FinancialYearCode]]),1,0)</f>
        <v>0</v>
      </c>
      <c r="O24" s="85">
        <f>IF(ISBLANK(Expenditure_import[[#This Row],[Calculated]]),1,0)</f>
        <v>0</v>
      </c>
      <c r="P24"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24" s="85">
        <f>IF(LEN(Expenditure_import[[#This Row],[Description]])&lt;100,0,1)</f>
        <v>0</v>
      </c>
      <c r="R24" s="85">
        <f>IF(LEN(Expenditure_import[[#This Row],[Notes]])&lt;4000,0,1)</f>
        <v>0</v>
      </c>
      <c r="S24" s="85">
        <f>IF(LEN(Expenditure_import[[#This Row],[YearNotes]])&lt;4000,0,1)</f>
        <v>0</v>
      </c>
      <c r="T24" s="85">
        <f>IF(OR(Expenditure_import[[#This Row],[MatEditOnly]]=TRUE,Expenditure_import[[#This Row],[MatEditOnly]]=FALSE),IF(OR(Expenditure_import[[#This Row],[Calculated]]=TRUE,Expenditure_import[[#This Row],[Calculated]]=FALSE),0,1),1)</f>
        <v>0</v>
      </c>
      <c r="U24" s="85">
        <f>IF(_xlfn.XLOOKUP(Expenditure_import[[#This Row],[FinancialYearCode]],Years[Years],Years[Years],1)=Expenditure_import[[#This Row],[FinancialYearCode]],0,1)</f>
        <v>0</v>
      </c>
      <c r="V24" s="85">
        <f>IF(Expenditure_import[[#This Row],[CalculatorCode]]="",0,IF(IF(_xlfn.XLOOKUP(Expenditure_import[[#This Row],[CalculatorCode]],Calculators[CalculatorCode],Calculators[LockCheck])=1,TRUE,FALSE)=Expenditure_import[[#This Row],[MatEditOnly]],0,1))</f>
        <v>0</v>
      </c>
      <c r="W24" s="85">
        <f>SUM(Expenditure_import[[#This Row],[DuplicateLine]:[MAT edit only required]])</f>
        <v>3</v>
      </c>
      <c r="X24" s="80">
        <f>COUNTIF(SRG[GrossSalaryFinanceCode],Expenditure_import[[#This Row],[FinanceCode]])+COUNTIF(SRG[EmployersNiFinanceCode],Expenditure_import[[#This Row],[FinanceCode]])+COUNTIF(SRG[PensionFinanceCode],Expenditure_import[[#This Row],[FinanceCode]])</f>
        <v>0</v>
      </c>
      <c r="Y24" s="80" t="str">
        <f>_xlfn.XLOOKUP(Expenditure_import[[#This Row],[SchoolCode]],SCHOOLS[SchoolCode],SCHOOLS[Title])</f>
        <v>Linthwaite Clough Primary School</v>
      </c>
      <c r="AA24">
        <v>675110</v>
      </c>
      <c r="AB24" t="s">
        <v>2599</v>
      </c>
      <c r="AF24" t="s">
        <v>2346</v>
      </c>
      <c r="AG24" t="s">
        <v>1124</v>
      </c>
      <c r="AH24" t="s">
        <v>2409</v>
      </c>
      <c r="AK24" t="b">
        <v>1</v>
      </c>
      <c r="AL24" t="s">
        <v>1497</v>
      </c>
      <c r="AM24" t="b">
        <v>1</v>
      </c>
    </row>
    <row r="25" spans="1:39" x14ac:dyDescent="0.3">
      <c r="A25" s="120" t="str">
        <f t="shared" si="0"/>
        <v>675110MMPApprentice Allowance - Support2025/26</v>
      </c>
      <c r="B25" s="85">
        <f>COUNTIF(Expenditure_import[Column1],Expenditure_import[[#This Row],[Column1]])-1</f>
        <v>0</v>
      </c>
      <c r="C25" s="80" cm="1">
        <f t="array" ref="C25">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25" s="85">
        <f>IF(COUNTIF(SCHOOLS[SchoolCode],Expenditure_import[[#This Row],[SchoolCode]])&gt;0,0,1)</f>
        <v>0</v>
      </c>
      <c r="E25" s="85">
        <f>IF(COUNTIF(LEDGER[],Expenditure_import[[#This Row],[LedgerCode]])&gt;0,0,1)</f>
        <v>0</v>
      </c>
      <c r="F25" s="85">
        <f>IF(ISBLANK(Expenditure_import[[#This Row],[MonthProfileCode]]),1,IF(COUNTIF(MONTHPRF[Code],Expenditure_import[[#This Row],[MonthProfileCode]])&gt;0,0,1))</f>
        <v>0</v>
      </c>
      <c r="G25" s="80" cm="1">
        <f t="array" ref="G25">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25" s="85">
        <f>IF(Expenditure_import[[#This Row],[FundCode]]=0,0,IF(COUNTIF(FUNDS[FundCode],Expenditure_import[[#This Row],[FundCode]])&gt;0,0,1))</f>
        <v>0</v>
      </c>
      <c r="I25" s="80" cm="1">
        <f t="array" ref="I25">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25" s="85">
        <f>IF(ISBLANK(Expenditure_import[[#This Row],[YearValue]])=Expenditure_import[[#This Row],[Calculated]],0,1)</f>
        <v>0</v>
      </c>
      <c r="K25" s="85">
        <f>IF(ISBLANK(Expenditure_import[[#This Row],[CalculatorCode]]),0,IF(COUNTIF(Calculators[CalculatorCode],Expenditure_import[[#This Row],[CalculatorCode]])&gt;0,0,1))</f>
        <v>0</v>
      </c>
      <c r="L25" s="85">
        <f>IF(TRIM(Expenditure_import[[#This Row],[Description]])="",1,0)</f>
        <v>0</v>
      </c>
      <c r="M25" s="85">
        <f>IF(ISBLANK(Expenditure_import[[#This Row],[MatEditOnly]]),1,0)</f>
        <v>0</v>
      </c>
      <c r="N25" s="85">
        <f>IF(ISBLANK(Expenditure_import[[#This Row],[FinancialYearCode]]),1,0)</f>
        <v>0</v>
      </c>
      <c r="O25" s="85">
        <f>IF(ISBLANK(Expenditure_import[[#This Row],[Calculated]]),1,0)</f>
        <v>0</v>
      </c>
      <c r="P25"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25" s="85">
        <f>IF(LEN(Expenditure_import[[#This Row],[Description]])&lt;100,0,1)</f>
        <v>0</v>
      </c>
      <c r="R25" s="85">
        <f>IF(LEN(Expenditure_import[[#This Row],[Notes]])&lt;4000,0,1)</f>
        <v>0</v>
      </c>
      <c r="S25" s="85">
        <f>IF(LEN(Expenditure_import[[#This Row],[YearNotes]])&lt;4000,0,1)</f>
        <v>0</v>
      </c>
      <c r="T25" s="85">
        <f>IF(OR(Expenditure_import[[#This Row],[MatEditOnly]]=TRUE,Expenditure_import[[#This Row],[MatEditOnly]]=FALSE),IF(OR(Expenditure_import[[#This Row],[Calculated]]=TRUE,Expenditure_import[[#This Row],[Calculated]]=FALSE),0,1),1)</f>
        <v>0</v>
      </c>
      <c r="U25" s="85">
        <f>IF(_xlfn.XLOOKUP(Expenditure_import[[#This Row],[FinancialYearCode]],Years[Years],Years[Years],1)=Expenditure_import[[#This Row],[FinancialYearCode]],0,1)</f>
        <v>0</v>
      </c>
      <c r="V25" s="85">
        <f>IF(Expenditure_import[[#This Row],[CalculatorCode]]="",0,IF(IF(_xlfn.XLOOKUP(Expenditure_import[[#This Row],[CalculatorCode]],Calculators[CalculatorCode],Calculators[LockCheck])=1,TRUE,FALSE)=Expenditure_import[[#This Row],[MatEditOnly]],0,1))</f>
        <v>0</v>
      </c>
      <c r="W25" s="85">
        <f>SUM(Expenditure_import[[#This Row],[DuplicateLine]:[MAT edit only required]])</f>
        <v>3</v>
      </c>
      <c r="X25" s="80">
        <f>COUNTIF(SRG[GrossSalaryFinanceCode],Expenditure_import[[#This Row],[FinanceCode]])+COUNTIF(SRG[EmployersNiFinanceCode],Expenditure_import[[#This Row],[FinanceCode]])+COUNTIF(SRG[PensionFinanceCode],Expenditure_import[[#This Row],[FinanceCode]])</f>
        <v>0</v>
      </c>
      <c r="Y25" s="80" t="str">
        <f>_xlfn.XLOOKUP(Expenditure_import[[#This Row],[SchoolCode]],SCHOOLS[SchoolCode],SCHOOLS[Title])</f>
        <v>Meltham Moor Primary School</v>
      </c>
      <c r="AA25">
        <v>675110</v>
      </c>
      <c r="AB25" t="s">
        <v>2601</v>
      </c>
      <c r="AF25" t="s">
        <v>2346</v>
      </c>
      <c r="AG25" t="s">
        <v>1124</v>
      </c>
      <c r="AH25" t="s">
        <v>2409</v>
      </c>
      <c r="AK25" t="b">
        <v>1</v>
      </c>
      <c r="AL25" t="s">
        <v>1497</v>
      </c>
      <c r="AM25" t="b">
        <v>1</v>
      </c>
    </row>
    <row r="26" spans="1:39" x14ac:dyDescent="0.3">
      <c r="A26" s="120" t="str">
        <f t="shared" si="0"/>
        <v>675110NINApprentice Allowance - Support2025/26</v>
      </c>
      <c r="B26" s="85">
        <f>COUNTIF(Expenditure_import[Column1],Expenditure_import[[#This Row],[Column1]])-1</f>
        <v>0</v>
      </c>
      <c r="C26" s="80" cm="1">
        <f t="array" ref="C26">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26" s="85">
        <f>IF(COUNTIF(SCHOOLS[SchoolCode],Expenditure_import[[#This Row],[SchoolCode]])&gt;0,0,1)</f>
        <v>0</v>
      </c>
      <c r="E26" s="85">
        <f>IF(COUNTIF(LEDGER[],Expenditure_import[[#This Row],[LedgerCode]])&gt;0,0,1)</f>
        <v>0</v>
      </c>
      <c r="F26" s="85">
        <f>IF(ISBLANK(Expenditure_import[[#This Row],[MonthProfileCode]]),1,IF(COUNTIF(MONTHPRF[Code],Expenditure_import[[#This Row],[MonthProfileCode]])&gt;0,0,1))</f>
        <v>0</v>
      </c>
      <c r="G26" s="80" cm="1">
        <f t="array" ref="G26">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26" s="85">
        <f>IF(Expenditure_import[[#This Row],[FundCode]]=0,0,IF(COUNTIF(FUNDS[FundCode],Expenditure_import[[#This Row],[FundCode]])&gt;0,0,1))</f>
        <v>0</v>
      </c>
      <c r="I26" s="80" cm="1">
        <f t="array" ref="I26">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26" s="85">
        <f>IF(ISBLANK(Expenditure_import[[#This Row],[YearValue]])=Expenditure_import[[#This Row],[Calculated]],0,1)</f>
        <v>0</v>
      </c>
      <c r="K26" s="85">
        <f>IF(ISBLANK(Expenditure_import[[#This Row],[CalculatorCode]]),0,IF(COUNTIF(Calculators[CalculatorCode],Expenditure_import[[#This Row],[CalculatorCode]])&gt;0,0,1))</f>
        <v>0</v>
      </c>
      <c r="L26" s="85">
        <f>IF(TRIM(Expenditure_import[[#This Row],[Description]])="",1,0)</f>
        <v>0</v>
      </c>
      <c r="M26" s="85">
        <f>IF(ISBLANK(Expenditure_import[[#This Row],[MatEditOnly]]),1,0)</f>
        <v>0</v>
      </c>
      <c r="N26" s="85">
        <f>IF(ISBLANK(Expenditure_import[[#This Row],[FinancialYearCode]]),1,0)</f>
        <v>0</v>
      </c>
      <c r="O26" s="85">
        <f>IF(ISBLANK(Expenditure_import[[#This Row],[Calculated]]),1,0)</f>
        <v>0</v>
      </c>
      <c r="P26"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26" s="85">
        <f>IF(LEN(Expenditure_import[[#This Row],[Description]])&lt;100,0,1)</f>
        <v>0</v>
      </c>
      <c r="R26" s="85">
        <f>IF(LEN(Expenditure_import[[#This Row],[Notes]])&lt;4000,0,1)</f>
        <v>0</v>
      </c>
      <c r="S26" s="85">
        <f>IF(LEN(Expenditure_import[[#This Row],[YearNotes]])&lt;4000,0,1)</f>
        <v>0</v>
      </c>
      <c r="T26" s="85">
        <f>IF(OR(Expenditure_import[[#This Row],[MatEditOnly]]=TRUE,Expenditure_import[[#This Row],[MatEditOnly]]=FALSE),IF(OR(Expenditure_import[[#This Row],[Calculated]]=TRUE,Expenditure_import[[#This Row],[Calculated]]=FALSE),0,1),1)</f>
        <v>0</v>
      </c>
      <c r="U26" s="85">
        <f>IF(_xlfn.XLOOKUP(Expenditure_import[[#This Row],[FinancialYearCode]],Years[Years],Years[Years],1)=Expenditure_import[[#This Row],[FinancialYearCode]],0,1)</f>
        <v>0</v>
      </c>
      <c r="V26" s="85">
        <f>IF(Expenditure_import[[#This Row],[CalculatorCode]]="",0,IF(IF(_xlfn.XLOOKUP(Expenditure_import[[#This Row],[CalculatorCode]],Calculators[CalculatorCode],Calculators[LockCheck])=1,TRUE,FALSE)=Expenditure_import[[#This Row],[MatEditOnly]],0,1))</f>
        <v>0</v>
      </c>
      <c r="W26" s="85">
        <f>SUM(Expenditure_import[[#This Row],[DuplicateLine]:[MAT edit only required]])</f>
        <v>3</v>
      </c>
      <c r="X26" s="80">
        <f>COUNTIF(SRG[GrossSalaryFinanceCode],Expenditure_import[[#This Row],[FinanceCode]])+COUNTIF(SRG[EmployersNiFinanceCode],Expenditure_import[[#This Row],[FinanceCode]])+COUNTIF(SRG[PensionFinanceCode],Expenditure_import[[#This Row],[FinanceCode]])</f>
        <v>0</v>
      </c>
      <c r="Y26" s="80" t="str">
        <f>_xlfn.XLOOKUP(Expenditure_import[[#This Row],[SchoolCode]],SCHOOLS[SchoolCode],SCHOOLS[Title])</f>
        <v>Netherton Infant and Nursery School</v>
      </c>
      <c r="AA26">
        <v>675110</v>
      </c>
      <c r="AB26" t="s">
        <v>2603</v>
      </c>
      <c r="AF26" t="s">
        <v>2346</v>
      </c>
      <c r="AG26" t="s">
        <v>1124</v>
      </c>
      <c r="AH26" t="s">
        <v>2409</v>
      </c>
      <c r="AK26" t="b">
        <v>1</v>
      </c>
      <c r="AL26" t="s">
        <v>1497</v>
      </c>
      <c r="AM26" t="b">
        <v>1</v>
      </c>
    </row>
    <row r="27" spans="1:39" x14ac:dyDescent="0.3">
      <c r="A27" s="120" t="str">
        <f t="shared" si="0"/>
        <v>675110RVSApprentice Allowance - Support2025/26</v>
      </c>
      <c r="B27" s="85">
        <f>COUNTIF(Expenditure_import[Column1],Expenditure_import[[#This Row],[Column1]])-1</f>
        <v>0</v>
      </c>
      <c r="C27" s="80" cm="1">
        <f t="array" ref="C27">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27" s="85">
        <f>IF(COUNTIF(SCHOOLS[SchoolCode],Expenditure_import[[#This Row],[SchoolCode]])&gt;0,0,1)</f>
        <v>0</v>
      </c>
      <c r="E27" s="85">
        <f>IF(COUNTIF(LEDGER[],Expenditure_import[[#This Row],[LedgerCode]])&gt;0,0,1)</f>
        <v>0</v>
      </c>
      <c r="F27" s="85">
        <f>IF(ISBLANK(Expenditure_import[[#This Row],[MonthProfileCode]]),1,IF(COUNTIF(MONTHPRF[Code],Expenditure_import[[#This Row],[MonthProfileCode]])&gt;0,0,1))</f>
        <v>0</v>
      </c>
      <c r="G27" s="80" cm="1">
        <f t="array" ref="G27">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27" s="85">
        <f>IF(Expenditure_import[[#This Row],[FundCode]]=0,0,IF(COUNTIF(FUNDS[FundCode],Expenditure_import[[#This Row],[FundCode]])&gt;0,0,1))</f>
        <v>0</v>
      </c>
      <c r="I27" s="80" cm="1">
        <f t="array" ref="I27">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27" s="85">
        <f>IF(ISBLANK(Expenditure_import[[#This Row],[YearValue]])=Expenditure_import[[#This Row],[Calculated]],0,1)</f>
        <v>0</v>
      </c>
      <c r="K27" s="85">
        <f>IF(ISBLANK(Expenditure_import[[#This Row],[CalculatorCode]]),0,IF(COUNTIF(Calculators[CalculatorCode],Expenditure_import[[#This Row],[CalculatorCode]])&gt;0,0,1))</f>
        <v>0</v>
      </c>
      <c r="L27" s="85">
        <f>IF(TRIM(Expenditure_import[[#This Row],[Description]])="",1,0)</f>
        <v>0</v>
      </c>
      <c r="M27" s="85">
        <f>IF(ISBLANK(Expenditure_import[[#This Row],[MatEditOnly]]),1,0)</f>
        <v>0</v>
      </c>
      <c r="N27" s="85">
        <f>IF(ISBLANK(Expenditure_import[[#This Row],[FinancialYearCode]]),1,0)</f>
        <v>0</v>
      </c>
      <c r="O27" s="85">
        <f>IF(ISBLANK(Expenditure_import[[#This Row],[Calculated]]),1,0)</f>
        <v>0</v>
      </c>
      <c r="P27"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27" s="85">
        <f>IF(LEN(Expenditure_import[[#This Row],[Description]])&lt;100,0,1)</f>
        <v>0</v>
      </c>
      <c r="R27" s="85">
        <f>IF(LEN(Expenditure_import[[#This Row],[Notes]])&lt;4000,0,1)</f>
        <v>0</v>
      </c>
      <c r="S27" s="85">
        <f>IF(LEN(Expenditure_import[[#This Row],[YearNotes]])&lt;4000,0,1)</f>
        <v>0</v>
      </c>
      <c r="T27" s="85">
        <f>IF(OR(Expenditure_import[[#This Row],[MatEditOnly]]=TRUE,Expenditure_import[[#This Row],[MatEditOnly]]=FALSE),IF(OR(Expenditure_import[[#This Row],[Calculated]]=TRUE,Expenditure_import[[#This Row],[Calculated]]=FALSE),0,1),1)</f>
        <v>0</v>
      </c>
      <c r="U27" s="85">
        <f>IF(_xlfn.XLOOKUP(Expenditure_import[[#This Row],[FinancialYearCode]],Years[Years],Years[Years],1)=Expenditure_import[[#This Row],[FinancialYearCode]],0,1)</f>
        <v>0</v>
      </c>
      <c r="V27" s="85">
        <f>IF(Expenditure_import[[#This Row],[CalculatorCode]]="",0,IF(IF(_xlfn.XLOOKUP(Expenditure_import[[#This Row],[CalculatorCode]],Calculators[CalculatorCode],Calculators[LockCheck])=1,TRUE,FALSE)=Expenditure_import[[#This Row],[MatEditOnly]],0,1))</f>
        <v>0</v>
      </c>
      <c r="W27" s="85">
        <f>SUM(Expenditure_import[[#This Row],[DuplicateLine]:[MAT edit only required]])</f>
        <v>3</v>
      </c>
      <c r="X27" s="80">
        <f>COUNTIF(SRG[GrossSalaryFinanceCode],Expenditure_import[[#This Row],[FinanceCode]])+COUNTIF(SRG[EmployersNiFinanceCode],Expenditure_import[[#This Row],[FinanceCode]])+COUNTIF(SRG[PensionFinanceCode],Expenditure_import[[#This Row],[FinanceCode]])</f>
        <v>0</v>
      </c>
      <c r="Y27" s="80" t="str">
        <f>_xlfn.XLOOKUP(Expenditure_import[[#This Row],[SchoolCode]],SCHOOLS[SchoolCode],SCHOOLS[Title])</f>
        <v>Ryburn Valley High School</v>
      </c>
      <c r="AA27">
        <v>675110</v>
      </c>
      <c r="AB27" t="s">
        <v>2605</v>
      </c>
      <c r="AF27" t="s">
        <v>2346</v>
      </c>
      <c r="AG27" t="s">
        <v>1124</v>
      </c>
      <c r="AH27" t="s">
        <v>2409</v>
      </c>
      <c r="AK27" t="b">
        <v>1</v>
      </c>
      <c r="AL27" t="s">
        <v>1497</v>
      </c>
      <c r="AM27" t="b">
        <v>1</v>
      </c>
    </row>
    <row r="28" spans="1:39" x14ac:dyDescent="0.3">
      <c r="A28" s="120" t="str">
        <f t="shared" si="0"/>
        <v>675110SRAApprentice Allowance - Support2025/26</v>
      </c>
      <c r="B28" s="85">
        <f>COUNTIF(Expenditure_import[Column1],Expenditure_import[[#This Row],[Column1]])-1</f>
        <v>0</v>
      </c>
      <c r="C28" s="80" cm="1">
        <f t="array" ref="C28">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28" s="85">
        <f>IF(COUNTIF(SCHOOLS[SchoolCode],Expenditure_import[[#This Row],[SchoolCode]])&gt;0,0,1)</f>
        <v>0</v>
      </c>
      <c r="E28" s="85">
        <f>IF(COUNTIF(LEDGER[],Expenditure_import[[#This Row],[LedgerCode]])&gt;0,0,1)</f>
        <v>0</v>
      </c>
      <c r="F28" s="85">
        <f>IF(ISBLANK(Expenditure_import[[#This Row],[MonthProfileCode]]),1,IF(COUNTIF(MONTHPRF[Code],Expenditure_import[[#This Row],[MonthProfileCode]])&gt;0,0,1))</f>
        <v>0</v>
      </c>
      <c r="G28" s="80" cm="1">
        <f t="array" ref="G28">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28" s="85">
        <f>IF(Expenditure_import[[#This Row],[FundCode]]=0,0,IF(COUNTIF(FUNDS[FundCode],Expenditure_import[[#This Row],[FundCode]])&gt;0,0,1))</f>
        <v>0</v>
      </c>
      <c r="I28" s="80" cm="1">
        <f t="array" ref="I28">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28" s="85">
        <f>IF(ISBLANK(Expenditure_import[[#This Row],[YearValue]])=Expenditure_import[[#This Row],[Calculated]],0,1)</f>
        <v>0</v>
      </c>
      <c r="K28" s="85">
        <f>IF(ISBLANK(Expenditure_import[[#This Row],[CalculatorCode]]),0,IF(COUNTIF(Calculators[CalculatorCode],Expenditure_import[[#This Row],[CalculatorCode]])&gt;0,0,1))</f>
        <v>0</v>
      </c>
      <c r="L28" s="85">
        <f>IF(TRIM(Expenditure_import[[#This Row],[Description]])="",1,0)</f>
        <v>0</v>
      </c>
      <c r="M28" s="85">
        <f>IF(ISBLANK(Expenditure_import[[#This Row],[MatEditOnly]]),1,0)</f>
        <v>0</v>
      </c>
      <c r="N28" s="85">
        <f>IF(ISBLANK(Expenditure_import[[#This Row],[FinancialYearCode]]),1,0)</f>
        <v>0</v>
      </c>
      <c r="O28" s="85">
        <f>IF(ISBLANK(Expenditure_import[[#This Row],[Calculated]]),1,0)</f>
        <v>0</v>
      </c>
      <c r="P28"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28" s="85">
        <f>IF(LEN(Expenditure_import[[#This Row],[Description]])&lt;100,0,1)</f>
        <v>0</v>
      </c>
      <c r="R28" s="85">
        <f>IF(LEN(Expenditure_import[[#This Row],[Notes]])&lt;4000,0,1)</f>
        <v>0</v>
      </c>
      <c r="S28" s="85">
        <f>IF(LEN(Expenditure_import[[#This Row],[YearNotes]])&lt;4000,0,1)</f>
        <v>0</v>
      </c>
      <c r="T28" s="85">
        <f>IF(OR(Expenditure_import[[#This Row],[MatEditOnly]]=TRUE,Expenditure_import[[#This Row],[MatEditOnly]]=FALSE),IF(OR(Expenditure_import[[#This Row],[Calculated]]=TRUE,Expenditure_import[[#This Row],[Calculated]]=FALSE),0,1),1)</f>
        <v>0</v>
      </c>
      <c r="U28" s="85">
        <f>IF(_xlfn.XLOOKUP(Expenditure_import[[#This Row],[FinancialYearCode]],Years[Years],Years[Years],1)=Expenditure_import[[#This Row],[FinancialYearCode]],0,1)</f>
        <v>0</v>
      </c>
      <c r="V28" s="85">
        <f>IF(Expenditure_import[[#This Row],[CalculatorCode]]="",0,IF(IF(_xlfn.XLOOKUP(Expenditure_import[[#This Row],[CalculatorCode]],Calculators[CalculatorCode],Calculators[LockCheck])=1,TRUE,FALSE)=Expenditure_import[[#This Row],[MatEditOnly]],0,1))</f>
        <v>0</v>
      </c>
      <c r="W28" s="85">
        <f>SUM(Expenditure_import[[#This Row],[DuplicateLine]:[MAT edit only required]])</f>
        <v>3</v>
      </c>
      <c r="X28" s="80">
        <f>COUNTIF(SRG[GrossSalaryFinanceCode],Expenditure_import[[#This Row],[FinanceCode]])+COUNTIF(SRG[EmployersNiFinanceCode],Expenditure_import[[#This Row],[FinanceCode]])+COUNTIF(SRG[PensionFinanceCode],Expenditure_import[[#This Row],[FinanceCode]])</f>
        <v>0</v>
      </c>
      <c r="Y28" s="80" t="str">
        <f>_xlfn.XLOOKUP(Expenditure_import[[#This Row],[SchoolCode]],SCHOOLS[SchoolCode],SCHOOLS[Title])</f>
        <v>Scout Road Academy</v>
      </c>
      <c r="AA28">
        <v>675110</v>
      </c>
      <c r="AB28" t="s">
        <v>2607</v>
      </c>
      <c r="AF28" t="s">
        <v>2346</v>
      </c>
      <c r="AG28" t="s">
        <v>1124</v>
      </c>
      <c r="AH28" t="s">
        <v>2409</v>
      </c>
      <c r="AK28" t="b">
        <v>1</v>
      </c>
      <c r="AL28" t="s">
        <v>1497</v>
      </c>
      <c r="AM28" t="b">
        <v>1</v>
      </c>
    </row>
    <row r="29" spans="1:39" x14ac:dyDescent="0.3">
      <c r="A29" s="120" t="str">
        <f t="shared" si="0"/>
        <v>675110TLTApprentice Allowance - Support2025/26</v>
      </c>
      <c r="B29" s="85">
        <f>COUNTIF(Expenditure_import[Column1],Expenditure_import[[#This Row],[Column1]])-1</f>
        <v>0</v>
      </c>
      <c r="C29" s="80" cm="1">
        <f t="array" ref="C29">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29" s="85">
        <f>IF(COUNTIF(SCHOOLS[SchoolCode],Expenditure_import[[#This Row],[SchoolCode]])&gt;0,0,1)</f>
        <v>0</v>
      </c>
      <c r="E29" s="85">
        <f>IF(COUNTIF(LEDGER[],Expenditure_import[[#This Row],[LedgerCode]])&gt;0,0,1)</f>
        <v>0</v>
      </c>
      <c r="F29" s="85">
        <f>IF(ISBLANK(Expenditure_import[[#This Row],[MonthProfileCode]]),1,IF(COUNTIF(MONTHPRF[Code],Expenditure_import[[#This Row],[MonthProfileCode]])&gt;0,0,1))</f>
        <v>0</v>
      </c>
      <c r="G29" s="80" cm="1">
        <f t="array" ref="G29">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29" s="85">
        <f>IF(Expenditure_import[[#This Row],[FundCode]]=0,0,IF(COUNTIF(FUNDS[FundCode],Expenditure_import[[#This Row],[FundCode]])&gt;0,0,1))</f>
        <v>0</v>
      </c>
      <c r="I29" s="80" cm="1">
        <f t="array" ref="I29">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29" s="85">
        <f>IF(ISBLANK(Expenditure_import[[#This Row],[YearValue]])=Expenditure_import[[#This Row],[Calculated]],0,1)</f>
        <v>0</v>
      </c>
      <c r="K29" s="85">
        <f>IF(ISBLANK(Expenditure_import[[#This Row],[CalculatorCode]]),0,IF(COUNTIF(Calculators[CalculatorCode],Expenditure_import[[#This Row],[CalculatorCode]])&gt;0,0,1))</f>
        <v>0</v>
      </c>
      <c r="L29" s="85">
        <f>IF(TRIM(Expenditure_import[[#This Row],[Description]])="",1,0)</f>
        <v>0</v>
      </c>
      <c r="M29" s="85">
        <f>IF(ISBLANK(Expenditure_import[[#This Row],[MatEditOnly]]),1,0)</f>
        <v>0</v>
      </c>
      <c r="N29" s="85">
        <f>IF(ISBLANK(Expenditure_import[[#This Row],[FinancialYearCode]]),1,0)</f>
        <v>0</v>
      </c>
      <c r="O29" s="85">
        <f>IF(ISBLANK(Expenditure_import[[#This Row],[Calculated]]),1,0)</f>
        <v>0</v>
      </c>
      <c r="P29"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29" s="85">
        <f>IF(LEN(Expenditure_import[[#This Row],[Description]])&lt;100,0,1)</f>
        <v>0</v>
      </c>
      <c r="R29" s="85">
        <f>IF(LEN(Expenditure_import[[#This Row],[Notes]])&lt;4000,0,1)</f>
        <v>0</v>
      </c>
      <c r="S29" s="85">
        <f>IF(LEN(Expenditure_import[[#This Row],[YearNotes]])&lt;4000,0,1)</f>
        <v>0</v>
      </c>
      <c r="T29" s="85">
        <f>IF(OR(Expenditure_import[[#This Row],[MatEditOnly]]=TRUE,Expenditure_import[[#This Row],[MatEditOnly]]=FALSE),IF(OR(Expenditure_import[[#This Row],[Calculated]]=TRUE,Expenditure_import[[#This Row],[Calculated]]=FALSE),0,1),1)</f>
        <v>0</v>
      </c>
      <c r="U29" s="85">
        <f>IF(_xlfn.XLOOKUP(Expenditure_import[[#This Row],[FinancialYearCode]],Years[Years],Years[Years],1)=Expenditure_import[[#This Row],[FinancialYearCode]],0,1)</f>
        <v>0</v>
      </c>
      <c r="V29" s="85">
        <f>IF(Expenditure_import[[#This Row],[CalculatorCode]]="",0,IF(IF(_xlfn.XLOOKUP(Expenditure_import[[#This Row],[CalculatorCode]],Calculators[CalculatorCode],Calculators[LockCheck])=1,TRUE,FALSE)=Expenditure_import[[#This Row],[MatEditOnly]],0,1))</f>
        <v>0</v>
      </c>
      <c r="W29" s="85">
        <f>SUM(Expenditure_import[[#This Row],[DuplicateLine]:[MAT edit only required]])</f>
        <v>3</v>
      </c>
      <c r="X29" s="80">
        <f>COUNTIF(SRG[GrossSalaryFinanceCode],Expenditure_import[[#This Row],[FinanceCode]])+COUNTIF(SRG[EmployersNiFinanceCode],Expenditure_import[[#This Row],[FinanceCode]])+COUNTIF(SRG[PensionFinanceCode],Expenditure_import[[#This Row],[FinanceCode]])</f>
        <v>0</v>
      </c>
      <c r="Y29" s="80" t="str">
        <f>_xlfn.XLOOKUP(Expenditure_import[[#This Row],[SchoolCode]],SCHOOLS[SchoolCode],SCHOOLS[Title])</f>
        <v>Together Learning Trust</v>
      </c>
      <c r="AA29">
        <v>675110</v>
      </c>
      <c r="AB29" t="s">
        <v>2609</v>
      </c>
      <c r="AF29" t="s">
        <v>2346</v>
      </c>
      <c r="AG29" t="s">
        <v>1124</v>
      </c>
      <c r="AH29" t="s">
        <v>2409</v>
      </c>
      <c r="AK29" t="b">
        <v>1</v>
      </c>
      <c r="AL29" t="s">
        <v>1497</v>
      </c>
      <c r="AM29" t="b">
        <v>1</v>
      </c>
    </row>
    <row r="30" spans="1:39" x14ac:dyDescent="0.3">
      <c r="A30" s="120" t="str">
        <f t="shared" si="0"/>
        <v>675100BBPApprentice Allowance - Teaching2025/26</v>
      </c>
      <c r="B30" s="85">
        <f>COUNTIF(Expenditure_import[Column1],Expenditure_import[[#This Row],[Column1]])-1</f>
        <v>0</v>
      </c>
      <c r="C30" s="80" cm="1">
        <f t="array" ref="C30">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30" s="85">
        <f>IF(COUNTIF(SCHOOLS[SchoolCode],Expenditure_import[[#This Row],[SchoolCode]])&gt;0,0,1)</f>
        <v>0</v>
      </c>
      <c r="E30" s="85">
        <f>IF(COUNTIF(LEDGER[],Expenditure_import[[#This Row],[LedgerCode]])&gt;0,0,1)</f>
        <v>0</v>
      </c>
      <c r="F30" s="85">
        <f>IF(ISBLANK(Expenditure_import[[#This Row],[MonthProfileCode]]),1,IF(COUNTIF(MONTHPRF[Code],Expenditure_import[[#This Row],[MonthProfileCode]])&gt;0,0,1))</f>
        <v>0</v>
      </c>
      <c r="G30" s="80" cm="1">
        <f t="array" ref="G30">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30" s="85">
        <f>IF(Expenditure_import[[#This Row],[FundCode]]=0,0,IF(COUNTIF(FUNDS[FundCode],Expenditure_import[[#This Row],[FundCode]])&gt;0,0,1))</f>
        <v>0</v>
      </c>
      <c r="I30" s="80" cm="1">
        <f t="array" ref="I30">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30" s="85">
        <f>IF(ISBLANK(Expenditure_import[[#This Row],[YearValue]])=Expenditure_import[[#This Row],[Calculated]],0,1)</f>
        <v>0</v>
      </c>
      <c r="K30" s="85">
        <f>IF(ISBLANK(Expenditure_import[[#This Row],[CalculatorCode]]),0,IF(COUNTIF(Calculators[CalculatorCode],Expenditure_import[[#This Row],[CalculatorCode]])&gt;0,0,1))</f>
        <v>0</v>
      </c>
      <c r="L30" s="85">
        <f>IF(TRIM(Expenditure_import[[#This Row],[Description]])="",1,0)</f>
        <v>0</v>
      </c>
      <c r="M30" s="85">
        <f>IF(ISBLANK(Expenditure_import[[#This Row],[MatEditOnly]]),1,0)</f>
        <v>0</v>
      </c>
      <c r="N30" s="85">
        <f>IF(ISBLANK(Expenditure_import[[#This Row],[FinancialYearCode]]),1,0)</f>
        <v>0</v>
      </c>
      <c r="O30" s="85">
        <f>IF(ISBLANK(Expenditure_import[[#This Row],[Calculated]]),1,0)</f>
        <v>0</v>
      </c>
      <c r="P30"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30" s="85">
        <f>IF(LEN(Expenditure_import[[#This Row],[Description]])&lt;100,0,1)</f>
        <v>0</v>
      </c>
      <c r="R30" s="85">
        <f>IF(LEN(Expenditure_import[[#This Row],[Notes]])&lt;4000,0,1)</f>
        <v>0</v>
      </c>
      <c r="S30" s="85">
        <f>IF(LEN(Expenditure_import[[#This Row],[YearNotes]])&lt;4000,0,1)</f>
        <v>0</v>
      </c>
      <c r="T30" s="85">
        <f>IF(OR(Expenditure_import[[#This Row],[MatEditOnly]]=TRUE,Expenditure_import[[#This Row],[MatEditOnly]]=FALSE),IF(OR(Expenditure_import[[#This Row],[Calculated]]=TRUE,Expenditure_import[[#This Row],[Calculated]]=FALSE),0,1),1)</f>
        <v>0</v>
      </c>
      <c r="U30" s="85">
        <f>IF(_xlfn.XLOOKUP(Expenditure_import[[#This Row],[FinancialYearCode]],Years[Years],Years[Years],1)=Expenditure_import[[#This Row],[FinancialYearCode]],0,1)</f>
        <v>0</v>
      </c>
      <c r="V30" s="85">
        <f>IF(Expenditure_import[[#This Row],[CalculatorCode]]="",0,IF(IF(_xlfn.XLOOKUP(Expenditure_import[[#This Row],[CalculatorCode]],Calculators[CalculatorCode],Calculators[LockCheck])=1,TRUE,FALSE)=Expenditure_import[[#This Row],[MatEditOnly]],0,1))</f>
        <v>0</v>
      </c>
      <c r="W30" s="85">
        <f>SUM(Expenditure_import[[#This Row],[DuplicateLine]:[MAT edit only required]])</f>
        <v>3</v>
      </c>
      <c r="X30" s="80">
        <f>COUNTIF(SRG[GrossSalaryFinanceCode],Expenditure_import[[#This Row],[FinanceCode]])+COUNTIF(SRG[EmployersNiFinanceCode],Expenditure_import[[#This Row],[FinanceCode]])+COUNTIF(SRG[PensionFinanceCode],Expenditure_import[[#This Row],[FinanceCode]])</f>
        <v>0</v>
      </c>
      <c r="Y30" s="80" t="str">
        <f>_xlfn.XLOOKUP(Expenditure_import[[#This Row],[SchoolCode]],SCHOOLS[SchoolCode],SCHOOLS[Title])</f>
        <v>Bolton Brow Primary Academy</v>
      </c>
      <c r="AA30">
        <v>675100</v>
      </c>
      <c r="AB30" t="s">
        <v>2588</v>
      </c>
      <c r="AF30" t="s">
        <v>2347</v>
      </c>
      <c r="AG30" t="s">
        <v>1124</v>
      </c>
      <c r="AH30" t="s">
        <v>2408</v>
      </c>
      <c r="AK30" t="b">
        <v>1</v>
      </c>
      <c r="AL30" t="s">
        <v>1497</v>
      </c>
      <c r="AM30" t="b">
        <v>1</v>
      </c>
    </row>
    <row r="31" spans="1:39" x14ac:dyDescent="0.3">
      <c r="A31" s="120" t="str">
        <f t="shared" si="0"/>
        <v>675100BBSApprentice Allowance - Teaching2025/26</v>
      </c>
      <c r="B31" s="85">
        <f>COUNTIF(Expenditure_import[Column1],Expenditure_import[[#This Row],[Column1]])-1</f>
        <v>0</v>
      </c>
      <c r="C31" s="80" cm="1">
        <f t="array" ref="C31">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31" s="85">
        <f>IF(COUNTIF(SCHOOLS[SchoolCode],Expenditure_import[[#This Row],[SchoolCode]])&gt;0,0,1)</f>
        <v>0</v>
      </c>
      <c r="E31" s="85">
        <f>IF(COUNTIF(LEDGER[],Expenditure_import[[#This Row],[LedgerCode]])&gt;0,0,1)</f>
        <v>0</v>
      </c>
      <c r="F31" s="85">
        <f>IF(ISBLANK(Expenditure_import[[#This Row],[MonthProfileCode]]),1,IF(COUNTIF(MONTHPRF[Code],Expenditure_import[[#This Row],[MonthProfileCode]])&gt;0,0,1))</f>
        <v>0</v>
      </c>
      <c r="G31" s="80" cm="1">
        <f t="array" ref="G31">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31" s="85">
        <f>IF(Expenditure_import[[#This Row],[FundCode]]=0,0,IF(COUNTIF(FUNDS[FundCode],Expenditure_import[[#This Row],[FundCode]])&gt;0,0,1))</f>
        <v>0</v>
      </c>
      <c r="I31" s="80" cm="1">
        <f t="array" ref="I31">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31" s="85">
        <f>IF(ISBLANK(Expenditure_import[[#This Row],[YearValue]])=Expenditure_import[[#This Row],[Calculated]],0,1)</f>
        <v>0</v>
      </c>
      <c r="K31" s="85">
        <f>IF(ISBLANK(Expenditure_import[[#This Row],[CalculatorCode]]),0,IF(COUNTIF(Calculators[CalculatorCode],Expenditure_import[[#This Row],[CalculatorCode]])&gt;0,0,1))</f>
        <v>0</v>
      </c>
      <c r="L31" s="85">
        <f>IF(TRIM(Expenditure_import[[#This Row],[Description]])="",1,0)</f>
        <v>0</v>
      </c>
      <c r="M31" s="85">
        <f>IF(ISBLANK(Expenditure_import[[#This Row],[MatEditOnly]]),1,0)</f>
        <v>0</v>
      </c>
      <c r="N31" s="85">
        <f>IF(ISBLANK(Expenditure_import[[#This Row],[FinancialYearCode]]),1,0)</f>
        <v>0</v>
      </c>
      <c r="O31" s="85">
        <f>IF(ISBLANK(Expenditure_import[[#This Row],[Calculated]]),1,0)</f>
        <v>0</v>
      </c>
      <c r="P31"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31" s="85">
        <f>IF(LEN(Expenditure_import[[#This Row],[Description]])&lt;100,0,1)</f>
        <v>0</v>
      </c>
      <c r="R31" s="85">
        <f>IF(LEN(Expenditure_import[[#This Row],[Notes]])&lt;4000,0,1)</f>
        <v>0</v>
      </c>
      <c r="S31" s="85">
        <f>IF(LEN(Expenditure_import[[#This Row],[YearNotes]])&lt;4000,0,1)</f>
        <v>0</v>
      </c>
      <c r="T31" s="85">
        <f>IF(OR(Expenditure_import[[#This Row],[MatEditOnly]]=TRUE,Expenditure_import[[#This Row],[MatEditOnly]]=FALSE),IF(OR(Expenditure_import[[#This Row],[Calculated]]=TRUE,Expenditure_import[[#This Row],[Calculated]]=FALSE),0,1),1)</f>
        <v>0</v>
      </c>
      <c r="U31" s="85">
        <f>IF(_xlfn.XLOOKUP(Expenditure_import[[#This Row],[FinancialYearCode]],Years[Years],Years[Years],1)=Expenditure_import[[#This Row],[FinancialYearCode]],0,1)</f>
        <v>0</v>
      </c>
      <c r="V31" s="85">
        <f>IF(Expenditure_import[[#This Row],[CalculatorCode]]="",0,IF(IF(_xlfn.XLOOKUP(Expenditure_import[[#This Row],[CalculatorCode]],Calculators[CalculatorCode],Calculators[LockCheck])=1,TRUE,FALSE)=Expenditure_import[[#This Row],[MatEditOnly]],0,1))</f>
        <v>0</v>
      </c>
      <c r="W31" s="85">
        <f>SUM(Expenditure_import[[#This Row],[DuplicateLine]:[MAT edit only required]])</f>
        <v>3</v>
      </c>
      <c r="X31" s="80">
        <f>COUNTIF(SRG[GrossSalaryFinanceCode],Expenditure_import[[#This Row],[FinanceCode]])+COUNTIF(SRG[EmployersNiFinanceCode],Expenditure_import[[#This Row],[FinanceCode]])+COUNTIF(SRG[PensionFinanceCode],Expenditure_import[[#This Row],[FinanceCode]])</f>
        <v>0</v>
      </c>
      <c r="Y31" s="80" t="str">
        <f>_xlfn.XLOOKUP(Expenditure_import[[#This Row],[SchoolCode]],SCHOOLS[SchoolCode],SCHOOLS[Title])</f>
        <v>The Brooksbank School</v>
      </c>
      <c r="AA31">
        <v>675100</v>
      </c>
      <c r="AB31" t="s">
        <v>2591</v>
      </c>
      <c r="AF31" t="s">
        <v>2347</v>
      </c>
      <c r="AG31" t="s">
        <v>1124</v>
      </c>
      <c r="AH31" t="s">
        <v>2408</v>
      </c>
      <c r="AK31" t="b">
        <v>1</v>
      </c>
      <c r="AL31" t="s">
        <v>1497</v>
      </c>
      <c r="AM31" t="b">
        <v>1</v>
      </c>
    </row>
    <row r="32" spans="1:39" x14ac:dyDescent="0.3">
      <c r="A32" s="120" t="str">
        <f t="shared" si="0"/>
        <v>675100CHSApprentice Allowance - Teaching2025/26</v>
      </c>
      <c r="B32" s="85">
        <f>COUNTIF(Expenditure_import[Column1],Expenditure_import[[#This Row],[Column1]])-1</f>
        <v>0</v>
      </c>
      <c r="C32" s="80" cm="1">
        <f t="array" ref="C32">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32" s="85">
        <f>IF(COUNTIF(SCHOOLS[SchoolCode],Expenditure_import[[#This Row],[SchoolCode]])&gt;0,0,1)</f>
        <v>0</v>
      </c>
      <c r="E32" s="85">
        <f>IF(COUNTIF(LEDGER[],Expenditure_import[[#This Row],[LedgerCode]])&gt;0,0,1)</f>
        <v>0</v>
      </c>
      <c r="F32" s="85">
        <f>IF(ISBLANK(Expenditure_import[[#This Row],[MonthProfileCode]]),1,IF(COUNTIF(MONTHPRF[Code],Expenditure_import[[#This Row],[MonthProfileCode]])&gt;0,0,1))</f>
        <v>0</v>
      </c>
      <c r="G32" s="80" cm="1">
        <f t="array" ref="G32">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32" s="85">
        <f>IF(Expenditure_import[[#This Row],[FundCode]]=0,0,IF(COUNTIF(FUNDS[FundCode],Expenditure_import[[#This Row],[FundCode]])&gt;0,0,1))</f>
        <v>0</v>
      </c>
      <c r="I32" s="80" cm="1">
        <f t="array" ref="I32">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32" s="85">
        <f>IF(ISBLANK(Expenditure_import[[#This Row],[YearValue]])=Expenditure_import[[#This Row],[Calculated]],0,1)</f>
        <v>0</v>
      </c>
      <c r="K32" s="85">
        <f>IF(ISBLANK(Expenditure_import[[#This Row],[CalculatorCode]]),0,IF(COUNTIF(Calculators[CalculatorCode],Expenditure_import[[#This Row],[CalculatorCode]])&gt;0,0,1))</f>
        <v>0</v>
      </c>
      <c r="L32" s="85">
        <f>IF(TRIM(Expenditure_import[[#This Row],[Description]])="",1,0)</f>
        <v>0</v>
      </c>
      <c r="M32" s="85">
        <f>IF(ISBLANK(Expenditure_import[[#This Row],[MatEditOnly]]),1,0)</f>
        <v>0</v>
      </c>
      <c r="N32" s="85">
        <f>IF(ISBLANK(Expenditure_import[[#This Row],[FinancialYearCode]]),1,0)</f>
        <v>0</v>
      </c>
      <c r="O32" s="85">
        <f>IF(ISBLANK(Expenditure_import[[#This Row],[Calculated]]),1,0)</f>
        <v>0</v>
      </c>
      <c r="P32"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32" s="85">
        <f>IF(LEN(Expenditure_import[[#This Row],[Description]])&lt;100,0,1)</f>
        <v>0</v>
      </c>
      <c r="R32" s="85">
        <f>IF(LEN(Expenditure_import[[#This Row],[Notes]])&lt;4000,0,1)</f>
        <v>0</v>
      </c>
      <c r="S32" s="85">
        <f>IF(LEN(Expenditure_import[[#This Row],[YearNotes]])&lt;4000,0,1)</f>
        <v>0</v>
      </c>
      <c r="T32" s="85">
        <f>IF(OR(Expenditure_import[[#This Row],[MatEditOnly]]=TRUE,Expenditure_import[[#This Row],[MatEditOnly]]=FALSE),IF(OR(Expenditure_import[[#This Row],[Calculated]]=TRUE,Expenditure_import[[#This Row],[Calculated]]=FALSE),0,1),1)</f>
        <v>0</v>
      </c>
      <c r="U32" s="85">
        <f>IF(_xlfn.XLOOKUP(Expenditure_import[[#This Row],[FinancialYearCode]],Years[Years],Years[Years],1)=Expenditure_import[[#This Row],[FinancialYearCode]],0,1)</f>
        <v>0</v>
      </c>
      <c r="V32" s="85">
        <f>IF(Expenditure_import[[#This Row],[CalculatorCode]]="",0,IF(IF(_xlfn.XLOOKUP(Expenditure_import[[#This Row],[CalculatorCode]],Calculators[CalculatorCode],Calculators[LockCheck])=1,TRUE,FALSE)=Expenditure_import[[#This Row],[MatEditOnly]],0,1))</f>
        <v>0</v>
      </c>
      <c r="W32" s="85">
        <f>SUM(Expenditure_import[[#This Row],[DuplicateLine]:[MAT edit only required]])</f>
        <v>3</v>
      </c>
      <c r="X32" s="80">
        <f>COUNTIF(SRG[GrossSalaryFinanceCode],Expenditure_import[[#This Row],[FinanceCode]])+COUNTIF(SRG[EmployersNiFinanceCode],Expenditure_import[[#This Row],[FinanceCode]])+COUNTIF(SRG[PensionFinanceCode],Expenditure_import[[#This Row],[FinanceCode]])</f>
        <v>0</v>
      </c>
      <c r="Y32" s="80" t="str">
        <f>_xlfn.XLOOKUP(Expenditure_import[[#This Row],[SchoolCode]],SCHOOLS[SchoolCode],SCHOOLS[Title])</f>
        <v>Castle Hill School</v>
      </c>
      <c r="AA32">
        <v>675100</v>
      </c>
      <c r="AB32" t="s">
        <v>2594</v>
      </c>
      <c r="AF32" t="s">
        <v>2347</v>
      </c>
      <c r="AG32" t="s">
        <v>1124</v>
      </c>
      <c r="AH32" t="s">
        <v>2408</v>
      </c>
      <c r="AK32" t="b">
        <v>1</v>
      </c>
      <c r="AL32" t="s">
        <v>1497</v>
      </c>
      <c r="AM32" t="b">
        <v>1</v>
      </c>
    </row>
    <row r="33" spans="1:40" x14ac:dyDescent="0.3">
      <c r="A33" s="120" t="str">
        <f t="shared" si="0"/>
        <v>675100HHSApprentice Allowance - Teaching2025/26</v>
      </c>
      <c r="B33" s="85">
        <f>COUNTIF(Expenditure_import[Column1],Expenditure_import[[#This Row],[Column1]])-1</f>
        <v>0</v>
      </c>
      <c r="C33" s="80" cm="1">
        <f t="array" ref="C33">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33" s="85">
        <f>IF(COUNTIF(SCHOOLS[SchoolCode],Expenditure_import[[#This Row],[SchoolCode]])&gt;0,0,1)</f>
        <v>0</v>
      </c>
      <c r="E33" s="85">
        <f>IF(COUNTIF(LEDGER[],Expenditure_import[[#This Row],[LedgerCode]])&gt;0,0,1)</f>
        <v>0</v>
      </c>
      <c r="F33" s="85">
        <f>IF(ISBLANK(Expenditure_import[[#This Row],[MonthProfileCode]]),1,IF(COUNTIF(MONTHPRF[Code],Expenditure_import[[#This Row],[MonthProfileCode]])&gt;0,0,1))</f>
        <v>0</v>
      </c>
      <c r="G33" s="80" cm="1">
        <f t="array" ref="G33">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33" s="85">
        <f>IF(Expenditure_import[[#This Row],[FundCode]]=0,0,IF(COUNTIF(FUNDS[FundCode],Expenditure_import[[#This Row],[FundCode]])&gt;0,0,1))</f>
        <v>0</v>
      </c>
      <c r="I33" s="80" cm="1">
        <f t="array" ref="I33">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33" s="85">
        <f>IF(ISBLANK(Expenditure_import[[#This Row],[YearValue]])=Expenditure_import[[#This Row],[Calculated]],0,1)</f>
        <v>0</v>
      </c>
      <c r="K33" s="85">
        <f>IF(ISBLANK(Expenditure_import[[#This Row],[CalculatorCode]]),0,IF(COUNTIF(Calculators[CalculatorCode],Expenditure_import[[#This Row],[CalculatorCode]])&gt;0,0,1))</f>
        <v>0</v>
      </c>
      <c r="L33" s="85">
        <f>IF(TRIM(Expenditure_import[[#This Row],[Description]])="",1,0)</f>
        <v>0</v>
      </c>
      <c r="M33" s="85">
        <f>IF(ISBLANK(Expenditure_import[[#This Row],[MatEditOnly]]),1,0)</f>
        <v>0</v>
      </c>
      <c r="N33" s="85">
        <f>IF(ISBLANK(Expenditure_import[[#This Row],[FinancialYearCode]]),1,0)</f>
        <v>0</v>
      </c>
      <c r="O33" s="85">
        <f>IF(ISBLANK(Expenditure_import[[#This Row],[Calculated]]),1,0)</f>
        <v>0</v>
      </c>
      <c r="P33"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33" s="85">
        <f>IF(LEN(Expenditure_import[[#This Row],[Description]])&lt;100,0,1)</f>
        <v>0</v>
      </c>
      <c r="R33" s="85">
        <f>IF(LEN(Expenditure_import[[#This Row],[Notes]])&lt;4000,0,1)</f>
        <v>0</v>
      </c>
      <c r="S33" s="85">
        <f>IF(LEN(Expenditure_import[[#This Row],[YearNotes]])&lt;4000,0,1)</f>
        <v>0</v>
      </c>
      <c r="T33" s="85">
        <f>IF(OR(Expenditure_import[[#This Row],[MatEditOnly]]=TRUE,Expenditure_import[[#This Row],[MatEditOnly]]=FALSE),IF(OR(Expenditure_import[[#This Row],[Calculated]]=TRUE,Expenditure_import[[#This Row],[Calculated]]=FALSE),0,1),1)</f>
        <v>0</v>
      </c>
      <c r="U33" s="85">
        <f>IF(_xlfn.XLOOKUP(Expenditure_import[[#This Row],[FinancialYearCode]],Years[Years],Years[Years],1)=Expenditure_import[[#This Row],[FinancialYearCode]],0,1)</f>
        <v>0</v>
      </c>
      <c r="V33" s="85">
        <f>IF(Expenditure_import[[#This Row],[CalculatorCode]]="",0,IF(IF(_xlfn.XLOOKUP(Expenditure_import[[#This Row],[CalculatorCode]],Calculators[CalculatorCode],Calculators[LockCheck])=1,TRUE,FALSE)=Expenditure_import[[#This Row],[MatEditOnly]],0,1))</f>
        <v>0</v>
      </c>
      <c r="W33" s="85">
        <f>SUM(Expenditure_import[[#This Row],[DuplicateLine]:[MAT edit only required]])</f>
        <v>3</v>
      </c>
      <c r="X33" s="80">
        <f>COUNTIF(SRG[GrossSalaryFinanceCode],Expenditure_import[[#This Row],[FinanceCode]])+COUNTIF(SRG[EmployersNiFinanceCode],Expenditure_import[[#This Row],[FinanceCode]])+COUNTIF(SRG[PensionFinanceCode],Expenditure_import[[#This Row],[FinanceCode]])</f>
        <v>0</v>
      </c>
      <c r="Y33" s="80" t="str">
        <f>_xlfn.XLOOKUP(Expenditure_import[[#This Row],[SchoolCode]],SCHOOLS[SchoolCode],SCHOOLS[Title])</f>
        <v>Honley High School</v>
      </c>
      <c r="AA33">
        <v>675100</v>
      </c>
      <c r="AB33" t="s">
        <v>2597</v>
      </c>
      <c r="AF33" t="s">
        <v>2347</v>
      </c>
      <c r="AG33" t="s">
        <v>1124</v>
      </c>
      <c r="AH33" t="s">
        <v>2408</v>
      </c>
      <c r="AK33" t="b">
        <v>1</v>
      </c>
      <c r="AL33" t="s">
        <v>1497</v>
      </c>
      <c r="AM33" t="b">
        <v>1</v>
      </c>
    </row>
    <row r="34" spans="1:40" x14ac:dyDescent="0.3">
      <c r="A34" s="120" t="str">
        <f t="shared" ref="A34:A65" si="1">AA34&amp;AB34&amp;TRIM(AH34)&amp;AL34&amp;AD34</f>
        <v>675100LCPApprentice Allowance - Teaching2025/26</v>
      </c>
      <c r="B34" s="85">
        <f>COUNTIF(Expenditure_import[Column1],Expenditure_import[[#This Row],[Column1]])-1</f>
        <v>0</v>
      </c>
      <c r="C34" s="80" cm="1">
        <f t="array" ref="C34">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34" s="85">
        <f>IF(COUNTIF(SCHOOLS[SchoolCode],Expenditure_import[[#This Row],[SchoolCode]])&gt;0,0,1)</f>
        <v>0</v>
      </c>
      <c r="E34" s="85">
        <f>IF(COUNTIF(LEDGER[],Expenditure_import[[#This Row],[LedgerCode]])&gt;0,0,1)</f>
        <v>0</v>
      </c>
      <c r="F34" s="85">
        <f>IF(ISBLANK(Expenditure_import[[#This Row],[MonthProfileCode]]),1,IF(COUNTIF(MONTHPRF[Code],Expenditure_import[[#This Row],[MonthProfileCode]])&gt;0,0,1))</f>
        <v>0</v>
      </c>
      <c r="G34" s="80" cm="1">
        <f t="array" ref="G34">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34" s="85">
        <f>IF(Expenditure_import[[#This Row],[FundCode]]=0,0,IF(COUNTIF(FUNDS[FundCode],Expenditure_import[[#This Row],[FundCode]])&gt;0,0,1))</f>
        <v>0</v>
      </c>
      <c r="I34" s="80" cm="1">
        <f t="array" ref="I34">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34" s="85">
        <f>IF(ISBLANK(Expenditure_import[[#This Row],[YearValue]])=Expenditure_import[[#This Row],[Calculated]],0,1)</f>
        <v>0</v>
      </c>
      <c r="K34" s="85">
        <f>IF(ISBLANK(Expenditure_import[[#This Row],[CalculatorCode]]),0,IF(COUNTIF(Calculators[CalculatorCode],Expenditure_import[[#This Row],[CalculatorCode]])&gt;0,0,1))</f>
        <v>0</v>
      </c>
      <c r="L34" s="85">
        <f>IF(TRIM(Expenditure_import[[#This Row],[Description]])="",1,0)</f>
        <v>0</v>
      </c>
      <c r="M34" s="85">
        <f>IF(ISBLANK(Expenditure_import[[#This Row],[MatEditOnly]]),1,0)</f>
        <v>0</v>
      </c>
      <c r="N34" s="85">
        <f>IF(ISBLANK(Expenditure_import[[#This Row],[FinancialYearCode]]),1,0)</f>
        <v>0</v>
      </c>
      <c r="O34" s="85">
        <f>IF(ISBLANK(Expenditure_import[[#This Row],[Calculated]]),1,0)</f>
        <v>0</v>
      </c>
      <c r="P34"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34" s="85">
        <f>IF(LEN(Expenditure_import[[#This Row],[Description]])&lt;100,0,1)</f>
        <v>0</v>
      </c>
      <c r="R34" s="85">
        <f>IF(LEN(Expenditure_import[[#This Row],[Notes]])&lt;4000,0,1)</f>
        <v>0</v>
      </c>
      <c r="S34" s="85">
        <f>IF(LEN(Expenditure_import[[#This Row],[YearNotes]])&lt;4000,0,1)</f>
        <v>0</v>
      </c>
      <c r="T34" s="85">
        <f>IF(OR(Expenditure_import[[#This Row],[MatEditOnly]]=TRUE,Expenditure_import[[#This Row],[MatEditOnly]]=FALSE),IF(OR(Expenditure_import[[#This Row],[Calculated]]=TRUE,Expenditure_import[[#This Row],[Calculated]]=FALSE),0,1),1)</f>
        <v>0</v>
      </c>
      <c r="U34" s="85">
        <f>IF(_xlfn.XLOOKUP(Expenditure_import[[#This Row],[FinancialYearCode]],Years[Years],Years[Years],1)=Expenditure_import[[#This Row],[FinancialYearCode]],0,1)</f>
        <v>0</v>
      </c>
      <c r="V34" s="85">
        <f>IF(Expenditure_import[[#This Row],[CalculatorCode]]="",0,IF(IF(_xlfn.XLOOKUP(Expenditure_import[[#This Row],[CalculatorCode]],Calculators[CalculatorCode],Calculators[LockCheck])=1,TRUE,FALSE)=Expenditure_import[[#This Row],[MatEditOnly]],0,1))</f>
        <v>0</v>
      </c>
      <c r="W34" s="85">
        <f>SUM(Expenditure_import[[#This Row],[DuplicateLine]:[MAT edit only required]])</f>
        <v>3</v>
      </c>
      <c r="X34" s="80">
        <f>COUNTIF(SRG[GrossSalaryFinanceCode],Expenditure_import[[#This Row],[FinanceCode]])+COUNTIF(SRG[EmployersNiFinanceCode],Expenditure_import[[#This Row],[FinanceCode]])+COUNTIF(SRG[PensionFinanceCode],Expenditure_import[[#This Row],[FinanceCode]])</f>
        <v>0</v>
      </c>
      <c r="Y34" s="80" t="str">
        <f>_xlfn.XLOOKUP(Expenditure_import[[#This Row],[SchoolCode]],SCHOOLS[SchoolCode],SCHOOLS[Title])</f>
        <v>Linthwaite Clough Primary School</v>
      </c>
      <c r="AA34">
        <v>675100</v>
      </c>
      <c r="AB34" t="s">
        <v>2599</v>
      </c>
      <c r="AF34" t="s">
        <v>2347</v>
      </c>
      <c r="AG34" t="s">
        <v>1124</v>
      </c>
      <c r="AH34" t="s">
        <v>2408</v>
      </c>
      <c r="AK34" t="b">
        <v>1</v>
      </c>
      <c r="AL34" t="s">
        <v>1497</v>
      </c>
      <c r="AM34" t="b">
        <v>1</v>
      </c>
    </row>
    <row r="35" spans="1:40" x14ac:dyDescent="0.3">
      <c r="A35" s="120" t="str">
        <f t="shared" si="1"/>
        <v>675100MMPApprentice Allowance - Teaching2025/26</v>
      </c>
      <c r="B35" s="85">
        <f>COUNTIF(Expenditure_import[Column1],Expenditure_import[[#This Row],[Column1]])-1</f>
        <v>0</v>
      </c>
      <c r="C35" s="80" cm="1">
        <f t="array" ref="C35">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35" s="85">
        <f>IF(COUNTIF(SCHOOLS[SchoolCode],Expenditure_import[[#This Row],[SchoolCode]])&gt;0,0,1)</f>
        <v>0</v>
      </c>
      <c r="E35" s="85">
        <f>IF(COUNTIF(LEDGER[],Expenditure_import[[#This Row],[LedgerCode]])&gt;0,0,1)</f>
        <v>0</v>
      </c>
      <c r="F35" s="85">
        <f>IF(ISBLANK(Expenditure_import[[#This Row],[MonthProfileCode]]),1,IF(COUNTIF(MONTHPRF[Code],Expenditure_import[[#This Row],[MonthProfileCode]])&gt;0,0,1))</f>
        <v>0</v>
      </c>
      <c r="G35" s="80" cm="1">
        <f t="array" ref="G35">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35" s="85">
        <f>IF(Expenditure_import[[#This Row],[FundCode]]=0,0,IF(COUNTIF(FUNDS[FundCode],Expenditure_import[[#This Row],[FundCode]])&gt;0,0,1))</f>
        <v>0</v>
      </c>
      <c r="I35" s="80" cm="1">
        <f t="array" ref="I35">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35" s="85">
        <f>IF(ISBLANK(Expenditure_import[[#This Row],[YearValue]])=Expenditure_import[[#This Row],[Calculated]],0,1)</f>
        <v>0</v>
      </c>
      <c r="K35" s="85">
        <f>IF(ISBLANK(Expenditure_import[[#This Row],[CalculatorCode]]),0,IF(COUNTIF(Calculators[CalculatorCode],Expenditure_import[[#This Row],[CalculatorCode]])&gt;0,0,1))</f>
        <v>0</v>
      </c>
      <c r="L35" s="85">
        <f>IF(TRIM(Expenditure_import[[#This Row],[Description]])="",1,0)</f>
        <v>0</v>
      </c>
      <c r="M35" s="85">
        <f>IF(ISBLANK(Expenditure_import[[#This Row],[MatEditOnly]]),1,0)</f>
        <v>0</v>
      </c>
      <c r="N35" s="85">
        <f>IF(ISBLANK(Expenditure_import[[#This Row],[FinancialYearCode]]),1,0)</f>
        <v>0</v>
      </c>
      <c r="O35" s="85">
        <f>IF(ISBLANK(Expenditure_import[[#This Row],[Calculated]]),1,0)</f>
        <v>0</v>
      </c>
      <c r="P35"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35" s="85">
        <f>IF(LEN(Expenditure_import[[#This Row],[Description]])&lt;100,0,1)</f>
        <v>0</v>
      </c>
      <c r="R35" s="85">
        <f>IF(LEN(Expenditure_import[[#This Row],[Notes]])&lt;4000,0,1)</f>
        <v>0</v>
      </c>
      <c r="S35" s="85">
        <f>IF(LEN(Expenditure_import[[#This Row],[YearNotes]])&lt;4000,0,1)</f>
        <v>0</v>
      </c>
      <c r="T35" s="85">
        <f>IF(OR(Expenditure_import[[#This Row],[MatEditOnly]]=TRUE,Expenditure_import[[#This Row],[MatEditOnly]]=FALSE),IF(OR(Expenditure_import[[#This Row],[Calculated]]=TRUE,Expenditure_import[[#This Row],[Calculated]]=FALSE),0,1),1)</f>
        <v>0</v>
      </c>
      <c r="U35" s="85">
        <f>IF(_xlfn.XLOOKUP(Expenditure_import[[#This Row],[FinancialYearCode]],Years[Years],Years[Years],1)=Expenditure_import[[#This Row],[FinancialYearCode]],0,1)</f>
        <v>0</v>
      </c>
      <c r="V35" s="85">
        <f>IF(Expenditure_import[[#This Row],[CalculatorCode]]="",0,IF(IF(_xlfn.XLOOKUP(Expenditure_import[[#This Row],[CalculatorCode]],Calculators[CalculatorCode],Calculators[LockCheck])=1,TRUE,FALSE)=Expenditure_import[[#This Row],[MatEditOnly]],0,1))</f>
        <v>0</v>
      </c>
      <c r="W35" s="85">
        <f>SUM(Expenditure_import[[#This Row],[DuplicateLine]:[MAT edit only required]])</f>
        <v>3</v>
      </c>
      <c r="X35" s="80">
        <f>COUNTIF(SRG[GrossSalaryFinanceCode],Expenditure_import[[#This Row],[FinanceCode]])+COUNTIF(SRG[EmployersNiFinanceCode],Expenditure_import[[#This Row],[FinanceCode]])+COUNTIF(SRG[PensionFinanceCode],Expenditure_import[[#This Row],[FinanceCode]])</f>
        <v>0</v>
      </c>
      <c r="Y35" s="80" t="str">
        <f>_xlfn.XLOOKUP(Expenditure_import[[#This Row],[SchoolCode]],SCHOOLS[SchoolCode],SCHOOLS[Title])</f>
        <v>Meltham Moor Primary School</v>
      </c>
      <c r="AA35">
        <v>675100</v>
      </c>
      <c r="AB35" t="s">
        <v>2601</v>
      </c>
      <c r="AF35" t="s">
        <v>2347</v>
      </c>
      <c r="AG35" t="s">
        <v>1124</v>
      </c>
      <c r="AH35" t="s">
        <v>2408</v>
      </c>
      <c r="AK35" t="b">
        <v>1</v>
      </c>
      <c r="AL35" t="s">
        <v>1497</v>
      </c>
      <c r="AM35" t="b">
        <v>1</v>
      </c>
    </row>
    <row r="36" spans="1:40" x14ac:dyDescent="0.3">
      <c r="A36" s="120" t="str">
        <f t="shared" si="1"/>
        <v>675100NINApprentice Allowance - Teaching2025/26</v>
      </c>
      <c r="B36" s="85">
        <f>COUNTIF(Expenditure_import[Column1],Expenditure_import[[#This Row],[Column1]])-1</f>
        <v>0</v>
      </c>
      <c r="C36" s="80" cm="1">
        <f t="array" ref="C36">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36" s="85">
        <f>IF(COUNTIF(SCHOOLS[SchoolCode],Expenditure_import[[#This Row],[SchoolCode]])&gt;0,0,1)</f>
        <v>0</v>
      </c>
      <c r="E36" s="85">
        <f>IF(COUNTIF(LEDGER[],Expenditure_import[[#This Row],[LedgerCode]])&gt;0,0,1)</f>
        <v>0</v>
      </c>
      <c r="F36" s="85">
        <f>IF(ISBLANK(Expenditure_import[[#This Row],[MonthProfileCode]]),1,IF(COUNTIF(MONTHPRF[Code],Expenditure_import[[#This Row],[MonthProfileCode]])&gt;0,0,1))</f>
        <v>0</v>
      </c>
      <c r="G36" s="80" cm="1">
        <f t="array" ref="G36">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36" s="85">
        <f>IF(Expenditure_import[[#This Row],[FundCode]]=0,0,IF(COUNTIF(FUNDS[FundCode],Expenditure_import[[#This Row],[FundCode]])&gt;0,0,1))</f>
        <v>0</v>
      </c>
      <c r="I36" s="80" cm="1">
        <f t="array" ref="I36">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36" s="85">
        <f>IF(ISBLANK(Expenditure_import[[#This Row],[YearValue]])=Expenditure_import[[#This Row],[Calculated]],0,1)</f>
        <v>0</v>
      </c>
      <c r="K36" s="85">
        <f>IF(ISBLANK(Expenditure_import[[#This Row],[CalculatorCode]]),0,IF(COUNTIF(Calculators[CalculatorCode],Expenditure_import[[#This Row],[CalculatorCode]])&gt;0,0,1))</f>
        <v>0</v>
      </c>
      <c r="L36" s="85">
        <f>IF(TRIM(Expenditure_import[[#This Row],[Description]])="",1,0)</f>
        <v>0</v>
      </c>
      <c r="M36" s="85">
        <f>IF(ISBLANK(Expenditure_import[[#This Row],[MatEditOnly]]),1,0)</f>
        <v>0</v>
      </c>
      <c r="N36" s="85">
        <f>IF(ISBLANK(Expenditure_import[[#This Row],[FinancialYearCode]]),1,0)</f>
        <v>0</v>
      </c>
      <c r="O36" s="85">
        <f>IF(ISBLANK(Expenditure_import[[#This Row],[Calculated]]),1,0)</f>
        <v>0</v>
      </c>
      <c r="P36"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36" s="85">
        <f>IF(LEN(Expenditure_import[[#This Row],[Description]])&lt;100,0,1)</f>
        <v>0</v>
      </c>
      <c r="R36" s="85">
        <f>IF(LEN(Expenditure_import[[#This Row],[Notes]])&lt;4000,0,1)</f>
        <v>0</v>
      </c>
      <c r="S36" s="85">
        <f>IF(LEN(Expenditure_import[[#This Row],[YearNotes]])&lt;4000,0,1)</f>
        <v>0</v>
      </c>
      <c r="T36" s="85">
        <f>IF(OR(Expenditure_import[[#This Row],[MatEditOnly]]=TRUE,Expenditure_import[[#This Row],[MatEditOnly]]=FALSE),IF(OR(Expenditure_import[[#This Row],[Calculated]]=TRUE,Expenditure_import[[#This Row],[Calculated]]=FALSE),0,1),1)</f>
        <v>0</v>
      </c>
      <c r="U36" s="85">
        <f>IF(_xlfn.XLOOKUP(Expenditure_import[[#This Row],[FinancialYearCode]],Years[Years],Years[Years],1)=Expenditure_import[[#This Row],[FinancialYearCode]],0,1)</f>
        <v>0</v>
      </c>
      <c r="V36" s="85">
        <f>IF(Expenditure_import[[#This Row],[CalculatorCode]]="",0,IF(IF(_xlfn.XLOOKUP(Expenditure_import[[#This Row],[CalculatorCode]],Calculators[CalculatorCode],Calculators[LockCheck])=1,TRUE,FALSE)=Expenditure_import[[#This Row],[MatEditOnly]],0,1))</f>
        <v>0</v>
      </c>
      <c r="W36" s="85">
        <f>SUM(Expenditure_import[[#This Row],[DuplicateLine]:[MAT edit only required]])</f>
        <v>3</v>
      </c>
      <c r="X36" s="80">
        <f>COUNTIF(SRG[GrossSalaryFinanceCode],Expenditure_import[[#This Row],[FinanceCode]])+COUNTIF(SRG[EmployersNiFinanceCode],Expenditure_import[[#This Row],[FinanceCode]])+COUNTIF(SRG[PensionFinanceCode],Expenditure_import[[#This Row],[FinanceCode]])</f>
        <v>0</v>
      </c>
      <c r="Y36" s="80" t="str">
        <f>_xlfn.XLOOKUP(Expenditure_import[[#This Row],[SchoolCode]],SCHOOLS[SchoolCode],SCHOOLS[Title])</f>
        <v>Netherton Infant and Nursery School</v>
      </c>
      <c r="AA36">
        <v>675100</v>
      </c>
      <c r="AB36" t="s">
        <v>2603</v>
      </c>
      <c r="AF36" t="s">
        <v>2347</v>
      </c>
      <c r="AG36" t="s">
        <v>1124</v>
      </c>
      <c r="AH36" t="s">
        <v>2408</v>
      </c>
      <c r="AK36" t="b">
        <v>1</v>
      </c>
      <c r="AL36" t="s">
        <v>1497</v>
      </c>
      <c r="AM36" t="b">
        <v>1</v>
      </c>
    </row>
    <row r="37" spans="1:40" x14ac:dyDescent="0.3">
      <c r="A37" s="120" t="str">
        <f t="shared" si="1"/>
        <v>675100RVSApprentice Allowance - Teaching2025/26</v>
      </c>
      <c r="B37" s="85">
        <f>COUNTIF(Expenditure_import[Column1],Expenditure_import[[#This Row],[Column1]])-1</f>
        <v>0</v>
      </c>
      <c r="C37" s="80" cm="1">
        <f t="array" ref="C37">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37" s="85">
        <f>IF(COUNTIF(SCHOOLS[SchoolCode],Expenditure_import[[#This Row],[SchoolCode]])&gt;0,0,1)</f>
        <v>0</v>
      </c>
      <c r="E37" s="85">
        <f>IF(COUNTIF(LEDGER[],Expenditure_import[[#This Row],[LedgerCode]])&gt;0,0,1)</f>
        <v>0</v>
      </c>
      <c r="F37" s="85">
        <f>IF(ISBLANK(Expenditure_import[[#This Row],[MonthProfileCode]]),1,IF(COUNTIF(MONTHPRF[Code],Expenditure_import[[#This Row],[MonthProfileCode]])&gt;0,0,1))</f>
        <v>0</v>
      </c>
      <c r="G37" s="80" cm="1">
        <f t="array" ref="G37">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37" s="85">
        <f>IF(Expenditure_import[[#This Row],[FundCode]]=0,0,IF(COUNTIF(FUNDS[FundCode],Expenditure_import[[#This Row],[FundCode]])&gt;0,0,1))</f>
        <v>0</v>
      </c>
      <c r="I37" s="80" cm="1">
        <f t="array" ref="I37">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37" s="85">
        <f>IF(ISBLANK(Expenditure_import[[#This Row],[YearValue]])=Expenditure_import[[#This Row],[Calculated]],0,1)</f>
        <v>0</v>
      </c>
      <c r="K37" s="85">
        <f>IF(ISBLANK(Expenditure_import[[#This Row],[CalculatorCode]]),0,IF(COUNTIF(Calculators[CalculatorCode],Expenditure_import[[#This Row],[CalculatorCode]])&gt;0,0,1))</f>
        <v>0</v>
      </c>
      <c r="L37" s="85">
        <f>IF(TRIM(Expenditure_import[[#This Row],[Description]])="",1,0)</f>
        <v>0</v>
      </c>
      <c r="M37" s="85">
        <f>IF(ISBLANK(Expenditure_import[[#This Row],[MatEditOnly]]),1,0)</f>
        <v>0</v>
      </c>
      <c r="N37" s="85">
        <f>IF(ISBLANK(Expenditure_import[[#This Row],[FinancialYearCode]]),1,0)</f>
        <v>0</v>
      </c>
      <c r="O37" s="85">
        <f>IF(ISBLANK(Expenditure_import[[#This Row],[Calculated]]),1,0)</f>
        <v>0</v>
      </c>
      <c r="P37"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37" s="85">
        <f>IF(LEN(Expenditure_import[[#This Row],[Description]])&lt;100,0,1)</f>
        <v>0</v>
      </c>
      <c r="R37" s="85">
        <f>IF(LEN(Expenditure_import[[#This Row],[Notes]])&lt;4000,0,1)</f>
        <v>0</v>
      </c>
      <c r="S37" s="85">
        <f>IF(LEN(Expenditure_import[[#This Row],[YearNotes]])&lt;4000,0,1)</f>
        <v>0</v>
      </c>
      <c r="T37" s="85">
        <f>IF(OR(Expenditure_import[[#This Row],[MatEditOnly]]=TRUE,Expenditure_import[[#This Row],[MatEditOnly]]=FALSE),IF(OR(Expenditure_import[[#This Row],[Calculated]]=TRUE,Expenditure_import[[#This Row],[Calculated]]=FALSE),0,1),1)</f>
        <v>0</v>
      </c>
      <c r="U37" s="85">
        <f>IF(_xlfn.XLOOKUP(Expenditure_import[[#This Row],[FinancialYearCode]],Years[Years],Years[Years],1)=Expenditure_import[[#This Row],[FinancialYearCode]],0,1)</f>
        <v>0</v>
      </c>
      <c r="V37" s="85">
        <f>IF(Expenditure_import[[#This Row],[CalculatorCode]]="",0,IF(IF(_xlfn.XLOOKUP(Expenditure_import[[#This Row],[CalculatorCode]],Calculators[CalculatorCode],Calculators[LockCheck])=1,TRUE,FALSE)=Expenditure_import[[#This Row],[MatEditOnly]],0,1))</f>
        <v>0</v>
      </c>
      <c r="W37" s="85">
        <f>SUM(Expenditure_import[[#This Row],[DuplicateLine]:[MAT edit only required]])</f>
        <v>3</v>
      </c>
      <c r="X37" s="80">
        <f>COUNTIF(SRG[GrossSalaryFinanceCode],Expenditure_import[[#This Row],[FinanceCode]])+COUNTIF(SRG[EmployersNiFinanceCode],Expenditure_import[[#This Row],[FinanceCode]])+COUNTIF(SRG[PensionFinanceCode],Expenditure_import[[#This Row],[FinanceCode]])</f>
        <v>0</v>
      </c>
      <c r="Y37" s="80" t="str">
        <f>_xlfn.XLOOKUP(Expenditure_import[[#This Row],[SchoolCode]],SCHOOLS[SchoolCode],SCHOOLS[Title])</f>
        <v>Ryburn Valley High School</v>
      </c>
      <c r="AA37">
        <v>675100</v>
      </c>
      <c r="AB37" t="s">
        <v>2605</v>
      </c>
      <c r="AF37" t="s">
        <v>2347</v>
      </c>
      <c r="AG37" t="s">
        <v>1124</v>
      </c>
      <c r="AH37" t="s">
        <v>2408</v>
      </c>
      <c r="AK37" t="b">
        <v>1</v>
      </c>
      <c r="AL37" t="s">
        <v>1497</v>
      </c>
      <c r="AM37" t="b">
        <v>1</v>
      </c>
    </row>
    <row r="38" spans="1:40" x14ac:dyDescent="0.3">
      <c r="A38" s="120" t="str">
        <f t="shared" si="1"/>
        <v>675100SRAApprentice Allowance - Teaching2025/26</v>
      </c>
      <c r="B38" s="85">
        <f>COUNTIF(Expenditure_import[Column1],Expenditure_import[[#This Row],[Column1]])-1</f>
        <v>0</v>
      </c>
      <c r="C38" s="80" cm="1">
        <f t="array" ref="C38">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38" s="85">
        <f>IF(COUNTIF(SCHOOLS[SchoolCode],Expenditure_import[[#This Row],[SchoolCode]])&gt;0,0,1)</f>
        <v>0</v>
      </c>
      <c r="E38" s="85">
        <f>IF(COUNTIF(LEDGER[],Expenditure_import[[#This Row],[LedgerCode]])&gt;0,0,1)</f>
        <v>0</v>
      </c>
      <c r="F38" s="85">
        <f>IF(ISBLANK(Expenditure_import[[#This Row],[MonthProfileCode]]),1,IF(COUNTIF(MONTHPRF[Code],Expenditure_import[[#This Row],[MonthProfileCode]])&gt;0,0,1))</f>
        <v>0</v>
      </c>
      <c r="G38" s="80" cm="1">
        <f t="array" ref="G38">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38" s="85">
        <f>IF(Expenditure_import[[#This Row],[FundCode]]=0,0,IF(COUNTIF(FUNDS[FundCode],Expenditure_import[[#This Row],[FundCode]])&gt;0,0,1))</f>
        <v>0</v>
      </c>
      <c r="I38" s="80" cm="1">
        <f t="array" ref="I38">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38" s="85">
        <f>IF(ISBLANK(Expenditure_import[[#This Row],[YearValue]])=Expenditure_import[[#This Row],[Calculated]],0,1)</f>
        <v>0</v>
      </c>
      <c r="K38" s="85">
        <f>IF(ISBLANK(Expenditure_import[[#This Row],[CalculatorCode]]),0,IF(COUNTIF(Calculators[CalculatorCode],Expenditure_import[[#This Row],[CalculatorCode]])&gt;0,0,1))</f>
        <v>0</v>
      </c>
      <c r="L38" s="85">
        <f>IF(TRIM(Expenditure_import[[#This Row],[Description]])="",1,0)</f>
        <v>0</v>
      </c>
      <c r="M38" s="85">
        <f>IF(ISBLANK(Expenditure_import[[#This Row],[MatEditOnly]]),1,0)</f>
        <v>0</v>
      </c>
      <c r="N38" s="85">
        <f>IF(ISBLANK(Expenditure_import[[#This Row],[FinancialYearCode]]),1,0)</f>
        <v>0</v>
      </c>
      <c r="O38" s="85">
        <f>IF(ISBLANK(Expenditure_import[[#This Row],[Calculated]]),1,0)</f>
        <v>0</v>
      </c>
      <c r="P38"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38" s="85">
        <f>IF(LEN(Expenditure_import[[#This Row],[Description]])&lt;100,0,1)</f>
        <v>0</v>
      </c>
      <c r="R38" s="85">
        <f>IF(LEN(Expenditure_import[[#This Row],[Notes]])&lt;4000,0,1)</f>
        <v>0</v>
      </c>
      <c r="S38" s="85">
        <f>IF(LEN(Expenditure_import[[#This Row],[YearNotes]])&lt;4000,0,1)</f>
        <v>0</v>
      </c>
      <c r="T38" s="85">
        <f>IF(OR(Expenditure_import[[#This Row],[MatEditOnly]]=TRUE,Expenditure_import[[#This Row],[MatEditOnly]]=FALSE),IF(OR(Expenditure_import[[#This Row],[Calculated]]=TRUE,Expenditure_import[[#This Row],[Calculated]]=FALSE),0,1),1)</f>
        <v>0</v>
      </c>
      <c r="U38" s="85">
        <f>IF(_xlfn.XLOOKUP(Expenditure_import[[#This Row],[FinancialYearCode]],Years[Years],Years[Years],1)=Expenditure_import[[#This Row],[FinancialYearCode]],0,1)</f>
        <v>0</v>
      </c>
      <c r="V38" s="85">
        <f>IF(Expenditure_import[[#This Row],[CalculatorCode]]="",0,IF(IF(_xlfn.XLOOKUP(Expenditure_import[[#This Row],[CalculatorCode]],Calculators[CalculatorCode],Calculators[LockCheck])=1,TRUE,FALSE)=Expenditure_import[[#This Row],[MatEditOnly]],0,1))</f>
        <v>0</v>
      </c>
      <c r="W38" s="85">
        <f>SUM(Expenditure_import[[#This Row],[DuplicateLine]:[MAT edit only required]])</f>
        <v>3</v>
      </c>
      <c r="X38" s="80">
        <f>COUNTIF(SRG[GrossSalaryFinanceCode],Expenditure_import[[#This Row],[FinanceCode]])+COUNTIF(SRG[EmployersNiFinanceCode],Expenditure_import[[#This Row],[FinanceCode]])+COUNTIF(SRG[PensionFinanceCode],Expenditure_import[[#This Row],[FinanceCode]])</f>
        <v>0</v>
      </c>
      <c r="Y38" s="80" t="str">
        <f>_xlfn.XLOOKUP(Expenditure_import[[#This Row],[SchoolCode]],SCHOOLS[SchoolCode],SCHOOLS[Title])</f>
        <v>Scout Road Academy</v>
      </c>
      <c r="AA38">
        <v>675100</v>
      </c>
      <c r="AB38" t="s">
        <v>2607</v>
      </c>
      <c r="AF38" t="s">
        <v>2347</v>
      </c>
      <c r="AG38" t="s">
        <v>1124</v>
      </c>
      <c r="AH38" t="s">
        <v>2408</v>
      </c>
      <c r="AK38" t="b">
        <v>1</v>
      </c>
      <c r="AL38" t="s">
        <v>1497</v>
      </c>
      <c r="AM38" t="b">
        <v>1</v>
      </c>
    </row>
    <row r="39" spans="1:40" x14ac:dyDescent="0.3">
      <c r="A39" s="120" t="str">
        <f t="shared" si="1"/>
        <v>675100TLTApprentice Allowance - Teaching2025/26</v>
      </c>
      <c r="B39" s="85">
        <f>COUNTIF(Expenditure_import[Column1],Expenditure_import[[#This Row],[Column1]])-1</f>
        <v>0</v>
      </c>
      <c r="C39" s="80" cm="1">
        <f t="array" ref="C39">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39" s="85">
        <f>IF(COUNTIF(SCHOOLS[SchoolCode],Expenditure_import[[#This Row],[SchoolCode]])&gt;0,0,1)</f>
        <v>0</v>
      </c>
      <c r="E39" s="85">
        <f>IF(COUNTIF(LEDGER[],Expenditure_import[[#This Row],[LedgerCode]])&gt;0,0,1)</f>
        <v>0</v>
      </c>
      <c r="F39" s="85">
        <f>IF(ISBLANK(Expenditure_import[[#This Row],[MonthProfileCode]]),1,IF(COUNTIF(MONTHPRF[Code],Expenditure_import[[#This Row],[MonthProfileCode]])&gt;0,0,1))</f>
        <v>0</v>
      </c>
      <c r="G39" s="80" cm="1">
        <f t="array" ref="G39">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39" s="85">
        <f>IF(Expenditure_import[[#This Row],[FundCode]]=0,0,IF(COUNTIF(FUNDS[FundCode],Expenditure_import[[#This Row],[FundCode]])&gt;0,0,1))</f>
        <v>0</v>
      </c>
      <c r="I39" s="80" cm="1">
        <f t="array" ref="I39">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39" s="85">
        <f>IF(ISBLANK(Expenditure_import[[#This Row],[YearValue]])=Expenditure_import[[#This Row],[Calculated]],0,1)</f>
        <v>0</v>
      </c>
      <c r="K39" s="85">
        <f>IF(ISBLANK(Expenditure_import[[#This Row],[CalculatorCode]]),0,IF(COUNTIF(Calculators[CalculatorCode],Expenditure_import[[#This Row],[CalculatorCode]])&gt;0,0,1))</f>
        <v>0</v>
      </c>
      <c r="L39" s="85">
        <f>IF(TRIM(Expenditure_import[[#This Row],[Description]])="",1,0)</f>
        <v>0</v>
      </c>
      <c r="M39" s="85">
        <f>IF(ISBLANK(Expenditure_import[[#This Row],[MatEditOnly]]),1,0)</f>
        <v>0</v>
      </c>
      <c r="N39" s="85">
        <f>IF(ISBLANK(Expenditure_import[[#This Row],[FinancialYearCode]]),1,0)</f>
        <v>0</v>
      </c>
      <c r="O39" s="85">
        <f>IF(ISBLANK(Expenditure_import[[#This Row],[Calculated]]),1,0)</f>
        <v>0</v>
      </c>
      <c r="P39"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39" s="85">
        <f>IF(LEN(Expenditure_import[[#This Row],[Description]])&lt;100,0,1)</f>
        <v>0</v>
      </c>
      <c r="R39" s="85">
        <f>IF(LEN(Expenditure_import[[#This Row],[Notes]])&lt;4000,0,1)</f>
        <v>0</v>
      </c>
      <c r="S39" s="85">
        <f>IF(LEN(Expenditure_import[[#This Row],[YearNotes]])&lt;4000,0,1)</f>
        <v>0</v>
      </c>
      <c r="T39" s="85">
        <f>IF(OR(Expenditure_import[[#This Row],[MatEditOnly]]=TRUE,Expenditure_import[[#This Row],[MatEditOnly]]=FALSE),IF(OR(Expenditure_import[[#This Row],[Calculated]]=TRUE,Expenditure_import[[#This Row],[Calculated]]=FALSE),0,1),1)</f>
        <v>0</v>
      </c>
      <c r="U39" s="85">
        <f>IF(_xlfn.XLOOKUP(Expenditure_import[[#This Row],[FinancialYearCode]],Years[Years],Years[Years],1)=Expenditure_import[[#This Row],[FinancialYearCode]],0,1)</f>
        <v>0</v>
      </c>
      <c r="V39" s="85">
        <f>IF(Expenditure_import[[#This Row],[CalculatorCode]]="",0,IF(IF(_xlfn.XLOOKUP(Expenditure_import[[#This Row],[CalculatorCode]],Calculators[CalculatorCode],Calculators[LockCheck])=1,TRUE,FALSE)=Expenditure_import[[#This Row],[MatEditOnly]],0,1))</f>
        <v>0</v>
      </c>
      <c r="W39" s="85">
        <f>SUM(Expenditure_import[[#This Row],[DuplicateLine]:[MAT edit only required]])</f>
        <v>3</v>
      </c>
      <c r="X39" s="80">
        <f>COUNTIF(SRG[GrossSalaryFinanceCode],Expenditure_import[[#This Row],[FinanceCode]])+COUNTIF(SRG[EmployersNiFinanceCode],Expenditure_import[[#This Row],[FinanceCode]])+COUNTIF(SRG[PensionFinanceCode],Expenditure_import[[#This Row],[FinanceCode]])</f>
        <v>0</v>
      </c>
      <c r="Y39" s="80" t="str">
        <f>_xlfn.XLOOKUP(Expenditure_import[[#This Row],[SchoolCode]],SCHOOLS[SchoolCode],SCHOOLS[Title])</f>
        <v>Together Learning Trust</v>
      </c>
      <c r="AA39">
        <v>675100</v>
      </c>
      <c r="AB39" t="s">
        <v>2609</v>
      </c>
      <c r="AF39" t="s">
        <v>2347</v>
      </c>
      <c r="AG39" t="s">
        <v>1124</v>
      </c>
      <c r="AH39" t="s">
        <v>2408</v>
      </c>
      <c r="AK39" t="b">
        <v>1</v>
      </c>
      <c r="AL39" t="s">
        <v>1497</v>
      </c>
      <c r="AM39" t="b">
        <v>1</v>
      </c>
    </row>
    <row r="40" spans="1:40" x14ac:dyDescent="0.3">
      <c r="A40" s="120" t="str">
        <f t="shared" si="1"/>
        <v>675110BBPApprentice Levy - Support2025/26</v>
      </c>
      <c r="B40" s="85">
        <f>COUNTIF(Expenditure_import[Column1],Expenditure_import[[#This Row],[Column1]])-1</f>
        <v>0</v>
      </c>
      <c r="C40" s="80" cm="1">
        <f t="array" ref="C40">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40" s="85">
        <f>IF(COUNTIF(SCHOOLS[SchoolCode],Expenditure_import[[#This Row],[SchoolCode]])&gt;0,0,1)</f>
        <v>0</v>
      </c>
      <c r="E40" s="85">
        <f>IF(COUNTIF(LEDGER[],Expenditure_import[[#This Row],[LedgerCode]])&gt;0,0,1)</f>
        <v>0</v>
      </c>
      <c r="F40" s="85">
        <f>IF(ISBLANK(Expenditure_import[[#This Row],[MonthProfileCode]]),1,IF(COUNTIF(MONTHPRF[Code],Expenditure_import[[#This Row],[MonthProfileCode]])&gt;0,0,1))</f>
        <v>0</v>
      </c>
      <c r="G40" s="80" cm="1">
        <f t="array" ref="G40">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40" s="85">
        <f>IF(Expenditure_import[[#This Row],[FundCode]]=0,0,IF(COUNTIF(FUNDS[FundCode],Expenditure_import[[#This Row],[FundCode]])&gt;0,0,1))</f>
        <v>0</v>
      </c>
      <c r="I40" s="80" cm="1">
        <f t="array" ref="I40">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40" s="85">
        <f ca="1">IF(ISBLANK(Expenditure_import[[#This Row],[YearValue]])=Expenditure_import[[#This Row],[Calculated]],0,1)</f>
        <v>1</v>
      </c>
      <c r="K40" s="85">
        <f>IF(ISBLANK(Expenditure_import[[#This Row],[CalculatorCode]]),0,IF(COUNTIF(Calculators[CalculatorCode],Expenditure_import[[#This Row],[CalculatorCode]])&gt;0,0,1))</f>
        <v>0</v>
      </c>
      <c r="L40" s="85">
        <f>IF(TRIM(Expenditure_import[[#This Row],[Description]])="",1,0)</f>
        <v>0</v>
      </c>
      <c r="M40" s="85">
        <f>IF(ISBLANK(Expenditure_import[[#This Row],[MatEditOnly]]),1,0)</f>
        <v>0</v>
      </c>
      <c r="N40" s="85">
        <f>IF(ISBLANK(Expenditure_import[[#This Row],[FinancialYearCode]]),1,0)</f>
        <v>0</v>
      </c>
      <c r="O40" s="85">
        <f>IF(ISBLANK(Expenditure_import[[#This Row],[Calculated]]),1,0)</f>
        <v>0</v>
      </c>
      <c r="P40"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40" s="85">
        <f>IF(LEN(Expenditure_import[[#This Row],[Description]])&lt;100,0,1)</f>
        <v>0</v>
      </c>
      <c r="R40" s="85">
        <f>IF(LEN(Expenditure_import[[#This Row],[Notes]])&lt;4000,0,1)</f>
        <v>0</v>
      </c>
      <c r="S40" s="85">
        <f>IF(LEN(Expenditure_import[[#This Row],[YearNotes]])&lt;4000,0,1)</f>
        <v>0</v>
      </c>
      <c r="T40" s="85">
        <f>IF(OR(Expenditure_import[[#This Row],[MatEditOnly]]=TRUE,Expenditure_import[[#This Row],[MatEditOnly]]=FALSE),IF(OR(Expenditure_import[[#This Row],[Calculated]]=TRUE,Expenditure_import[[#This Row],[Calculated]]=FALSE),0,1),1)</f>
        <v>0</v>
      </c>
      <c r="U40" s="85">
        <f>IF(_xlfn.XLOOKUP(Expenditure_import[[#This Row],[FinancialYearCode]],Years[Years],Years[Years],1)=Expenditure_import[[#This Row],[FinancialYearCode]],0,1)</f>
        <v>0</v>
      </c>
      <c r="V40" s="85">
        <f>IF(Expenditure_import[[#This Row],[CalculatorCode]]="",0,IF(IF(_xlfn.XLOOKUP(Expenditure_import[[#This Row],[CalculatorCode]],Calculators[CalculatorCode],Calculators[LockCheck])=1,TRUE,FALSE)=Expenditure_import[[#This Row],[MatEditOnly]],0,1))</f>
        <v>0</v>
      </c>
      <c r="W40" s="85">
        <f ca="1">SUM(Expenditure_import[[#This Row],[DuplicateLine]:[MAT edit only required]])</f>
        <v>4</v>
      </c>
      <c r="X40" s="80">
        <f>COUNTIF(SRG[GrossSalaryFinanceCode],Expenditure_import[[#This Row],[FinanceCode]])+COUNTIF(SRG[EmployersNiFinanceCode],Expenditure_import[[#This Row],[FinanceCode]])+COUNTIF(SRG[PensionFinanceCode],Expenditure_import[[#This Row],[FinanceCode]])</f>
        <v>0</v>
      </c>
      <c r="Y40" s="80" t="str">
        <f>_xlfn.XLOOKUP(Expenditure_import[[#This Row],[SchoolCode]],SCHOOLS[SchoolCode],SCHOOLS[Title])</f>
        <v>Bolton Brow Primary Academy</v>
      </c>
      <c r="AA40">
        <v>675110</v>
      </c>
      <c r="AB40" t="s">
        <v>2588</v>
      </c>
      <c r="AF40" t="s">
        <v>2343</v>
      </c>
      <c r="AG40" t="s">
        <v>1124</v>
      </c>
      <c r="AH40" t="s">
        <v>2345</v>
      </c>
      <c r="AK40" t="b">
        <v>1</v>
      </c>
      <c r="AL40" t="s">
        <v>1497</v>
      </c>
      <c r="AM40" t="b">
        <v>1</v>
      </c>
      <c r="AN40">
        <f ca="1">RANDBETWEEN(500,2000)</f>
        <v>846</v>
      </c>
    </row>
    <row r="41" spans="1:40" x14ac:dyDescent="0.3">
      <c r="A41" s="120" t="str">
        <f t="shared" si="1"/>
        <v>675110BBSApprentice Levy - Support2025/26</v>
      </c>
      <c r="B41" s="85">
        <f>COUNTIF(Expenditure_import[Column1],Expenditure_import[[#This Row],[Column1]])-1</f>
        <v>0</v>
      </c>
      <c r="C41" s="80" cm="1">
        <f t="array" ref="C41">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41" s="85">
        <f>IF(COUNTIF(SCHOOLS[SchoolCode],Expenditure_import[[#This Row],[SchoolCode]])&gt;0,0,1)</f>
        <v>0</v>
      </c>
      <c r="E41" s="85">
        <f>IF(COUNTIF(LEDGER[],Expenditure_import[[#This Row],[LedgerCode]])&gt;0,0,1)</f>
        <v>0</v>
      </c>
      <c r="F41" s="85">
        <f>IF(ISBLANK(Expenditure_import[[#This Row],[MonthProfileCode]]),1,IF(COUNTIF(MONTHPRF[Code],Expenditure_import[[#This Row],[MonthProfileCode]])&gt;0,0,1))</f>
        <v>0</v>
      </c>
      <c r="G41" s="80" cm="1">
        <f t="array" ref="G41">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41" s="85">
        <f>IF(Expenditure_import[[#This Row],[FundCode]]=0,0,IF(COUNTIF(FUNDS[FundCode],Expenditure_import[[#This Row],[FundCode]])&gt;0,0,1))</f>
        <v>0</v>
      </c>
      <c r="I41" s="80" cm="1">
        <f t="array" ref="I41">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41" s="85">
        <f ca="1">IF(ISBLANK(Expenditure_import[[#This Row],[YearValue]])=Expenditure_import[[#This Row],[Calculated]],0,1)</f>
        <v>1</v>
      </c>
      <c r="K41" s="85">
        <f>IF(ISBLANK(Expenditure_import[[#This Row],[CalculatorCode]]),0,IF(COUNTIF(Calculators[CalculatorCode],Expenditure_import[[#This Row],[CalculatorCode]])&gt;0,0,1))</f>
        <v>0</v>
      </c>
      <c r="L41" s="85">
        <f>IF(TRIM(Expenditure_import[[#This Row],[Description]])="",1,0)</f>
        <v>0</v>
      </c>
      <c r="M41" s="85">
        <f>IF(ISBLANK(Expenditure_import[[#This Row],[MatEditOnly]]),1,0)</f>
        <v>0</v>
      </c>
      <c r="N41" s="85">
        <f>IF(ISBLANK(Expenditure_import[[#This Row],[FinancialYearCode]]),1,0)</f>
        <v>0</v>
      </c>
      <c r="O41" s="85">
        <f>IF(ISBLANK(Expenditure_import[[#This Row],[Calculated]]),1,0)</f>
        <v>0</v>
      </c>
      <c r="P41"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41" s="85">
        <f>IF(LEN(Expenditure_import[[#This Row],[Description]])&lt;100,0,1)</f>
        <v>0</v>
      </c>
      <c r="R41" s="85">
        <f>IF(LEN(Expenditure_import[[#This Row],[Notes]])&lt;4000,0,1)</f>
        <v>0</v>
      </c>
      <c r="S41" s="85">
        <f>IF(LEN(Expenditure_import[[#This Row],[YearNotes]])&lt;4000,0,1)</f>
        <v>0</v>
      </c>
      <c r="T41" s="85">
        <f>IF(OR(Expenditure_import[[#This Row],[MatEditOnly]]=TRUE,Expenditure_import[[#This Row],[MatEditOnly]]=FALSE),IF(OR(Expenditure_import[[#This Row],[Calculated]]=TRUE,Expenditure_import[[#This Row],[Calculated]]=FALSE),0,1),1)</f>
        <v>0</v>
      </c>
      <c r="U41" s="85">
        <f>IF(_xlfn.XLOOKUP(Expenditure_import[[#This Row],[FinancialYearCode]],Years[Years],Years[Years],1)=Expenditure_import[[#This Row],[FinancialYearCode]],0,1)</f>
        <v>0</v>
      </c>
      <c r="V41" s="85">
        <f>IF(Expenditure_import[[#This Row],[CalculatorCode]]="",0,IF(IF(_xlfn.XLOOKUP(Expenditure_import[[#This Row],[CalculatorCode]],Calculators[CalculatorCode],Calculators[LockCheck])=1,TRUE,FALSE)=Expenditure_import[[#This Row],[MatEditOnly]],0,1))</f>
        <v>0</v>
      </c>
      <c r="W41" s="85">
        <f ca="1">SUM(Expenditure_import[[#This Row],[DuplicateLine]:[MAT edit only required]])</f>
        <v>4</v>
      </c>
      <c r="X41" s="80">
        <f>COUNTIF(SRG[GrossSalaryFinanceCode],Expenditure_import[[#This Row],[FinanceCode]])+COUNTIF(SRG[EmployersNiFinanceCode],Expenditure_import[[#This Row],[FinanceCode]])+COUNTIF(SRG[PensionFinanceCode],Expenditure_import[[#This Row],[FinanceCode]])</f>
        <v>0</v>
      </c>
      <c r="Y41" s="80" t="str">
        <f>_xlfn.XLOOKUP(Expenditure_import[[#This Row],[SchoolCode]],SCHOOLS[SchoolCode],SCHOOLS[Title])</f>
        <v>The Brooksbank School</v>
      </c>
      <c r="AA41">
        <v>675110</v>
      </c>
      <c r="AB41" t="s">
        <v>2591</v>
      </c>
      <c r="AF41" t="s">
        <v>2343</v>
      </c>
      <c r="AG41" t="s">
        <v>1124</v>
      </c>
      <c r="AH41" t="s">
        <v>2345</v>
      </c>
      <c r="AK41" t="b">
        <v>1</v>
      </c>
      <c r="AL41" t="s">
        <v>1497</v>
      </c>
      <c r="AM41" t="b">
        <v>1</v>
      </c>
      <c r="AN41">
        <f t="shared" ref="AN41:AN59" ca="1" si="2">RANDBETWEEN(500,2000)</f>
        <v>666</v>
      </c>
    </row>
    <row r="42" spans="1:40" x14ac:dyDescent="0.3">
      <c r="A42" s="120" t="str">
        <f t="shared" si="1"/>
        <v>675110CHSApprentice Levy - Support2025/26</v>
      </c>
      <c r="B42" s="85">
        <f>COUNTIF(Expenditure_import[Column1],Expenditure_import[[#This Row],[Column1]])-1</f>
        <v>0</v>
      </c>
      <c r="C42" s="80" cm="1">
        <f t="array" ref="C42">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42" s="85">
        <f>IF(COUNTIF(SCHOOLS[SchoolCode],Expenditure_import[[#This Row],[SchoolCode]])&gt;0,0,1)</f>
        <v>0</v>
      </c>
      <c r="E42" s="85">
        <f>IF(COUNTIF(LEDGER[],Expenditure_import[[#This Row],[LedgerCode]])&gt;0,0,1)</f>
        <v>0</v>
      </c>
      <c r="F42" s="85">
        <f>IF(ISBLANK(Expenditure_import[[#This Row],[MonthProfileCode]]),1,IF(COUNTIF(MONTHPRF[Code],Expenditure_import[[#This Row],[MonthProfileCode]])&gt;0,0,1))</f>
        <v>0</v>
      </c>
      <c r="G42" s="80" cm="1">
        <f t="array" ref="G42">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42" s="85">
        <f>IF(Expenditure_import[[#This Row],[FundCode]]=0,0,IF(COUNTIF(FUNDS[FundCode],Expenditure_import[[#This Row],[FundCode]])&gt;0,0,1))</f>
        <v>0</v>
      </c>
      <c r="I42" s="80" cm="1">
        <f t="array" ref="I42">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42" s="85">
        <f ca="1">IF(ISBLANK(Expenditure_import[[#This Row],[YearValue]])=Expenditure_import[[#This Row],[Calculated]],0,1)</f>
        <v>1</v>
      </c>
      <c r="K42" s="85">
        <f>IF(ISBLANK(Expenditure_import[[#This Row],[CalculatorCode]]),0,IF(COUNTIF(Calculators[CalculatorCode],Expenditure_import[[#This Row],[CalculatorCode]])&gt;0,0,1))</f>
        <v>0</v>
      </c>
      <c r="L42" s="85">
        <f>IF(TRIM(Expenditure_import[[#This Row],[Description]])="",1,0)</f>
        <v>0</v>
      </c>
      <c r="M42" s="85">
        <f>IF(ISBLANK(Expenditure_import[[#This Row],[MatEditOnly]]),1,0)</f>
        <v>0</v>
      </c>
      <c r="N42" s="85">
        <f>IF(ISBLANK(Expenditure_import[[#This Row],[FinancialYearCode]]),1,0)</f>
        <v>0</v>
      </c>
      <c r="O42" s="85">
        <f>IF(ISBLANK(Expenditure_import[[#This Row],[Calculated]]),1,0)</f>
        <v>0</v>
      </c>
      <c r="P42"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42" s="85">
        <f>IF(LEN(Expenditure_import[[#This Row],[Description]])&lt;100,0,1)</f>
        <v>0</v>
      </c>
      <c r="R42" s="85">
        <f>IF(LEN(Expenditure_import[[#This Row],[Notes]])&lt;4000,0,1)</f>
        <v>0</v>
      </c>
      <c r="S42" s="85">
        <f>IF(LEN(Expenditure_import[[#This Row],[YearNotes]])&lt;4000,0,1)</f>
        <v>0</v>
      </c>
      <c r="T42" s="85">
        <f>IF(OR(Expenditure_import[[#This Row],[MatEditOnly]]=TRUE,Expenditure_import[[#This Row],[MatEditOnly]]=FALSE),IF(OR(Expenditure_import[[#This Row],[Calculated]]=TRUE,Expenditure_import[[#This Row],[Calculated]]=FALSE),0,1),1)</f>
        <v>0</v>
      </c>
      <c r="U42" s="85">
        <f>IF(_xlfn.XLOOKUP(Expenditure_import[[#This Row],[FinancialYearCode]],Years[Years],Years[Years],1)=Expenditure_import[[#This Row],[FinancialYearCode]],0,1)</f>
        <v>0</v>
      </c>
      <c r="V42" s="85">
        <f>IF(Expenditure_import[[#This Row],[CalculatorCode]]="",0,IF(IF(_xlfn.XLOOKUP(Expenditure_import[[#This Row],[CalculatorCode]],Calculators[CalculatorCode],Calculators[LockCheck])=1,TRUE,FALSE)=Expenditure_import[[#This Row],[MatEditOnly]],0,1))</f>
        <v>0</v>
      </c>
      <c r="W42" s="85">
        <f ca="1">SUM(Expenditure_import[[#This Row],[DuplicateLine]:[MAT edit only required]])</f>
        <v>4</v>
      </c>
      <c r="X42" s="80">
        <f>COUNTIF(SRG[GrossSalaryFinanceCode],Expenditure_import[[#This Row],[FinanceCode]])+COUNTIF(SRG[EmployersNiFinanceCode],Expenditure_import[[#This Row],[FinanceCode]])+COUNTIF(SRG[PensionFinanceCode],Expenditure_import[[#This Row],[FinanceCode]])</f>
        <v>0</v>
      </c>
      <c r="Y42" s="80" t="str">
        <f>_xlfn.XLOOKUP(Expenditure_import[[#This Row],[SchoolCode]],SCHOOLS[SchoolCode],SCHOOLS[Title])</f>
        <v>Castle Hill School</v>
      </c>
      <c r="AA42">
        <v>675110</v>
      </c>
      <c r="AB42" t="s">
        <v>2594</v>
      </c>
      <c r="AF42" t="s">
        <v>2343</v>
      </c>
      <c r="AG42" t="s">
        <v>1124</v>
      </c>
      <c r="AH42" t="s">
        <v>2345</v>
      </c>
      <c r="AK42" t="b">
        <v>1</v>
      </c>
      <c r="AL42" t="s">
        <v>1497</v>
      </c>
      <c r="AM42" t="b">
        <v>1</v>
      </c>
      <c r="AN42">
        <f t="shared" ca="1" si="2"/>
        <v>1317</v>
      </c>
    </row>
    <row r="43" spans="1:40" x14ac:dyDescent="0.3">
      <c r="A43" s="120" t="str">
        <f t="shared" si="1"/>
        <v>675110HHSApprentice Levy - Support2025/26</v>
      </c>
      <c r="B43" s="85">
        <f>COUNTIF(Expenditure_import[Column1],Expenditure_import[[#This Row],[Column1]])-1</f>
        <v>0</v>
      </c>
      <c r="C43" s="80" cm="1">
        <f t="array" ref="C43">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43" s="85">
        <f>IF(COUNTIF(SCHOOLS[SchoolCode],Expenditure_import[[#This Row],[SchoolCode]])&gt;0,0,1)</f>
        <v>0</v>
      </c>
      <c r="E43" s="85">
        <f>IF(COUNTIF(LEDGER[],Expenditure_import[[#This Row],[LedgerCode]])&gt;0,0,1)</f>
        <v>0</v>
      </c>
      <c r="F43" s="85">
        <f>IF(ISBLANK(Expenditure_import[[#This Row],[MonthProfileCode]]),1,IF(COUNTIF(MONTHPRF[Code],Expenditure_import[[#This Row],[MonthProfileCode]])&gt;0,0,1))</f>
        <v>0</v>
      </c>
      <c r="G43" s="80" cm="1">
        <f t="array" ref="G43">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43" s="85">
        <f>IF(Expenditure_import[[#This Row],[FundCode]]=0,0,IF(COUNTIF(FUNDS[FundCode],Expenditure_import[[#This Row],[FundCode]])&gt;0,0,1))</f>
        <v>0</v>
      </c>
      <c r="I43" s="80" cm="1">
        <f t="array" ref="I43">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43" s="85">
        <f ca="1">IF(ISBLANK(Expenditure_import[[#This Row],[YearValue]])=Expenditure_import[[#This Row],[Calculated]],0,1)</f>
        <v>1</v>
      </c>
      <c r="K43" s="85">
        <f>IF(ISBLANK(Expenditure_import[[#This Row],[CalculatorCode]]),0,IF(COUNTIF(Calculators[CalculatorCode],Expenditure_import[[#This Row],[CalculatorCode]])&gt;0,0,1))</f>
        <v>0</v>
      </c>
      <c r="L43" s="85">
        <f>IF(TRIM(Expenditure_import[[#This Row],[Description]])="",1,0)</f>
        <v>0</v>
      </c>
      <c r="M43" s="85">
        <f>IF(ISBLANK(Expenditure_import[[#This Row],[MatEditOnly]]),1,0)</f>
        <v>0</v>
      </c>
      <c r="N43" s="85">
        <f>IF(ISBLANK(Expenditure_import[[#This Row],[FinancialYearCode]]),1,0)</f>
        <v>0</v>
      </c>
      <c r="O43" s="85">
        <f>IF(ISBLANK(Expenditure_import[[#This Row],[Calculated]]),1,0)</f>
        <v>0</v>
      </c>
      <c r="P43"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43" s="85">
        <f>IF(LEN(Expenditure_import[[#This Row],[Description]])&lt;100,0,1)</f>
        <v>0</v>
      </c>
      <c r="R43" s="85">
        <f>IF(LEN(Expenditure_import[[#This Row],[Notes]])&lt;4000,0,1)</f>
        <v>0</v>
      </c>
      <c r="S43" s="85">
        <f>IF(LEN(Expenditure_import[[#This Row],[YearNotes]])&lt;4000,0,1)</f>
        <v>0</v>
      </c>
      <c r="T43" s="85">
        <f>IF(OR(Expenditure_import[[#This Row],[MatEditOnly]]=TRUE,Expenditure_import[[#This Row],[MatEditOnly]]=FALSE),IF(OR(Expenditure_import[[#This Row],[Calculated]]=TRUE,Expenditure_import[[#This Row],[Calculated]]=FALSE),0,1),1)</f>
        <v>0</v>
      </c>
      <c r="U43" s="85">
        <f>IF(_xlfn.XLOOKUP(Expenditure_import[[#This Row],[FinancialYearCode]],Years[Years],Years[Years],1)=Expenditure_import[[#This Row],[FinancialYearCode]],0,1)</f>
        <v>0</v>
      </c>
      <c r="V43" s="85">
        <f>IF(Expenditure_import[[#This Row],[CalculatorCode]]="",0,IF(IF(_xlfn.XLOOKUP(Expenditure_import[[#This Row],[CalculatorCode]],Calculators[CalculatorCode],Calculators[LockCheck])=1,TRUE,FALSE)=Expenditure_import[[#This Row],[MatEditOnly]],0,1))</f>
        <v>0</v>
      </c>
      <c r="W43" s="85">
        <f ca="1">SUM(Expenditure_import[[#This Row],[DuplicateLine]:[MAT edit only required]])</f>
        <v>4</v>
      </c>
      <c r="X43" s="80">
        <f>COUNTIF(SRG[GrossSalaryFinanceCode],Expenditure_import[[#This Row],[FinanceCode]])+COUNTIF(SRG[EmployersNiFinanceCode],Expenditure_import[[#This Row],[FinanceCode]])+COUNTIF(SRG[PensionFinanceCode],Expenditure_import[[#This Row],[FinanceCode]])</f>
        <v>0</v>
      </c>
      <c r="Y43" s="80" t="str">
        <f>_xlfn.XLOOKUP(Expenditure_import[[#This Row],[SchoolCode]],SCHOOLS[SchoolCode],SCHOOLS[Title])</f>
        <v>Honley High School</v>
      </c>
      <c r="AA43">
        <v>675110</v>
      </c>
      <c r="AB43" t="s">
        <v>2597</v>
      </c>
      <c r="AF43" t="s">
        <v>2343</v>
      </c>
      <c r="AG43" t="s">
        <v>1124</v>
      </c>
      <c r="AH43" t="s">
        <v>2345</v>
      </c>
      <c r="AK43" t="b">
        <v>1</v>
      </c>
      <c r="AL43" t="s">
        <v>1497</v>
      </c>
      <c r="AM43" t="b">
        <v>1</v>
      </c>
      <c r="AN43">
        <f t="shared" ca="1" si="2"/>
        <v>1944</v>
      </c>
    </row>
    <row r="44" spans="1:40" x14ac:dyDescent="0.3">
      <c r="A44" s="120" t="str">
        <f t="shared" si="1"/>
        <v>675110LCPApprentice Levy - Support2025/26</v>
      </c>
      <c r="B44" s="85">
        <f>COUNTIF(Expenditure_import[Column1],Expenditure_import[[#This Row],[Column1]])-1</f>
        <v>0</v>
      </c>
      <c r="C44" s="80" cm="1">
        <f t="array" ref="C44">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44" s="85">
        <f>IF(COUNTIF(SCHOOLS[SchoolCode],Expenditure_import[[#This Row],[SchoolCode]])&gt;0,0,1)</f>
        <v>0</v>
      </c>
      <c r="E44" s="85">
        <f>IF(COUNTIF(LEDGER[],Expenditure_import[[#This Row],[LedgerCode]])&gt;0,0,1)</f>
        <v>0</v>
      </c>
      <c r="F44" s="85">
        <f>IF(ISBLANK(Expenditure_import[[#This Row],[MonthProfileCode]]),1,IF(COUNTIF(MONTHPRF[Code],Expenditure_import[[#This Row],[MonthProfileCode]])&gt;0,0,1))</f>
        <v>0</v>
      </c>
      <c r="G44" s="80" cm="1">
        <f t="array" ref="G44">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44" s="85">
        <f>IF(Expenditure_import[[#This Row],[FundCode]]=0,0,IF(COUNTIF(FUNDS[FundCode],Expenditure_import[[#This Row],[FundCode]])&gt;0,0,1))</f>
        <v>0</v>
      </c>
      <c r="I44" s="80" cm="1">
        <f t="array" ref="I44">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44" s="85">
        <f ca="1">IF(ISBLANK(Expenditure_import[[#This Row],[YearValue]])=Expenditure_import[[#This Row],[Calculated]],0,1)</f>
        <v>1</v>
      </c>
      <c r="K44" s="85">
        <f>IF(ISBLANK(Expenditure_import[[#This Row],[CalculatorCode]]),0,IF(COUNTIF(Calculators[CalculatorCode],Expenditure_import[[#This Row],[CalculatorCode]])&gt;0,0,1))</f>
        <v>0</v>
      </c>
      <c r="L44" s="85">
        <f>IF(TRIM(Expenditure_import[[#This Row],[Description]])="",1,0)</f>
        <v>0</v>
      </c>
      <c r="M44" s="85">
        <f>IF(ISBLANK(Expenditure_import[[#This Row],[MatEditOnly]]),1,0)</f>
        <v>0</v>
      </c>
      <c r="N44" s="85">
        <f>IF(ISBLANK(Expenditure_import[[#This Row],[FinancialYearCode]]),1,0)</f>
        <v>0</v>
      </c>
      <c r="O44" s="85">
        <f>IF(ISBLANK(Expenditure_import[[#This Row],[Calculated]]),1,0)</f>
        <v>0</v>
      </c>
      <c r="P44"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44" s="85">
        <f>IF(LEN(Expenditure_import[[#This Row],[Description]])&lt;100,0,1)</f>
        <v>0</v>
      </c>
      <c r="R44" s="85">
        <f>IF(LEN(Expenditure_import[[#This Row],[Notes]])&lt;4000,0,1)</f>
        <v>0</v>
      </c>
      <c r="S44" s="85">
        <f>IF(LEN(Expenditure_import[[#This Row],[YearNotes]])&lt;4000,0,1)</f>
        <v>0</v>
      </c>
      <c r="T44" s="85">
        <f>IF(OR(Expenditure_import[[#This Row],[MatEditOnly]]=TRUE,Expenditure_import[[#This Row],[MatEditOnly]]=FALSE),IF(OR(Expenditure_import[[#This Row],[Calculated]]=TRUE,Expenditure_import[[#This Row],[Calculated]]=FALSE),0,1),1)</f>
        <v>0</v>
      </c>
      <c r="U44" s="85">
        <f>IF(_xlfn.XLOOKUP(Expenditure_import[[#This Row],[FinancialYearCode]],Years[Years],Years[Years],1)=Expenditure_import[[#This Row],[FinancialYearCode]],0,1)</f>
        <v>0</v>
      </c>
      <c r="V44" s="85">
        <f>IF(Expenditure_import[[#This Row],[CalculatorCode]]="",0,IF(IF(_xlfn.XLOOKUP(Expenditure_import[[#This Row],[CalculatorCode]],Calculators[CalculatorCode],Calculators[LockCheck])=1,TRUE,FALSE)=Expenditure_import[[#This Row],[MatEditOnly]],0,1))</f>
        <v>0</v>
      </c>
      <c r="W44" s="85">
        <f ca="1">SUM(Expenditure_import[[#This Row],[DuplicateLine]:[MAT edit only required]])</f>
        <v>4</v>
      </c>
      <c r="X44" s="80">
        <f>COUNTIF(SRG[GrossSalaryFinanceCode],Expenditure_import[[#This Row],[FinanceCode]])+COUNTIF(SRG[EmployersNiFinanceCode],Expenditure_import[[#This Row],[FinanceCode]])+COUNTIF(SRG[PensionFinanceCode],Expenditure_import[[#This Row],[FinanceCode]])</f>
        <v>0</v>
      </c>
      <c r="Y44" s="80" t="str">
        <f>_xlfn.XLOOKUP(Expenditure_import[[#This Row],[SchoolCode]],SCHOOLS[SchoolCode],SCHOOLS[Title])</f>
        <v>Linthwaite Clough Primary School</v>
      </c>
      <c r="AA44">
        <v>675110</v>
      </c>
      <c r="AB44" t="s">
        <v>2599</v>
      </c>
      <c r="AF44" t="s">
        <v>2343</v>
      </c>
      <c r="AG44" t="s">
        <v>1124</v>
      </c>
      <c r="AH44" t="s">
        <v>2345</v>
      </c>
      <c r="AK44" t="b">
        <v>1</v>
      </c>
      <c r="AL44" t="s">
        <v>1497</v>
      </c>
      <c r="AM44" t="b">
        <v>1</v>
      </c>
      <c r="AN44">
        <f t="shared" ca="1" si="2"/>
        <v>888</v>
      </c>
    </row>
    <row r="45" spans="1:40" x14ac:dyDescent="0.3">
      <c r="A45" s="120" t="str">
        <f t="shared" si="1"/>
        <v>675110MMPApprentice Levy - Support2025/26</v>
      </c>
      <c r="B45" s="85">
        <f>COUNTIF(Expenditure_import[Column1],Expenditure_import[[#This Row],[Column1]])-1</f>
        <v>0</v>
      </c>
      <c r="C45" s="80" cm="1">
        <f t="array" ref="C45">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45" s="85">
        <f>IF(COUNTIF(SCHOOLS[SchoolCode],Expenditure_import[[#This Row],[SchoolCode]])&gt;0,0,1)</f>
        <v>0</v>
      </c>
      <c r="E45" s="85">
        <f>IF(COUNTIF(LEDGER[],Expenditure_import[[#This Row],[LedgerCode]])&gt;0,0,1)</f>
        <v>0</v>
      </c>
      <c r="F45" s="85">
        <f>IF(ISBLANK(Expenditure_import[[#This Row],[MonthProfileCode]]),1,IF(COUNTIF(MONTHPRF[Code],Expenditure_import[[#This Row],[MonthProfileCode]])&gt;0,0,1))</f>
        <v>0</v>
      </c>
      <c r="G45" s="80" cm="1">
        <f t="array" ref="G45">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45" s="85">
        <f>IF(Expenditure_import[[#This Row],[FundCode]]=0,0,IF(COUNTIF(FUNDS[FundCode],Expenditure_import[[#This Row],[FundCode]])&gt;0,0,1))</f>
        <v>0</v>
      </c>
      <c r="I45" s="80" cm="1">
        <f t="array" ref="I45">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45" s="85">
        <f ca="1">IF(ISBLANK(Expenditure_import[[#This Row],[YearValue]])=Expenditure_import[[#This Row],[Calculated]],0,1)</f>
        <v>1</v>
      </c>
      <c r="K45" s="85">
        <f>IF(ISBLANK(Expenditure_import[[#This Row],[CalculatorCode]]),0,IF(COUNTIF(Calculators[CalculatorCode],Expenditure_import[[#This Row],[CalculatorCode]])&gt;0,0,1))</f>
        <v>0</v>
      </c>
      <c r="L45" s="85">
        <f>IF(TRIM(Expenditure_import[[#This Row],[Description]])="",1,0)</f>
        <v>0</v>
      </c>
      <c r="M45" s="85">
        <f>IF(ISBLANK(Expenditure_import[[#This Row],[MatEditOnly]]),1,0)</f>
        <v>0</v>
      </c>
      <c r="N45" s="85">
        <f>IF(ISBLANK(Expenditure_import[[#This Row],[FinancialYearCode]]),1,0)</f>
        <v>0</v>
      </c>
      <c r="O45" s="85">
        <f>IF(ISBLANK(Expenditure_import[[#This Row],[Calculated]]),1,0)</f>
        <v>0</v>
      </c>
      <c r="P45"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45" s="85">
        <f>IF(LEN(Expenditure_import[[#This Row],[Description]])&lt;100,0,1)</f>
        <v>0</v>
      </c>
      <c r="R45" s="85">
        <f>IF(LEN(Expenditure_import[[#This Row],[Notes]])&lt;4000,0,1)</f>
        <v>0</v>
      </c>
      <c r="S45" s="85">
        <f>IF(LEN(Expenditure_import[[#This Row],[YearNotes]])&lt;4000,0,1)</f>
        <v>0</v>
      </c>
      <c r="T45" s="85">
        <f>IF(OR(Expenditure_import[[#This Row],[MatEditOnly]]=TRUE,Expenditure_import[[#This Row],[MatEditOnly]]=FALSE),IF(OR(Expenditure_import[[#This Row],[Calculated]]=TRUE,Expenditure_import[[#This Row],[Calculated]]=FALSE),0,1),1)</f>
        <v>0</v>
      </c>
      <c r="U45" s="85">
        <f>IF(_xlfn.XLOOKUP(Expenditure_import[[#This Row],[FinancialYearCode]],Years[Years],Years[Years],1)=Expenditure_import[[#This Row],[FinancialYearCode]],0,1)</f>
        <v>0</v>
      </c>
      <c r="V45" s="85">
        <f>IF(Expenditure_import[[#This Row],[CalculatorCode]]="",0,IF(IF(_xlfn.XLOOKUP(Expenditure_import[[#This Row],[CalculatorCode]],Calculators[CalculatorCode],Calculators[LockCheck])=1,TRUE,FALSE)=Expenditure_import[[#This Row],[MatEditOnly]],0,1))</f>
        <v>0</v>
      </c>
      <c r="W45" s="85">
        <f ca="1">SUM(Expenditure_import[[#This Row],[DuplicateLine]:[MAT edit only required]])</f>
        <v>4</v>
      </c>
      <c r="X45" s="80">
        <f>COUNTIF(SRG[GrossSalaryFinanceCode],Expenditure_import[[#This Row],[FinanceCode]])+COUNTIF(SRG[EmployersNiFinanceCode],Expenditure_import[[#This Row],[FinanceCode]])+COUNTIF(SRG[PensionFinanceCode],Expenditure_import[[#This Row],[FinanceCode]])</f>
        <v>0</v>
      </c>
      <c r="Y45" s="80" t="str">
        <f>_xlfn.XLOOKUP(Expenditure_import[[#This Row],[SchoolCode]],SCHOOLS[SchoolCode],SCHOOLS[Title])</f>
        <v>Meltham Moor Primary School</v>
      </c>
      <c r="AA45">
        <v>675110</v>
      </c>
      <c r="AB45" t="s">
        <v>2601</v>
      </c>
      <c r="AF45" t="s">
        <v>2343</v>
      </c>
      <c r="AG45" t="s">
        <v>1124</v>
      </c>
      <c r="AH45" t="s">
        <v>2345</v>
      </c>
      <c r="AK45" t="b">
        <v>1</v>
      </c>
      <c r="AL45" t="s">
        <v>1497</v>
      </c>
      <c r="AM45" t="b">
        <v>1</v>
      </c>
      <c r="AN45">
        <f t="shared" ca="1" si="2"/>
        <v>1393</v>
      </c>
    </row>
    <row r="46" spans="1:40" x14ac:dyDescent="0.3">
      <c r="A46" s="120" t="str">
        <f t="shared" si="1"/>
        <v>675110NINApprentice Levy - Support2025/26</v>
      </c>
      <c r="B46" s="85">
        <f>COUNTIF(Expenditure_import[Column1],Expenditure_import[[#This Row],[Column1]])-1</f>
        <v>0</v>
      </c>
      <c r="C46" s="80" cm="1">
        <f t="array" ref="C46">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46" s="85">
        <f>IF(COUNTIF(SCHOOLS[SchoolCode],Expenditure_import[[#This Row],[SchoolCode]])&gt;0,0,1)</f>
        <v>0</v>
      </c>
      <c r="E46" s="85">
        <f>IF(COUNTIF(LEDGER[],Expenditure_import[[#This Row],[LedgerCode]])&gt;0,0,1)</f>
        <v>0</v>
      </c>
      <c r="F46" s="85">
        <f>IF(ISBLANK(Expenditure_import[[#This Row],[MonthProfileCode]]),1,IF(COUNTIF(MONTHPRF[Code],Expenditure_import[[#This Row],[MonthProfileCode]])&gt;0,0,1))</f>
        <v>0</v>
      </c>
      <c r="G46" s="80" cm="1">
        <f t="array" ref="G46">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46" s="85">
        <f>IF(Expenditure_import[[#This Row],[FundCode]]=0,0,IF(COUNTIF(FUNDS[FundCode],Expenditure_import[[#This Row],[FundCode]])&gt;0,0,1))</f>
        <v>0</v>
      </c>
      <c r="I46" s="80" cm="1">
        <f t="array" ref="I46">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46" s="85">
        <f ca="1">IF(ISBLANK(Expenditure_import[[#This Row],[YearValue]])=Expenditure_import[[#This Row],[Calculated]],0,1)</f>
        <v>1</v>
      </c>
      <c r="K46" s="85">
        <f>IF(ISBLANK(Expenditure_import[[#This Row],[CalculatorCode]]),0,IF(COUNTIF(Calculators[CalculatorCode],Expenditure_import[[#This Row],[CalculatorCode]])&gt;0,0,1))</f>
        <v>0</v>
      </c>
      <c r="L46" s="85">
        <f>IF(TRIM(Expenditure_import[[#This Row],[Description]])="",1,0)</f>
        <v>0</v>
      </c>
      <c r="M46" s="85">
        <f>IF(ISBLANK(Expenditure_import[[#This Row],[MatEditOnly]]),1,0)</f>
        <v>0</v>
      </c>
      <c r="N46" s="85">
        <f>IF(ISBLANK(Expenditure_import[[#This Row],[FinancialYearCode]]),1,0)</f>
        <v>0</v>
      </c>
      <c r="O46" s="85">
        <f>IF(ISBLANK(Expenditure_import[[#This Row],[Calculated]]),1,0)</f>
        <v>0</v>
      </c>
      <c r="P46"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46" s="85">
        <f>IF(LEN(Expenditure_import[[#This Row],[Description]])&lt;100,0,1)</f>
        <v>0</v>
      </c>
      <c r="R46" s="85">
        <f>IF(LEN(Expenditure_import[[#This Row],[Notes]])&lt;4000,0,1)</f>
        <v>0</v>
      </c>
      <c r="S46" s="85">
        <f>IF(LEN(Expenditure_import[[#This Row],[YearNotes]])&lt;4000,0,1)</f>
        <v>0</v>
      </c>
      <c r="T46" s="85">
        <f>IF(OR(Expenditure_import[[#This Row],[MatEditOnly]]=TRUE,Expenditure_import[[#This Row],[MatEditOnly]]=FALSE),IF(OR(Expenditure_import[[#This Row],[Calculated]]=TRUE,Expenditure_import[[#This Row],[Calculated]]=FALSE),0,1),1)</f>
        <v>0</v>
      </c>
      <c r="U46" s="85">
        <f>IF(_xlfn.XLOOKUP(Expenditure_import[[#This Row],[FinancialYearCode]],Years[Years],Years[Years],1)=Expenditure_import[[#This Row],[FinancialYearCode]],0,1)</f>
        <v>0</v>
      </c>
      <c r="V46" s="85">
        <f>IF(Expenditure_import[[#This Row],[CalculatorCode]]="",0,IF(IF(_xlfn.XLOOKUP(Expenditure_import[[#This Row],[CalculatorCode]],Calculators[CalculatorCode],Calculators[LockCheck])=1,TRUE,FALSE)=Expenditure_import[[#This Row],[MatEditOnly]],0,1))</f>
        <v>0</v>
      </c>
      <c r="W46" s="85">
        <f ca="1">SUM(Expenditure_import[[#This Row],[DuplicateLine]:[MAT edit only required]])</f>
        <v>4</v>
      </c>
      <c r="X46" s="80">
        <f>COUNTIF(SRG[GrossSalaryFinanceCode],Expenditure_import[[#This Row],[FinanceCode]])+COUNTIF(SRG[EmployersNiFinanceCode],Expenditure_import[[#This Row],[FinanceCode]])+COUNTIF(SRG[PensionFinanceCode],Expenditure_import[[#This Row],[FinanceCode]])</f>
        <v>0</v>
      </c>
      <c r="Y46" s="80" t="str">
        <f>_xlfn.XLOOKUP(Expenditure_import[[#This Row],[SchoolCode]],SCHOOLS[SchoolCode],SCHOOLS[Title])</f>
        <v>Netherton Infant and Nursery School</v>
      </c>
      <c r="AA46">
        <v>675110</v>
      </c>
      <c r="AB46" t="s">
        <v>2603</v>
      </c>
      <c r="AF46" t="s">
        <v>2343</v>
      </c>
      <c r="AG46" t="s">
        <v>1124</v>
      </c>
      <c r="AH46" t="s">
        <v>2345</v>
      </c>
      <c r="AK46" t="b">
        <v>1</v>
      </c>
      <c r="AL46" t="s">
        <v>1497</v>
      </c>
      <c r="AM46" t="b">
        <v>1</v>
      </c>
      <c r="AN46">
        <f t="shared" ca="1" si="2"/>
        <v>1802</v>
      </c>
    </row>
    <row r="47" spans="1:40" x14ac:dyDescent="0.3">
      <c r="A47" s="120" t="str">
        <f t="shared" si="1"/>
        <v>675110RVSApprentice Levy - Support2025/26</v>
      </c>
      <c r="B47" s="85">
        <f>COUNTIF(Expenditure_import[Column1],Expenditure_import[[#This Row],[Column1]])-1</f>
        <v>0</v>
      </c>
      <c r="C47" s="80" cm="1">
        <f t="array" ref="C47">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47" s="85">
        <f>IF(COUNTIF(SCHOOLS[SchoolCode],Expenditure_import[[#This Row],[SchoolCode]])&gt;0,0,1)</f>
        <v>0</v>
      </c>
      <c r="E47" s="85">
        <f>IF(COUNTIF(LEDGER[],Expenditure_import[[#This Row],[LedgerCode]])&gt;0,0,1)</f>
        <v>0</v>
      </c>
      <c r="F47" s="85">
        <f>IF(ISBLANK(Expenditure_import[[#This Row],[MonthProfileCode]]),1,IF(COUNTIF(MONTHPRF[Code],Expenditure_import[[#This Row],[MonthProfileCode]])&gt;0,0,1))</f>
        <v>0</v>
      </c>
      <c r="G47" s="80" cm="1">
        <f t="array" ref="G47">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47" s="85">
        <f>IF(Expenditure_import[[#This Row],[FundCode]]=0,0,IF(COUNTIF(FUNDS[FundCode],Expenditure_import[[#This Row],[FundCode]])&gt;0,0,1))</f>
        <v>0</v>
      </c>
      <c r="I47" s="80" cm="1">
        <f t="array" ref="I47">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47" s="85">
        <f ca="1">IF(ISBLANK(Expenditure_import[[#This Row],[YearValue]])=Expenditure_import[[#This Row],[Calculated]],0,1)</f>
        <v>1</v>
      </c>
      <c r="K47" s="85">
        <f>IF(ISBLANK(Expenditure_import[[#This Row],[CalculatorCode]]),0,IF(COUNTIF(Calculators[CalculatorCode],Expenditure_import[[#This Row],[CalculatorCode]])&gt;0,0,1))</f>
        <v>0</v>
      </c>
      <c r="L47" s="85">
        <f>IF(TRIM(Expenditure_import[[#This Row],[Description]])="",1,0)</f>
        <v>0</v>
      </c>
      <c r="M47" s="85">
        <f>IF(ISBLANK(Expenditure_import[[#This Row],[MatEditOnly]]),1,0)</f>
        <v>0</v>
      </c>
      <c r="N47" s="85">
        <f>IF(ISBLANK(Expenditure_import[[#This Row],[FinancialYearCode]]),1,0)</f>
        <v>0</v>
      </c>
      <c r="O47" s="85">
        <f>IF(ISBLANK(Expenditure_import[[#This Row],[Calculated]]),1,0)</f>
        <v>0</v>
      </c>
      <c r="P47"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47" s="85">
        <f>IF(LEN(Expenditure_import[[#This Row],[Description]])&lt;100,0,1)</f>
        <v>0</v>
      </c>
      <c r="R47" s="85">
        <f>IF(LEN(Expenditure_import[[#This Row],[Notes]])&lt;4000,0,1)</f>
        <v>0</v>
      </c>
      <c r="S47" s="85">
        <f>IF(LEN(Expenditure_import[[#This Row],[YearNotes]])&lt;4000,0,1)</f>
        <v>0</v>
      </c>
      <c r="T47" s="85">
        <f>IF(OR(Expenditure_import[[#This Row],[MatEditOnly]]=TRUE,Expenditure_import[[#This Row],[MatEditOnly]]=FALSE),IF(OR(Expenditure_import[[#This Row],[Calculated]]=TRUE,Expenditure_import[[#This Row],[Calculated]]=FALSE),0,1),1)</f>
        <v>0</v>
      </c>
      <c r="U47" s="85">
        <f>IF(_xlfn.XLOOKUP(Expenditure_import[[#This Row],[FinancialYearCode]],Years[Years],Years[Years],1)=Expenditure_import[[#This Row],[FinancialYearCode]],0,1)</f>
        <v>0</v>
      </c>
      <c r="V47" s="85">
        <f>IF(Expenditure_import[[#This Row],[CalculatorCode]]="",0,IF(IF(_xlfn.XLOOKUP(Expenditure_import[[#This Row],[CalculatorCode]],Calculators[CalculatorCode],Calculators[LockCheck])=1,TRUE,FALSE)=Expenditure_import[[#This Row],[MatEditOnly]],0,1))</f>
        <v>0</v>
      </c>
      <c r="W47" s="85">
        <f ca="1">SUM(Expenditure_import[[#This Row],[DuplicateLine]:[MAT edit only required]])</f>
        <v>4</v>
      </c>
      <c r="X47" s="80">
        <f>COUNTIF(SRG[GrossSalaryFinanceCode],Expenditure_import[[#This Row],[FinanceCode]])+COUNTIF(SRG[EmployersNiFinanceCode],Expenditure_import[[#This Row],[FinanceCode]])+COUNTIF(SRG[PensionFinanceCode],Expenditure_import[[#This Row],[FinanceCode]])</f>
        <v>0</v>
      </c>
      <c r="Y47" s="80" t="str">
        <f>_xlfn.XLOOKUP(Expenditure_import[[#This Row],[SchoolCode]],SCHOOLS[SchoolCode],SCHOOLS[Title])</f>
        <v>Ryburn Valley High School</v>
      </c>
      <c r="AA47">
        <v>675110</v>
      </c>
      <c r="AB47" t="s">
        <v>2605</v>
      </c>
      <c r="AF47" t="s">
        <v>2343</v>
      </c>
      <c r="AG47" t="s">
        <v>1124</v>
      </c>
      <c r="AH47" t="s">
        <v>2345</v>
      </c>
      <c r="AK47" t="b">
        <v>1</v>
      </c>
      <c r="AL47" t="s">
        <v>1497</v>
      </c>
      <c r="AM47" t="b">
        <v>1</v>
      </c>
      <c r="AN47">
        <f t="shared" ca="1" si="2"/>
        <v>1417</v>
      </c>
    </row>
    <row r="48" spans="1:40" x14ac:dyDescent="0.3">
      <c r="A48" s="120" t="str">
        <f t="shared" si="1"/>
        <v>675110SRAApprentice Levy - Support2025/26</v>
      </c>
      <c r="B48" s="85">
        <f>COUNTIF(Expenditure_import[Column1],Expenditure_import[[#This Row],[Column1]])-1</f>
        <v>0</v>
      </c>
      <c r="C48" s="80" cm="1">
        <f t="array" ref="C48">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48" s="85">
        <f>IF(COUNTIF(SCHOOLS[SchoolCode],Expenditure_import[[#This Row],[SchoolCode]])&gt;0,0,1)</f>
        <v>0</v>
      </c>
      <c r="E48" s="85">
        <f>IF(COUNTIF(LEDGER[],Expenditure_import[[#This Row],[LedgerCode]])&gt;0,0,1)</f>
        <v>0</v>
      </c>
      <c r="F48" s="85">
        <f>IF(ISBLANK(Expenditure_import[[#This Row],[MonthProfileCode]]),1,IF(COUNTIF(MONTHPRF[Code],Expenditure_import[[#This Row],[MonthProfileCode]])&gt;0,0,1))</f>
        <v>0</v>
      </c>
      <c r="G48" s="80" cm="1">
        <f t="array" ref="G48">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48" s="85">
        <f>IF(Expenditure_import[[#This Row],[FundCode]]=0,0,IF(COUNTIF(FUNDS[FundCode],Expenditure_import[[#This Row],[FundCode]])&gt;0,0,1))</f>
        <v>0</v>
      </c>
      <c r="I48" s="80" cm="1">
        <f t="array" ref="I48">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48" s="85">
        <f ca="1">IF(ISBLANK(Expenditure_import[[#This Row],[YearValue]])=Expenditure_import[[#This Row],[Calculated]],0,1)</f>
        <v>1</v>
      </c>
      <c r="K48" s="85">
        <f>IF(ISBLANK(Expenditure_import[[#This Row],[CalculatorCode]]),0,IF(COUNTIF(Calculators[CalculatorCode],Expenditure_import[[#This Row],[CalculatorCode]])&gt;0,0,1))</f>
        <v>0</v>
      </c>
      <c r="L48" s="85">
        <f>IF(TRIM(Expenditure_import[[#This Row],[Description]])="",1,0)</f>
        <v>0</v>
      </c>
      <c r="M48" s="85">
        <f>IF(ISBLANK(Expenditure_import[[#This Row],[MatEditOnly]]),1,0)</f>
        <v>0</v>
      </c>
      <c r="N48" s="85">
        <f>IF(ISBLANK(Expenditure_import[[#This Row],[FinancialYearCode]]),1,0)</f>
        <v>0</v>
      </c>
      <c r="O48" s="85">
        <f>IF(ISBLANK(Expenditure_import[[#This Row],[Calculated]]),1,0)</f>
        <v>0</v>
      </c>
      <c r="P48"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48" s="85">
        <f>IF(LEN(Expenditure_import[[#This Row],[Description]])&lt;100,0,1)</f>
        <v>0</v>
      </c>
      <c r="R48" s="85">
        <f>IF(LEN(Expenditure_import[[#This Row],[Notes]])&lt;4000,0,1)</f>
        <v>0</v>
      </c>
      <c r="S48" s="85">
        <f>IF(LEN(Expenditure_import[[#This Row],[YearNotes]])&lt;4000,0,1)</f>
        <v>0</v>
      </c>
      <c r="T48" s="85">
        <f>IF(OR(Expenditure_import[[#This Row],[MatEditOnly]]=TRUE,Expenditure_import[[#This Row],[MatEditOnly]]=FALSE),IF(OR(Expenditure_import[[#This Row],[Calculated]]=TRUE,Expenditure_import[[#This Row],[Calculated]]=FALSE),0,1),1)</f>
        <v>0</v>
      </c>
      <c r="U48" s="85">
        <f>IF(_xlfn.XLOOKUP(Expenditure_import[[#This Row],[FinancialYearCode]],Years[Years],Years[Years],1)=Expenditure_import[[#This Row],[FinancialYearCode]],0,1)</f>
        <v>0</v>
      </c>
      <c r="V48" s="85">
        <f>IF(Expenditure_import[[#This Row],[CalculatorCode]]="",0,IF(IF(_xlfn.XLOOKUP(Expenditure_import[[#This Row],[CalculatorCode]],Calculators[CalculatorCode],Calculators[LockCheck])=1,TRUE,FALSE)=Expenditure_import[[#This Row],[MatEditOnly]],0,1))</f>
        <v>0</v>
      </c>
      <c r="W48" s="85">
        <f ca="1">SUM(Expenditure_import[[#This Row],[DuplicateLine]:[MAT edit only required]])</f>
        <v>4</v>
      </c>
      <c r="X48" s="80">
        <f>COUNTIF(SRG[GrossSalaryFinanceCode],Expenditure_import[[#This Row],[FinanceCode]])+COUNTIF(SRG[EmployersNiFinanceCode],Expenditure_import[[#This Row],[FinanceCode]])+COUNTIF(SRG[PensionFinanceCode],Expenditure_import[[#This Row],[FinanceCode]])</f>
        <v>0</v>
      </c>
      <c r="Y48" s="80" t="str">
        <f>_xlfn.XLOOKUP(Expenditure_import[[#This Row],[SchoolCode]],SCHOOLS[SchoolCode],SCHOOLS[Title])</f>
        <v>Scout Road Academy</v>
      </c>
      <c r="AA48">
        <v>675110</v>
      </c>
      <c r="AB48" t="s">
        <v>2607</v>
      </c>
      <c r="AF48" t="s">
        <v>2343</v>
      </c>
      <c r="AG48" t="s">
        <v>1124</v>
      </c>
      <c r="AH48" t="s">
        <v>2345</v>
      </c>
      <c r="AK48" t="b">
        <v>1</v>
      </c>
      <c r="AL48" t="s">
        <v>1497</v>
      </c>
      <c r="AM48" t="b">
        <v>1</v>
      </c>
      <c r="AN48">
        <f t="shared" ca="1" si="2"/>
        <v>614</v>
      </c>
    </row>
    <row r="49" spans="1:40" x14ac:dyDescent="0.3">
      <c r="A49" s="120" t="str">
        <f t="shared" si="1"/>
        <v>675110TLTApprentice Levy - Support2025/26</v>
      </c>
      <c r="B49" s="85">
        <f>COUNTIF(Expenditure_import[Column1],Expenditure_import[[#This Row],[Column1]])-1</f>
        <v>0</v>
      </c>
      <c r="C49" s="80" cm="1">
        <f t="array" ref="C49">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49" s="85">
        <f>IF(COUNTIF(SCHOOLS[SchoolCode],Expenditure_import[[#This Row],[SchoolCode]])&gt;0,0,1)</f>
        <v>0</v>
      </c>
      <c r="E49" s="85">
        <f>IF(COUNTIF(LEDGER[],Expenditure_import[[#This Row],[LedgerCode]])&gt;0,0,1)</f>
        <v>0</v>
      </c>
      <c r="F49" s="85">
        <f>IF(ISBLANK(Expenditure_import[[#This Row],[MonthProfileCode]]),1,IF(COUNTIF(MONTHPRF[Code],Expenditure_import[[#This Row],[MonthProfileCode]])&gt;0,0,1))</f>
        <v>0</v>
      </c>
      <c r="G49" s="80" cm="1">
        <f t="array" ref="G49">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49" s="85">
        <f>IF(Expenditure_import[[#This Row],[FundCode]]=0,0,IF(COUNTIF(FUNDS[FundCode],Expenditure_import[[#This Row],[FundCode]])&gt;0,0,1))</f>
        <v>0</v>
      </c>
      <c r="I49" s="80" cm="1">
        <f t="array" ref="I49">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49" s="85">
        <f ca="1">IF(ISBLANK(Expenditure_import[[#This Row],[YearValue]])=Expenditure_import[[#This Row],[Calculated]],0,1)</f>
        <v>1</v>
      </c>
      <c r="K49" s="85">
        <f>IF(ISBLANK(Expenditure_import[[#This Row],[CalculatorCode]]),0,IF(COUNTIF(Calculators[CalculatorCode],Expenditure_import[[#This Row],[CalculatorCode]])&gt;0,0,1))</f>
        <v>0</v>
      </c>
      <c r="L49" s="85">
        <f>IF(TRIM(Expenditure_import[[#This Row],[Description]])="",1,0)</f>
        <v>0</v>
      </c>
      <c r="M49" s="85">
        <f>IF(ISBLANK(Expenditure_import[[#This Row],[MatEditOnly]]),1,0)</f>
        <v>0</v>
      </c>
      <c r="N49" s="85">
        <f>IF(ISBLANK(Expenditure_import[[#This Row],[FinancialYearCode]]),1,0)</f>
        <v>0</v>
      </c>
      <c r="O49" s="85">
        <f>IF(ISBLANK(Expenditure_import[[#This Row],[Calculated]]),1,0)</f>
        <v>0</v>
      </c>
      <c r="P49"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49" s="85">
        <f>IF(LEN(Expenditure_import[[#This Row],[Description]])&lt;100,0,1)</f>
        <v>0</v>
      </c>
      <c r="R49" s="85">
        <f>IF(LEN(Expenditure_import[[#This Row],[Notes]])&lt;4000,0,1)</f>
        <v>0</v>
      </c>
      <c r="S49" s="85">
        <f>IF(LEN(Expenditure_import[[#This Row],[YearNotes]])&lt;4000,0,1)</f>
        <v>0</v>
      </c>
      <c r="T49" s="85">
        <f>IF(OR(Expenditure_import[[#This Row],[MatEditOnly]]=TRUE,Expenditure_import[[#This Row],[MatEditOnly]]=FALSE),IF(OR(Expenditure_import[[#This Row],[Calculated]]=TRUE,Expenditure_import[[#This Row],[Calculated]]=FALSE),0,1),1)</f>
        <v>0</v>
      </c>
      <c r="U49" s="85">
        <f>IF(_xlfn.XLOOKUP(Expenditure_import[[#This Row],[FinancialYearCode]],Years[Years],Years[Years],1)=Expenditure_import[[#This Row],[FinancialYearCode]],0,1)</f>
        <v>0</v>
      </c>
      <c r="V49" s="85">
        <f>IF(Expenditure_import[[#This Row],[CalculatorCode]]="",0,IF(IF(_xlfn.XLOOKUP(Expenditure_import[[#This Row],[CalculatorCode]],Calculators[CalculatorCode],Calculators[LockCheck])=1,TRUE,FALSE)=Expenditure_import[[#This Row],[MatEditOnly]],0,1))</f>
        <v>0</v>
      </c>
      <c r="W49" s="85">
        <f ca="1">SUM(Expenditure_import[[#This Row],[DuplicateLine]:[MAT edit only required]])</f>
        <v>4</v>
      </c>
      <c r="X49" s="80">
        <f>COUNTIF(SRG[GrossSalaryFinanceCode],Expenditure_import[[#This Row],[FinanceCode]])+COUNTIF(SRG[EmployersNiFinanceCode],Expenditure_import[[#This Row],[FinanceCode]])+COUNTIF(SRG[PensionFinanceCode],Expenditure_import[[#This Row],[FinanceCode]])</f>
        <v>0</v>
      </c>
      <c r="Y49" s="80" t="str">
        <f>_xlfn.XLOOKUP(Expenditure_import[[#This Row],[SchoolCode]],SCHOOLS[SchoolCode],SCHOOLS[Title])</f>
        <v>Together Learning Trust</v>
      </c>
      <c r="AA49">
        <v>675110</v>
      </c>
      <c r="AB49" t="s">
        <v>2609</v>
      </c>
      <c r="AF49" t="s">
        <v>2343</v>
      </c>
      <c r="AG49" t="s">
        <v>1124</v>
      </c>
      <c r="AH49" t="s">
        <v>2345</v>
      </c>
      <c r="AK49" t="b">
        <v>1</v>
      </c>
      <c r="AL49" t="s">
        <v>1497</v>
      </c>
      <c r="AM49" t="b">
        <v>1</v>
      </c>
      <c r="AN49">
        <f t="shared" ca="1" si="2"/>
        <v>1640</v>
      </c>
    </row>
    <row r="50" spans="1:40" x14ac:dyDescent="0.3">
      <c r="A50" s="120" t="str">
        <f t="shared" si="1"/>
        <v>675100BBPApprentice Levy - Teaching2025/26</v>
      </c>
      <c r="B50" s="85">
        <f>COUNTIF(Expenditure_import[Column1],Expenditure_import[[#This Row],[Column1]])-1</f>
        <v>0</v>
      </c>
      <c r="C50" s="80" cm="1">
        <f t="array" ref="C50">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50" s="85">
        <f>IF(COUNTIF(SCHOOLS[SchoolCode],Expenditure_import[[#This Row],[SchoolCode]])&gt;0,0,1)</f>
        <v>0</v>
      </c>
      <c r="E50" s="85">
        <f>IF(COUNTIF(LEDGER[],Expenditure_import[[#This Row],[LedgerCode]])&gt;0,0,1)</f>
        <v>0</v>
      </c>
      <c r="F50" s="85">
        <f>IF(ISBLANK(Expenditure_import[[#This Row],[MonthProfileCode]]),1,IF(COUNTIF(MONTHPRF[Code],Expenditure_import[[#This Row],[MonthProfileCode]])&gt;0,0,1))</f>
        <v>0</v>
      </c>
      <c r="G50" s="80" cm="1">
        <f t="array" ref="G50">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50" s="85">
        <f>IF(Expenditure_import[[#This Row],[FundCode]]=0,0,IF(COUNTIF(FUNDS[FundCode],Expenditure_import[[#This Row],[FundCode]])&gt;0,0,1))</f>
        <v>0</v>
      </c>
      <c r="I50" s="80" cm="1">
        <f t="array" ref="I50">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50" s="85">
        <f ca="1">IF(ISBLANK(Expenditure_import[[#This Row],[YearValue]])=Expenditure_import[[#This Row],[Calculated]],0,1)</f>
        <v>1</v>
      </c>
      <c r="K50" s="85">
        <f>IF(ISBLANK(Expenditure_import[[#This Row],[CalculatorCode]]),0,IF(COUNTIF(Calculators[CalculatorCode],Expenditure_import[[#This Row],[CalculatorCode]])&gt;0,0,1))</f>
        <v>0</v>
      </c>
      <c r="L50" s="85">
        <f>IF(TRIM(Expenditure_import[[#This Row],[Description]])="",1,0)</f>
        <v>0</v>
      </c>
      <c r="M50" s="85">
        <f>IF(ISBLANK(Expenditure_import[[#This Row],[MatEditOnly]]),1,0)</f>
        <v>0</v>
      </c>
      <c r="N50" s="85">
        <f>IF(ISBLANK(Expenditure_import[[#This Row],[FinancialYearCode]]),1,0)</f>
        <v>0</v>
      </c>
      <c r="O50" s="85">
        <f>IF(ISBLANK(Expenditure_import[[#This Row],[Calculated]]),1,0)</f>
        <v>0</v>
      </c>
      <c r="P50"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50" s="85">
        <f>IF(LEN(Expenditure_import[[#This Row],[Description]])&lt;100,0,1)</f>
        <v>0</v>
      </c>
      <c r="R50" s="85">
        <f>IF(LEN(Expenditure_import[[#This Row],[Notes]])&lt;4000,0,1)</f>
        <v>0</v>
      </c>
      <c r="S50" s="85">
        <f>IF(LEN(Expenditure_import[[#This Row],[YearNotes]])&lt;4000,0,1)</f>
        <v>0</v>
      </c>
      <c r="T50" s="85">
        <f>IF(OR(Expenditure_import[[#This Row],[MatEditOnly]]=TRUE,Expenditure_import[[#This Row],[MatEditOnly]]=FALSE),IF(OR(Expenditure_import[[#This Row],[Calculated]]=TRUE,Expenditure_import[[#This Row],[Calculated]]=FALSE),0,1),1)</f>
        <v>0</v>
      </c>
      <c r="U50" s="85">
        <f>IF(_xlfn.XLOOKUP(Expenditure_import[[#This Row],[FinancialYearCode]],Years[Years],Years[Years],1)=Expenditure_import[[#This Row],[FinancialYearCode]],0,1)</f>
        <v>0</v>
      </c>
      <c r="V50" s="85">
        <f>IF(Expenditure_import[[#This Row],[CalculatorCode]]="",0,IF(IF(_xlfn.XLOOKUP(Expenditure_import[[#This Row],[CalculatorCode]],Calculators[CalculatorCode],Calculators[LockCheck])=1,TRUE,FALSE)=Expenditure_import[[#This Row],[MatEditOnly]],0,1))</f>
        <v>0</v>
      </c>
      <c r="W50" s="85">
        <f ca="1">SUM(Expenditure_import[[#This Row],[DuplicateLine]:[MAT edit only required]])</f>
        <v>4</v>
      </c>
      <c r="X50" s="80">
        <f>COUNTIF(SRG[GrossSalaryFinanceCode],Expenditure_import[[#This Row],[FinanceCode]])+COUNTIF(SRG[EmployersNiFinanceCode],Expenditure_import[[#This Row],[FinanceCode]])+COUNTIF(SRG[PensionFinanceCode],Expenditure_import[[#This Row],[FinanceCode]])</f>
        <v>0</v>
      </c>
      <c r="Y50" s="80" t="str">
        <f>_xlfn.XLOOKUP(Expenditure_import[[#This Row],[SchoolCode]],SCHOOLS[SchoolCode],SCHOOLS[Title])</f>
        <v>Bolton Brow Primary Academy</v>
      </c>
      <c r="AA50">
        <v>675100</v>
      </c>
      <c r="AB50" t="s">
        <v>2588</v>
      </c>
      <c r="AF50" t="s">
        <v>2342</v>
      </c>
      <c r="AG50" t="s">
        <v>1124</v>
      </c>
      <c r="AH50" t="s">
        <v>2344</v>
      </c>
      <c r="AK50" t="b">
        <v>1</v>
      </c>
      <c r="AL50" t="s">
        <v>1497</v>
      </c>
      <c r="AM50" t="b">
        <v>1</v>
      </c>
      <c r="AN50">
        <f t="shared" ca="1" si="2"/>
        <v>1679</v>
      </c>
    </row>
    <row r="51" spans="1:40" x14ac:dyDescent="0.3">
      <c r="A51" s="120" t="str">
        <f t="shared" si="1"/>
        <v>675100BBSApprentice Levy - Teaching2025/26</v>
      </c>
      <c r="B51" s="85">
        <f>COUNTIF(Expenditure_import[Column1],Expenditure_import[[#This Row],[Column1]])-1</f>
        <v>0</v>
      </c>
      <c r="C51" s="80" cm="1">
        <f t="array" ref="C51">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51" s="85">
        <f>IF(COUNTIF(SCHOOLS[SchoolCode],Expenditure_import[[#This Row],[SchoolCode]])&gt;0,0,1)</f>
        <v>0</v>
      </c>
      <c r="E51" s="85">
        <f>IF(COUNTIF(LEDGER[],Expenditure_import[[#This Row],[LedgerCode]])&gt;0,0,1)</f>
        <v>0</v>
      </c>
      <c r="F51" s="85">
        <f>IF(ISBLANK(Expenditure_import[[#This Row],[MonthProfileCode]]),1,IF(COUNTIF(MONTHPRF[Code],Expenditure_import[[#This Row],[MonthProfileCode]])&gt;0,0,1))</f>
        <v>0</v>
      </c>
      <c r="G51" s="80" cm="1">
        <f t="array" ref="G51">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51" s="85">
        <f>IF(Expenditure_import[[#This Row],[FundCode]]=0,0,IF(COUNTIF(FUNDS[FundCode],Expenditure_import[[#This Row],[FundCode]])&gt;0,0,1))</f>
        <v>0</v>
      </c>
      <c r="I51" s="80" cm="1">
        <f t="array" ref="I51">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51" s="85">
        <f ca="1">IF(ISBLANK(Expenditure_import[[#This Row],[YearValue]])=Expenditure_import[[#This Row],[Calculated]],0,1)</f>
        <v>1</v>
      </c>
      <c r="K51" s="85">
        <f>IF(ISBLANK(Expenditure_import[[#This Row],[CalculatorCode]]),0,IF(COUNTIF(Calculators[CalculatorCode],Expenditure_import[[#This Row],[CalculatorCode]])&gt;0,0,1))</f>
        <v>0</v>
      </c>
      <c r="L51" s="85">
        <f>IF(TRIM(Expenditure_import[[#This Row],[Description]])="",1,0)</f>
        <v>0</v>
      </c>
      <c r="M51" s="85">
        <f>IF(ISBLANK(Expenditure_import[[#This Row],[MatEditOnly]]),1,0)</f>
        <v>0</v>
      </c>
      <c r="N51" s="85">
        <f>IF(ISBLANK(Expenditure_import[[#This Row],[FinancialYearCode]]),1,0)</f>
        <v>0</v>
      </c>
      <c r="O51" s="85">
        <f>IF(ISBLANK(Expenditure_import[[#This Row],[Calculated]]),1,0)</f>
        <v>0</v>
      </c>
      <c r="P51"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51" s="85">
        <f>IF(LEN(Expenditure_import[[#This Row],[Description]])&lt;100,0,1)</f>
        <v>0</v>
      </c>
      <c r="R51" s="85">
        <f>IF(LEN(Expenditure_import[[#This Row],[Notes]])&lt;4000,0,1)</f>
        <v>0</v>
      </c>
      <c r="S51" s="85">
        <f>IF(LEN(Expenditure_import[[#This Row],[YearNotes]])&lt;4000,0,1)</f>
        <v>0</v>
      </c>
      <c r="T51" s="85">
        <f>IF(OR(Expenditure_import[[#This Row],[MatEditOnly]]=TRUE,Expenditure_import[[#This Row],[MatEditOnly]]=FALSE),IF(OR(Expenditure_import[[#This Row],[Calculated]]=TRUE,Expenditure_import[[#This Row],[Calculated]]=FALSE),0,1),1)</f>
        <v>0</v>
      </c>
      <c r="U51" s="85">
        <f>IF(_xlfn.XLOOKUP(Expenditure_import[[#This Row],[FinancialYearCode]],Years[Years],Years[Years],1)=Expenditure_import[[#This Row],[FinancialYearCode]],0,1)</f>
        <v>0</v>
      </c>
      <c r="V51" s="85">
        <f>IF(Expenditure_import[[#This Row],[CalculatorCode]]="",0,IF(IF(_xlfn.XLOOKUP(Expenditure_import[[#This Row],[CalculatorCode]],Calculators[CalculatorCode],Calculators[LockCheck])=1,TRUE,FALSE)=Expenditure_import[[#This Row],[MatEditOnly]],0,1))</f>
        <v>0</v>
      </c>
      <c r="W51" s="85">
        <f ca="1">SUM(Expenditure_import[[#This Row],[DuplicateLine]:[MAT edit only required]])</f>
        <v>4</v>
      </c>
      <c r="X51" s="80">
        <f>COUNTIF(SRG[GrossSalaryFinanceCode],Expenditure_import[[#This Row],[FinanceCode]])+COUNTIF(SRG[EmployersNiFinanceCode],Expenditure_import[[#This Row],[FinanceCode]])+COUNTIF(SRG[PensionFinanceCode],Expenditure_import[[#This Row],[FinanceCode]])</f>
        <v>0</v>
      </c>
      <c r="Y51" s="80" t="str">
        <f>_xlfn.XLOOKUP(Expenditure_import[[#This Row],[SchoolCode]],SCHOOLS[SchoolCode],SCHOOLS[Title])</f>
        <v>The Brooksbank School</v>
      </c>
      <c r="AA51">
        <v>675100</v>
      </c>
      <c r="AB51" t="s">
        <v>2591</v>
      </c>
      <c r="AF51" t="s">
        <v>2342</v>
      </c>
      <c r="AG51" t="s">
        <v>1124</v>
      </c>
      <c r="AH51" t="s">
        <v>2344</v>
      </c>
      <c r="AK51" t="b">
        <v>1</v>
      </c>
      <c r="AL51" t="s">
        <v>1497</v>
      </c>
      <c r="AM51" t="b">
        <v>1</v>
      </c>
      <c r="AN51">
        <f t="shared" ca="1" si="2"/>
        <v>570</v>
      </c>
    </row>
    <row r="52" spans="1:40" x14ac:dyDescent="0.3">
      <c r="A52" s="120" t="str">
        <f t="shared" si="1"/>
        <v>675100CHSApprentice Levy - Teaching2025/26</v>
      </c>
      <c r="B52" s="85">
        <f>COUNTIF(Expenditure_import[Column1],Expenditure_import[[#This Row],[Column1]])-1</f>
        <v>0</v>
      </c>
      <c r="C52" s="80" cm="1">
        <f t="array" ref="C52">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52" s="85">
        <f>IF(COUNTIF(SCHOOLS[SchoolCode],Expenditure_import[[#This Row],[SchoolCode]])&gt;0,0,1)</f>
        <v>0</v>
      </c>
      <c r="E52" s="85">
        <f>IF(COUNTIF(LEDGER[],Expenditure_import[[#This Row],[LedgerCode]])&gt;0,0,1)</f>
        <v>0</v>
      </c>
      <c r="F52" s="85">
        <f>IF(ISBLANK(Expenditure_import[[#This Row],[MonthProfileCode]]),1,IF(COUNTIF(MONTHPRF[Code],Expenditure_import[[#This Row],[MonthProfileCode]])&gt;0,0,1))</f>
        <v>0</v>
      </c>
      <c r="G52" s="80" cm="1">
        <f t="array" ref="G52">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52" s="85">
        <f>IF(Expenditure_import[[#This Row],[FundCode]]=0,0,IF(COUNTIF(FUNDS[FundCode],Expenditure_import[[#This Row],[FundCode]])&gt;0,0,1))</f>
        <v>0</v>
      </c>
      <c r="I52" s="80" cm="1">
        <f t="array" ref="I52">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52" s="85">
        <f ca="1">IF(ISBLANK(Expenditure_import[[#This Row],[YearValue]])=Expenditure_import[[#This Row],[Calculated]],0,1)</f>
        <v>1</v>
      </c>
      <c r="K52" s="85">
        <f>IF(ISBLANK(Expenditure_import[[#This Row],[CalculatorCode]]),0,IF(COUNTIF(Calculators[CalculatorCode],Expenditure_import[[#This Row],[CalculatorCode]])&gt;0,0,1))</f>
        <v>0</v>
      </c>
      <c r="L52" s="85">
        <f>IF(TRIM(Expenditure_import[[#This Row],[Description]])="",1,0)</f>
        <v>0</v>
      </c>
      <c r="M52" s="85">
        <f>IF(ISBLANK(Expenditure_import[[#This Row],[MatEditOnly]]),1,0)</f>
        <v>0</v>
      </c>
      <c r="N52" s="85">
        <f>IF(ISBLANK(Expenditure_import[[#This Row],[FinancialYearCode]]),1,0)</f>
        <v>0</v>
      </c>
      <c r="O52" s="85">
        <f>IF(ISBLANK(Expenditure_import[[#This Row],[Calculated]]),1,0)</f>
        <v>0</v>
      </c>
      <c r="P52"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52" s="85">
        <f>IF(LEN(Expenditure_import[[#This Row],[Description]])&lt;100,0,1)</f>
        <v>0</v>
      </c>
      <c r="R52" s="85">
        <f>IF(LEN(Expenditure_import[[#This Row],[Notes]])&lt;4000,0,1)</f>
        <v>0</v>
      </c>
      <c r="S52" s="85">
        <f>IF(LEN(Expenditure_import[[#This Row],[YearNotes]])&lt;4000,0,1)</f>
        <v>0</v>
      </c>
      <c r="T52" s="85">
        <f>IF(OR(Expenditure_import[[#This Row],[MatEditOnly]]=TRUE,Expenditure_import[[#This Row],[MatEditOnly]]=FALSE),IF(OR(Expenditure_import[[#This Row],[Calculated]]=TRUE,Expenditure_import[[#This Row],[Calculated]]=FALSE),0,1),1)</f>
        <v>0</v>
      </c>
      <c r="U52" s="85">
        <f>IF(_xlfn.XLOOKUP(Expenditure_import[[#This Row],[FinancialYearCode]],Years[Years],Years[Years],1)=Expenditure_import[[#This Row],[FinancialYearCode]],0,1)</f>
        <v>0</v>
      </c>
      <c r="V52" s="85">
        <f>IF(Expenditure_import[[#This Row],[CalculatorCode]]="",0,IF(IF(_xlfn.XLOOKUP(Expenditure_import[[#This Row],[CalculatorCode]],Calculators[CalculatorCode],Calculators[LockCheck])=1,TRUE,FALSE)=Expenditure_import[[#This Row],[MatEditOnly]],0,1))</f>
        <v>0</v>
      </c>
      <c r="W52" s="85">
        <f ca="1">SUM(Expenditure_import[[#This Row],[DuplicateLine]:[MAT edit only required]])</f>
        <v>4</v>
      </c>
      <c r="X52" s="80">
        <f>COUNTIF(SRG[GrossSalaryFinanceCode],Expenditure_import[[#This Row],[FinanceCode]])+COUNTIF(SRG[EmployersNiFinanceCode],Expenditure_import[[#This Row],[FinanceCode]])+COUNTIF(SRG[PensionFinanceCode],Expenditure_import[[#This Row],[FinanceCode]])</f>
        <v>0</v>
      </c>
      <c r="Y52" s="80" t="str">
        <f>_xlfn.XLOOKUP(Expenditure_import[[#This Row],[SchoolCode]],SCHOOLS[SchoolCode],SCHOOLS[Title])</f>
        <v>Castle Hill School</v>
      </c>
      <c r="AA52">
        <v>675100</v>
      </c>
      <c r="AB52" t="s">
        <v>2594</v>
      </c>
      <c r="AF52" t="s">
        <v>2342</v>
      </c>
      <c r="AG52" t="s">
        <v>1124</v>
      </c>
      <c r="AH52" t="s">
        <v>2344</v>
      </c>
      <c r="AK52" t="b">
        <v>1</v>
      </c>
      <c r="AL52" t="s">
        <v>1497</v>
      </c>
      <c r="AM52" t="b">
        <v>1</v>
      </c>
      <c r="AN52">
        <f t="shared" ca="1" si="2"/>
        <v>929</v>
      </c>
    </row>
    <row r="53" spans="1:40" x14ac:dyDescent="0.3">
      <c r="A53" s="120" t="str">
        <f t="shared" si="1"/>
        <v>675100HHSApprentice Levy - Teaching2025/26</v>
      </c>
      <c r="B53" s="85">
        <f>COUNTIF(Expenditure_import[Column1],Expenditure_import[[#This Row],[Column1]])-1</f>
        <v>0</v>
      </c>
      <c r="C53" s="80" cm="1">
        <f t="array" ref="C53">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53" s="85">
        <f>IF(COUNTIF(SCHOOLS[SchoolCode],Expenditure_import[[#This Row],[SchoolCode]])&gt;0,0,1)</f>
        <v>0</v>
      </c>
      <c r="E53" s="85">
        <f>IF(COUNTIF(LEDGER[],Expenditure_import[[#This Row],[LedgerCode]])&gt;0,0,1)</f>
        <v>0</v>
      </c>
      <c r="F53" s="85">
        <f>IF(ISBLANK(Expenditure_import[[#This Row],[MonthProfileCode]]),1,IF(COUNTIF(MONTHPRF[Code],Expenditure_import[[#This Row],[MonthProfileCode]])&gt;0,0,1))</f>
        <v>0</v>
      </c>
      <c r="G53" s="80" cm="1">
        <f t="array" ref="G53">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53" s="85">
        <f>IF(Expenditure_import[[#This Row],[FundCode]]=0,0,IF(COUNTIF(FUNDS[FundCode],Expenditure_import[[#This Row],[FundCode]])&gt;0,0,1))</f>
        <v>0</v>
      </c>
      <c r="I53" s="80" cm="1">
        <f t="array" ref="I53">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53" s="85">
        <f ca="1">IF(ISBLANK(Expenditure_import[[#This Row],[YearValue]])=Expenditure_import[[#This Row],[Calculated]],0,1)</f>
        <v>1</v>
      </c>
      <c r="K53" s="85">
        <f>IF(ISBLANK(Expenditure_import[[#This Row],[CalculatorCode]]),0,IF(COUNTIF(Calculators[CalculatorCode],Expenditure_import[[#This Row],[CalculatorCode]])&gt;0,0,1))</f>
        <v>0</v>
      </c>
      <c r="L53" s="85">
        <f>IF(TRIM(Expenditure_import[[#This Row],[Description]])="",1,0)</f>
        <v>0</v>
      </c>
      <c r="M53" s="85">
        <f>IF(ISBLANK(Expenditure_import[[#This Row],[MatEditOnly]]),1,0)</f>
        <v>0</v>
      </c>
      <c r="N53" s="85">
        <f>IF(ISBLANK(Expenditure_import[[#This Row],[FinancialYearCode]]),1,0)</f>
        <v>0</v>
      </c>
      <c r="O53" s="85">
        <f>IF(ISBLANK(Expenditure_import[[#This Row],[Calculated]]),1,0)</f>
        <v>0</v>
      </c>
      <c r="P53"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53" s="85">
        <f>IF(LEN(Expenditure_import[[#This Row],[Description]])&lt;100,0,1)</f>
        <v>0</v>
      </c>
      <c r="R53" s="85">
        <f>IF(LEN(Expenditure_import[[#This Row],[Notes]])&lt;4000,0,1)</f>
        <v>0</v>
      </c>
      <c r="S53" s="85">
        <f>IF(LEN(Expenditure_import[[#This Row],[YearNotes]])&lt;4000,0,1)</f>
        <v>0</v>
      </c>
      <c r="T53" s="85">
        <f>IF(OR(Expenditure_import[[#This Row],[MatEditOnly]]=TRUE,Expenditure_import[[#This Row],[MatEditOnly]]=FALSE),IF(OR(Expenditure_import[[#This Row],[Calculated]]=TRUE,Expenditure_import[[#This Row],[Calculated]]=FALSE),0,1),1)</f>
        <v>0</v>
      </c>
      <c r="U53" s="85">
        <f>IF(_xlfn.XLOOKUP(Expenditure_import[[#This Row],[FinancialYearCode]],Years[Years],Years[Years],1)=Expenditure_import[[#This Row],[FinancialYearCode]],0,1)</f>
        <v>0</v>
      </c>
      <c r="V53" s="85">
        <f>IF(Expenditure_import[[#This Row],[CalculatorCode]]="",0,IF(IF(_xlfn.XLOOKUP(Expenditure_import[[#This Row],[CalculatorCode]],Calculators[CalculatorCode],Calculators[LockCheck])=1,TRUE,FALSE)=Expenditure_import[[#This Row],[MatEditOnly]],0,1))</f>
        <v>0</v>
      </c>
      <c r="W53" s="85">
        <f ca="1">SUM(Expenditure_import[[#This Row],[DuplicateLine]:[MAT edit only required]])</f>
        <v>4</v>
      </c>
      <c r="X53" s="80">
        <f>COUNTIF(SRG[GrossSalaryFinanceCode],Expenditure_import[[#This Row],[FinanceCode]])+COUNTIF(SRG[EmployersNiFinanceCode],Expenditure_import[[#This Row],[FinanceCode]])+COUNTIF(SRG[PensionFinanceCode],Expenditure_import[[#This Row],[FinanceCode]])</f>
        <v>0</v>
      </c>
      <c r="Y53" s="80" t="str">
        <f>_xlfn.XLOOKUP(Expenditure_import[[#This Row],[SchoolCode]],SCHOOLS[SchoolCode],SCHOOLS[Title])</f>
        <v>Honley High School</v>
      </c>
      <c r="AA53">
        <v>675100</v>
      </c>
      <c r="AB53" t="s">
        <v>2597</v>
      </c>
      <c r="AF53" t="s">
        <v>2342</v>
      </c>
      <c r="AG53" t="s">
        <v>1124</v>
      </c>
      <c r="AH53" t="s">
        <v>2344</v>
      </c>
      <c r="AK53" t="b">
        <v>1</v>
      </c>
      <c r="AL53" t="s">
        <v>1497</v>
      </c>
      <c r="AM53" t="b">
        <v>1</v>
      </c>
      <c r="AN53">
        <f t="shared" ca="1" si="2"/>
        <v>616</v>
      </c>
    </row>
    <row r="54" spans="1:40" x14ac:dyDescent="0.3">
      <c r="A54" s="120" t="str">
        <f t="shared" si="1"/>
        <v>675100LCPApprentice Levy - Teaching2025/26</v>
      </c>
      <c r="B54" s="85">
        <f>COUNTIF(Expenditure_import[Column1],Expenditure_import[[#This Row],[Column1]])-1</f>
        <v>0</v>
      </c>
      <c r="C54" s="80" cm="1">
        <f t="array" ref="C54">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54" s="85">
        <f>IF(COUNTIF(SCHOOLS[SchoolCode],Expenditure_import[[#This Row],[SchoolCode]])&gt;0,0,1)</f>
        <v>0</v>
      </c>
      <c r="E54" s="85">
        <f>IF(COUNTIF(LEDGER[],Expenditure_import[[#This Row],[LedgerCode]])&gt;0,0,1)</f>
        <v>0</v>
      </c>
      <c r="F54" s="85">
        <f>IF(ISBLANK(Expenditure_import[[#This Row],[MonthProfileCode]]),1,IF(COUNTIF(MONTHPRF[Code],Expenditure_import[[#This Row],[MonthProfileCode]])&gt;0,0,1))</f>
        <v>0</v>
      </c>
      <c r="G54" s="80" cm="1">
        <f t="array" ref="G54">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54" s="85">
        <f>IF(Expenditure_import[[#This Row],[FundCode]]=0,0,IF(COUNTIF(FUNDS[FundCode],Expenditure_import[[#This Row],[FundCode]])&gt;0,0,1))</f>
        <v>0</v>
      </c>
      <c r="I54" s="80" cm="1">
        <f t="array" ref="I54">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54" s="85">
        <f ca="1">IF(ISBLANK(Expenditure_import[[#This Row],[YearValue]])=Expenditure_import[[#This Row],[Calculated]],0,1)</f>
        <v>1</v>
      </c>
      <c r="K54" s="85">
        <f>IF(ISBLANK(Expenditure_import[[#This Row],[CalculatorCode]]),0,IF(COUNTIF(Calculators[CalculatorCode],Expenditure_import[[#This Row],[CalculatorCode]])&gt;0,0,1))</f>
        <v>0</v>
      </c>
      <c r="L54" s="85">
        <f>IF(TRIM(Expenditure_import[[#This Row],[Description]])="",1,0)</f>
        <v>0</v>
      </c>
      <c r="M54" s="85">
        <f>IF(ISBLANK(Expenditure_import[[#This Row],[MatEditOnly]]),1,0)</f>
        <v>0</v>
      </c>
      <c r="N54" s="85">
        <f>IF(ISBLANK(Expenditure_import[[#This Row],[FinancialYearCode]]),1,0)</f>
        <v>0</v>
      </c>
      <c r="O54" s="85">
        <f>IF(ISBLANK(Expenditure_import[[#This Row],[Calculated]]),1,0)</f>
        <v>0</v>
      </c>
      <c r="P54"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54" s="85">
        <f>IF(LEN(Expenditure_import[[#This Row],[Description]])&lt;100,0,1)</f>
        <v>0</v>
      </c>
      <c r="R54" s="85">
        <f>IF(LEN(Expenditure_import[[#This Row],[Notes]])&lt;4000,0,1)</f>
        <v>0</v>
      </c>
      <c r="S54" s="85">
        <f>IF(LEN(Expenditure_import[[#This Row],[YearNotes]])&lt;4000,0,1)</f>
        <v>0</v>
      </c>
      <c r="T54" s="85">
        <f>IF(OR(Expenditure_import[[#This Row],[MatEditOnly]]=TRUE,Expenditure_import[[#This Row],[MatEditOnly]]=FALSE),IF(OR(Expenditure_import[[#This Row],[Calculated]]=TRUE,Expenditure_import[[#This Row],[Calculated]]=FALSE),0,1),1)</f>
        <v>0</v>
      </c>
      <c r="U54" s="85">
        <f>IF(_xlfn.XLOOKUP(Expenditure_import[[#This Row],[FinancialYearCode]],Years[Years],Years[Years],1)=Expenditure_import[[#This Row],[FinancialYearCode]],0,1)</f>
        <v>0</v>
      </c>
      <c r="V54" s="85">
        <f>IF(Expenditure_import[[#This Row],[CalculatorCode]]="",0,IF(IF(_xlfn.XLOOKUP(Expenditure_import[[#This Row],[CalculatorCode]],Calculators[CalculatorCode],Calculators[LockCheck])=1,TRUE,FALSE)=Expenditure_import[[#This Row],[MatEditOnly]],0,1))</f>
        <v>0</v>
      </c>
      <c r="W54" s="85">
        <f ca="1">SUM(Expenditure_import[[#This Row],[DuplicateLine]:[MAT edit only required]])</f>
        <v>4</v>
      </c>
      <c r="X54" s="80">
        <f>COUNTIF(SRG[GrossSalaryFinanceCode],Expenditure_import[[#This Row],[FinanceCode]])+COUNTIF(SRG[EmployersNiFinanceCode],Expenditure_import[[#This Row],[FinanceCode]])+COUNTIF(SRG[PensionFinanceCode],Expenditure_import[[#This Row],[FinanceCode]])</f>
        <v>0</v>
      </c>
      <c r="Y54" s="80" t="str">
        <f>_xlfn.XLOOKUP(Expenditure_import[[#This Row],[SchoolCode]],SCHOOLS[SchoolCode],SCHOOLS[Title])</f>
        <v>Linthwaite Clough Primary School</v>
      </c>
      <c r="AA54">
        <v>675100</v>
      </c>
      <c r="AB54" t="s">
        <v>2599</v>
      </c>
      <c r="AF54" t="s">
        <v>2342</v>
      </c>
      <c r="AG54" t="s">
        <v>1124</v>
      </c>
      <c r="AH54" t="s">
        <v>2344</v>
      </c>
      <c r="AK54" t="b">
        <v>1</v>
      </c>
      <c r="AL54" t="s">
        <v>1497</v>
      </c>
      <c r="AM54" t="b">
        <v>1</v>
      </c>
      <c r="AN54">
        <f t="shared" ca="1" si="2"/>
        <v>676</v>
      </c>
    </row>
    <row r="55" spans="1:40" x14ac:dyDescent="0.3">
      <c r="A55" s="120" t="str">
        <f t="shared" si="1"/>
        <v>675100MMPApprentice Levy - Teaching2025/26</v>
      </c>
      <c r="B55" s="85">
        <f>COUNTIF(Expenditure_import[Column1],Expenditure_import[[#This Row],[Column1]])-1</f>
        <v>0</v>
      </c>
      <c r="C55" s="80" cm="1">
        <f t="array" ref="C55">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55" s="85">
        <f>IF(COUNTIF(SCHOOLS[SchoolCode],Expenditure_import[[#This Row],[SchoolCode]])&gt;0,0,1)</f>
        <v>0</v>
      </c>
      <c r="E55" s="85">
        <f>IF(COUNTIF(LEDGER[],Expenditure_import[[#This Row],[LedgerCode]])&gt;0,0,1)</f>
        <v>0</v>
      </c>
      <c r="F55" s="85">
        <f>IF(ISBLANK(Expenditure_import[[#This Row],[MonthProfileCode]]),1,IF(COUNTIF(MONTHPRF[Code],Expenditure_import[[#This Row],[MonthProfileCode]])&gt;0,0,1))</f>
        <v>0</v>
      </c>
      <c r="G55" s="80" cm="1">
        <f t="array" ref="G55">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55" s="85">
        <f>IF(Expenditure_import[[#This Row],[FundCode]]=0,0,IF(COUNTIF(FUNDS[FundCode],Expenditure_import[[#This Row],[FundCode]])&gt;0,0,1))</f>
        <v>0</v>
      </c>
      <c r="I55" s="80" cm="1">
        <f t="array" ref="I55">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55" s="85">
        <f ca="1">IF(ISBLANK(Expenditure_import[[#This Row],[YearValue]])=Expenditure_import[[#This Row],[Calculated]],0,1)</f>
        <v>1</v>
      </c>
      <c r="K55" s="85">
        <f>IF(ISBLANK(Expenditure_import[[#This Row],[CalculatorCode]]),0,IF(COUNTIF(Calculators[CalculatorCode],Expenditure_import[[#This Row],[CalculatorCode]])&gt;0,0,1))</f>
        <v>0</v>
      </c>
      <c r="L55" s="85">
        <f>IF(TRIM(Expenditure_import[[#This Row],[Description]])="",1,0)</f>
        <v>0</v>
      </c>
      <c r="M55" s="85">
        <f>IF(ISBLANK(Expenditure_import[[#This Row],[MatEditOnly]]),1,0)</f>
        <v>0</v>
      </c>
      <c r="N55" s="85">
        <f>IF(ISBLANK(Expenditure_import[[#This Row],[FinancialYearCode]]),1,0)</f>
        <v>0</v>
      </c>
      <c r="O55" s="85">
        <f>IF(ISBLANK(Expenditure_import[[#This Row],[Calculated]]),1,0)</f>
        <v>0</v>
      </c>
      <c r="P55"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55" s="85">
        <f>IF(LEN(Expenditure_import[[#This Row],[Description]])&lt;100,0,1)</f>
        <v>0</v>
      </c>
      <c r="R55" s="85">
        <f>IF(LEN(Expenditure_import[[#This Row],[Notes]])&lt;4000,0,1)</f>
        <v>0</v>
      </c>
      <c r="S55" s="85">
        <f>IF(LEN(Expenditure_import[[#This Row],[YearNotes]])&lt;4000,0,1)</f>
        <v>0</v>
      </c>
      <c r="T55" s="85">
        <f>IF(OR(Expenditure_import[[#This Row],[MatEditOnly]]=TRUE,Expenditure_import[[#This Row],[MatEditOnly]]=FALSE),IF(OR(Expenditure_import[[#This Row],[Calculated]]=TRUE,Expenditure_import[[#This Row],[Calculated]]=FALSE),0,1),1)</f>
        <v>0</v>
      </c>
      <c r="U55" s="85">
        <f>IF(_xlfn.XLOOKUP(Expenditure_import[[#This Row],[FinancialYearCode]],Years[Years],Years[Years],1)=Expenditure_import[[#This Row],[FinancialYearCode]],0,1)</f>
        <v>0</v>
      </c>
      <c r="V55" s="85">
        <f>IF(Expenditure_import[[#This Row],[CalculatorCode]]="",0,IF(IF(_xlfn.XLOOKUP(Expenditure_import[[#This Row],[CalculatorCode]],Calculators[CalculatorCode],Calculators[LockCheck])=1,TRUE,FALSE)=Expenditure_import[[#This Row],[MatEditOnly]],0,1))</f>
        <v>0</v>
      </c>
      <c r="W55" s="85">
        <f ca="1">SUM(Expenditure_import[[#This Row],[DuplicateLine]:[MAT edit only required]])</f>
        <v>4</v>
      </c>
      <c r="X55" s="80">
        <f>COUNTIF(SRG[GrossSalaryFinanceCode],Expenditure_import[[#This Row],[FinanceCode]])+COUNTIF(SRG[EmployersNiFinanceCode],Expenditure_import[[#This Row],[FinanceCode]])+COUNTIF(SRG[PensionFinanceCode],Expenditure_import[[#This Row],[FinanceCode]])</f>
        <v>0</v>
      </c>
      <c r="Y55" s="80" t="str">
        <f>_xlfn.XLOOKUP(Expenditure_import[[#This Row],[SchoolCode]],SCHOOLS[SchoolCode],SCHOOLS[Title])</f>
        <v>Meltham Moor Primary School</v>
      </c>
      <c r="AA55">
        <v>675100</v>
      </c>
      <c r="AB55" t="s">
        <v>2601</v>
      </c>
      <c r="AF55" t="s">
        <v>2342</v>
      </c>
      <c r="AG55" t="s">
        <v>1124</v>
      </c>
      <c r="AH55" t="s">
        <v>2344</v>
      </c>
      <c r="AK55" t="b">
        <v>1</v>
      </c>
      <c r="AL55" t="s">
        <v>1497</v>
      </c>
      <c r="AM55" t="b">
        <v>1</v>
      </c>
      <c r="AN55">
        <f t="shared" ca="1" si="2"/>
        <v>1452</v>
      </c>
    </row>
    <row r="56" spans="1:40" x14ac:dyDescent="0.3">
      <c r="A56" s="120" t="str">
        <f t="shared" si="1"/>
        <v>675100NINApprentice Levy - Teaching2025/26</v>
      </c>
      <c r="B56" s="85">
        <f>COUNTIF(Expenditure_import[Column1],Expenditure_import[[#This Row],[Column1]])-1</f>
        <v>0</v>
      </c>
      <c r="C56" s="80" cm="1">
        <f t="array" ref="C56">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56" s="85">
        <f>IF(COUNTIF(SCHOOLS[SchoolCode],Expenditure_import[[#This Row],[SchoolCode]])&gt;0,0,1)</f>
        <v>0</v>
      </c>
      <c r="E56" s="85">
        <f>IF(COUNTIF(LEDGER[],Expenditure_import[[#This Row],[LedgerCode]])&gt;0,0,1)</f>
        <v>0</v>
      </c>
      <c r="F56" s="85">
        <f>IF(ISBLANK(Expenditure_import[[#This Row],[MonthProfileCode]]),1,IF(COUNTIF(MONTHPRF[Code],Expenditure_import[[#This Row],[MonthProfileCode]])&gt;0,0,1))</f>
        <v>0</v>
      </c>
      <c r="G56" s="80" cm="1">
        <f t="array" ref="G56">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56" s="85">
        <f>IF(Expenditure_import[[#This Row],[FundCode]]=0,0,IF(COUNTIF(FUNDS[FundCode],Expenditure_import[[#This Row],[FundCode]])&gt;0,0,1))</f>
        <v>0</v>
      </c>
      <c r="I56" s="80" cm="1">
        <f t="array" ref="I56">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56" s="85">
        <f ca="1">IF(ISBLANK(Expenditure_import[[#This Row],[YearValue]])=Expenditure_import[[#This Row],[Calculated]],0,1)</f>
        <v>1</v>
      </c>
      <c r="K56" s="85">
        <f>IF(ISBLANK(Expenditure_import[[#This Row],[CalculatorCode]]),0,IF(COUNTIF(Calculators[CalculatorCode],Expenditure_import[[#This Row],[CalculatorCode]])&gt;0,0,1))</f>
        <v>0</v>
      </c>
      <c r="L56" s="85">
        <f>IF(TRIM(Expenditure_import[[#This Row],[Description]])="",1,0)</f>
        <v>0</v>
      </c>
      <c r="M56" s="85">
        <f>IF(ISBLANK(Expenditure_import[[#This Row],[MatEditOnly]]),1,0)</f>
        <v>0</v>
      </c>
      <c r="N56" s="85">
        <f>IF(ISBLANK(Expenditure_import[[#This Row],[FinancialYearCode]]),1,0)</f>
        <v>0</v>
      </c>
      <c r="O56" s="85">
        <f>IF(ISBLANK(Expenditure_import[[#This Row],[Calculated]]),1,0)</f>
        <v>0</v>
      </c>
      <c r="P56"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56" s="85">
        <f>IF(LEN(Expenditure_import[[#This Row],[Description]])&lt;100,0,1)</f>
        <v>0</v>
      </c>
      <c r="R56" s="85">
        <f>IF(LEN(Expenditure_import[[#This Row],[Notes]])&lt;4000,0,1)</f>
        <v>0</v>
      </c>
      <c r="S56" s="85">
        <f>IF(LEN(Expenditure_import[[#This Row],[YearNotes]])&lt;4000,0,1)</f>
        <v>0</v>
      </c>
      <c r="T56" s="85">
        <f>IF(OR(Expenditure_import[[#This Row],[MatEditOnly]]=TRUE,Expenditure_import[[#This Row],[MatEditOnly]]=FALSE),IF(OR(Expenditure_import[[#This Row],[Calculated]]=TRUE,Expenditure_import[[#This Row],[Calculated]]=FALSE),0,1),1)</f>
        <v>0</v>
      </c>
      <c r="U56" s="85">
        <f>IF(_xlfn.XLOOKUP(Expenditure_import[[#This Row],[FinancialYearCode]],Years[Years],Years[Years],1)=Expenditure_import[[#This Row],[FinancialYearCode]],0,1)</f>
        <v>0</v>
      </c>
      <c r="V56" s="85">
        <f>IF(Expenditure_import[[#This Row],[CalculatorCode]]="",0,IF(IF(_xlfn.XLOOKUP(Expenditure_import[[#This Row],[CalculatorCode]],Calculators[CalculatorCode],Calculators[LockCheck])=1,TRUE,FALSE)=Expenditure_import[[#This Row],[MatEditOnly]],0,1))</f>
        <v>0</v>
      </c>
      <c r="W56" s="85">
        <f ca="1">SUM(Expenditure_import[[#This Row],[DuplicateLine]:[MAT edit only required]])</f>
        <v>4</v>
      </c>
      <c r="X56" s="80">
        <f>COUNTIF(SRG[GrossSalaryFinanceCode],Expenditure_import[[#This Row],[FinanceCode]])+COUNTIF(SRG[EmployersNiFinanceCode],Expenditure_import[[#This Row],[FinanceCode]])+COUNTIF(SRG[PensionFinanceCode],Expenditure_import[[#This Row],[FinanceCode]])</f>
        <v>0</v>
      </c>
      <c r="Y56" s="80" t="str">
        <f>_xlfn.XLOOKUP(Expenditure_import[[#This Row],[SchoolCode]],SCHOOLS[SchoolCode],SCHOOLS[Title])</f>
        <v>Netherton Infant and Nursery School</v>
      </c>
      <c r="AA56">
        <v>675100</v>
      </c>
      <c r="AB56" t="s">
        <v>2603</v>
      </c>
      <c r="AF56" t="s">
        <v>2342</v>
      </c>
      <c r="AG56" t="s">
        <v>1124</v>
      </c>
      <c r="AH56" t="s">
        <v>2344</v>
      </c>
      <c r="AK56" t="b">
        <v>1</v>
      </c>
      <c r="AL56" t="s">
        <v>1497</v>
      </c>
      <c r="AM56" t="b">
        <v>1</v>
      </c>
      <c r="AN56">
        <f t="shared" ca="1" si="2"/>
        <v>1048</v>
      </c>
    </row>
    <row r="57" spans="1:40" x14ac:dyDescent="0.3">
      <c r="A57" s="120" t="str">
        <f t="shared" si="1"/>
        <v>675100RVSApprentice Levy - Teaching2025/26</v>
      </c>
      <c r="B57" s="85">
        <f>COUNTIF(Expenditure_import[Column1],Expenditure_import[[#This Row],[Column1]])-1</f>
        <v>0</v>
      </c>
      <c r="C57" s="80" cm="1">
        <f t="array" ref="C57">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57" s="85">
        <f>IF(COUNTIF(SCHOOLS[SchoolCode],Expenditure_import[[#This Row],[SchoolCode]])&gt;0,0,1)</f>
        <v>0</v>
      </c>
      <c r="E57" s="85">
        <f>IF(COUNTIF(LEDGER[],Expenditure_import[[#This Row],[LedgerCode]])&gt;0,0,1)</f>
        <v>0</v>
      </c>
      <c r="F57" s="85">
        <f>IF(ISBLANK(Expenditure_import[[#This Row],[MonthProfileCode]]),1,IF(COUNTIF(MONTHPRF[Code],Expenditure_import[[#This Row],[MonthProfileCode]])&gt;0,0,1))</f>
        <v>0</v>
      </c>
      <c r="G57" s="80" cm="1">
        <f t="array" ref="G57">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57" s="85">
        <f>IF(Expenditure_import[[#This Row],[FundCode]]=0,0,IF(COUNTIF(FUNDS[FundCode],Expenditure_import[[#This Row],[FundCode]])&gt;0,0,1))</f>
        <v>0</v>
      </c>
      <c r="I57" s="80" cm="1">
        <f t="array" ref="I57">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57" s="85">
        <f ca="1">IF(ISBLANK(Expenditure_import[[#This Row],[YearValue]])=Expenditure_import[[#This Row],[Calculated]],0,1)</f>
        <v>1</v>
      </c>
      <c r="K57" s="85">
        <f>IF(ISBLANK(Expenditure_import[[#This Row],[CalculatorCode]]),0,IF(COUNTIF(Calculators[CalculatorCode],Expenditure_import[[#This Row],[CalculatorCode]])&gt;0,0,1))</f>
        <v>0</v>
      </c>
      <c r="L57" s="85">
        <f>IF(TRIM(Expenditure_import[[#This Row],[Description]])="",1,0)</f>
        <v>0</v>
      </c>
      <c r="M57" s="85">
        <f>IF(ISBLANK(Expenditure_import[[#This Row],[MatEditOnly]]),1,0)</f>
        <v>0</v>
      </c>
      <c r="N57" s="85">
        <f>IF(ISBLANK(Expenditure_import[[#This Row],[FinancialYearCode]]),1,0)</f>
        <v>0</v>
      </c>
      <c r="O57" s="85">
        <f>IF(ISBLANK(Expenditure_import[[#This Row],[Calculated]]),1,0)</f>
        <v>0</v>
      </c>
      <c r="P57"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57" s="85">
        <f>IF(LEN(Expenditure_import[[#This Row],[Description]])&lt;100,0,1)</f>
        <v>0</v>
      </c>
      <c r="R57" s="85">
        <f>IF(LEN(Expenditure_import[[#This Row],[Notes]])&lt;4000,0,1)</f>
        <v>0</v>
      </c>
      <c r="S57" s="85">
        <f>IF(LEN(Expenditure_import[[#This Row],[YearNotes]])&lt;4000,0,1)</f>
        <v>0</v>
      </c>
      <c r="T57" s="85">
        <f>IF(OR(Expenditure_import[[#This Row],[MatEditOnly]]=TRUE,Expenditure_import[[#This Row],[MatEditOnly]]=FALSE),IF(OR(Expenditure_import[[#This Row],[Calculated]]=TRUE,Expenditure_import[[#This Row],[Calculated]]=FALSE),0,1),1)</f>
        <v>0</v>
      </c>
      <c r="U57" s="85">
        <f>IF(_xlfn.XLOOKUP(Expenditure_import[[#This Row],[FinancialYearCode]],Years[Years],Years[Years],1)=Expenditure_import[[#This Row],[FinancialYearCode]],0,1)</f>
        <v>0</v>
      </c>
      <c r="V57" s="85">
        <f>IF(Expenditure_import[[#This Row],[CalculatorCode]]="",0,IF(IF(_xlfn.XLOOKUP(Expenditure_import[[#This Row],[CalculatorCode]],Calculators[CalculatorCode],Calculators[LockCheck])=1,TRUE,FALSE)=Expenditure_import[[#This Row],[MatEditOnly]],0,1))</f>
        <v>0</v>
      </c>
      <c r="W57" s="85">
        <f ca="1">SUM(Expenditure_import[[#This Row],[DuplicateLine]:[MAT edit only required]])</f>
        <v>4</v>
      </c>
      <c r="X57" s="80">
        <f>COUNTIF(SRG[GrossSalaryFinanceCode],Expenditure_import[[#This Row],[FinanceCode]])+COUNTIF(SRG[EmployersNiFinanceCode],Expenditure_import[[#This Row],[FinanceCode]])+COUNTIF(SRG[PensionFinanceCode],Expenditure_import[[#This Row],[FinanceCode]])</f>
        <v>0</v>
      </c>
      <c r="Y57" s="80" t="str">
        <f>_xlfn.XLOOKUP(Expenditure_import[[#This Row],[SchoolCode]],SCHOOLS[SchoolCode],SCHOOLS[Title])</f>
        <v>Ryburn Valley High School</v>
      </c>
      <c r="AA57">
        <v>675100</v>
      </c>
      <c r="AB57" t="s">
        <v>2605</v>
      </c>
      <c r="AF57" t="s">
        <v>2342</v>
      </c>
      <c r="AG57" t="s">
        <v>1124</v>
      </c>
      <c r="AH57" t="s">
        <v>2344</v>
      </c>
      <c r="AK57" t="b">
        <v>1</v>
      </c>
      <c r="AL57" t="s">
        <v>1497</v>
      </c>
      <c r="AM57" t="b">
        <v>1</v>
      </c>
      <c r="AN57">
        <f t="shared" ca="1" si="2"/>
        <v>1248</v>
      </c>
    </row>
    <row r="58" spans="1:40" x14ac:dyDescent="0.3">
      <c r="A58" s="120" t="str">
        <f t="shared" si="1"/>
        <v>675100SRAApprentice Levy - Teaching2025/26</v>
      </c>
      <c r="B58" s="85">
        <f>COUNTIF(Expenditure_import[Column1],Expenditure_import[[#This Row],[Column1]])-1</f>
        <v>0</v>
      </c>
      <c r="C58" s="80" cm="1">
        <f t="array" ref="C58">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58" s="85">
        <f>IF(COUNTIF(SCHOOLS[SchoolCode],Expenditure_import[[#This Row],[SchoolCode]])&gt;0,0,1)</f>
        <v>0</v>
      </c>
      <c r="E58" s="85">
        <f>IF(COUNTIF(LEDGER[],Expenditure_import[[#This Row],[LedgerCode]])&gt;0,0,1)</f>
        <v>0</v>
      </c>
      <c r="F58" s="85">
        <f>IF(ISBLANK(Expenditure_import[[#This Row],[MonthProfileCode]]),1,IF(COUNTIF(MONTHPRF[Code],Expenditure_import[[#This Row],[MonthProfileCode]])&gt;0,0,1))</f>
        <v>0</v>
      </c>
      <c r="G58" s="80" cm="1">
        <f t="array" ref="G58">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58" s="85">
        <f>IF(Expenditure_import[[#This Row],[FundCode]]=0,0,IF(COUNTIF(FUNDS[FundCode],Expenditure_import[[#This Row],[FundCode]])&gt;0,0,1))</f>
        <v>0</v>
      </c>
      <c r="I58" s="80" cm="1">
        <f t="array" ref="I58">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58" s="85">
        <f ca="1">IF(ISBLANK(Expenditure_import[[#This Row],[YearValue]])=Expenditure_import[[#This Row],[Calculated]],0,1)</f>
        <v>1</v>
      </c>
      <c r="K58" s="85">
        <f>IF(ISBLANK(Expenditure_import[[#This Row],[CalculatorCode]]),0,IF(COUNTIF(Calculators[CalculatorCode],Expenditure_import[[#This Row],[CalculatorCode]])&gt;0,0,1))</f>
        <v>0</v>
      </c>
      <c r="L58" s="85">
        <f>IF(TRIM(Expenditure_import[[#This Row],[Description]])="",1,0)</f>
        <v>0</v>
      </c>
      <c r="M58" s="85">
        <f>IF(ISBLANK(Expenditure_import[[#This Row],[MatEditOnly]]),1,0)</f>
        <v>0</v>
      </c>
      <c r="N58" s="85">
        <f>IF(ISBLANK(Expenditure_import[[#This Row],[FinancialYearCode]]),1,0)</f>
        <v>0</v>
      </c>
      <c r="O58" s="85">
        <f>IF(ISBLANK(Expenditure_import[[#This Row],[Calculated]]),1,0)</f>
        <v>0</v>
      </c>
      <c r="P58"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58" s="85">
        <f>IF(LEN(Expenditure_import[[#This Row],[Description]])&lt;100,0,1)</f>
        <v>0</v>
      </c>
      <c r="R58" s="85">
        <f>IF(LEN(Expenditure_import[[#This Row],[Notes]])&lt;4000,0,1)</f>
        <v>0</v>
      </c>
      <c r="S58" s="85">
        <f>IF(LEN(Expenditure_import[[#This Row],[YearNotes]])&lt;4000,0,1)</f>
        <v>0</v>
      </c>
      <c r="T58" s="85">
        <f>IF(OR(Expenditure_import[[#This Row],[MatEditOnly]]=TRUE,Expenditure_import[[#This Row],[MatEditOnly]]=FALSE),IF(OR(Expenditure_import[[#This Row],[Calculated]]=TRUE,Expenditure_import[[#This Row],[Calculated]]=FALSE),0,1),1)</f>
        <v>0</v>
      </c>
      <c r="U58" s="85">
        <f>IF(_xlfn.XLOOKUP(Expenditure_import[[#This Row],[FinancialYearCode]],Years[Years],Years[Years],1)=Expenditure_import[[#This Row],[FinancialYearCode]],0,1)</f>
        <v>0</v>
      </c>
      <c r="V58" s="85">
        <f>IF(Expenditure_import[[#This Row],[CalculatorCode]]="",0,IF(IF(_xlfn.XLOOKUP(Expenditure_import[[#This Row],[CalculatorCode]],Calculators[CalculatorCode],Calculators[LockCheck])=1,TRUE,FALSE)=Expenditure_import[[#This Row],[MatEditOnly]],0,1))</f>
        <v>0</v>
      </c>
      <c r="W58" s="85">
        <f ca="1">SUM(Expenditure_import[[#This Row],[DuplicateLine]:[MAT edit only required]])</f>
        <v>4</v>
      </c>
      <c r="X58" s="80">
        <f>COUNTIF(SRG[GrossSalaryFinanceCode],Expenditure_import[[#This Row],[FinanceCode]])+COUNTIF(SRG[EmployersNiFinanceCode],Expenditure_import[[#This Row],[FinanceCode]])+COUNTIF(SRG[PensionFinanceCode],Expenditure_import[[#This Row],[FinanceCode]])</f>
        <v>0</v>
      </c>
      <c r="Y58" s="80" t="str">
        <f>_xlfn.XLOOKUP(Expenditure_import[[#This Row],[SchoolCode]],SCHOOLS[SchoolCode],SCHOOLS[Title])</f>
        <v>Scout Road Academy</v>
      </c>
      <c r="AA58">
        <v>675100</v>
      </c>
      <c r="AB58" t="s">
        <v>2607</v>
      </c>
      <c r="AF58" t="s">
        <v>2342</v>
      </c>
      <c r="AG58" t="s">
        <v>1124</v>
      </c>
      <c r="AH58" t="s">
        <v>2344</v>
      </c>
      <c r="AK58" t="b">
        <v>1</v>
      </c>
      <c r="AL58" t="s">
        <v>1497</v>
      </c>
      <c r="AM58" t="b">
        <v>1</v>
      </c>
      <c r="AN58">
        <f t="shared" ca="1" si="2"/>
        <v>1392</v>
      </c>
    </row>
    <row r="59" spans="1:40" x14ac:dyDescent="0.3">
      <c r="A59" s="120" t="str">
        <f t="shared" si="1"/>
        <v>675100TLTApprentice Levy - Teaching2025/26</v>
      </c>
      <c r="B59" s="85">
        <f>COUNTIF(Expenditure_import[Column1],Expenditure_import[[#This Row],[Column1]])-1</f>
        <v>0</v>
      </c>
      <c r="C59" s="80" cm="1">
        <f t="array" ref="C59">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59" s="85">
        <f>IF(COUNTIF(SCHOOLS[SchoolCode],Expenditure_import[[#This Row],[SchoolCode]])&gt;0,0,1)</f>
        <v>0</v>
      </c>
      <c r="E59" s="85">
        <f>IF(COUNTIF(LEDGER[],Expenditure_import[[#This Row],[LedgerCode]])&gt;0,0,1)</f>
        <v>0</v>
      </c>
      <c r="F59" s="85">
        <f>IF(ISBLANK(Expenditure_import[[#This Row],[MonthProfileCode]]),1,IF(COUNTIF(MONTHPRF[Code],Expenditure_import[[#This Row],[MonthProfileCode]])&gt;0,0,1))</f>
        <v>0</v>
      </c>
      <c r="G59" s="80" cm="1">
        <f t="array" ref="G59">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59" s="85">
        <f>IF(Expenditure_import[[#This Row],[FundCode]]=0,0,IF(COUNTIF(FUNDS[FundCode],Expenditure_import[[#This Row],[FundCode]])&gt;0,0,1))</f>
        <v>0</v>
      </c>
      <c r="I59" s="80" cm="1">
        <f t="array" ref="I59">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59" s="85">
        <f ca="1">IF(ISBLANK(Expenditure_import[[#This Row],[YearValue]])=Expenditure_import[[#This Row],[Calculated]],0,1)</f>
        <v>1</v>
      </c>
      <c r="K59" s="85">
        <f>IF(ISBLANK(Expenditure_import[[#This Row],[CalculatorCode]]),0,IF(COUNTIF(Calculators[CalculatorCode],Expenditure_import[[#This Row],[CalculatorCode]])&gt;0,0,1))</f>
        <v>0</v>
      </c>
      <c r="L59" s="85">
        <f>IF(TRIM(Expenditure_import[[#This Row],[Description]])="",1,0)</f>
        <v>0</v>
      </c>
      <c r="M59" s="85">
        <f>IF(ISBLANK(Expenditure_import[[#This Row],[MatEditOnly]]),1,0)</f>
        <v>0</v>
      </c>
      <c r="N59" s="85">
        <f>IF(ISBLANK(Expenditure_import[[#This Row],[FinancialYearCode]]),1,0)</f>
        <v>0</v>
      </c>
      <c r="O59" s="85">
        <f>IF(ISBLANK(Expenditure_import[[#This Row],[Calculated]]),1,0)</f>
        <v>0</v>
      </c>
      <c r="P59"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59" s="85">
        <f>IF(LEN(Expenditure_import[[#This Row],[Description]])&lt;100,0,1)</f>
        <v>0</v>
      </c>
      <c r="R59" s="85">
        <f>IF(LEN(Expenditure_import[[#This Row],[Notes]])&lt;4000,0,1)</f>
        <v>0</v>
      </c>
      <c r="S59" s="85">
        <f>IF(LEN(Expenditure_import[[#This Row],[YearNotes]])&lt;4000,0,1)</f>
        <v>0</v>
      </c>
      <c r="T59" s="85">
        <f>IF(OR(Expenditure_import[[#This Row],[MatEditOnly]]=TRUE,Expenditure_import[[#This Row],[MatEditOnly]]=FALSE),IF(OR(Expenditure_import[[#This Row],[Calculated]]=TRUE,Expenditure_import[[#This Row],[Calculated]]=FALSE),0,1),1)</f>
        <v>0</v>
      </c>
      <c r="U59" s="85">
        <f>IF(_xlfn.XLOOKUP(Expenditure_import[[#This Row],[FinancialYearCode]],Years[Years],Years[Years],1)=Expenditure_import[[#This Row],[FinancialYearCode]],0,1)</f>
        <v>0</v>
      </c>
      <c r="V59" s="85">
        <f>IF(Expenditure_import[[#This Row],[CalculatorCode]]="",0,IF(IF(_xlfn.XLOOKUP(Expenditure_import[[#This Row],[CalculatorCode]],Calculators[CalculatorCode],Calculators[LockCheck])=1,TRUE,FALSE)=Expenditure_import[[#This Row],[MatEditOnly]],0,1))</f>
        <v>0</v>
      </c>
      <c r="W59" s="85">
        <f ca="1">SUM(Expenditure_import[[#This Row],[DuplicateLine]:[MAT edit only required]])</f>
        <v>4</v>
      </c>
      <c r="X59" s="80">
        <f>COUNTIF(SRG[GrossSalaryFinanceCode],Expenditure_import[[#This Row],[FinanceCode]])+COUNTIF(SRG[EmployersNiFinanceCode],Expenditure_import[[#This Row],[FinanceCode]])+COUNTIF(SRG[PensionFinanceCode],Expenditure_import[[#This Row],[FinanceCode]])</f>
        <v>0</v>
      </c>
      <c r="Y59" s="80" t="str">
        <f>_xlfn.XLOOKUP(Expenditure_import[[#This Row],[SchoolCode]],SCHOOLS[SchoolCode],SCHOOLS[Title])</f>
        <v>Together Learning Trust</v>
      </c>
      <c r="AA59">
        <v>675100</v>
      </c>
      <c r="AB59" t="s">
        <v>2609</v>
      </c>
      <c r="AF59" t="s">
        <v>2342</v>
      </c>
      <c r="AG59" t="s">
        <v>1124</v>
      </c>
      <c r="AH59" t="s">
        <v>2344</v>
      </c>
      <c r="AK59" t="b">
        <v>1</v>
      </c>
      <c r="AL59" t="s">
        <v>1497</v>
      </c>
      <c r="AM59" t="b">
        <v>1</v>
      </c>
      <c r="AN59">
        <f t="shared" ca="1" si="2"/>
        <v>1172</v>
      </c>
    </row>
    <row r="60" spans="1:40" hidden="1" x14ac:dyDescent="0.3">
      <c r="A60" s="120" t="str">
        <f t="shared" si="1"/>
        <v>BBPRPA Insurance2025/26</v>
      </c>
      <c r="B60" s="85">
        <f>COUNTIF(Expenditure_import[Column1],Expenditure_import[[#This Row],[Column1]])-1</f>
        <v>0</v>
      </c>
      <c r="C60" s="80" cm="1">
        <f t="array" ref="C60">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60" s="85">
        <f>IF(COUNTIF(SCHOOLS[SchoolCode],Expenditure_import[[#This Row],[SchoolCode]])&gt;0,0,1)</f>
        <v>0</v>
      </c>
      <c r="E60" s="85">
        <f>IF(COUNTIF(LEDGER[],Expenditure_import[[#This Row],[LedgerCode]])&gt;0,0,1)</f>
        <v>0</v>
      </c>
      <c r="F60" s="85">
        <f>IF(ISBLANK(Expenditure_import[[#This Row],[MonthProfileCode]]),1,IF(COUNTIF(MONTHPRF[Code],Expenditure_import[[#This Row],[MonthProfileCode]])&gt;0,0,1))</f>
        <v>0</v>
      </c>
      <c r="G60" s="80" cm="1">
        <f t="array" ref="G60">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60" s="85">
        <f>IF(Expenditure_import[[#This Row],[FundCode]]=0,0,IF(COUNTIF(FUNDS[FundCode],Expenditure_import[[#This Row],[FundCode]])&gt;0,0,1))</f>
        <v>0</v>
      </c>
      <c r="I60" s="80" cm="1">
        <f t="array" ref="I60">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60" s="85">
        <f>IF(ISBLANK(Expenditure_import[[#This Row],[YearValue]])=Expenditure_import[[#This Row],[Calculated]],0,1)</f>
        <v>0</v>
      </c>
      <c r="K60" s="85">
        <f>IF(ISBLANK(Expenditure_import[[#This Row],[CalculatorCode]]),0,IF(COUNTIF(Calculators[CalculatorCode],Expenditure_import[[#This Row],[CalculatorCode]])&gt;0,0,1))</f>
        <v>0</v>
      </c>
      <c r="L60" s="85">
        <f>IF(TRIM(Expenditure_import[[#This Row],[Description]])="",1,0)</f>
        <v>0</v>
      </c>
      <c r="M60" s="85">
        <f>IF(ISBLANK(Expenditure_import[[#This Row],[MatEditOnly]]),1,0)</f>
        <v>0</v>
      </c>
      <c r="N60" s="85">
        <f>IF(ISBLANK(Expenditure_import[[#This Row],[FinancialYearCode]]),1,0)</f>
        <v>0</v>
      </c>
      <c r="O60" s="85">
        <f>IF(ISBLANK(Expenditure_import[[#This Row],[Calculated]]),1,0)</f>
        <v>0</v>
      </c>
      <c r="P60"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60" s="85">
        <f>IF(LEN(Expenditure_import[[#This Row],[Description]])&lt;100,0,1)</f>
        <v>0</v>
      </c>
      <c r="R60" s="85">
        <f>IF(LEN(Expenditure_import[[#This Row],[Notes]])&lt;4000,0,1)</f>
        <v>0</v>
      </c>
      <c r="S60" s="85">
        <f>IF(LEN(Expenditure_import[[#This Row],[YearNotes]])&lt;4000,0,1)</f>
        <v>0</v>
      </c>
      <c r="T60" s="85">
        <f>IF(OR(Expenditure_import[[#This Row],[MatEditOnly]]=TRUE,Expenditure_import[[#This Row],[MatEditOnly]]=FALSE),IF(OR(Expenditure_import[[#This Row],[Calculated]]=TRUE,Expenditure_import[[#This Row],[Calculated]]=FALSE),0,1),1)</f>
        <v>0</v>
      </c>
      <c r="U60" s="85">
        <f>IF(_xlfn.XLOOKUP(Expenditure_import[[#This Row],[FinancialYearCode]],Years[Years],Years[Years],1)=Expenditure_import[[#This Row],[FinancialYearCode]],0,1)</f>
        <v>0</v>
      </c>
      <c r="V60" s="85">
        <f>IF(Expenditure_import[[#This Row],[CalculatorCode]]="",0,IF(IF(_xlfn.XLOOKUP(Expenditure_import[[#This Row],[CalculatorCode]],Calculators[CalculatorCode],Calculators[LockCheck])=1,TRUE,FALSE)=Expenditure_import[[#This Row],[MatEditOnly]],0,1))</f>
        <v>0</v>
      </c>
      <c r="W60" s="85">
        <f>SUM(Expenditure_import[[#This Row],[DuplicateLine]:[MAT edit only required]])</f>
        <v>3</v>
      </c>
      <c r="X60" s="80">
        <f>COUNTIF(SRG[GrossSalaryFinanceCode],Expenditure_import[[#This Row],[FinanceCode]])+COUNTIF(SRG[EmployersNiFinanceCode],Expenditure_import[[#This Row],[FinanceCode]])+COUNTIF(SRG[PensionFinanceCode],Expenditure_import[[#This Row],[FinanceCode]])</f>
        <v>0</v>
      </c>
      <c r="Y60" s="80" t="str">
        <f>_xlfn.XLOOKUP(Expenditure_import[[#This Row],[SchoolCode]],SCHOOLS[SchoolCode],SCHOOLS[Title])</f>
        <v>Bolton Brow Primary Academy</v>
      </c>
      <c r="AB60" t="s">
        <v>2588</v>
      </c>
      <c r="AF60" t="s">
        <v>1290</v>
      </c>
      <c r="AG60" t="s">
        <v>1124</v>
      </c>
      <c r="AH60" t="s">
        <v>1447</v>
      </c>
      <c r="AK60" t="b">
        <v>0</v>
      </c>
      <c r="AL60" t="s">
        <v>1497</v>
      </c>
      <c r="AM60" t="b">
        <v>1</v>
      </c>
    </row>
    <row r="61" spans="1:40" hidden="1" x14ac:dyDescent="0.3">
      <c r="A61" s="120" t="str">
        <f t="shared" si="1"/>
        <v>BBSRPA Insurance2025/26</v>
      </c>
      <c r="B61" s="85">
        <f>COUNTIF(Expenditure_import[Column1],Expenditure_import[[#This Row],[Column1]])-1</f>
        <v>0</v>
      </c>
      <c r="C61" s="80" cm="1">
        <f t="array" ref="C61">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61" s="85">
        <f>IF(COUNTIF(SCHOOLS[SchoolCode],Expenditure_import[[#This Row],[SchoolCode]])&gt;0,0,1)</f>
        <v>0</v>
      </c>
      <c r="E61" s="85">
        <f>IF(COUNTIF(LEDGER[],Expenditure_import[[#This Row],[LedgerCode]])&gt;0,0,1)</f>
        <v>0</v>
      </c>
      <c r="F61" s="85">
        <f>IF(ISBLANK(Expenditure_import[[#This Row],[MonthProfileCode]]),1,IF(COUNTIF(MONTHPRF[Code],Expenditure_import[[#This Row],[MonthProfileCode]])&gt;0,0,1))</f>
        <v>0</v>
      </c>
      <c r="G61" s="80" cm="1">
        <f t="array" ref="G61">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61" s="85">
        <f>IF(Expenditure_import[[#This Row],[FundCode]]=0,0,IF(COUNTIF(FUNDS[FundCode],Expenditure_import[[#This Row],[FundCode]])&gt;0,0,1))</f>
        <v>0</v>
      </c>
      <c r="I61" s="80" cm="1">
        <f t="array" ref="I61">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61" s="85">
        <f>IF(ISBLANK(Expenditure_import[[#This Row],[YearValue]])=Expenditure_import[[#This Row],[Calculated]],0,1)</f>
        <v>0</v>
      </c>
      <c r="K61" s="85">
        <f>IF(ISBLANK(Expenditure_import[[#This Row],[CalculatorCode]]),0,IF(COUNTIF(Calculators[CalculatorCode],Expenditure_import[[#This Row],[CalculatorCode]])&gt;0,0,1))</f>
        <v>0</v>
      </c>
      <c r="L61" s="85">
        <f>IF(TRIM(Expenditure_import[[#This Row],[Description]])="",1,0)</f>
        <v>0</v>
      </c>
      <c r="M61" s="85">
        <f>IF(ISBLANK(Expenditure_import[[#This Row],[MatEditOnly]]),1,0)</f>
        <v>0</v>
      </c>
      <c r="N61" s="85">
        <f>IF(ISBLANK(Expenditure_import[[#This Row],[FinancialYearCode]]),1,0)</f>
        <v>0</v>
      </c>
      <c r="O61" s="85">
        <f>IF(ISBLANK(Expenditure_import[[#This Row],[Calculated]]),1,0)</f>
        <v>0</v>
      </c>
      <c r="P61"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61" s="85">
        <f>IF(LEN(Expenditure_import[[#This Row],[Description]])&lt;100,0,1)</f>
        <v>0</v>
      </c>
      <c r="R61" s="85">
        <f>IF(LEN(Expenditure_import[[#This Row],[Notes]])&lt;4000,0,1)</f>
        <v>0</v>
      </c>
      <c r="S61" s="85">
        <f>IF(LEN(Expenditure_import[[#This Row],[YearNotes]])&lt;4000,0,1)</f>
        <v>0</v>
      </c>
      <c r="T61" s="85">
        <f>IF(OR(Expenditure_import[[#This Row],[MatEditOnly]]=TRUE,Expenditure_import[[#This Row],[MatEditOnly]]=FALSE),IF(OR(Expenditure_import[[#This Row],[Calculated]]=TRUE,Expenditure_import[[#This Row],[Calculated]]=FALSE),0,1),1)</f>
        <v>0</v>
      </c>
      <c r="U61" s="85">
        <f>IF(_xlfn.XLOOKUP(Expenditure_import[[#This Row],[FinancialYearCode]],Years[Years],Years[Years],1)=Expenditure_import[[#This Row],[FinancialYearCode]],0,1)</f>
        <v>0</v>
      </c>
      <c r="V61" s="85">
        <f>IF(Expenditure_import[[#This Row],[CalculatorCode]]="",0,IF(IF(_xlfn.XLOOKUP(Expenditure_import[[#This Row],[CalculatorCode]],Calculators[CalculatorCode],Calculators[LockCheck])=1,TRUE,FALSE)=Expenditure_import[[#This Row],[MatEditOnly]],0,1))</f>
        <v>0</v>
      </c>
      <c r="W61" s="85">
        <f>SUM(Expenditure_import[[#This Row],[DuplicateLine]:[MAT edit only required]])</f>
        <v>3</v>
      </c>
      <c r="X61" s="80">
        <f>COUNTIF(SRG[GrossSalaryFinanceCode],Expenditure_import[[#This Row],[FinanceCode]])+COUNTIF(SRG[EmployersNiFinanceCode],Expenditure_import[[#This Row],[FinanceCode]])+COUNTIF(SRG[PensionFinanceCode],Expenditure_import[[#This Row],[FinanceCode]])</f>
        <v>0</v>
      </c>
      <c r="Y61" s="80" t="str">
        <f>_xlfn.XLOOKUP(Expenditure_import[[#This Row],[SchoolCode]],SCHOOLS[SchoolCode],SCHOOLS[Title])</f>
        <v>The Brooksbank School</v>
      </c>
      <c r="AB61" t="s">
        <v>2591</v>
      </c>
      <c r="AF61" t="s">
        <v>1290</v>
      </c>
      <c r="AG61" t="s">
        <v>1124</v>
      </c>
      <c r="AH61" t="s">
        <v>1447</v>
      </c>
      <c r="AK61" t="b">
        <v>0</v>
      </c>
      <c r="AL61" t="s">
        <v>1497</v>
      </c>
      <c r="AM61" t="b">
        <v>1</v>
      </c>
    </row>
    <row r="62" spans="1:40" hidden="1" x14ac:dyDescent="0.3">
      <c r="A62" s="120" t="str">
        <f t="shared" si="1"/>
        <v>HHSRPA Insurance2025/26</v>
      </c>
      <c r="B62" s="85">
        <f>COUNTIF(Expenditure_import[Column1],Expenditure_import[[#This Row],[Column1]])-1</f>
        <v>0</v>
      </c>
      <c r="C62" s="80" cm="1">
        <f t="array" ref="C62">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62" s="85">
        <f>IF(COUNTIF(SCHOOLS[SchoolCode],Expenditure_import[[#This Row],[SchoolCode]])&gt;0,0,1)</f>
        <v>0</v>
      </c>
      <c r="E62" s="85">
        <f>IF(COUNTIF(LEDGER[],Expenditure_import[[#This Row],[LedgerCode]])&gt;0,0,1)</f>
        <v>0</v>
      </c>
      <c r="F62" s="85">
        <f>IF(ISBLANK(Expenditure_import[[#This Row],[MonthProfileCode]]),1,IF(COUNTIF(MONTHPRF[Code],Expenditure_import[[#This Row],[MonthProfileCode]])&gt;0,0,1))</f>
        <v>0</v>
      </c>
      <c r="G62" s="80" cm="1">
        <f t="array" ref="G62">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62" s="85">
        <f>IF(Expenditure_import[[#This Row],[FundCode]]=0,0,IF(COUNTIF(FUNDS[FundCode],Expenditure_import[[#This Row],[FundCode]])&gt;0,0,1))</f>
        <v>0</v>
      </c>
      <c r="I62" s="80" cm="1">
        <f t="array" ref="I62">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62" s="85">
        <f>IF(ISBLANK(Expenditure_import[[#This Row],[YearValue]])=Expenditure_import[[#This Row],[Calculated]],0,1)</f>
        <v>0</v>
      </c>
      <c r="K62" s="85">
        <f>IF(ISBLANK(Expenditure_import[[#This Row],[CalculatorCode]]),0,IF(COUNTIF(Calculators[CalculatorCode],Expenditure_import[[#This Row],[CalculatorCode]])&gt;0,0,1))</f>
        <v>0</v>
      </c>
      <c r="L62" s="85">
        <f>IF(TRIM(Expenditure_import[[#This Row],[Description]])="",1,0)</f>
        <v>0</v>
      </c>
      <c r="M62" s="85">
        <f>IF(ISBLANK(Expenditure_import[[#This Row],[MatEditOnly]]),1,0)</f>
        <v>0</v>
      </c>
      <c r="N62" s="85">
        <f>IF(ISBLANK(Expenditure_import[[#This Row],[FinancialYearCode]]),1,0)</f>
        <v>0</v>
      </c>
      <c r="O62" s="85">
        <f>IF(ISBLANK(Expenditure_import[[#This Row],[Calculated]]),1,0)</f>
        <v>0</v>
      </c>
      <c r="P62"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62" s="85">
        <f>IF(LEN(Expenditure_import[[#This Row],[Description]])&lt;100,0,1)</f>
        <v>0</v>
      </c>
      <c r="R62" s="85">
        <f>IF(LEN(Expenditure_import[[#This Row],[Notes]])&lt;4000,0,1)</f>
        <v>0</v>
      </c>
      <c r="S62" s="85">
        <f>IF(LEN(Expenditure_import[[#This Row],[YearNotes]])&lt;4000,0,1)</f>
        <v>0</v>
      </c>
      <c r="T62" s="85">
        <f>IF(OR(Expenditure_import[[#This Row],[MatEditOnly]]=TRUE,Expenditure_import[[#This Row],[MatEditOnly]]=FALSE),IF(OR(Expenditure_import[[#This Row],[Calculated]]=TRUE,Expenditure_import[[#This Row],[Calculated]]=FALSE),0,1),1)</f>
        <v>0</v>
      </c>
      <c r="U62" s="85">
        <f>IF(_xlfn.XLOOKUP(Expenditure_import[[#This Row],[FinancialYearCode]],Years[Years],Years[Years],1)=Expenditure_import[[#This Row],[FinancialYearCode]],0,1)</f>
        <v>0</v>
      </c>
      <c r="V62" s="85">
        <f>IF(Expenditure_import[[#This Row],[CalculatorCode]]="",0,IF(IF(_xlfn.XLOOKUP(Expenditure_import[[#This Row],[CalculatorCode]],Calculators[CalculatorCode],Calculators[LockCheck])=1,TRUE,FALSE)=Expenditure_import[[#This Row],[MatEditOnly]],0,1))</f>
        <v>0</v>
      </c>
      <c r="W62" s="85">
        <f>SUM(Expenditure_import[[#This Row],[DuplicateLine]:[MAT edit only required]])</f>
        <v>3</v>
      </c>
      <c r="X62" s="80">
        <f>COUNTIF(SRG[GrossSalaryFinanceCode],Expenditure_import[[#This Row],[FinanceCode]])+COUNTIF(SRG[EmployersNiFinanceCode],Expenditure_import[[#This Row],[FinanceCode]])+COUNTIF(SRG[PensionFinanceCode],Expenditure_import[[#This Row],[FinanceCode]])</f>
        <v>0</v>
      </c>
      <c r="Y62" s="80" t="str">
        <f>_xlfn.XLOOKUP(Expenditure_import[[#This Row],[SchoolCode]],SCHOOLS[SchoolCode],SCHOOLS[Title])</f>
        <v>Honley High School</v>
      </c>
      <c r="AB62" t="s">
        <v>2597</v>
      </c>
      <c r="AF62" t="s">
        <v>1290</v>
      </c>
      <c r="AG62" t="s">
        <v>1124</v>
      </c>
      <c r="AH62" t="s">
        <v>1447</v>
      </c>
      <c r="AK62" t="b">
        <v>0</v>
      </c>
      <c r="AL62" t="s">
        <v>1497</v>
      </c>
      <c r="AM62" t="b">
        <v>1</v>
      </c>
    </row>
    <row r="63" spans="1:40" hidden="1" x14ac:dyDescent="0.3">
      <c r="A63" s="120" t="str">
        <f t="shared" si="1"/>
        <v>LCPRPA Insurance2025/26</v>
      </c>
      <c r="B63" s="85">
        <f>COUNTIF(Expenditure_import[Column1],Expenditure_import[[#This Row],[Column1]])-1</f>
        <v>0</v>
      </c>
      <c r="C63" s="80" cm="1">
        <f t="array" ref="C63">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63" s="85">
        <f>IF(COUNTIF(SCHOOLS[SchoolCode],Expenditure_import[[#This Row],[SchoolCode]])&gt;0,0,1)</f>
        <v>0</v>
      </c>
      <c r="E63" s="85">
        <f>IF(COUNTIF(LEDGER[],Expenditure_import[[#This Row],[LedgerCode]])&gt;0,0,1)</f>
        <v>0</v>
      </c>
      <c r="F63" s="85">
        <f>IF(ISBLANK(Expenditure_import[[#This Row],[MonthProfileCode]]),1,IF(COUNTIF(MONTHPRF[Code],Expenditure_import[[#This Row],[MonthProfileCode]])&gt;0,0,1))</f>
        <v>0</v>
      </c>
      <c r="G63" s="80" cm="1">
        <f t="array" ref="G63">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63" s="85">
        <f>IF(Expenditure_import[[#This Row],[FundCode]]=0,0,IF(COUNTIF(FUNDS[FundCode],Expenditure_import[[#This Row],[FundCode]])&gt;0,0,1))</f>
        <v>0</v>
      </c>
      <c r="I63" s="80" cm="1">
        <f t="array" ref="I63">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63" s="85">
        <f>IF(ISBLANK(Expenditure_import[[#This Row],[YearValue]])=Expenditure_import[[#This Row],[Calculated]],0,1)</f>
        <v>0</v>
      </c>
      <c r="K63" s="85">
        <f>IF(ISBLANK(Expenditure_import[[#This Row],[CalculatorCode]]),0,IF(COUNTIF(Calculators[CalculatorCode],Expenditure_import[[#This Row],[CalculatorCode]])&gt;0,0,1))</f>
        <v>0</v>
      </c>
      <c r="L63" s="85">
        <f>IF(TRIM(Expenditure_import[[#This Row],[Description]])="",1,0)</f>
        <v>0</v>
      </c>
      <c r="M63" s="85">
        <f>IF(ISBLANK(Expenditure_import[[#This Row],[MatEditOnly]]),1,0)</f>
        <v>0</v>
      </c>
      <c r="N63" s="85">
        <f>IF(ISBLANK(Expenditure_import[[#This Row],[FinancialYearCode]]),1,0)</f>
        <v>0</v>
      </c>
      <c r="O63" s="85">
        <f>IF(ISBLANK(Expenditure_import[[#This Row],[Calculated]]),1,0)</f>
        <v>0</v>
      </c>
      <c r="P63"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63" s="85">
        <f>IF(LEN(Expenditure_import[[#This Row],[Description]])&lt;100,0,1)</f>
        <v>0</v>
      </c>
      <c r="R63" s="85">
        <f>IF(LEN(Expenditure_import[[#This Row],[Notes]])&lt;4000,0,1)</f>
        <v>0</v>
      </c>
      <c r="S63" s="85">
        <f>IF(LEN(Expenditure_import[[#This Row],[YearNotes]])&lt;4000,0,1)</f>
        <v>0</v>
      </c>
      <c r="T63" s="85">
        <f>IF(OR(Expenditure_import[[#This Row],[MatEditOnly]]=TRUE,Expenditure_import[[#This Row],[MatEditOnly]]=FALSE),IF(OR(Expenditure_import[[#This Row],[Calculated]]=TRUE,Expenditure_import[[#This Row],[Calculated]]=FALSE),0,1),1)</f>
        <v>0</v>
      </c>
      <c r="U63" s="85">
        <f>IF(_xlfn.XLOOKUP(Expenditure_import[[#This Row],[FinancialYearCode]],Years[Years],Years[Years],1)=Expenditure_import[[#This Row],[FinancialYearCode]],0,1)</f>
        <v>0</v>
      </c>
      <c r="V63" s="85">
        <f>IF(Expenditure_import[[#This Row],[CalculatorCode]]="",0,IF(IF(_xlfn.XLOOKUP(Expenditure_import[[#This Row],[CalculatorCode]],Calculators[CalculatorCode],Calculators[LockCheck])=1,TRUE,FALSE)=Expenditure_import[[#This Row],[MatEditOnly]],0,1))</f>
        <v>0</v>
      </c>
      <c r="W63" s="85">
        <f>SUM(Expenditure_import[[#This Row],[DuplicateLine]:[MAT edit only required]])</f>
        <v>3</v>
      </c>
      <c r="X63" s="80">
        <f>COUNTIF(SRG[GrossSalaryFinanceCode],Expenditure_import[[#This Row],[FinanceCode]])+COUNTIF(SRG[EmployersNiFinanceCode],Expenditure_import[[#This Row],[FinanceCode]])+COUNTIF(SRG[PensionFinanceCode],Expenditure_import[[#This Row],[FinanceCode]])</f>
        <v>0</v>
      </c>
      <c r="Y63" s="80" t="str">
        <f>_xlfn.XLOOKUP(Expenditure_import[[#This Row],[SchoolCode]],SCHOOLS[SchoolCode],SCHOOLS[Title])</f>
        <v>Linthwaite Clough Primary School</v>
      </c>
      <c r="AB63" t="s">
        <v>2599</v>
      </c>
      <c r="AF63" t="s">
        <v>1290</v>
      </c>
      <c r="AG63" t="s">
        <v>1124</v>
      </c>
      <c r="AH63" t="s">
        <v>1447</v>
      </c>
      <c r="AK63" t="b">
        <v>0</v>
      </c>
      <c r="AL63" t="s">
        <v>1497</v>
      </c>
      <c r="AM63" t="b">
        <v>1</v>
      </c>
    </row>
    <row r="64" spans="1:40" hidden="1" x14ac:dyDescent="0.3">
      <c r="A64" s="120" t="str">
        <f t="shared" si="1"/>
        <v>MMPRPA Insurance2025/26</v>
      </c>
      <c r="B64" s="85">
        <f>COUNTIF(Expenditure_import[Column1],Expenditure_import[[#This Row],[Column1]])-1</f>
        <v>0</v>
      </c>
      <c r="C64" s="80" cm="1">
        <f t="array" ref="C64">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64" s="85">
        <f>IF(COUNTIF(SCHOOLS[SchoolCode],Expenditure_import[[#This Row],[SchoolCode]])&gt;0,0,1)</f>
        <v>0</v>
      </c>
      <c r="E64" s="85">
        <f>IF(COUNTIF(LEDGER[],Expenditure_import[[#This Row],[LedgerCode]])&gt;0,0,1)</f>
        <v>0</v>
      </c>
      <c r="F64" s="85">
        <f>IF(ISBLANK(Expenditure_import[[#This Row],[MonthProfileCode]]),1,IF(COUNTIF(MONTHPRF[Code],Expenditure_import[[#This Row],[MonthProfileCode]])&gt;0,0,1))</f>
        <v>0</v>
      </c>
      <c r="G64" s="80" cm="1">
        <f t="array" ref="G64">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64" s="85">
        <f>IF(Expenditure_import[[#This Row],[FundCode]]=0,0,IF(COUNTIF(FUNDS[FundCode],Expenditure_import[[#This Row],[FundCode]])&gt;0,0,1))</f>
        <v>0</v>
      </c>
      <c r="I64" s="80" cm="1">
        <f t="array" ref="I64">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64" s="85">
        <f>IF(ISBLANK(Expenditure_import[[#This Row],[YearValue]])=Expenditure_import[[#This Row],[Calculated]],0,1)</f>
        <v>0</v>
      </c>
      <c r="K64" s="85">
        <f>IF(ISBLANK(Expenditure_import[[#This Row],[CalculatorCode]]),0,IF(COUNTIF(Calculators[CalculatorCode],Expenditure_import[[#This Row],[CalculatorCode]])&gt;0,0,1))</f>
        <v>0</v>
      </c>
      <c r="L64" s="85">
        <f>IF(TRIM(Expenditure_import[[#This Row],[Description]])="",1,0)</f>
        <v>0</v>
      </c>
      <c r="M64" s="85">
        <f>IF(ISBLANK(Expenditure_import[[#This Row],[MatEditOnly]]),1,0)</f>
        <v>0</v>
      </c>
      <c r="N64" s="85">
        <f>IF(ISBLANK(Expenditure_import[[#This Row],[FinancialYearCode]]),1,0)</f>
        <v>0</v>
      </c>
      <c r="O64" s="85">
        <f>IF(ISBLANK(Expenditure_import[[#This Row],[Calculated]]),1,0)</f>
        <v>0</v>
      </c>
      <c r="P64"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64" s="85">
        <f>IF(LEN(Expenditure_import[[#This Row],[Description]])&lt;100,0,1)</f>
        <v>0</v>
      </c>
      <c r="R64" s="85">
        <f>IF(LEN(Expenditure_import[[#This Row],[Notes]])&lt;4000,0,1)</f>
        <v>0</v>
      </c>
      <c r="S64" s="85">
        <f>IF(LEN(Expenditure_import[[#This Row],[YearNotes]])&lt;4000,0,1)</f>
        <v>0</v>
      </c>
      <c r="T64" s="85">
        <f>IF(OR(Expenditure_import[[#This Row],[MatEditOnly]]=TRUE,Expenditure_import[[#This Row],[MatEditOnly]]=FALSE),IF(OR(Expenditure_import[[#This Row],[Calculated]]=TRUE,Expenditure_import[[#This Row],[Calculated]]=FALSE),0,1),1)</f>
        <v>0</v>
      </c>
      <c r="U64" s="85">
        <f>IF(_xlfn.XLOOKUP(Expenditure_import[[#This Row],[FinancialYearCode]],Years[Years],Years[Years],1)=Expenditure_import[[#This Row],[FinancialYearCode]],0,1)</f>
        <v>0</v>
      </c>
      <c r="V64" s="85">
        <f>IF(Expenditure_import[[#This Row],[CalculatorCode]]="",0,IF(IF(_xlfn.XLOOKUP(Expenditure_import[[#This Row],[CalculatorCode]],Calculators[CalculatorCode],Calculators[LockCheck])=1,TRUE,FALSE)=Expenditure_import[[#This Row],[MatEditOnly]],0,1))</f>
        <v>0</v>
      </c>
      <c r="W64" s="85">
        <f>SUM(Expenditure_import[[#This Row],[DuplicateLine]:[MAT edit only required]])</f>
        <v>3</v>
      </c>
      <c r="X64" s="80">
        <f>COUNTIF(SRG[GrossSalaryFinanceCode],Expenditure_import[[#This Row],[FinanceCode]])+COUNTIF(SRG[EmployersNiFinanceCode],Expenditure_import[[#This Row],[FinanceCode]])+COUNTIF(SRG[PensionFinanceCode],Expenditure_import[[#This Row],[FinanceCode]])</f>
        <v>0</v>
      </c>
      <c r="Y64" s="80" t="str">
        <f>_xlfn.XLOOKUP(Expenditure_import[[#This Row],[SchoolCode]],SCHOOLS[SchoolCode],SCHOOLS[Title])</f>
        <v>Meltham Moor Primary School</v>
      </c>
      <c r="AB64" t="s">
        <v>2601</v>
      </c>
      <c r="AF64" t="s">
        <v>1290</v>
      </c>
      <c r="AG64" t="s">
        <v>1124</v>
      </c>
      <c r="AH64" t="s">
        <v>1447</v>
      </c>
      <c r="AK64" t="b">
        <v>0</v>
      </c>
      <c r="AL64" t="s">
        <v>1497</v>
      </c>
      <c r="AM64" t="b">
        <v>1</v>
      </c>
    </row>
    <row r="65" spans="1:39" hidden="1" x14ac:dyDescent="0.3">
      <c r="A65" s="120" t="str">
        <f t="shared" si="1"/>
        <v>NINRPA Insurance2025/26</v>
      </c>
      <c r="B65" s="85">
        <f>COUNTIF(Expenditure_import[Column1],Expenditure_import[[#This Row],[Column1]])-1</f>
        <v>0</v>
      </c>
      <c r="C65" s="80" cm="1">
        <f t="array" ref="C65">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65" s="85">
        <f>IF(COUNTIF(SCHOOLS[SchoolCode],Expenditure_import[[#This Row],[SchoolCode]])&gt;0,0,1)</f>
        <v>0</v>
      </c>
      <c r="E65" s="85">
        <f>IF(COUNTIF(LEDGER[],Expenditure_import[[#This Row],[LedgerCode]])&gt;0,0,1)</f>
        <v>0</v>
      </c>
      <c r="F65" s="85">
        <f>IF(ISBLANK(Expenditure_import[[#This Row],[MonthProfileCode]]),1,IF(COUNTIF(MONTHPRF[Code],Expenditure_import[[#This Row],[MonthProfileCode]])&gt;0,0,1))</f>
        <v>0</v>
      </c>
      <c r="G65" s="80" cm="1">
        <f t="array" ref="G65">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65" s="85">
        <f>IF(Expenditure_import[[#This Row],[FundCode]]=0,0,IF(COUNTIF(FUNDS[FundCode],Expenditure_import[[#This Row],[FundCode]])&gt;0,0,1))</f>
        <v>0</v>
      </c>
      <c r="I65" s="80" cm="1">
        <f t="array" ref="I65">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65" s="85">
        <f>IF(ISBLANK(Expenditure_import[[#This Row],[YearValue]])=Expenditure_import[[#This Row],[Calculated]],0,1)</f>
        <v>0</v>
      </c>
      <c r="K65" s="85">
        <f>IF(ISBLANK(Expenditure_import[[#This Row],[CalculatorCode]]),0,IF(COUNTIF(Calculators[CalculatorCode],Expenditure_import[[#This Row],[CalculatorCode]])&gt;0,0,1))</f>
        <v>0</v>
      </c>
      <c r="L65" s="85">
        <f>IF(TRIM(Expenditure_import[[#This Row],[Description]])="",1,0)</f>
        <v>0</v>
      </c>
      <c r="M65" s="85">
        <f>IF(ISBLANK(Expenditure_import[[#This Row],[MatEditOnly]]),1,0)</f>
        <v>0</v>
      </c>
      <c r="N65" s="85">
        <f>IF(ISBLANK(Expenditure_import[[#This Row],[FinancialYearCode]]),1,0)</f>
        <v>0</v>
      </c>
      <c r="O65" s="85">
        <f>IF(ISBLANK(Expenditure_import[[#This Row],[Calculated]]),1,0)</f>
        <v>0</v>
      </c>
      <c r="P65"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65" s="85">
        <f>IF(LEN(Expenditure_import[[#This Row],[Description]])&lt;100,0,1)</f>
        <v>0</v>
      </c>
      <c r="R65" s="85">
        <f>IF(LEN(Expenditure_import[[#This Row],[Notes]])&lt;4000,0,1)</f>
        <v>0</v>
      </c>
      <c r="S65" s="85">
        <f>IF(LEN(Expenditure_import[[#This Row],[YearNotes]])&lt;4000,0,1)</f>
        <v>0</v>
      </c>
      <c r="T65" s="85">
        <f>IF(OR(Expenditure_import[[#This Row],[MatEditOnly]]=TRUE,Expenditure_import[[#This Row],[MatEditOnly]]=FALSE),IF(OR(Expenditure_import[[#This Row],[Calculated]]=TRUE,Expenditure_import[[#This Row],[Calculated]]=FALSE),0,1),1)</f>
        <v>0</v>
      </c>
      <c r="U65" s="85">
        <f>IF(_xlfn.XLOOKUP(Expenditure_import[[#This Row],[FinancialYearCode]],Years[Years],Years[Years],1)=Expenditure_import[[#This Row],[FinancialYearCode]],0,1)</f>
        <v>0</v>
      </c>
      <c r="V65" s="85">
        <f>IF(Expenditure_import[[#This Row],[CalculatorCode]]="",0,IF(IF(_xlfn.XLOOKUP(Expenditure_import[[#This Row],[CalculatorCode]],Calculators[CalculatorCode],Calculators[LockCheck])=1,TRUE,FALSE)=Expenditure_import[[#This Row],[MatEditOnly]],0,1))</f>
        <v>0</v>
      </c>
      <c r="W65" s="85">
        <f>SUM(Expenditure_import[[#This Row],[DuplicateLine]:[MAT edit only required]])</f>
        <v>3</v>
      </c>
      <c r="X65" s="80">
        <f>COUNTIF(SRG[GrossSalaryFinanceCode],Expenditure_import[[#This Row],[FinanceCode]])+COUNTIF(SRG[EmployersNiFinanceCode],Expenditure_import[[#This Row],[FinanceCode]])+COUNTIF(SRG[PensionFinanceCode],Expenditure_import[[#This Row],[FinanceCode]])</f>
        <v>0</v>
      </c>
      <c r="Y65" s="80" t="str">
        <f>_xlfn.XLOOKUP(Expenditure_import[[#This Row],[SchoolCode]],SCHOOLS[SchoolCode],SCHOOLS[Title])</f>
        <v>Netherton Infant and Nursery School</v>
      </c>
      <c r="AB65" t="s">
        <v>2603</v>
      </c>
      <c r="AF65" t="s">
        <v>1290</v>
      </c>
      <c r="AG65" t="s">
        <v>1124</v>
      </c>
      <c r="AH65" t="s">
        <v>1447</v>
      </c>
      <c r="AK65" t="b">
        <v>0</v>
      </c>
      <c r="AL65" t="s">
        <v>1497</v>
      </c>
      <c r="AM65" t="b">
        <v>1</v>
      </c>
    </row>
    <row r="66" spans="1:39" hidden="1" x14ac:dyDescent="0.3">
      <c r="A66" s="120" t="str">
        <f t="shared" ref="A66:A73" si="3">AA66&amp;AB66&amp;TRIM(AH66)&amp;AL66&amp;AD66</f>
        <v>RVSRPA Insurance2025/26</v>
      </c>
      <c r="B66" s="85">
        <f>COUNTIF(Expenditure_import[Column1],Expenditure_import[[#This Row],[Column1]])-1</f>
        <v>0</v>
      </c>
      <c r="C66" s="80" cm="1">
        <f t="array" ref="C66">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66" s="85">
        <f>IF(COUNTIF(SCHOOLS[SchoolCode],Expenditure_import[[#This Row],[SchoolCode]])&gt;0,0,1)</f>
        <v>0</v>
      </c>
      <c r="E66" s="85">
        <f>IF(COUNTIF(LEDGER[],Expenditure_import[[#This Row],[LedgerCode]])&gt;0,0,1)</f>
        <v>0</v>
      </c>
      <c r="F66" s="85">
        <f>IF(ISBLANK(Expenditure_import[[#This Row],[MonthProfileCode]]),1,IF(COUNTIF(MONTHPRF[Code],Expenditure_import[[#This Row],[MonthProfileCode]])&gt;0,0,1))</f>
        <v>0</v>
      </c>
      <c r="G66" s="80" cm="1">
        <f t="array" ref="G66">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66" s="85">
        <f>IF(Expenditure_import[[#This Row],[FundCode]]=0,0,IF(COUNTIF(FUNDS[FundCode],Expenditure_import[[#This Row],[FundCode]])&gt;0,0,1))</f>
        <v>0</v>
      </c>
      <c r="I66" s="80" cm="1">
        <f t="array" ref="I66">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66" s="85">
        <f>IF(ISBLANK(Expenditure_import[[#This Row],[YearValue]])=Expenditure_import[[#This Row],[Calculated]],0,1)</f>
        <v>0</v>
      </c>
      <c r="K66" s="85">
        <f>IF(ISBLANK(Expenditure_import[[#This Row],[CalculatorCode]]),0,IF(COUNTIF(Calculators[CalculatorCode],Expenditure_import[[#This Row],[CalculatorCode]])&gt;0,0,1))</f>
        <v>0</v>
      </c>
      <c r="L66" s="85">
        <f>IF(TRIM(Expenditure_import[[#This Row],[Description]])="",1,0)</f>
        <v>0</v>
      </c>
      <c r="M66" s="85">
        <f>IF(ISBLANK(Expenditure_import[[#This Row],[MatEditOnly]]),1,0)</f>
        <v>0</v>
      </c>
      <c r="N66" s="85">
        <f>IF(ISBLANK(Expenditure_import[[#This Row],[FinancialYearCode]]),1,0)</f>
        <v>0</v>
      </c>
      <c r="O66" s="85">
        <f>IF(ISBLANK(Expenditure_import[[#This Row],[Calculated]]),1,0)</f>
        <v>0</v>
      </c>
      <c r="P66"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66" s="85">
        <f>IF(LEN(Expenditure_import[[#This Row],[Description]])&lt;100,0,1)</f>
        <v>0</v>
      </c>
      <c r="R66" s="85">
        <f>IF(LEN(Expenditure_import[[#This Row],[Notes]])&lt;4000,0,1)</f>
        <v>0</v>
      </c>
      <c r="S66" s="85">
        <f>IF(LEN(Expenditure_import[[#This Row],[YearNotes]])&lt;4000,0,1)</f>
        <v>0</v>
      </c>
      <c r="T66" s="85">
        <f>IF(OR(Expenditure_import[[#This Row],[MatEditOnly]]=TRUE,Expenditure_import[[#This Row],[MatEditOnly]]=FALSE),IF(OR(Expenditure_import[[#This Row],[Calculated]]=TRUE,Expenditure_import[[#This Row],[Calculated]]=FALSE),0,1),1)</f>
        <v>0</v>
      </c>
      <c r="U66" s="85">
        <f>IF(_xlfn.XLOOKUP(Expenditure_import[[#This Row],[FinancialYearCode]],Years[Years],Years[Years],1)=Expenditure_import[[#This Row],[FinancialYearCode]],0,1)</f>
        <v>0</v>
      </c>
      <c r="V66" s="85">
        <f>IF(Expenditure_import[[#This Row],[CalculatorCode]]="",0,IF(IF(_xlfn.XLOOKUP(Expenditure_import[[#This Row],[CalculatorCode]],Calculators[CalculatorCode],Calculators[LockCheck])=1,TRUE,FALSE)=Expenditure_import[[#This Row],[MatEditOnly]],0,1))</f>
        <v>0</v>
      </c>
      <c r="W66" s="85">
        <f>SUM(Expenditure_import[[#This Row],[DuplicateLine]:[MAT edit only required]])</f>
        <v>3</v>
      </c>
      <c r="X66" s="80">
        <f>COUNTIF(SRG[GrossSalaryFinanceCode],Expenditure_import[[#This Row],[FinanceCode]])+COUNTIF(SRG[EmployersNiFinanceCode],Expenditure_import[[#This Row],[FinanceCode]])+COUNTIF(SRG[PensionFinanceCode],Expenditure_import[[#This Row],[FinanceCode]])</f>
        <v>0</v>
      </c>
      <c r="Y66" s="80" t="str">
        <f>_xlfn.XLOOKUP(Expenditure_import[[#This Row],[SchoolCode]],SCHOOLS[SchoolCode],SCHOOLS[Title])</f>
        <v>Ryburn Valley High School</v>
      </c>
      <c r="AB66" t="s">
        <v>2605</v>
      </c>
      <c r="AF66" t="s">
        <v>1290</v>
      </c>
      <c r="AG66" t="s">
        <v>1124</v>
      </c>
      <c r="AH66" t="s">
        <v>1447</v>
      </c>
      <c r="AK66" t="b">
        <v>0</v>
      </c>
      <c r="AL66" t="s">
        <v>1497</v>
      </c>
      <c r="AM66" t="b">
        <v>1</v>
      </c>
    </row>
    <row r="67" spans="1:39" hidden="1" x14ac:dyDescent="0.3">
      <c r="A67" s="120" t="str">
        <f t="shared" si="3"/>
        <v>SRARPA Insurance2025/26</v>
      </c>
      <c r="B67" s="85">
        <f>COUNTIF(Expenditure_import[Column1],Expenditure_import[[#This Row],[Column1]])-1</f>
        <v>0</v>
      </c>
      <c r="C67" s="80" cm="1">
        <f t="array" ref="C67">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67" s="85">
        <f>IF(COUNTIF(SCHOOLS[SchoolCode],Expenditure_import[[#This Row],[SchoolCode]])&gt;0,0,1)</f>
        <v>0</v>
      </c>
      <c r="E67" s="85">
        <f>IF(COUNTIF(LEDGER[],Expenditure_import[[#This Row],[LedgerCode]])&gt;0,0,1)</f>
        <v>0</v>
      </c>
      <c r="F67" s="85">
        <f>IF(ISBLANK(Expenditure_import[[#This Row],[MonthProfileCode]]),1,IF(COUNTIF(MONTHPRF[Code],Expenditure_import[[#This Row],[MonthProfileCode]])&gt;0,0,1))</f>
        <v>0</v>
      </c>
      <c r="G67" s="80" cm="1">
        <f t="array" ref="G67">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67" s="85">
        <f>IF(Expenditure_import[[#This Row],[FundCode]]=0,0,IF(COUNTIF(FUNDS[FundCode],Expenditure_import[[#This Row],[FundCode]])&gt;0,0,1))</f>
        <v>0</v>
      </c>
      <c r="I67" s="80" cm="1">
        <f t="array" ref="I67">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67" s="85">
        <f>IF(ISBLANK(Expenditure_import[[#This Row],[YearValue]])=Expenditure_import[[#This Row],[Calculated]],0,1)</f>
        <v>0</v>
      </c>
      <c r="K67" s="85">
        <f>IF(ISBLANK(Expenditure_import[[#This Row],[CalculatorCode]]),0,IF(COUNTIF(Calculators[CalculatorCode],Expenditure_import[[#This Row],[CalculatorCode]])&gt;0,0,1))</f>
        <v>0</v>
      </c>
      <c r="L67" s="85">
        <f>IF(TRIM(Expenditure_import[[#This Row],[Description]])="",1,0)</f>
        <v>0</v>
      </c>
      <c r="M67" s="85">
        <f>IF(ISBLANK(Expenditure_import[[#This Row],[MatEditOnly]]),1,0)</f>
        <v>0</v>
      </c>
      <c r="N67" s="85">
        <f>IF(ISBLANK(Expenditure_import[[#This Row],[FinancialYearCode]]),1,0)</f>
        <v>0</v>
      </c>
      <c r="O67" s="85">
        <f>IF(ISBLANK(Expenditure_import[[#This Row],[Calculated]]),1,0)</f>
        <v>0</v>
      </c>
      <c r="P67"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67" s="85">
        <f>IF(LEN(Expenditure_import[[#This Row],[Description]])&lt;100,0,1)</f>
        <v>0</v>
      </c>
      <c r="R67" s="85">
        <f>IF(LEN(Expenditure_import[[#This Row],[Notes]])&lt;4000,0,1)</f>
        <v>0</v>
      </c>
      <c r="S67" s="85">
        <f>IF(LEN(Expenditure_import[[#This Row],[YearNotes]])&lt;4000,0,1)</f>
        <v>0</v>
      </c>
      <c r="T67" s="85">
        <f>IF(OR(Expenditure_import[[#This Row],[MatEditOnly]]=TRUE,Expenditure_import[[#This Row],[MatEditOnly]]=FALSE),IF(OR(Expenditure_import[[#This Row],[Calculated]]=TRUE,Expenditure_import[[#This Row],[Calculated]]=FALSE),0,1),1)</f>
        <v>0</v>
      </c>
      <c r="U67" s="85">
        <f>IF(_xlfn.XLOOKUP(Expenditure_import[[#This Row],[FinancialYearCode]],Years[Years],Years[Years],1)=Expenditure_import[[#This Row],[FinancialYearCode]],0,1)</f>
        <v>0</v>
      </c>
      <c r="V67" s="85">
        <f>IF(Expenditure_import[[#This Row],[CalculatorCode]]="",0,IF(IF(_xlfn.XLOOKUP(Expenditure_import[[#This Row],[CalculatorCode]],Calculators[CalculatorCode],Calculators[LockCheck])=1,TRUE,FALSE)=Expenditure_import[[#This Row],[MatEditOnly]],0,1))</f>
        <v>0</v>
      </c>
      <c r="W67" s="85">
        <f>SUM(Expenditure_import[[#This Row],[DuplicateLine]:[MAT edit only required]])</f>
        <v>3</v>
      </c>
      <c r="X67" s="80">
        <f>COUNTIF(SRG[GrossSalaryFinanceCode],Expenditure_import[[#This Row],[FinanceCode]])+COUNTIF(SRG[EmployersNiFinanceCode],Expenditure_import[[#This Row],[FinanceCode]])+COUNTIF(SRG[PensionFinanceCode],Expenditure_import[[#This Row],[FinanceCode]])</f>
        <v>0</v>
      </c>
      <c r="Y67" s="80" t="str">
        <f>_xlfn.XLOOKUP(Expenditure_import[[#This Row],[SchoolCode]],SCHOOLS[SchoolCode],SCHOOLS[Title])</f>
        <v>Scout Road Academy</v>
      </c>
      <c r="AB67" t="s">
        <v>2607</v>
      </c>
      <c r="AF67" t="s">
        <v>1290</v>
      </c>
      <c r="AG67" t="s">
        <v>1124</v>
      </c>
      <c r="AH67" t="s">
        <v>1447</v>
      </c>
      <c r="AK67" t="b">
        <v>0</v>
      </c>
      <c r="AL67" t="s">
        <v>1497</v>
      </c>
      <c r="AM67" t="b">
        <v>1</v>
      </c>
    </row>
    <row r="68" spans="1:39" hidden="1" x14ac:dyDescent="0.3">
      <c r="A68" s="120" t="str">
        <f t="shared" si="3"/>
        <v>BBPRPA Insurance - Nursery2025/26</v>
      </c>
      <c r="B68" s="85">
        <f>COUNTIF(Expenditure_import[Column1],Expenditure_import[[#This Row],[Column1]])-1</f>
        <v>0</v>
      </c>
      <c r="C68" s="80" cm="1">
        <f t="array" ref="C68">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68" s="85">
        <f>IF(COUNTIF(SCHOOLS[SchoolCode],Expenditure_import[[#This Row],[SchoolCode]])&gt;0,0,1)</f>
        <v>0</v>
      </c>
      <c r="E68" s="85">
        <f>IF(COUNTIF(LEDGER[],Expenditure_import[[#This Row],[LedgerCode]])&gt;0,0,1)</f>
        <v>0</v>
      </c>
      <c r="F68" s="85">
        <f>IF(ISBLANK(Expenditure_import[[#This Row],[MonthProfileCode]]),1,IF(COUNTIF(MONTHPRF[Code],Expenditure_import[[#This Row],[MonthProfileCode]])&gt;0,0,1))</f>
        <v>0</v>
      </c>
      <c r="G68" s="80" cm="1">
        <f t="array" ref="G68">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68" s="85">
        <f>IF(Expenditure_import[[#This Row],[FundCode]]=0,0,IF(COUNTIF(FUNDS[FundCode],Expenditure_import[[#This Row],[FundCode]])&gt;0,0,1))</f>
        <v>0</v>
      </c>
      <c r="I68" s="80" cm="1">
        <f t="array" ref="I68">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68" s="85">
        <f>IF(ISBLANK(Expenditure_import[[#This Row],[YearValue]])=Expenditure_import[[#This Row],[Calculated]],0,1)</f>
        <v>0</v>
      </c>
      <c r="K68" s="85">
        <f>IF(ISBLANK(Expenditure_import[[#This Row],[CalculatorCode]]),0,IF(COUNTIF(Calculators[CalculatorCode],Expenditure_import[[#This Row],[CalculatorCode]])&gt;0,0,1))</f>
        <v>0</v>
      </c>
      <c r="L68" s="85">
        <f>IF(TRIM(Expenditure_import[[#This Row],[Description]])="",1,0)</f>
        <v>0</v>
      </c>
      <c r="M68" s="85">
        <f>IF(ISBLANK(Expenditure_import[[#This Row],[MatEditOnly]]),1,0)</f>
        <v>0</v>
      </c>
      <c r="N68" s="85">
        <f>IF(ISBLANK(Expenditure_import[[#This Row],[FinancialYearCode]]),1,0)</f>
        <v>0</v>
      </c>
      <c r="O68" s="85">
        <f>IF(ISBLANK(Expenditure_import[[#This Row],[Calculated]]),1,0)</f>
        <v>0</v>
      </c>
      <c r="P68"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68" s="85">
        <f>IF(LEN(Expenditure_import[[#This Row],[Description]])&lt;100,0,1)</f>
        <v>0</v>
      </c>
      <c r="R68" s="85">
        <f>IF(LEN(Expenditure_import[[#This Row],[Notes]])&lt;4000,0,1)</f>
        <v>0</v>
      </c>
      <c r="S68" s="85">
        <f>IF(LEN(Expenditure_import[[#This Row],[YearNotes]])&lt;4000,0,1)</f>
        <v>0</v>
      </c>
      <c r="T68" s="85">
        <f>IF(OR(Expenditure_import[[#This Row],[MatEditOnly]]=TRUE,Expenditure_import[[#This Row],[MatEditOnly]]=FALSE),IF(OR(Expenditure_import[[#This Row],[Calculated]]=TRUE,Expenditure_import[[#This Row],[Calculated]]=FALSE),0,1),1)</f>
        <v>0</v>
      </c>
      <c r="U68" s="85">
        <f>IF(_xlfn.XLOOKUP(Expenditure_import[[#This Row],[FinancialYearCode]],Years[Years],Years[Years],1)=Expenditure_import[[#This Row],[FinancialYearCode]],0,1)</f>
        <v>0</v>
      </c>
      <c r="V68" s="85">
        <f>IF(Expenditure_import[[#This Row],[CalculatorCode]]="",0,IF(IF(_xlfn.XLOOKUP(Expenditure_import[[#This Row],[CalculatorCode]],Calculators[CalculatorCode],Calculators[LockCheck])=1,TRUE,FALSE)=Expenditure_import[[#This Row],[MatEditOnly]],0,1))</f>
        <v>0</v>
      </c>
      <c r="W68" s="85">
        <f>SUM(Expenditure_import[[#This Row],[DuplicateLine]:[MAT edit only required]])</f>
        <v>3</v>
      </c>
      <c r="X68" s="80">
        <f>COUNTIF(SRG[GrossSalaryFinanceCode],Expenditure_import[[#This Row],[FinanceCode]])+COUNTIF(SRG[EmployersNiFinanceCode],Expenditure_import[[#This Row],[FinanceCode]])+COUNTIF(SRG[PensionFinanceCode],Expenditure_import[[#This Row],[FinanceCode]])</f>
        <v>0</v>
      </c>
      <c r="Y68" s="80" t="str">
        <f>_xlfn.XLOOKUP(Expenditure_import[[#This Row],[SchoolCode]],SCHOOLS[SchoolCode],SCHOOLS[Title])</f>
        <v>Bolton Brow Primary Academy</v>
      </c>
      <c r="AB68" t="s">
        <v>2588</v>
      </c>
      <c r="AF68" t="s">
        <v>2083</v>
      </c>
      <c r="AG68" t="s">
        <v>1124</v>
      </c>
      <c r="AH68" t="s">
        <v>2089</v>
      </c>
      <c r="AK68" t="b">
        <v>0</v>
      </c>
      <c r="AL68" t="s">
        <v>1497</v>
      </c>
      <c r="AM68" t="b">
        <v>1</v>
      </c>
    </row>
    <row r="69" spans="1:39" hidden="1" x14ac:dyDescent="0.3">
      <c r="A69" s="120" t="str">
        <f t="shared" si="3"/>
        <v>LCPRPA Insurance - Nursery2025/26</v>
      </c>
      <c r="B69" s="85">
        <f>COUNTIF(Expenditure_import[Column1],Expenditure_import[[#This Row],[Column1]])-1</f>
        <v>0</v>
      </c>
      <c r="C69" s="80" cm="1">
        <f t="array" ref="C69">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69" s="85">
        <f>IF(COUNTIF(SCHOOLS[SchoolCode],Expenditure_import[[#This Row],[SchoolCode]])&gt;0,0,1)</f>
        <v>0</v>
      </c>
      <c r="E69" s="85">
        <f>IF(COUNTIF(LEDGER[],Expenditure_import[[#This Row],[LedgerCode]])&gt;0,0,1)</f>
        <v>0</v>
      </c>
      <c r="F69" s="85">
        <f>IF(ISBLANK(Expenditure_import[[#This Row],[MonthProfileCode]]),1,IF(COUNTIF(MONTHPRF[Code],Expenditure_import[[#This Row],[MonthProfileCode]])&gt;0,0,1))</f>
        <v>0</v>
      </c>
      <c r="G69" s="80" cm="1">
        <f t="array" ref="G69">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69" s="85">
        <f>IF(Expenditure_import[[#This Row],[FundCode]]=0,0,IF(COUNTIF(FUNDS[FundCode],Expenditure_import[[#This Row],[FundCode]])&gt;0,0,1))</f>
        <v>0</v>
      </c>
      <c r="I69" s="80" cm="1">
        <f t="array" ref="I69">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69" s="85">
        <f>IF(ISBLANK(Expenditure_import[[#This Row],[YearValue]])=Expenditure_import[[#This Row],[Calculated]],0,1)</f>
        <v>0</v>
      </c>
      <c r="K69" s="85">
        <f>IF(ISBLANK(Expenditure_import[[#This Row],[CalculatorCode]]),0,IF(COUNTIF(Calculators[CalculatorCode],Expenditure_import[[#This Row],[CalculatorCode]])&gt;0,0,1))</f>
        <v>0</v>
      </c>
      <c r="L69" s="85">
        <f>IF(TRIM(Expenditure_import[[#This Row],[Description]])="",1,0)</f>
        <v>0</v>
      </c>
      <c r="M69" s="85">
        <f>IF(ISBLANK(Expenditure_import[[#This Row],[MatEditOnly]]),1,0)</f>
        <v>0</v>
      </c>
      <c r="N69" s="85">
        <f>IF(ISBLANK(Expenditure_import[[#This Row],[FinancialYearCode]]),1,0)</f>
        <v>0</v>
      </c>
      <c r="O69" s="85">
        <f>IF(ISBLANK(Expenditure_import[[#This Row],[Calculated]]),1,0)</f>
        <v>0</v>
      </c>
      <c r="P69"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69" s="85">
        <f>IF(LEN(Expenditure_import[[#This Row],[Description]])&lt;100,0,1)</f>
        <v>0</v>
      </c>
      <c r="R69" s="85">
        <f>IF(LEN(Expenditure_import[[#This Row],[Notes]])&lt;4000,0,1)</f>
        <v>0</v>
      </c>
      <c r="S69" s="85">
        <f>IF(LEN(Expenditure_import[[#This Row],[YearNotes]])&lt;4000,0,1)</f>
        <v>0</v>
      </c>
      <c r="T69" s="85">
        <f>IF(OR(Expenditure_import[[#This Row],[MatEditOnly]]=TRUE,Expenditure_import[[#This Row],[MatEditOnly]]=FALSE),IF(OR(Expenditure_import[[#This Row],[Calculated]]=TRUE,Expenditure_import[[#This Row],[Calculated]]=FALSE),0,1),1)</f>
        <v>0</v>
      </c>
      <c r="U69" s="85">
        <f>IF(_xlfn.XLOOKUP(Expenditure_import[[#This Row],[FinancialYearCode]],Years[Years],Years[Years],1)=Expenditure_import[[#This Row],[FinancialYearCode]],0,1)</f>
        <v>0</v>
      </c>
      <c r="V69" s="85">
        <f>IF(Expenditure_import[[#This Row],[CalculatorCode]]="",0,IF(IF(_xlfn.XLOOKUP(Expenditure_import[[#This Row],[CalculatorCode]],Calculators[CalculatorCode],Calculators[LockCheck])=1,TRUE,FALSE)=Expenditure_import[[#This Row],[MatEditOnly]],0,1))</f>
        <v>0</v>
      </c>
      <c r="W69" s="85">
        <f>SUM(Expenditure_import[[#This Row],[DuplicateLine]:[MAT edit only required]])</f>
        <v>3</v>
      </c>
      <c r="X69" s="80">
        <f>COUNTIF(SRG[GrossSalaryFinanceCode],Expenditure_import[[#This Row],[FinanceCode]])+COUNTIF(SRG[EmployersNiFinanceCode],Expenditure_import[[#This Row],[FinanceCode]])+COUNTIF(SRG[PensionFinanceCode],Expenditure_import[[#This Row],[FinanceCode]])</f>
        <v>0</v>
      </c>
      <c r="Y69" s="80" t="str">
        <f>_xlfn.XLOOKUP(Expenditure_import[[#This Row],[SchoolCode]],SCHOOLS[SchoolCode],SCHOOLS[Title])</f>
        <v>Linthwaite Clough Primary School</v>
      </c>
      <c r="AB69" t="s">
        <v>2599</v>
      </c>
      <c r="AF69" t="s">
        <v>2083</v>
      </c>
      <c r="AG69" t="s">
        <v>1124</v>
      </c>
      <c r="AH69" t="s">
        <v>2089</v>
      </c>
      <c r="AK69" t="b">
        <v>0</v>
      </c>
      <c r="AL69" t="s">
        <v>1497</v>
      </c>
      <c r="AM69" t="b">
        <v>1</v>
      </c>
    </row>
    <row r="70" spans="1:39" hidden="1" x14ac:dyDescent="0.3">
      <c r="A70" s="120" t="str">
        <f t="shared" si="3"/>
        <v>MMPRPA Insurance - Nursery2025/26</v>
      </c>
      <c r="B70" s="85">
        <f>COUNTIF(Expenditure_import[Column1],Expenditure_import[[#This Row],[Column1]])-1</f>
        <v>0</v>
      </c>
      <c r="C70" s="80" cm="1">
        <f t="array" ref="C70">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70" s="85">
        <f>IF(COUNTIF(SCHOOLS[SchoolCode],Expenditure_import[[#This Row],[SchoolCode]])&gt;0,0,1)</f>
        <v>0</v>
      </c>
      <c r="E70" s="85">
        <f>IF(COUNTIF(LEDGER[],Expenditure_import[[#This Row],[LedgerCode]])&gt;0,0,1)</f>
        <v>0</v>
      </c>
      <c r="F70" s="85">
        <f>IF(ISBLANK(Expenditure_import[[#This Row],[MonthProfileCode]]),1,IF(COUNTIF(MONTHPRF[Code],Expenditure_import[[#This Row],[MonthProfileCode]])&gt;0,0,1))</f>
        <v>0</v>
      </c>
      <c r="G70" s="80" cm="1">
        <f t="array" ref="G70">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70" s="85">
        <f>IF(Expenditure_import[[#This Row],[FundCode]]=0,0,IF(COUNTIF(FUNDS[FundCode],Expenditure_import[[#This Row],[FundCode]])&gt;0,0,1))</f>
        <v>0</v>
      </c>
      <c r="I70" s="80" cm="1">
        <f t="array" ref="I70">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70" s="85">
        <f>IF(ISBLANK(Expenditure_import[[#This Row],[YearValue]])=Expenditure_import[[#This Row],[Calculated]],0,1)</f>
        <v>0</v>
      </c>
      <c r="K70" s="85">
        <f>IF(ISBLANK(Expenditure_import[[#This Row],[CalculatorCode]]),0,IF(COUNTIF(Calculators[CalculatorCode],Expenditure_import[[#This Row],[CalculatorCode]])&gt;0,0,1))</f>
        <v>0</v>
      </c>
      <c r="L70" s="85">
        <f>IF(TRIM(Expenditure_import[[#This Row],[Description]])="",1,0)</f>
        <v>0</v>
      </c>
      <c r="M70" s="85">
        <f>IF(ISBLANK(Expenditure_import[[#This Row],[MatEditOnly]]),1,0)</f>
        <v>0</v>
      </c>
      <c r="N70" s="85">
        <f>IF(ISBLANK(Expenditure_import[[#This Row],[FinancialYearCode]]),1,0)</f>
        <v>0</v>
      </c>
      <c r="O70" s="85">
        <f>IF(ISBLANK(Expenditure_import[[#This Row],[Calculated]]),1,0)</f>
        <v>0</v>
      </c>
      <c r="P70"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70" s="85">
        <f>IF(LEN(Expenditure_import[[#This Row],[Description]])&lt;100,0,1)</f>
        <v>0</v>
      </c>
      <c r="R70" s="85">
        <f>IF(LEN(Expenditure_import[[#This Row],[Notes]])&lt;4000,0,1)</f>
        <v>0</v>
      </c>
      <c r="S70" s="85">
        <f>IF(LEN(Expenditure_import[[#This Row],[YearNotes]])&lt;4000,0,1)</f>
        <v>0</v>
      </c>
      <c r="T70" s="85">
        <f>IF(OR(Expenditure_import[[#This Row],[MatEditOnly]]=TRUE,Expenditure_import[[#This Row],[MatEditOnly]]=FALSE),IF(OR(Expenditure_import[[#This Row],[Calculated]]=TRUE,Expenditure_import[[#This Row],[Calculated]]=FALSE),0,1),1)</f>
        <v>0</v>
      </c>
      <c r="U70" s="85">
        <f>IF(_xlfn.XLOOKUP(Expenditure_import[[#This Row],[FinancialYearCode]],Years[Years],Years[Years],1)=Expenditure_import[[#This Row],[FinancialYearCode]],0,1)</f>
        <v>0</v>
      </c>
      <c r="V70" s="85">
        <f>IF(Expenditure_import[[#This Row],[CalculatorCode]]="",0,IF(IF(_xlfn.XLOOKUP(Expenditure_import[[#This Row],[CalculatorCode]],Calculators[CalculatorCode],Calculators[LockCheck])=1,TRUE,FALSE)=Expenditure_import[[#This Row],[MatEditOnly]],0,1))</f>
        <v>0</v>
      </c>
      <c r="W70" s="85">
        <f>SUM(Expenditure_import[[#This Row],[DuplicateLine]:[MAT edit only required]])</f>
        <v>3</v>
      </c>
      <c r="X70" s="80">
        <f>COUNTIF(SRG[GrossSalaryFinanceCode],Expenditure_import[[#This Row],[FinanceCode]])+COUNTIF(SRG[EmployersNiFinanceCode],Expenditure_import[[#This Row],[FinanceCode]])+COUNTIF(SRG[PensionFinanceCode],Expenditure_import[[#This Row],[FinanceCode]])</f>
        <v>0</v>
      </c>
      <c r="Y70" s="80" t="str">
        <f>_xlfn.XLOOKUP(Expenditure_import[[#This Row],[SchoolCode]],SCHOOLS[SchoolCode],SCHOOLS[Title])</f>
        <v>Meltham Moor Primary School</v>
      </c>
      <c r="AB70" t="s">
        <v>2601</v>
      </c>
      <c r="AF70" t="s">
        <v>2083</v>
      </c>
      <c r="AG70" t="s">
        <v>1124</v>
      </c>
      <c r="AH70" t="s">
        <v>2089</v>
      </c>
      <c r="AK70" t="b">
        <v>0</v>
      </c>
      <c r="AL70" t="s">
        <v>1497</v>
      </c>
      <c r="AM70" t="b">
        <v>1</v>
      </c>
    </row>
    <row r="71" spans="1:39" hidden="1" x14ac:dyDescent="0.3">
      <c r="A71" s="120" t="str">
        <f t="shared" si="3"/>
        <v>NINRPA Insurance - Nursery2025/26</v>
      </c>
      <c r="B71" s="85">
        <f>COUNTIF(Expenditure_import[Column1],Expenditure_import[[#This Row],[Column1]])-1</f>
        <v>0</v>
      </c>
      <c r="C71" s="80" cm="1">
        <f t="array" ref="C71">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71" s="85">
        <f>IF(COUNTIF(SCHOOLS[SchoolCode],Expenditure_import[[#This Row],[SchoolCode]])&gt;0,0,1)</f>
        <v>0</v>
      </c>
      <c r="E71" s="85">
        <f>IF(COUNTIF(LEDGER[],Expenditure_import[[#This Row],[LedgerCode]])&gt;0,0,1)</f>
        <v>0</v>
      </c>
      <c r="F71" s="85">
        <f>IF(ISBLANK(Expenditure_import[[#This Row],[MonthProfileCode]]),1,IF(COUNTIF(MONTHPRF[Code],Expenditure_import[[#This Row],[MonthProfileCode]])&gt;0,0,1))</f>
        <v>0</v>
      </c>
      <c r="G71" s="80" cm="1">
        <f t="array" ref="G71">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71" s="85">
        <f>IF(Expenditure_import[[#This Row],[FundCode]]=0,0,IF(COUNTIF(FUNDS[FundCode],Expenditure_import[[#This Row],[FundCode]])&gt;0,0,1))</f>
        <v>0</v>
      </c>
      <c r="I71" s="80" cm="1">
        <f t="array" ref="I71">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71" s="85">
        <f>IF(ISBLANK(Expenditure_import[[#This Row],[YearValue]])=Expenditure_import[[#This Row],[Calculated]],0,1)</f>
        <v>0</v>
      </c>
      <c r="K71" s="85">
        <f>IF(ISBLANK(Expenditure_import[[#This Row],[CalculatorCode]]),0,IF(COUNTIF(Calculators[CalculatorCode],Expenditure_import[[#This Row],[CalculatorCode]])&gt;0,0,1))</f>
        <v>0</v>
      </c>
      <c r="L71" s="85">
        <f>IF(TRIM(Expenditure_import[[#This Row],[Description]])="",1,0)</f>
        <v>0</v>
      </c>
      <c r="M71" s="85">
        <f>IF(ISBLANK(Expenditure_import[[#This Row],[MatEditOnly]]),1,0)</f>
        <v>0</v>
      </c>
      <c r="N71" s="85">
        <f>IF(ISBLANK(Expenditure_import[[#This Row],[FinancialYearCode]]),1,0)</f>
        <v>0</v>
      </c>
      <c r="O71" s="85">
        <f>IF(ISBLANK(Expenditure_import[[#This Row],[Calculated]]),1,0)</f>
        <v>0</v>
      </c>
      <c r="P71"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71" s="85">
        <f>IF(LEN(Expenditure_import[[#This Row],[Description]])&lt;100,0,1)</f>
        <v>0</v>
      </c>
      <c r="R71" s="85">
        <f>IF(LEN(Expenditure_import[[#This Row],[Notes]])&lt;4000,0,1)</f>
        <v>0</v>
      </c>
      <c r="S71" s="85">
        <f>IF(LEN(Expenditure_import[[#This Row],[YearNotes]])&lt;4000,0,1)</f>
        <v>0</v>
      </c>
      <c r="T71" s="85">
        <f>IF(OR(Expenditure_import[[#This Row],[MatEditOnly]]=TRUE,Expenditure_import[[#This Row],[MatEditOnly]]=FALSE),IF(OR(Expenditure_import[[#This Row],[Calculated]]=TRUE,Expenditure_import[[#This Row],[Calculated]]=FALSE),0,1),1)</f>
        <v>0</v>
      </c>
      <c r="U71" s="85">
        <f>IF(_xlfn.XLOOKUP(Expenditure_import[[#This Row],[FinancialYearCode]],Years[Years],Years[Years],1)=Expenditure_import[[#This Row],[FinancialYearCode]],0,1)</f>
        <v>0</v>
      </c>
      <c r="V71" s="85">
        <f>IF(Expenditure_import[[#This Row],[CalculatorCode]]="",0,IF(IF(_xlfn.XLOOKUP(Expenditure_import[[#This Row],[CalculatorCode]],Calculators[CalculatorCode],Calculators[LockCheck])=1,TRUE,FALSE)=Expenditure_import[[#This Row],[MatEditOnly]],0,1))</f>
        <v>0</v>
      </c>
      <c r="W71" s="85">
        <f>SUM(Expenditure_import[[#This Row],[DuplicateLine]:[MAT edit only required]])</f>
        <v>3</v>
      </c>
      <c r="X71" s="80">
        <f>COUNTIF(SRG[GrossSalaryFinanceCode],Expenditure_import[[#This Row],[FinanceCode]])+COUNTIF(SRG[EmployersNiFinanceCode],Expenditure_import[[#This Row],[FinanceCode]])+COUNTIF(SRG[PensionFinanceCode],Expenditure_import[[#This Row],[FinanceCode]])</f>
        <v>0</v>
      </c>
      <c r="Y71" s="80" t="str">
        <f>_xlfn.XLOOKUP(Expenditure_import[[#This Row],[SchoolCode]],SCHOOLS[SchoolCode],SCHOOLS[Title])</f>
        <v>Netherton Infant and Nursery School</v>
      </c>
      <c r="AB71" t="s">
        <v>2603</v>
      </c>
      <c r="AF71" t="s">
        <v>2083</v>
      </c>
      <c r="AG71" t="s">
        <v>1124</v>
      </c>
      <c r="AH71" t="s">
        <v>2089</v>
      </c>
      <c r="AK71" t="b">
        <v>0</v>
      </c>
      <c r="AL71" t="s">
        <v>1497</v>
      </c>
      <c r="AM71" t="b">
        <v>1</v>
      </c>
    </row>
    <row r="72" spans="1:39" hidden="1" x14ac:dyDescent="0.3">
      <c r="A72" s="120" t="str">
        <f t="shared" si="3"/>
        <v>SRARPA Insurance - Nursery2025/26</v>
      </c>
      <c r="B72" s="85">
        <f>COUNTIF(Expenditure_import[Column1],Expenditure_import[[#This Row],[Column1]])-1</f>
        <v>0</v>
      </c>
      <c r="C72" s="80" cm="1">
        <f t="array" ref="C72">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72" s="85">
        <f>IF(COUNTIF(SCHOOLS[SchoolCode],Expenditure_import[[#This Row],[SchoolCode]])&gt;0,0,1)</f>
        <v>0</v>
      </c>
      <c r="E72" s="85">
        <f>IF(COUNTIF(LEDGER[],Expenditure_import[[#This Row],[LedgerCode]])&gt;0,0,1)</f>
        <v>0</v>
      </c>
      <c r="F72" s="85">
        <f>IF(ISBLANK(Expenditure_import[[#This Row],[MonthProfileCode]]),1,IF(COUNTIF(MONTHPRF[Code],Expenditure_import[[#This Row],[MonthProfileCode]])&gt;0,0,1))</f>
        <v>0</v>
      </c>
      <c r="G72" s="80" cm="1">
        <f t="array" ref="G72">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72" s="85">
        <f>IF(Expenditure_import[[#This Row],[FundCode]]=0,0,IF(COUNTIF(FUNDS[FundCode],Expenditure_import[[#This Row],[FundCode]])&gt;0,0,1))</f>
        <v>0</v>
      </c>
      <c r="I72" s="80" cm="1">
        <f t="array" ref="I72">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72" s="85">
        <f>IF(ISBLANK(Expenditure_import[[#This Row],[YearValue]])=Expenditure_import[[#This Row],[Calculated]],0,1)</f>
        <v>0</v>
      </c>
      <c r="K72" s="85">
        <f>IF(ISBLANK(Expenditure_import[[#This Row],[CalculatorCode]]),0,IF(COUNTIF(Calculators[CalculatorCode],Expenditure_import[[#This Row],[CalculatorCode]])&gt;0,0,1))</f>
        <v>0</v>
      </c>
      <c r="L72" s="85">
        <f>IF(TRIM(Expenditure_import[[#This Row],[Description]])="",1,0)</f>
        <v>0</v>
      </c>
      <c r="M72" s="85">
        <f>IF(ISBLANK(Expenditure_import[[#This Row],[MatEditOnly]]),1,0)</f>
        <v>0</v>
      </c>
      <c r="N72" s="85">
        <f>IF(ISBLANK(Expenditure_import[[#This Row],[FinancialYearCode]]),1,0)</f>
        <v>0</v>
      </c>
      <c r="O72" s="85">
        <f>IF(ISBLANK(Expenditure_import[[#This Row],[Calculated]]),1,0)</f>
        <v>0</v>
      </c>
      <c r="P72" s="85">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72" s="85">
        <f>IF(LEN(Expenditure_import[[#This Row],[Description]])&lt;100,0,1)</f>
        <v>0</v>
      </c>
      <c r="R72" s="85">
        <f>IF(LEN(Expenditure_import[[#This Row],[Notes]])&lt;4000,0,1)</f>
        <v>0</v>
      </c>
      <c r="S72" s="85">
        <f>IF(LEN(Expenditure_import[[#This Row],[YearNotes]])&lt;4000,0,1)</f>
        <v>0</v>
      </c>
      <c r="T72" s="85">
        <f>IF(OR(Expenditure_import[[#This Row],[MatEditOnly]]=TRUE,Expenditure_import[[#This Row],[MatEditOnly]]=FALSE),IF(OR(Expenditure_import[[#This Row],[Calculated]]=TRUE,Expenditure_import[[#This Row],[Calculated]]=FALSE),0,1),1)</f>
        <v>0</v>
      </c>
      <c r="U72" s="85">
        <f>IF(_xlfn.XLOOKUP(Expenditure_import[[#This Row],[FinancialYearCode]],Years[Years],Years[Years],1)=Expenditure_import[[#This Row],[FinancialYearCode]],0,1)</f>
        <v>0</v>
      </c>
      <c r="V72" s="85">
        <f>IF(Expenditure_import[[#This Row],[CalculatorCode]]="",0,IF(IF(_xlfn.XLOOKUP(Expenditure_import[[#This Row],[CalculatorCode]],Calculators[CalculatorCode],Calculators[LockCheck])=1,TRUE,FALSE)=Expenditure_import[[#This Row],[MatEditOnly]],0,1))</f>
        <v>0</v>
      </c>
      <c r="W72" s="85">
        <f>SUM(Expenditure_import[[#This Row],[DuplicateLine]:[MAT edit only required]])</f>
        <v>3</v>
      </c>
      <c r="X72" s="80">
        <f>COUNTIF(SRG[GrossSalaryFinanceCode],Expenditure_import[[#This Row],[FinanceCode]])+COUNTIF(SRG[EmployersNiFinanceCode],Expenditure_import[[#This Row],[FinanceCode]])+COUNTIF(SRG[PensionFinanceCode],Expenditure_import[[#This Row],[FinanceCode]])</f>
        <v>0</v>
      </c>
      <c r="Y72" s="80" t="str">
        <f>_xlfn.XLOOKUP(Expenditure_import[[#This Row],[SchoolCode]],SCHOOLS[SchoolCode],SCHOOLS[Title])</f>
        <v>Scout Road Academy</v>
      </c>
      <c r="AB72" t="s">
        <v>2607</v>
      </c>
      <c r="AF72" t="s">
        <v>2083</v>
      </c>
      <c r="AG72" t="s">
        <v>1124</v>
      </c>
      <c r="AH72" t="s">
        <v>2089</v>
      </c>
      <c r="AK72" t="b">
        <v>0</v>
      </c>
      <c r="AL72" t="s">
        <v>1497</v>
      </c>
      <c r="AM72" t="b">
        <v>1</v>
      </c>
    </row>
    <row r="73" spans="1:39" hidden="1" x14ac:dyDescent="0.3">
      <c r="A73" s="145" t="str">
        <f t="shared" si="3"/>
        <v>CHSRPA Insurance2025/26</v>
      </c>
      <c r="B73" s="96">
        <f>COUNTIF(Expenditure_import[Column1],Expenditure_import[[#This Row],[Column1]])-1</f>
        <v>0</v>
      </c>
      <c r="C73" s="80" cm="1">
        <f t="array" ref="C73">IF(_xlfn.XLOOKUP(Expenditure_import[[#This Row],[FinanceCode]],FinanceCodesBudget[FinanceCode],FinanceCodesBudget[AvailableToAllSchools],1,0,)=TRUE,0,IF(ISERROR(FIND(Expenditure_import[[#This Row],[SchoolCode]],_xlfn.TEXTJOIN(",",TRUE,_xlfn.UNIQUE(IF(FinanceCodesBudget[FinanceCode]=Expenditure_import[[#This Row],[FinanceCode]],FinanceCodesBudget[SchoolCodes],""))))),1,0))</f>
        <v>1</v>
      </c>
      <c r="D73" s="96">
        <f>IF(COUNTIF(SCHOOLS[SchoolCode],Expenditure_import[[#This Row],[SchoolCode]])&gt;0,0,1)</f>
        <v>0</v>
      </c>
      <c r="E73" s="96">
        <f>IF(COUNTIF(LEDGER[],Expenditure_import[[#This Row],[LedgerCode]])&gt;0,0,1)</f>
        <v>0</v>
      </c>
      <c r="F73" s="96">
        <f>IF(ISBLANK(Expenditure_import[[#This Row],[MonthProfileCode]]),1,IF(COUNTIF(MONTHPRF[Code],Expenditure_import[[#This Row],[MonthProfileCode]])&gt;0,0,1))</f>
        <v>0</v>
      </c>
      <c r="G73" s="80" cm="1">
        <f t="array" ref="G73">IF(_xlfn.XLOOKUP(Expenditure_import[[#This Row],[DepartmentCode]]&amp;Expenditure_import[[#This Row],[LedgerCode]],DEPTS[DepartmentCode]&amp;DEPTS[LedgerCode],DEPTS[AvailableToAllSchools],1,0,)=TRUE,0,IF(ISERROR(FIND(Expenditure_import[[#This Row],[SchoolCode]],_xlfn.TEXTJOIN(",",TRUE,_xlfn.UNIQUE(IF(DEPTS[DepartmentCode]&amp;DEPTS[LedgerCode]=Expenditure_import[[#This Row],[DepartmentCode]]&amp;Expenditure_import[[#This Row],[LedgerCode]],DEPTS[SchoolCodes],""))))),1,0))</f>
        <v>1</v>
      </c>
      <c r="H73" s="96">
        <f>IF(Expenditure_import[[#This Row],[FundCode]]=0,0,IF(COUNTIF(FUNDS[FundCode],Expenditure_import[[#This Row],[FundCode]])&gt;0,0,1))</f>
        <v>0</v>
      </c>
      <c r="I73" s="80" cm="1">
        <f t="array" ref="I73">IF(_xlfn.XLOOKUP(Expenditure_import[[#This Row],[DepartmentCode]]&amp;Expenditure_import[[#This Row],[LedgerCode]],DEPTS[DepartmentCode]&amp;DEPTS[LedgerCode],DEPTS[AvailableToAllSchools])=TRUE,(IF((_xlfn.XLOOKUP(Expenditure_import[[#This Row],[DepartmentCode]]&amp;Expenditure_import[[#This Row],[LedgerCode]],DEPTS[DepartmentCode]&amp;DEPTS[LedgerCode],DEPTS[LedgerCode])=Expenditure_import[[#This Row],[LedgerCode]]),0,1)),(IFERROR(IF(FIND(Expenditure_import[[#This Row],[SchoolCode]],(_xlfn.TEXTJOIN(",",TRUE,IF(DEPTS[DepartmentCode]&amp;DEPTS[LedgerCode]=Expenditure_import[[#This Row],[DepartmentCode]]&amp;Expenditure_import[[#This Row],[LedgerCode]],DEPTS[SchoolCodes],"")))),0,1),1)))</f>
        <v>1</v>
      </c>
      <c r="J73" s="96">
        <f>IF(ISBLANK(Expenditure_import[[#This Row],[YearValue]])=Expenditure_import[[#This Row],[Calculated]],0,1)</f>
        <v>0</v>
      </c>
      <c r="K73" s="96">
        <f>IF(ISBLANK(Expenditure_import[[#This Row],[CalculatorCode]]),0,IF(COUNTIF(Calculators[CalculatorCode],Expenditure_import[[#This Row],[CalculatorCode]])&gt;0,0,1))</f>
        <v>1</v>
      </c>
      <c r="L73" s="96">
        <f>IF(TRIM(Expenditure_import[[#This Row],[Description]])="",1,0)</f>
        <v>0</v>
      </c>
      <c r="M73" s="96">
        <f>IF(ISBLANK(Expenditure_import[[#This Row],[MatEditOnly]]),1,0)</f>
        <v>0</v>
      </c>
      <c r="N73" s="96">
        <f>IF(ISBLANK(Expenditure_import[[#This Row],[FinancialYearCode]]),1,0)</f>
        <v>0</v>
      </c>
      <c r="O73" s="96">
        <f>IF(ISBLANK(Expenditure_import[[#This Row],[Calculated]]),1,0)</f>
        <v>0</v>
      </c>
      <c r="P73" s="96">
        <f>IF(EXACT(Expenditure_import[[#This Row],[FinanceCode]],UPPER(Expenditure_import[[#This Row],[FinanceCode]])),0,1)+IF(EXACT(Expenditure_import[[#This Row],[SchoolCode]],UPPER(Expenditure_import[[#This Row],[SchoolCode]])),0,1)+IF(EXACT(Expenditure_import[[#This Row],[LedgerCode]],UPPER(Expenditure_import[[#This Row],[LedgerCode]])),0,1)+IF(EXACT(Expenditure_import[[#This Row],[DepartmentCode]],UPPER(Expenditure_import[[#This Row],[DepartmentCode]])),0,1)+IF(EXACT(Expenditure_import[[#This Row],[CalculatorCode]],UPPER(Expenditure_import[[#This Row],[CalculatorCode]])),0,1)+IF(EXACT(Expenditure_import[[#This Row],[MonthProfileCode]],UPPER(Expenditure_import[[#This Row],[MonthProfileCode]])),0,1)+IF(EXACT(Expenditure_import[[#This Row],[FundCode]],UPPER(Expenditure_import[[#This Row],[FundCode]])),0,1)</f>
        <v>0</v>
      </c>
      <c r="Q73" s="96">
        <f>IF(LEN(Expenditure_import[[#This Row],[Description]])&lt;100,0,1)</f>
        <v>0</v>
      </c>
      <c r="R73" s="96">
        <f>IF(LEN(Expenditure_import[[#This Row],[Notes]])&lt;4000,0,1)</f>
        <v>0</v>
      </c>
      <c r="S73" s="96">
        <f>IF(LEN(Expenditure_import[[#This Row],[YearNotes]])&lt;4000,0,1)</f>
        <v>0</v>
      </c>
      <c r="T73" s="96">
        <f>IF(OR(Expenditure_import[[#This Row],[MatEditOnly]]=TRUE,Expenditure_import[[#This Row],[MatEditOnly]]=FALSE),IF(OR(Expenditure_import[[#This Row],[Calculated]]=TRUE,Expenditure_import[[#This Row],[Calculated]]=FALSE),0,1),1)</f>
        <v>0</v>
      </c>
      <c r="U73" s="96">
        <f>IF(_xlfn.XLOOKUP(Expenditure_import[[#This Row],[FinancialYearCode]],Years[Years],Years[Years],1)=Expenditure_import[[#This Row],[FinancialYearCode]],0,1)</f>
        <v>0</v>
      </c>
      <c r="V73" s="96" t="e">
        <f>IF(Expenditure_import[[#This Row],[CalculatorCode]]="",0,IF(IF(_xlfn.XLOOKUP(Expenditure_import[[#This Row],[CalculatorCode]],Calculators[CalculatorCode],Calculators[LockCheck])=1,TRUE,FALSE)=Expenditure_import[[#This Row],[MatEditOnly]],0,1))</f>
        <v>#N/A</v>
      </c>
      <c r="W73" s="96" t="e">
        <f>SUM(Expenditure_import[[#This Row],[DuplicateLine]:[MAT edit only required]])</f>
        <v>#N/A</v>
      </c>
      <c r="X73" s="80">
        <f>COUNTIF(SRG[GrossSalaryFinanceCode],Expenditure_import[[#This Row],[FinanceCode]])+COUNTIF(SRG[EmployersNiFinanceCode],Expenditure_import[[#This Row],[FinanceCode]])+COUNTIF(SRG[PensionFinanceCode],Expenditure_import[[#This Row],[FinanceCode]])</f>
        <v>0</v>
      </c>
      <c r="Y73" s="80" t="str">
        <f>_xlfn.XLOOKUP(Expenditure_import[[#This Row],[SchoolCode]],SCHOOLS[SchoolCode],SCHOOLS[Title])</f>
        <v>Castle Hill School</v>
      </c>
      <c r="AB73" t="s">
        <v>2594</v>
      </c>
      <c r="AF73" t="s">
        <v>1587</v>
      </c>
      <c r="AG73" t="s">
        <v>1124</v>
      </c>
      <c r="AH73" t="s">
        <v>1447</v>
      </c>
      <c r="AK73" t="b">
        <v>0</v>
      </c>
      <c r="AL73" t="s">
        <v>1497</v>
      </c>
      <c r="AM73" t="b">
        <v>1</v>
      </c>
    </row>
  </sheetData>
  <phoneticPr fontId="2" type="noConversion"/>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9E53D-5868-40EA-A8C9-EF780DBB620A}">
  <sheetPr codeName="Sheet38">
    <tabColor theme="0" tint="-0.249977111117893"/>
  </sheetPr>
  <dimension ref="A1:P84"/>
  <sheetViews>
    <sheetView zoomScale="80" zoomScaleNormal="80" workbookViewId="0">
      <pane ySplit="1" topLeftCell="A2" activePane="bottomLeft" state="frozen"/>
      <selection activeCell="I136" sqref="I136"/>
      <selection pane="bottomLeft" activeCell="J6" sqref="J6"/>
    </sheetView>
  </sheetViews>
  <sheetFormatPr defaultColWidth="9.33203125" defaultRowHeight="14.4" x14ac:dyDescent="0.3"/>
  <cols>
    <col min="1" max="1" width="18.5546875" bestFit="1" customWidth="1"/>
    <col min="2" max="2" width="15.33203125" bestFit="1" customWidth="1"/>
    <col min="3" max="3" width="19.5546875" bestFit="1" customWidth="1"/>
    <col min="4" max="5" width="13.5546875" bestFit="1" customWidth="1"/>
    <col min="6" max="6" width="18.33203125" bestFit="1" customWidth="1"/>
    <col min="7" max="7" width="12.33203125" bestFit="1" customWidth="1"/>
    <col min="8" max="8" width="18" bestFit="1" customWidth="1"/>
    <col min="9" max="9" width="17.5546875" customWidth="1"/>
    <col min="10" max="10" width="34.33203125" bestFit="1" customWidth="1"/>
    <col min="13" max="13" width="14.33203125" bestFit="1" customWidth="1"/>
    <col min="14" max="14" width="19.33203125" bestFit="1" customWidth="1"/>
    <col min="15" max="15" width="12.33203125" bestFit="1" customWidth="1"/>
    <col min="16" max="16" width="12.109375" style="36" bestFit="1" customWidth="1"/>
  </cols>
  <sheetData>
    <row r="1" spans="1:16" x14ac:dyDescent="0.3">
      <c r="A1" s="33" t="s">
        <v>869</v>
      </c>
      <c r="B1" s="13" t="s">
        <v>1331</v>
      </c>
      <c r="C1" s="13" t="s">
        <v>893</v>
      </c>
      <c r="D1" s="13" t="s">
        <v>871</v>
      </c>
      <c r="E1" s="13" t="s">
        <v>857</v>
      </c>
      <c r="F1" s="13" t="s">
        <v>884</v>
      </c>
      <c r="G1" s="13" t="s">
        <v>49</v>
      </c>
      <c r="H1" s="13" t="s">
        <v>1136</v>
      </c>
      <c r="I1" s="13" t="s">
        <v>1382</v>
      </c>
      <c r="J1" s="13" t="s">
        <v>1383</v>
      </c>
      <c r="K1" s="15" t="s">
        <v>44</v>
      </c>
      <c r="L1" s="15" t="s">
        <v>1384</v>
      </c>
      <c r="M1" s="14" t="s">
        <v>1374</v>
      </c>
      <c r="N1" s="13" t="s">
        <v>1385</v>
      </c>
      <c r="O1" s="14" t="s">
        <v>1386</v>
      </c>
      <c r="P1" s="34" t="s">
        <v>1387</v>
      </c>
    </row>
    <row r="2" spans="1:16" x14ac:dyDescent="0.3">
      <c r="A2" s="27" t="s">
        <v>1548</v>
      </c>
      <c r="B2" s="3"/>
      <c r="C2" s="3"/>
      <c r="D2" s="3"/>
      <c r="E2" s="3"/>
      <c r="F2" s="3"/>
      <c r="G2" s="3"/>
      <c r="H2" s="11" t="s">
        <v>1186</v>
      </c>
      <c r="I2" s="16" t="s">
        <v>1124</v>
      </c>
      <c r="J2" s="3" t="s">
        <v>1446</v>
      </c>
      <c r="K2" s="3"/>
      <c r="L2" s="3"/>
      <c r="M2" s="3" t="b">
        <v>1</v>
      </c>
      <c r="N2" s="3" t="s">
        <v>1497</v>
      </c>
      <c r="O2" s="3" t="b">
        <v>1</v>
      </c>
      <c r="P2" s="35"/>
    </row>
    <row r="3" spans="1:16" x14ac:dyDescent="0.3">
      <c r="A3" s="27" t="s">
        <v>1548</v>
      </c>
      <c r="B3" s="3"/>
      <c r="C3" s="3"/>
      <c r="D3" s="3"/>
      <c r="E3" s="3"/>
      <c r="F3" s="3"/>
      <c r="G3" s="27"/>
      <c r="H3" s="11" t="s">
        <v>2347</v>
      </c>
      <c r="I3" s="16" t="s">
        <v>1124</v>
      </c>
      <c r="J3" s="3" t="s">
        <v>2408</v>
      </c>
      <c r="K3" s="3"/>
      <c r="L3" s="3"/>
      <c r="M3" s="3" t="b">
        <v>1</v>
      </c>
      <c r="N3" s="3" t="s">
        <v>1497</v>
      </c>
      <c r="O3" s="3" t="b">
        <v>1</v>
      </c>
      <c r="P3" s="35"/>
    </row>
    <row r="4" spans="1:16" x14ac:dyDescent="0.3">
      <c r="A4" s="27" t="s">
        <v>1548</v>
      </c>
      <c r="B4" s="3"/>
      <c r="C4" s="3"/>
      <c r="D4" s="3"/>
      <c r="E4" s="3"/>
      <c r="F4" s="3"/>
      <c r="G4" s="3"/>
      <c r="H4" s="11" t="s">
        <v>2342</v>
      </c>
      <c r="I4" s="16" t="s">
        <v>1124</v>
      </c>
      <c r="J4" s="3" t="s">
        <v>2344</v>
      </c>
      <c r="K4" s="3"/>
      <c r="L4" s="3"/>
      <c r="M4" s="3" t="b">
        <v>1</v>
      </c>
      <c r="N4" s="3" t="s">
        <v>1497</v>
      </c>
      <c r="O4" s="3" t="b">
        <v>1</v>
      </c>
      <c r="P4" s="35"/>
    </row>
    <row r="5" spans="1:16" x14ac:dyDescent="0.3">
      <c r="A5" s="27" t="s">
        <v>1548</v>
      </c>
      <c r="B5" s="3"/>
      <c r="C5" s="3"/>
      <c r="D5" s="3"/>
      <c r="E5" s="3"/>
      <c r="F5" s="3"/>
      <c r="G5" s="3"/>
      <c r="H5" s="11" t="s">
        <v>1290</v>
      </c>
      <c r="I5" s="16" t="s">
        <v>1124</v>
      </c>
      <c r="J5" s="3" t="s">
        <v>1447</v>
      </c>
      <c r="K5" s="3"/>
      <c r="L5" s="3"/>
      <c r="M5" s="3" t="b">
        <v>0</v>
      </c>
      <c r="N5" s="3" t="s">
        <v>1497</v>
      </c>
      <c r="O5" s="3" t="b">
        <v>1</v>
      </c>
      <c r="P5" s="35"/>
    </row>
    <row r="6" spans="1:16" x14ac:dyDescent="0.3">
      <c r="A6" s="27" t="s">
        <v>1548</v>
      </c>
      <c r="B6" s="3"/>
      <c r="C6" s="3"/>
      <c r="D6" s="3"/>
      <c r="E6" s="3"/>
      <c r="F6" s="3"/>
      <c r="G6" s="27"/>
      <c r="H6" s="11" t="s">
        <v>2083</v>
      </c>
      <c r="I6" s="16" t="s">
        <v>1124</v>
      </c>
      <c r="J6" s="3" t="s">
        <v>2089</v>
      </c>
      <c r="K6" s="3"/>
      <c r="L6" s="3"/>
      <c r="M6" s="3" t="b">
        <v>0</v>
      </c>
      <c r="N6" s="3" t="s">
        <v>1497</v>
      </c>
      <c r="O6" s="3" t="b">
        <v>1</v>
      </c>
      <c r="P6" s="35"/>
    </row>
    <row r="7" spans="1:16" x14ac:dyDescent="0.3">
      <c r="A7" s="25" t="s">
        <v>858</v>
      </c>
      <c r="B7" s="3"/>
      <c r="C7" s="3"/>
      <c r="D7" s="3"/>
      <c r="E7" s="3"/>
      <c r="F7" s="3"/>
      <c r="G7" s="3"/>
      <c r="H7" s="3" t="s">
        <v>1186</v>
      </c>
      <c r="I7" s="3" t="s">
        <v>1124</v>
      </c>
      <c r="J7" s="3" t="s">
        <v>1446</v>
      </c>
      <c r="K7" s="3"/>
      <c r="L7" s="3"/>
      <c r="M7" s="3" t="b">
        <v>1</v>
      </c>
      <c r="N7" s="3" t="s">
        <v>1497</v>
      </c>
      <c r="O7" s="3" t="b">
        <v>1</v>
      </c>
      <c r="P7" s="4"/>
    </row>
    <row r="8" spans="1:16" x14ac:dyDescent="0.3">
      <c r="A8" s="27" t="s">
        <v>858</v>
      </c>
      <c r="B8" s="3"/>
      <c r="C8" s="3"/>
      <c r="D8" s="3"/>
      <c r="E8" s="3"/>
      <c r="F8" s="3"/>
      <c r="G8" s="27"/>
      <c r="H8" s="11" t="s">
        <v>2347</v>
      </c>
      <c r="I8" s="16" t="s">
        <v>1124</v>
      </c>
      <c r="J8" s="3" t="s">
        <v>2408</v>
      </c>
      <c r="K8" s="3"/>
      <c r="L8" s="3"/>
      <c r="M8" s="3" t="b">
        <v>1</v>
      </c>
      <c r="N8" s="3" t="s">
        <v>1497</v>
      </c>
      <c r="O8" s="3" t="b">
        <v>1</v>
      </c>
      <c r="P8" s="35"/>
    </row>
    <row r="9" spans="1:16" x14ac:dyDescent="0.3">
      <c r="A9" s="25" t="s">
        <v>858</v>
      </c>
      <c r="B9" s="3"/>
      <c r="C9" s="3"/>
      <c r="D9" s="3"/>
      <c r="E9" s="3"/>
      <c r="F9" s="3"/>
      <c r="G9" s="3"/>
      <c r="H9" s="11" t="s">
        <v>2342</v>
      </c>
      <c r="I9" s="16" t="s">
        <v>1124</v>
      </c>
      <c r="J9" s="3" t="s">
        <v>2344</v>
      </c>
      <c r="K9" s="3"/>
      <c r="L9" s="3"/>
      <c r="M9" s="3" t="b">
        <v>1</v>
      </c>
      <c r="N9" s="3" t="s">
        <v>1497</v>
      </c>
      <c r="O9" s="3" t="b">
        <v>1</v>
      </c>
      <c r="P9" s="4"/>
    </row>
    <row r="10" spans="1:16" x14ac:dyDescent="0.3">
      <c r="A10" s="25" t="s">
        <v>858</v>
      </c>
      <c r="B10" s="3"/>
      <c r="C10" s="3"/>
      <c r="D10" s="3"/>
      <c r="E10" s="3"/>
      <c r="F10" s="3"/>
      <c r="G10" s="3"/>
      <c r="H10" s="3" t="s">
        <v>1290</v>
      </c>
      <c r="I10" s="3" t="s">
        <v>1124</v>
      </c>
      <c r="J10" s="3" t="s">
        <v>1447</v>
      </c>
      <c r="K10" s="3"/>
      <c r="L10" s="3"/>
      <c r="M10" s="3" t="b">
        <v>0</v>
      </c>
      <c r="N10" s="3" t="s">
        <v>1497</v>
      </c>
      <c r="O10" s="3" t="b">
        <v>1</v>
      </c>
      <c r="P10" s="4"/>
    </row>
    <row r="11" spans="1:16" x14ac:dyDescent="0.3">
      <c r="A11" s="27" t="s">
        <v>858</v>
      </c>
      <c r="B11" s="3"/>
      <c r="C11" s="3"/>
      <c r="D11" s="3"/>
      <c r="E11" s="3"/>
      <c r="F11" s="3"/>
      <c r="G11" s="27"/>
      <c r="H11" s="11" t="s">
        <v>2083</v>
      </c>
      <c r="I11" s="16" t="s">
        <v>1124</v>
      </c>
      <c r="J11" s="3" t="s">
        <v>2089</v>
      </c>
      <c r="K11" s="3"/>
      <c r="L11" s="3"/>
      <c r="M11" s="3" t="b">
        <v>0</v>
      </c>
      <c r="N11" s="3" t="s">
        <v>1497</v>
      </c>
      <c r="O11" s="3" t="b">
        <v>1</v>
      </c>
      <c r="P11" s="35"/>
    </row>
    <row r="12" spans="1:16" x14ac:dyDescent="0.3">
      <c r="A12" s="25" t="s">
        <v>859</v>
      </c>
      <c r="B12" s="3"/>
      <c r="C12" s="3"/>
      <c r="D12" s="3"/>
      <c r="E12" s="3"/>
      <c r="F12" s="3"/>
      <c r="G12" s="3"/>
      <c r="H12" s="3" t="s">
        <v>1186</v>
      </c>
      <c r="I12" s="3" t="s">
        <v>1124</v>
      </c>
      <c r="J12" s="3" t="s">
        <v>1446</v>
      </c>
      <c r="K12" s="3"/>
      <c r="L12" s="3"/>
      <c r="M12" s="3" t="b">
        <v>1</v>
      </c>
      <c r="N12" s="3" t="s">
        <v>1497</v>
      </c>
      <c r="O12" s="3" t="b">
        <v>1</v>
      </c>
      <c r="P12" s="4"/>
    </row>
    <row r="13" spans="1:16" x14ac:dyDescent="0.3">
      <c r="A13" s="27" t="s">
        <v>859</v>
      </c>
      <c r="B13" s="3"/>
      <c r="C13" s="3"/>
      <c r="D13" s="3"/>
      <c r="E13" s="3"/>
      <c r="F13" s="3"/>
      <c r="G13" s="27"/>
      <c r="H13" s="11" t="s">
        <v>2347</v>
      </c>
      <c r="I13" s="16" t="s">
        <v>1124</v>
      </c>
      <c r="J13" s="3" t="s">
        <v>2408</v>
      </c>
      <c r="K13" s="3"/>
      <c r="L13" s="3"/>
      <c r="M13" s="3" t="b">
        <v>1</v>
      </c>
      <c r="N13" s="3" t="s">
        <v>1497</v>
      </c>
      <c r="O13" s="3" t="b">
        <v>1</v>
      </c>
      <c r="P13" s="35"/>
    </row>
    <row r="14" spans="1:16" x14ac:dyDescent="0.3">
      <c r="A14" s="25" t="s">
        <v>859</v>
      </c>
      <c r="B14" s="3"/>
      <c r="C14" s="3"/>
      <c r="D14" s="3"/>
      <c r="E14" s="3"/>
      <c r="F14" s="3"/>
      <c r="G14" s="3"/>
      <c r="H14" s="11" t="s">
        <v>2342</v>
      </c>
      <c r="I14" s="16" t="s">
        <v>1124</v>
      </c>
      <c r="J14" s="3" t="s">
        <v>2344</v>
      </c>
      <c r="K14" s="3"/>
      <c r="L14" s="3"/>
      <c r="M14" s="3" t="b">
        <v>1</v>
      </c>
      <c r="N14" s="3" t="s">
        <v>1497</v>
      </c>
      <c r="O14" s="3" t="b">
        <v>1</v>
      </c>
      <c r="P14" s="4"/>
    </row>
    <row r="15" spans="1:16" x14ac:dyDescent="0.3">
      <c r="A15" s="25" t="s">
        <v>859</v>
      </c>
      <c r="B15" s="3"/>
      <c r="C15" s="3"/>
      <c r="D15" s="3"/>
      <c r="E15" s="3"/>
      <c r="F15" s="3"/>
      <c r="G15" s="3"/>
      <c r="H15" s="3" t="s">
        <v>1290</v>
      </c>
      <c r="I15" s="3" t="s">
        <v>1124</v>
      </c>
      <c r="J15" s="3" t="s">
        <v>1447</v>
      </c>
      <c r="K15" s="3"/>
      <c r="L15" s="3"/>
      <c r="M15" s="3" t="b">
        <v>0</v>
      </c>
      <c r="N15" s="3" t="s">
        <v>1497</v>
      </c>
      <c r="O15" s="3" t="b">
        <v>1</v>
      </c>
      <c r="P15" s="4"/>
    </row>
    <row r="16" spans="1:16" x14ac:dyDescent="0.3">
      <c r="A16" s="25" t="s">
        <v>860</v>
      </c>
      <c r="B16" s="3"/>
      <c r="C16" s="3"/>
      <c r="D16" s="3"/>
      <c r="E16" s="3"/>
      <c r="F16" s="3"/>
      <c r="G16" s="3"/>
      <c r="H16" s="3" t="s">
        <v>1186</v>
      </c>
      <c r="I16" s="3" t="s">
        <v>1124</v>
      </c>
      <c r="J16" s="3" t="s">
        <v>1446</v>
      </c>
      <c r="K16" s="3"/>
      <c r="L16" s="3"/>
      <c r="M16" s="3" t="b">
        <v>1</v>
      </c>
      <c r="N16" s="3" t="s">
        <v>1497</v>
      </c>
      <c r="O16" s="3" t="b">
        <v>1</v>
      </c>
      <c r="P16" s="4"/>
    </row>
    <row r="17" spans="1:16" x14ac:dyDescent="0.3">
      <c r="A17" s="27" t="s">
        <v>860</v>
      </c>
      <c r="B17" s="3"/>
      <c r="C17" s="3"/>
      <c r="D17" s="3"/>
      <c r="E17" s="3"/>
      <c r="F17" s="3"/>
      <c r="G17" s="27"/>
      <c r="H17" s="11" t="s">
        <v>2347</v>
      </c>
      <c r="I17" s="16" t="s">
        <v>1124</v>
      </c>
      <c r="J17" s="3" t="s">
        <v>2408</v>
      </c>
      <c r="K17" s="3"/>
      <c r="L17" s="3"/>
      <c r="M17" s="3" t="b">
        <v>1</v>
      </c>
      <c r="N17" s="3" t="s">
        <v>1497</v>
      </c>
      <c r="O17" s="3" t="b">
        <v>1</v>
      </c>
      <c r="P17" s="35"/>
    </row>
    <row r="18" spans="1:16" x14ac:dyDescent="0.3">
      <c r="A18" s="25" t="s">
        <v>860</v>
      </c>
      <c r="B18" s="3"/>
      <c r="C18" s="3"/>
      <c r="D18" s="3"/>
      <c r="E18" s="3"/>
      <c r="F18" s="3"/>
      <c r="G18" s="3"/>
      <c r="H18" s="11" t="s">
        <v>2342</v>
      </c>
      <c r="I18" s="16" t="s">
        <v>1124</v>
      </c>
      <c r="J18" s="3" t="s">
        <v>2344</v>
      </c>
      <c r="K18" s="3"/>
      <c r="L18" s="3"/>
      <c r="M18" s="3" t="b">
        <v>1</v>
      </c>
      <c r="N18" s="3" t="s">
        <v>1497</v>
      </c>
      <c r="O18" s="3" t="b">
        <v>1</v>
      </c>
      <c r="P18" s="4"/>
    </row>
    <row r="19" spans="1:16" x14ac:dyDescent="0.3">
      <c r="A19" s="25" t="s">
        <v>860</v>
      </c>
      <c r="B19" s="3"/>
      <c r="C19" s="3"/>
      <c r="D19" s="3"/>
      <c r="E19" s="3"/>
      <c r="F19" s="3"/>
      <c r="G19" s="3"/>
      <c r="H19" s="3" t="s">
        <v>1587</v>
      </c>
      <c r="I19" s="3" t="s">
        <v>1124</v>
      </c>
      <c r="J19" s="3" t="s">
        <v>1447</v>
      </c>
      <c r="K19" s="3"/>
      <c r="L19" s="3"/>
      <c r="M19" s="3" t="b">
        <v>0</v>
      </c>
      <c r="N19" s="3" t="s">
        <v>1497</v>
      </c>
      <c r="O19" s="3" t="b">
        <v>1</v>
      </c>
      <c r="P19" s="4"/>
    </row>
    <row r="20" spans="1:16" x14ac:dyDescent="0.3">
      <c r="A20" s="27" t="s">
        <v>2179</v>
      </c>
      <c r="B20" s="3"/>
      <c r="C20" s="3"/>
      <c r="D20" s="3"/>
      <c r="E20" s="3"/>
      <c r="F20" s="3"/>
      <c r="G20" s="27"/>
      <c r="H20" s="11" t="s">
        <v>1186</v>
      </c>
      <c r="I20" s="16" t="s">
        <v>1124</v>
      </c>
      <c r="J20" s="3" t="s">
        <v>1446</v>
      </c>
      <c r="K20" s="3"/>
      <c r="L20" s="3"/>
      <c r="M20" s="3" t="b">
        <v>1</v>
      </c>
      <c r="N20" s="3" t="s">
        <v>1497</v>
      </c>
      <c r="O20" s="3" t="b">
        <v>1</v>
      </c>
      <c r="P20" s="35"/>
    </row>
    <row r="21" spans="1:16" x14ac:dyDescent="0.3">
      <c r="A21" s="27" t="s">
        <v>2179</v>
      </c>
      <c r="B21" s="3"/>
      <c r="C21" s="3"/>
      <c r="D21" s="3"/>
      <c r="E21" s="3"/>
      <c r="F21" s="3"/>
      <c r="G21" s="27"/>
      <c r="H21" s="11" t="s">
        <v>2347</v>
      </c>
      <c r="I21" s="16" t="s">
        <v>1124</v>
      </c>
      <c r="J21" s="3" t="s">
        <v>2408</v>
      </c>
      <c r="K21" s="3"/>
      <c r="L21" s="3"/>
      <c r="M21" s="3" t="b">
        <v>1</v>
      </c>
      <c r="N21" s="3" t="s">
        <v>1497</v>
      </c>
      <c r="O21" s="3" t="b">
        <v>1</v>
      </c>
      <c r="P21" s="35"/>
    </row>
    <row r="22" spans="1:16" x14ac:dyDescent="0.3">
      <c r="A22" s="27" t="s">
        <v>2179</v>
      </c>
      <c r="B22" s="3"/>
      <c r="C22" s="3"/>
      <c r="D22" s="3"/>
      <c r="E22" s="3"/>
      <c r="F22" s="3"/>
      <c r="G22" s="27"/>
      <c r="H22" s="11" t="s">
        <v>2342</v>
      </c>
      <c r="I22" s="16" t="s">
        <v>1124</v>
      </c>
      <c r="J22" s="3" t="s">
        <v>2344</v>
      </c>
      <c r="K22" s="3"/>
      <c r="L22" s="3"/>
      <c r="M22" s="3" t="b">
        <v>1</v>
      </c>
      <c r="N22" s="3" t="s">
        <v>1497</v>
      </c>
      <c r="O22" s="3" t="b">
        <v>1</v>
      </c>
      <c r="P22" s="35"/>
    </row>
    <row r="23" spans="1:16" x14ac:dyDescent="0.3">
      <c r="A23" s="27" t="s">
        <v>2178</v>
      </c>
      <c r="B23" s="3"/>
      <c r="C23" s="3"/>
      <c r="D23" s="3"/>
      <c r="E23" s="3"/>
      <c r="F23" s="3"/>
      <c r="G23" s="27"/>
      <c r="H23" s="11" t="s">
        <v>1186</v>
      </c>
      <c r="I23" s="16" t="s">
        <v>1124</v>
      </c>
      <c r="J23" s="3" t="s">
        <v>1446</v>
      </c>
      <c r="K23" s="3"/>
      <c r="L23" s="3"/>
      <c r="M23" s="3" t="b">
        <v>1</v>
      </c>
      <c r="N23" s="3" t="s">
        <v>1497</v>
      </c>
      <c r="O23" s="3" t="b">
        <v>1</v>
      </c>
      <c r="P23" s="35"/>
    </row>
    <row r="24" spans="1:16" x14ac:dyDescent="0.3">
      <c r="A24" s="27" t="s">
        <v>2178</v>
      </c>
      <c r="B24" s="3"/>
      <c r="C24" s="3"/>
      <c r="D24" s="3"/>
      <c r="E24" s="3"/>
      <c r="F24" s="3"/>
      <c r="G24" s="27"/>
      <c r="H24" s="11" t="s">
        <v>2347</v>
      </c>
      <c r="I24" s="16" t="s">
        <v>1124</v>
      </c>
      <c r="J24" s="3" t="s">
        <v>2408</v>
      </c>
      <c r="K24" s="3"/>
      <c r="L24" s="3"/>
      <c r="M24" s="3" t="b">
        <v>1</v>
      </c>
      <c r="N24" s="3" t="s">
        <v>1497</v>
      </c>
      <c r="O24" s="3" t="b">
        <v>1</v>
      </c>
      <c r="P24" s="35"/>
    </row>
    <row r="25" spans="1:16" x14ac:dyDescent="0.3">
      <c r="A25" s="27" t="s">
        <v>2178</v>
      </c>
      <c r="B25" s="3"/>
      <c r="C25" s="3"/>
      <c r="D25" s="3"/>
      <c r="E25" s="3"/>
      <c r="F25" s="3"/>
      <c r="G25" s="27"/>
      <c r="H25" s="11" t="s">
        <v>2342</v>
      </c>
      <c r="I25" s="16" t="s">
        <v>1124</v>
      </c>
      <c r="J25" s="3" t="s">
        <v>2344</v>
      </c>
      <c r="K25" s="3"/>
      <c r="L25" s="3"/>
      <c r="M25" s="3" t="b">
        <v>1</v>
      </c>
      <c r="N25" s="3" t="s">
        <v>1497</v>
      </c>
      <c r="O25" s="3" t="b">
        <v>1</v>
      </c>
      <c r="P25" s="35"/>
    </row>
    <row r="26" spans="1:16" x14ac:dyDescent="0.3">
      <c r="A26" s="27" t="s">
        <v>2178</v>
      </c>
      <c r="B26" s="3"/>
      <c r="C26" s="3"/>
      <c r="D26" s="3"/>
      <c r="E26" s="3"/>
      <c r="F26" s="3"/>
      <c r="G26" s="27"/>
      <c r="H26" s="11" t="s">
        <v>1290</v>
      </c>
      <c r="I26" s="16" t="s">
        <v>1124</v>
      </c>
      <c r="J26" s="3" t="s">
        <v>1447</v>
      </c>
      <c r="K26" s="3"/>
      <c r="L26" s="3"/>
      <c r="M26" s="3" t="b">
        <v>0</v>
      </c>
      <c r="N26" s="3" t="s">
        <v>1497</v>
      </c>
      <c r="O26" s="3" t="b">
        <v>1</v>
      </c>
      <c r="P26" s="35"/>
    </row>
    <row r="27" spans="1:16" x14ac:dyDescent="0.3">
      <c r="A27" s="27" t="s">
        <v>2178</v>
      </c>
      <c r="B27" s="3"/>
      <c r="C27" s="3"/>
      <c r="D27" s="3"/>
      <c r="E27" s="3"/>
      <c r="F27" s="3"/>
      <c r="G27" s="27"/>
      <c r="H27" s="11" t="s">
        <v>2083</v>
      </c>
      <c r="I27" s="16" t="s">
        <v>1124</v>
      </c>
      <c r="J27" s="3" t="s">
        <v>2089</v>
      </c>
      <c r="K27" s="3"/>
      <c r="L27" s="3"/>
      <c r="M27" s="3" t="b">
        <v>0</v>
      </c>
      <c r="N27" s="3" t="s">
        <v>1497</v>
      </c>
      <c r="O27" s="3" t="b">
        <v>1</v>
      </c>
      <c r="P27" s="35"/>
    </row>
    <row r="28" spans="1:16" x14ac:dyDescent="0.3">
      <c r="A28" s="27" t="s">
        <v>2177</v>
      </c>
      <c r="B28" s="3"/>
      <c r="C28" s="3"/>
      <c r="D28" s="3"/>
      <c r="E28" s="3"/>
      <c r="F28" s="3"/>
      <c r="G28" s="27"/>
      <c r="H28" s="11" t="s">
        <v>1186</v>
      </c>
      <c r="I28" s="16" t="s">
        <v>1124</v>
      </c>
      <c r="J28" s="3" t="s">
        <v>1446</v>
      </c>
      <c r="K28" s="3"/>
      <c r="L28" s="3"/>
      <c r="M28" s="3" t="b">
        <v>1</v>
      </c>
      <c r="N28" s="3" t="s">
        <v>1497</v>
      </c>
      <c r="O28" s="3" t="b">
        <v>1</v>
      </c>
      <c r="P28" s="35"/>
    </row>
    <row r="29" spans="1:16" x14ac:dyDescent="0.3">
      <c r="A29" s="27" t="s">
        <v>2177</v>
      </c>
      <c r="B29" s="3"/>
      <c r="C29" s="3"/>
      <c r="D29" s="3"/>
      <c r="E29" s="3"/>
      <c r="F29" s="3"/>
      <c r="G29" s="27"/>
      <c r="H29" s="11" t="s">
        <v>2347</v>
      </c>
      <c r="I29" s="16" t="s">
        <v>1124</v>
      </c>
      <c r="J29" s="3" t="s">
        <v>2408</v>
      </c>
      <c r="K29" s="3"/>
      <c r="L29" s="3"/>
      <c r="M29" s="3" t="b">
        <v>1</v>
      </c>
      <c r="N29" s="3" t="s">
        <v>1497</v>
      </c>
      <c r="O29" s="3" t="b">
        <v>1</v>
      </c>
      <c r="P29" s="35"/>
    </row>
    <row r="30" spans="1:16" x14ac:dyDescent="0.3">
      <c r="A30" s="27" t="s">
        <v>2177</v>
      </c>
      <c r="B30" s="3"/>
      <c r="C30" s="3"/>
      <c r="D30" s="3"/>
      <c r="E30" s="3"/>
      <c r="F30" s="3"/>
      <c r="G30" s="27"/>
      <c r="H30" s="11" t="s">
        <v>2342</v>
      </c>
      <c r="I30" s="16" t="s">
        <v>1124</v>
      </c>
      <c r="J30" s="3" t="s">
        <v>2344</v>
      </c>
      <c r="K30" s="3"/>
      <c r="L30" s="3"/>
      <c r="M30" s="3" t="b">
        <v>1</v>
      </c>
      <c r="N30" s="3" t="s">
        <v>1497</v>
      </c>
      <c r="O30" s="3" t="b">
        <v>1</v>
      </c>
      <c r="P30" s="35"/>
    </row>
    <row r="31" spans="1:16" x14ac:dyDescent="0.3">
      <c r="A31" s="27" t="s">
        <v>2177</v>
      </c>
      <c r="B31" s="3"/>
      <c r="C31" s="3"/>
      <c r="D31" s="3"/>
      <c r="E31" s="3"/>
      <c r="F31" s="3"/>
      <c r="G31" s="27"/>
      <c r="H31" s="11" t="s">
        <v>1290</v>
      </c>
      <c r="I31" s="16" t="s">
        <v>1124</v>
      </c>
      <c r="J31" s="3" t="s">
        <v>1447</v>
      </c>
      <c r="K31" s="3"/>
      <c r="L31" s="3"/>
      <c r="M31" s="3" t="b">
        <v>0</v>
      </c>
      <c r="N31" s="3" t="s">
        <v>1497</v>
      </c>
      <c r="O31" s="3" t="b">
        <v>1</v>
      </c>
      <c r="P31" s="35"/>
    </row>
    <row r="32" spans="1:16" x14ac:dyDescent="0.3">
      <c r="A32" s="27" t="s">
        <v>2180</v>
      </c>
      <c r="B32" s="3"/>
      <c r="C32" s="3"/>
      <c r="D32" s="3"/>
      <c r="E32" s="3"/>
      <c r="F32" s="3"/>
      <c r="G32" s="27"/>
      <c r="H32" s="11" t="s">
        <v>1186</v>
      </c>
      <c r="I32" s="16" t="s">
        <v>1124</v>
      </c>
      <c r="J32" s="3" t="s">
        <v>1446</v>
      </c>
      <c r="K32" s="3"/>
      <c r="L32" s="3"/>
      <c r="M32" s="3" t="b">
        <v>1</v>
      </c>
      <c r="N32" s="3" t="s">
        <v>1497</v>
      </c>
      <c r="O32" s="3" t="b">
        <v>1</v>
      </c>
      <c r="P32" s="35"/>
    </row>
    <row r="33" spans="1:16" x14ac:dyDescent="0.3">
      <c r="A33" s="27" t="s">
        <v>2180</v>
      </c>
      <c r="B33" s="3"/>
      <c r="C33" s="3"/>
      <c r="D33" s="3"/>
      <c r="E33" s="3"/>
      <c r="F33" s="3"/>
      <c r="G33" s="27"/>
      <c r="H33" s="11" t="s">
        <v>2347</v>
      </c>
      <c r="I33" s="16" t="s">
        <v>1124</v>
      </c>
      <c r="J33" s="3" t="s">
        <v>2408</v>
      </c>
      <c r="K33" s="3"/>
      <c r="L33" s="3"/>
      <c r="M33" s="3" t="b">
        <v>1</v>
      </c>
      <c r="N33" s="3" t="s">
        <v>1497</v>
      </c>
      <c r="O33" s="3" t="b">
        <v>1</v>
      </c>
      <c r="P33" s="35"/>
    </row>
    <row r="34" spans="1:16" x14ac:dyDescent="0.3">
      <c r="A34" s="27" t="s">
        <v>2180</v>
      </c>
      <c r="B34" s="3"/>
      <c r="C34" s="3"/>
      <c r="D34" s="3"/>
      <c r="E34" s="3"/>
      <c r="F34" s="3"/>
      <c r="G34" s="27"/>
      <c r="H34" s="11" t="s">
        <v>2342</v>
      </c>
      <c r="I34" s="16" t="s">
        <v>1124</v>
      </c>
      <c r="J34" s="3" t="s">
        <v>2344</v>
      </c>
      <c r="K34" s="3"/>
      <c r="L34" s="3"/>
      <c r="M34" s="3" t="b">
        <v>1</v>
      </c>
      <c r="N34" s="3" t="s">
        <v>1497</v>
      </c>
      <c r="O34" s="3" t="b">
        <v>1</v>
      </c>
      <c r="P34" s="35"/>
    </row>
    <row r="35" spans="1:16" x14ac:dyDescent="0.3">
      <c r="A35" s="27" t="s">
        <v>2180</v>
      </c>
      <c r="B35" s="3"/>
      <c r="C35" s="3"/>
      <c r="D35" s="3"/>
      <c r="E35" s="3"/>
      <c r="F35" s="3"/>
      <c r="G35" s="27"/>
      <c r="H35" s="11" t="s">
        <v>1290</v>
      </c>
      <c r="I35" s="16" t="s">
        <v>1124</v>
      </c>
      <c r="J35" s="3" t="s">
        <v>1447</v>
      </c>
      <c r="K35" s="3"/>
      <c r="L35" s="3"/>
      <c r="M35" s="3" t="b">
        <v>0</v>
      </c>
      <c r="N35" s="3" t="s">
        <v>1497</v>
      </c>
      <c r="O35" s="3" t="b">
        <v>1</v>
      </c>
      <c r="P35" s="35"/>
    </row>
    <row r="36" spans="1:16" x14ac:dyDescent="0.3">
      <c r="A36" s="27" t="s">
        <v>2181</v>
      </c>
      <c r="B36" s="3"/>
      <c r="C36" s="3"/>
      <c r="D36" s="3"/>
      <c r="E36" s="3"/>
      <c r="F36" s="3"/>
      <c r="G36" s="27"/>
      <c r="H36" s="11" t="s">
        <v>1186</v>
      </c>
      <c r="I36" s="16" t="s">
        <v>1124</v>
      </c>
      <c r="J36" s="3" t="s">
        <v>1446</v>
      </c>
      <c r="K36" s="3"/>
      <c r="L36" s="3"/>
      <c r="M36" s="3" t="b">
        <v>1</v>
      </c>
      <c r="N36" s="3" t="s">
        <v>1497</v>
      </c>
      <c r="O36" s="3" t="b">
        <v>1</v>
      </c>
      <c r="P36" s="35"/>
    </row>
    <row r="37" spans="1:16" x14ac:dyDescent="0.3">
      <c r="A37" s="27" t="s">
        <v>2181</v>
      </c>
      <c r="B37" s="3"/>
      <c r="C37" s="3"/>
      <c r="D37" s="3"/>
      <c r="E37" s="3"/>
      <c r="F37" s="3"/>
      <c r="G37" s="27"/>
      <c r="H37" s="11" t="s">
        <v>2347</v>
      </c>
      <c r="I37" s="16" t="s">
        <v>1124</v>
      </c>
      <c r="J37" s="3" t="s">
        <v>2408</v>
      </c>
      <c r="K37" s="3"/>
      <c r="L37" s="3"/>
      <c r="M37" s="3" t="b">
        <v>1</v>
      </c>
      <c r="N37" s="3" t="s">
        <v>1497</v>
      </c>
      <c r="O37" s="3" t="b">
        <v>1</v>
      </c>
      <c r="P37" s="35"/>
    </row>
    <row r="38" spans="1:16" x14ac:dyDescent="0.3">
      <c r="A38" s="27" t="s">
        <v>2181</v>
      </c>
      <c r="B38" s="3"/>
      <c r="C38" s="3"/>
      <c r="D38" s="3"/>
      <c r="E38" s="3"/>
      <c r="F38" s="3"/>
      <c r="G38" s="27"/>
      <c r="H38" s="11" t="s">
        <v>2342</v>
      </c>
      <c r="I38" s="16" t="s">
        <v>1124</v>
      </c>
      <c r="J38" s="3" t="s">
        <v>2344</v>
      </c>
      <c r="K38" s="3"/>
      <c r="L38" s="3"/>
      <c r="M38" s="3" t="b">
        <v>1</v>
      </c>
      <c r="N38" s="3" t="s">
        <v>1497</v>
      </c>
      <c r="O38" s="3" t="b">
        <v>1</v>
      </c>
      <c r="P38" s="35"/>
    </row>
    <row r="39" spans="1:16" x14ac:dyDescent="0.3">
      <c r="A39" s="27" t="s">
        <v>2181</v>
      </c>
      <c r="B39" s="3"/>
      <c r="C39" s="3"/>
      <c r="D39" s="3"/>
      <c r="E39" s="3"/>
      <c r="F39" s="3"/>
      <c r="G39" s="27"/>
      <c r="H39" s="11" t="s">
        <v>2083</v>
      </c>
      <c r="I39" s="16" t="s">
        <v>1124</v>
      </c>
      <c r="J39" s="3" t="s">
        <v>2089</v>
      </c>
      <c r="K39" s="3"/>
      <c r="L39" s="3"/>
      <c r="M39" s="3" t="b">
        <v>0</v>
      </c>
      <c r="N39" s="3" t="s">
        <v>1497</v>
      </c>
      <c r="O39" s="3" t="b">
        <v>1</v>
      </c>
      <c r="P39" s="35"/>
    </row>
    <row r="40" spans="1:16" x14ac:dyDescent="0.3">
      <c r="A40" s="27" t="s">
        <v>880</v>
      </c>
      <c r="B40" s="3"/>
      <c r="C40" s="3"/>
      <c r="D40" s="3"/>
      <c r="E40" s="3"/>
      <c r="F40" s="3"/>
      <c r="G40" s="27"/>
      <c r="H40" s="11" t="s">
        <v>2347</v>
      </c>
      <c r="I40" s="16" t="s">
        <v>1124</v>
      </c>
      <c r="J40" s="3" t="s">
        <v>2408</v>
      </c>
      <c r="K40" s="3"/>
      <c r="L40" s="3"/>
      <c r="M40" s="3" t="b">
        <v>1</v>
      </c>
      <c r="N40" s="3" t="s">
        <v>1497</v>
      </c>
      <c r="O40" s="3" t="b">
        <v>1</v>
      </c>
      <c r="P40" s="35"/>
    </row>
    <row r="41" spans="1:16" x14ac:dyDescent="0.3">
      <c r="A41" s="27" t="s">
        <v>880</v>
      </c>
      <c r="B41" s="3"/>
      <c r="C41" s="3"/>
      <c r="D41" s="3"/>
      <c r="E41" s="3"/>
      <c r="F41" s="3"/>
      <c r="G41" s="27"/>
      <c r="H41" s="11" t="s">
        <v>2342</v>
      </c>
      <c r="I41" s="16" t="s">
        <v>1124</v>
      </c>
      <c r="J41" s="3" t="s">
        <v>2344</v>
      </c>
      <c r="K41" s="3"/>
      <c r="L41" s="3"/>
      <c r="M41" s="3" t="b">
        <v>1</v>
      </c>
      <c r="N41" s="3" t="s">
        <v>1497</v>
      </c>
      <c r="O41" s="3" t="b">
        <v>1</v>
      </c>
      <c r="P41" s="35"/>
    </row>
    <row r="42" spans="1:16" x14ac:dyDescent="0.3">
      <c r="A42" s="27" t="s">
        <v>1548</v>
      </c>
      <c r="B42" s="3"/>
      <c r="C42" s="3"/>
      <c r="D42" s="3"/>
      <c r="E42" s="3"/>
      <c r="F42" s="3"/>
      <c r="G42" s="27"/>
      <c r="H42" s="11" t="s">
        <v>1994</v>
      </c>
      <c r="I42" s="16" t="s">
        <v>1124</v>
      </c>
      <c r="J42" s="3" t="s">
        <v>1995</v>
      </c>
      <c r="K42" s="3"/>
      <c r="L42" s="3"/>
      <c r="M42" s="3" t="b">
        <v>1</v>
      </c>
      <c r="N42" s="3" t="s">
        <v>1497</v>
      </c>
      <c r="O42" s="3" t="b">
        <v>1</v>
      </c>
      <c r="P42" s="35"/>
    </row>
    <row r="43" spans="1:16" x14ac:dyDescent="0.3">
      <c r="A43" s="25" t="s">
        <v>858</v>
      </c>
      <c r="B43" s="3"/>
      <c r="C43" s="3"/>
      <c r="D43" s="3"/>
      <c r="E43" s="3"/>
      <c r="F43" s="3"/>
      <c r="G43" s="3"/>
      <c r="H43" s="11" t="s">
        <v>1994</v>
      </c>
      <c r="I43" s="3" t="s">
        <v>1124</v>
      </c>
      <c r="J43" s="3" t="s">
        <v>1995</v>
      </c>
      <c r="K43" s="3"/>
      <c r="L43" s="3"/>
      <c r="M43" s="3" t="b">
        <v>1</v>
      </c>
      <c r="N43" s="3" t="s">
        <v>1497</v>
      </c>
      <c r="O43" s="3" t="b">
        <v>1</v>
      </c>
      <c r="P43" s="35"/>
    </row>
    <row r="44" spans="1:16" x14ac:dyDescent="0.3">
      <c r="A44" s="25" t="s">
        <v>859</v>
      </c>
      <c r="B44" s="3"/>
      <c r="C44" s="3"/>
      <c r="D44" s="3"/>
      <c r="E44" s="3"/>
      <c r="F44" s="3"/>
      <c r="G44" s="3"/>
      <c r="H44" s="11" t="s">
        <v>1994</v>
      </c>
      <c r="I44" s="3" t="s">
        <v>1124</v>
      </c>
      <c r="J44" s="3" t="s">
        <v>1995</v>
      </c>
      <c r="K44" s="3"/>
      <c r="L44" s="3"/>
      <c r="M44" s="3" t="b">
        <v>1</v>
      </c>
      <c r="N44" s="3" t="s">
        <v>1497</v>
      </c>
      <c r="O44" s="3" t="b">
        <v>1</v>
      </c>
      <c r="P44" s="35"/>
    </row>
    <row r="45" spans="1:16" x14ac:dyDescent="0.3">
      <c r="A45" s="25" t="s">
        <v>860</v>
      </c>
      <c r="B45" s="3"/>
      <c r="C45" s="3"/>
      <c r="D45" s="3"/>
      <c r="E45" s="3"/>
      <c r="F45" s="3"/>
      <c r="G45" s="3"/>
      <c r="H45" s="11" t="s">
        <v>1994</v>
      </c>
      <c r="I45" s="3" t="s">
        <v>1124</v>
      </c>
      <c r="J45" s="3" t="s">
        <v>1995</v>
      </c>
      <c r="K45" s="3"/>
      <c r="L45" s="3"/>
      <c r="M45" s="3" t="b">
        <v>1</v>
      </c>
      <c r="N45" s="3" t="s">
        <v>1497</v>
      </c>
      <c r="O45" s="3" t="b">
        <v>1</v>
      </c>
      <c r="P45" s="35"/>
    </row>
    <row r="46" spans="1:16" x14ac:dyDescent="0.3">
      <c r="A46" s="27" t="s">
        <v>2179</v>
      </c>
      <c r="B46" s="3"/>
      <c r="C46" s="3"/>
      <c r="D46" s="3"/>
      <c r="E46" s="3"/>
      <c r="F46" s="3"/>
      <c r="G46" s="27"/>
      <c r="H46" s="11" t="s">
        <v>1994</v>
      </c>
      <c r="I46" s="16" t="s">
        <v>1124</v>
      </c>
      <c r="J46" s="3" t="s">
        <v>1995</v>
      </c>
      <c r="K46" s="3"/>
      <c r="L46" s="3"/>
      <c r="M46" s="3" t="b">
        <v>1</v>
      </c>
      <c r="N46" s="3" t="s">
        <v>1497</v>
      </c>
      <c r="O46" s="3" t="b">
        <v>1</v>
      </c>
      <c r="P46" s="35"/>
    </row>
    <row r="47" spans="1:16" x14ac:dyDescent="0.3">
      <c r="A47" s="27" t="s">
        <v>2178</v>
      </c>
      <c r="B47" s="3"/>
      <c r="C47" s="3"/>
      <c r="D47" s="3"/>
      <c r="E47" s="3"/>
      <c r="F47" s="3"/>
      <c r="G47" s="27"/>
      <c r="H47" s="11" t="s">
        <v>1994</v>
      </c>
      <c r="I47" s="16" t="s">
        <v>1124</v>
      </c>
      <c r="J47" s="3" t="s">
        <v>1995</v>
      </c>
      <c r="K47" s="3"/>
      <c r="L47" s="3"/>
      <c r="M47" s="3" t="b">
        <v>1</v>
      </c>
      <c r="N47" s="3" t="s">
        <v>1497</v>
      </c>
      <c r="O47" s="3" t="b">
        <v>1</v>
      </c>
      <c r="P47" s="35"/>
    </row>
    <row r="48" spans="1:16" x14ac:dyDescent="0.3">
      <c r="A48" s="27" t="s">
        <v>2177</v>
      </c>
      <c r="B48" s="3"/>
      <c r="C48" s="3"/>
      <c r="D48" s="3"/>
      <c r="E48" s="3"/>
      <c r="F48" s="3"/>
      <c r="G48" s="27"/>
      <c r="H48" s="11" t="s">
        <v>1994</v>
      </c>
      <c r="I48" s="16" t="s">
        <v>1124</v>
      </c>
      <c r="J48" s="3" t="s">
        <v>1995</v>
      </c>
      <c r="K48" s="3"/>
      <c r="L48" s="3"/>
      <c r="M48" s="3" t="b">
        <v>1</v>
      </c>
      <c r="N48" s="3" t="s">
        <v>1497</v>
      </c>
      <c r="O48" s="3" t="b">
        <v>1</v>
      </c>
      <c r="P48" s="35"/>
    </row>
    <row r="49" spans="1:16" x14ac:dyDescent="0.3">
      <c r="A49" s="27" t="s">
        <v>2180</v>
      </c>
      <c r="B49" s="3"/>
      <c r="C49" s="3"/>
      <c r="D49" s="3"/>
      <c r="E49" s="3"/>
      <c r="F49" s="3"/>
      <c r="G49" s="27"/>
      <c r="H49" s="11" t="s">
        <v>1994</v>
      </c>
      <c r="I49" s="16" t="s">
        <v>1124</v>
      </c>
      <c r="J49" s="3" t="s">
        <v>1995</v>
      </c>
      <c r="K49" s="3"/>
      <c r="L49" s="3"/>
      <c r="M49" s="3" t="b">
        <v>1</v>
      </c>
      <c r="N49" s="3" t="s">
        <v>1497</v>
      </c>
      <c r="O49" s="3" t="b">
        <v>1</v>
      </c>
      <c r="P49" s="35"/>
    </row>
    <row r="50" spans="1:16" x14ac:dyDescent="0.3">
      <c r="A50" s="27" t="s">
        <v>2181</v>
      </c>
      <c r="B50" s="3"/>
      <c r="C50" s="3"/>
      <c r="D50" s="3"/>
      <c r="E50" s="3"/>
      <c r="F50" s="3"/>
      <c r="G50" s="27"/>
      <c r="H50" s="11" t="s">
        <v>1994</v>
      </c>
      <c r="I50" s="16" t="s">
        <v>1124</v>
      </c>
      <c r="J50" s="3" t="s">
        <v>1995</v>
      </c>
      <c r="K50" s="3"/>
      <c r="L50" s="3"/>
      <c r="M50" s="3" t="b">
        <v>1</v>
      </c>
      <c r="N50" s="3" t="s">
        <v>1497</v>
      </c>
      <c r="O50" s="3" t="b">
        <v>1</v>
      </c>
      <c r="P50" s="35"/>
    </row>
    <row r="51" spans="1:16" x14ac:dyDescent="0.3">
      <c r="A51" s="27" t="s">
        <v>1548</v>
      </c>
      <c r="B51" s="3"/>
      <c r="C51" s="3"/>
      <c r="D51" s="3"/>
      <c r="E51" s="3"/>
      <c r="F51" s="3"/>
      <c r="G51" s="27"/>
      <c r="H51" s="11" t="s">
        <v>2346</v>
      </c>
      <c r="I51" s="16" t="s">
        <v>1124</v>
      </c>
      <c r="J51" s="3" t="s">
        <v>2409</v>
      </c>
      <c r="K51" s="3"/>
      <c r="L51" s="3"/>
      <c r="M51" s="3" t="b">
        <v>1</v>
      </c>
      <c r="N51" s="3" t="s">
        <v>1497</v>
      </c>
      <c r="O51" s="3" t="b">
        <v>1</v>
      </c>
      <c r="P51" s="35"/>
    </row>
    <row r="52" spans="1:16" x14ac:dyDescent="0.3">
      <c r="A52" s="27" t="s">
        <v>858</v>
      </c>
      <c r="B52" s="3"/>
      <c r="C52" s="3"/>
      <c r="D52" s="3"/>
      <c r="E52" s="3"/>
      <c r="F52" s="3"/>
      <c r="G52" s="27"/>
      <c r="H52" s="11" t="s">
        <v>2346</v>
      </c>
      <c r="I52" s="16" t="s">
        <v>1124</v>
      </c>
      <c r="J52" s="3" t="s">
        <v>2409</v>
      </c>
      <c r="K52" s="3"/>
      <c r="L52" s="3"/>
      <c r="M52" s="3" t="b">
        <v>1</v>
      </c>
      <c r="N52" s="3" t="s">
        <v>1497</v>
      </c>
      <c r="O52" s="3" t="b">
        <v>1</v>
      </c>
      <c r="P52" s="35"/>
    </row>
    <row r="53" spans="1:16" x14ac:dyDescent="0.3">
      <c r="A53" s="27" t="s">
        <v>859</v>
      </c>
      <c r="B53" s="3"/>
      <c r="C53" s="3"/>
      <c r="D53" s="3"/>
      <c r="E53" s="3"/>
      <c r="F53" s="3"/>
      <c r="G53" s="27"/>
      <c r="H53" s="11" t="s">
        <v>2346</v>
      </c>
      <c r="I53" s="16" t="s">
        <v>1124</v>
      </c>
      <c r="J53" s="3" t="s">
        <v>2409</v>
      </c>
      <c r="K53" s="3"/>
      <c r="L53" s="3"/>
      <c r="M53" s="3" t="b">
        <v>1</v>
      </c>
      <c r="N53" s="3" t="s">
        <v>1497</v>
      </c>
      <c r="O53" s="3" t="b">
        <v>1</v>
      </c>
      <c r="P53" s="35"/>
    </row>
    <row r="54" spans="1:16" x14ac:dyDescent="0.3">
      <c r="A54" s="27" t="s">
        <v>860</v>
      </c>
      <c r="B54" s="3"/>
      <c r="C54" s="3"/>
      <c r="D54" s="3"/>
      <c r="E54" s="3"/>
      <c r="F54" s="3"/>
      <c r="G54" s="27"/>
      <c r="H54" s="11" t="s">
        <v>2346</v>
      </c>
      <c r="I54" s="16" t="s">
        <v>1124</v>
      </c>
      <c r="J54" s="3" t="s">
        <v>2409</v>
      </c>
      <c r="K54" s="3"/>
      <c r="L54" s="3"/>
      <c r="M54" s="3" t="b">
        <v>1</v>
      </c>
      <c r="N54" s="3" t="s">
        <v>1497</v>
      </c>
      <c r="O54" s="3" t="b">
        <v>1</v>
      </c>
      <c r="P54" s="35"/>
    </row>
    <row r="55" spans="1:16" x14ac:dyDescent="0.3">
      <c r="A55" s="27" t="s">
        <v>2179</v>
      </c>
      <c r="B55" s="3"/>
      <c r="C55" s="3"/>
      <c r="D55" s="3"/>
      <c r="E55" s="3"/>
      <c r="F55" s="3"/>
      <c r="G55" s="27"/>
      <c r="H55" s="11" t="s">
        <v>2346</v>
      </c>
      <c r="I55" s="16" t="s">
        <v>1124</v>
      </c>
      <c r="J55" s="3" t="s">
        <v>2409</v>
      </c>
      <c r="K55" s="3"/>
      <c r="L55" s="3"/>
      <c r="M55" s="3" t="b">
        <v>1</v>
      </c>
      <c r="N55" s="3" t="s">
        <v>1497</v>
      </c>
      <c r="O55" s="3" t="b">
        <v>1</v>
      </c>
      <c r="P55" s="35"/>
    </row>
    <row r="56" spans="1:16" x14ac:dyDescent="0.3">
      <c r="A56" s="27" t="s">
        <v>2178</v>
      </c>
      <c r="B56" s="3"/>
      <c r="C56" s="3"/>
      <c r="D56" s="3"/>
      <c r="E56" s="3"/>
      <c r="F56" s="3"/>
      <c r="G56" s="27"/>
      <c r="H56" s="11" t="s">
        <v>2346</v>
      </c>
      <c r="I56" s="16" t="s">
        <v>1124</v>
      </c>
      <c r="J56" s="3" t="s">
        <v>2409</v>
      </c>
      <c r="K56" s="3"/>
      <c r="L56" s="3"/>
      <c r="M56" s="3" t="b">
        <v>1</v>
      </c>
      <c r="N56" s="3" t="s">
        <v>1497</v>
      </c>
      <c r="O56" s="3" t="b">
        <v>1</v>
      </c>
      <c r="P56" s="35"/>
    </row>
    <row r="57" spans="1:16" x14ac:dyDescent="0.3">
      <c r="A57" s="27" t="s">
        <v>2177</v>
      </c>
      <c r="B57" s="3"/>
      <c r="C57" s="3"/>
      <c r="D57" s="3"/>
      <c r="E57" s="3"/>
      <c r="F57" s="3"/>
      <c r="G57" s="27"/>
      <c r="H57" s="11" t="s">
        <v>2346</v>
      </c>
      <c r="I57" s="16" t="s">
        <v>1124</v>
      </c>
      <c r="J57" s="3" t="s">
        <v>2409</v>
      </c>
      <c r="K57" s="3"/>
      <c r="L57" s="3"/>
      <c r="M57" s="3" t="b">
        <v>1</v>
      </c>
      <c r="N57" s="3" t="s">
        <v>1497</v>
      </c>
      <c r="O57" s="3" t="b">
        <v>1</v>
      </c>
      <c r="P57" s="35"/>
    </row>
    <row r="58" spans="1:16" x14ac:dyDescent="0.3">
      <c r="A58" s="27" t="s">
        <v>2180</v>
      </c>
      <c r="B58" s="3"/>
      <c r="C58" s="3"/>
      <c r="D58" s="3"/>
      <c r="E58" s="3"/>
      <c r="F58" s="3"/>
      <c r="G58" s="27"/>
      <c r="H58" s="11" t="s">
        <v>2346</v>
      </c>
      <c r="I58" s="16" t="s">
        <v>1124</v>
      </c>
      <c r="J58" s="3" t="s">
        <v>2409</v>
      </c>
      <c r="K58" s="3"/>
      <c r="L58" s="3"/>
      <c r="M58" s="3" t="b">
        <v>1</v>
      </c>
      <c r="N58" s="3" t="s">
        <v>1497</v>
      </c>
      <c r="O58" s="3" t="b">
        <v>1</v>
      </c>
      <c r="P58" s="35"/>
    </row>
    <row r="59" spans="1:16" x14ac:dyDescent="0.3">
      <c r="A59" s="27" t="s">
        <v>2181</v>
      </c>
      <c r="B59" s="3"/>
      <c r="C59" s="3"/>
      <c r="D59" s="3"/>
      <c r="E59" s="3"/>
      <c r="F59" s="3"/>
      <c r="G59" s="27"/>
      <c r="H59" s="11" t="s">
        <v>2346</v>
      </c>
      <c r="I59" s="16" t="s">
        <v>1124</v>
      </c>
      <c r="J59" s="3" t="s">
        <v>2409</v>
      </c>
      <c r="K59" s="3"/>
      <c r="L59" s="3"/>
      <c r="M59" s="3" t="b">
        <v>1</v>
      </c>
      <c r="N59" s="3" t="s">
        <v>1497</v>
      </c>
      <c r="O59" s="3" t="b">
        <v>1</v>
      </c>
      <c r="P59" s="35"/>
    </row>
    <row r="60" spans="1:16" x14ac:dyDescent="0.3">
      <c r="A60" s="27" t="s">
        <v>880</v>
      </c>
      <c r="B60" s="3"/>
      <c r="C60" s="3"/>
      <c r="D60" s="3"/>
      <c r="E60" s="3"/>
      <c r="F60" s="3"/>
      <c r="G60" s="27"/>
      <c r="H60" s="11" t="s">
        <v>2346</v>
      </c>
      <c r="I60" s="16" t="s">
        <v>1124</v>
      </c>
      <c r="J60" s="3" t="s">
        <v>2409</v>
      </c>
      <c r="K60" s="3"/>
      <c r="L60" s="3"/>
      <c r="M60" s="3" t="b">
        <v>1</v>
      </c>
      <c r="N60" s="3" t="s">
        <v>1497</v>
      </c>
      <c r="O60" s="3" t="b">
        <v>1</v>
      </c>
      <c r="P60" s="35"/>
    </row>
    <row r="61" spans="1:16" x14ac:dyDescent="0.3">
      <c r="A61" s="27" t="s">
        <v>1548</v>
      </c>
      <c r="B61" s="3"/>
      <c r="C61" s="3"/>
      <c r="D61" s="3"/>
      <c r="E61" s="3"/>
      <c r="F61" s="3"/>
      <c r="G61" s="27"/>
      <c r="H61" s="11" t="s">
        <v>2343</v>
      </c>
      <c r="I61" s="16" t="s">
        <v>1124</v>
      </c>
      <c r="J61" s="3" t="s">
        <v>2345</v>
      </c>
      <c r="K61" s="3"/>
      <c r="L61" s="3"/>
      <c r="M61" s="3" t="b">
        <v>1</v>
      </c>
      <c r="N61" s="3" t="s">
        <v>1497</v>
      </c>
      <c r="O61" s="3" t="b">
        <v>1</v>
      </c>
      <c r="P61" s="35"/>
    </row>
    <row r="62" spans="1:16" x14ac:dyDescent="0.3">
      <c r="A62" s="25" t="s">
        <v>858</v>
      </c>
      <c r="B62" s="3"/>
      <c r="C62" s="3"/>
      <c r="D62" s="3"/>
      <c r="E62" s="3"/>
      <c r="F62" s="3"/>
      <c r="G62" s="3"/>
      <c r="H62" s="11" t="s">
        <v>2343</v>
      </c>
      <c r="I62" s="16" t="s">
        <v>1124</v>
      </c>
      <c r="J62" s="3" t="s">
        <v>2345</v>
      </c>
      <c r="K62" s="3"/>
      <c r="L62" s="3"/>
      <c r="M62" s="3" t="b">
        <v>1</v>
      </c>
      <c r="N62" s="3" t="s">
        <v>1497</v>
      </c>
      <c r="O62" s="3" t="b">
        <v>1</v>
      </c>
      <c r="P62" s="35"/>
    </row>
    <row r="63" spans="1:16" x14ac:dyDescent="0.3">
      <c r="A63" s="25" t="s">
        <v>859</v>
      </c>
      <c r="B63" s="3"/>
      <c r="C63" s="3"/>
      <c r="D63" s="3"/>
      <c r="E63" s="3"/>
      <c r="F63" s="3"/>
      <c r="G63" s="3"/>
      <c r="H63" s="11" t="s">
        <v>2343</v>
      </c>
      <c r="I63" s="16" t="s">
        <v>1124</v>
      </c>
      <c r="J63" s="3" t="s">
        <v>2345</v>
      </c>
      <c r="K63" s="3"/>
      <c r="L63" s="3"/>
      <c r="M63" s="3" t="b">
        <v>1</v>
      </c>
      <c r="N63" s="3" t="s">
        <v>1497</v>
      </c>
      <c r="O63" s="3" t="b">
        <v>1</v>
      </c>
      <c r="P63" s="35"/>
    </row>
    <row r="64" spans="1:16" x14ac:dyDescent="0.3">
      <c r="A64" s="25" t="s">
        <v>860</v>
      </c>
      <c r="B64" s="3"/>
      <c r="C64" s="3"/>
      <c r="D64" s="3"/>
      <c r="E64" s="3"/>
      <c r="F64" s="3"/>
      <c r="G64" s="3"/>
      <c r="H64" s="11" t="s">
        <v>2343</v>
      </c>
      <c r="I64" s="16" t="s">
        <v>1124</v>
      </c>
      <c r="J64" s="3" t="s">
        <v>2345</v>
      </c>
      <c r="K64" s="3"/>
      <c r="L64" s="3"/>
      <c r="M64" s="3" t="b">
        <v>1</v>
      </c>
      <c r="N64" s="3" t="s">
        <v>1497</v>
      </c>
      <c r="O64" s="3" t="b">
        <v>1</v>
      </c>
      <c r="P64" s="35"/>
    </row>
    <row r="65" spans="1:16" x14ac:dyDescent="0.3">
      <c r="A65" s="27" t="s">
        <v>2179</v>
      </c>
      <c r="B65" s="3"/>
      <c r="C65" s="3"/>
      <c r="D65" s="3"/>
      <c r="E65" s="3"/>
      <c r="F65" s="3"/>
      <c r="G65" s="27"/>
      <c r="H65" s="11" t="s">
        <v>2343</v>
      </c>
      <c r="I65" s="16" t="s">
        <v>1124</v>
      </c>
      <c r="J65" s="3" t="s">
        <v>2345</v>
      </c>
      <c r="K65" s="3"/>
      <c r="L65" s="3"/>
      <c r="M65" s="3" t="b">
        <v>1</v>
      </c>
      <c r="N65" s="3" t="s">
        <v>1497</v>
      </c>
      <c r="O65" s="3" t="b">
        <v>1</v>
      </c>
      <c r="P65" s="35"/>
    </row>
    <row r="66" spans="1:16" x14ac:dyDescent="0.3">
      <c r="A66" s="27" t="s">
        <v>2178</v>
      </c>
      <c r="B66" s="3"/>
      <c r="C66" s="3"/>
      <c r="D66" s="3"/>
      <c r="E66" s="3"/>
      <c r="F66" s="3"/>
      <c r="G66" s="27"/>
      <c r="H66" s="11" t="s">
        <v>2343</v>
      </c>
      <c r="I66" s="16" t="s">
        <v>1124</v>
      </c>
      <c r="J66" s="3" t="s">
        <v>2345</v>
      </c>
      <c r="K66" s="3"/>
      <c r="L66" s="3"/>
      <c r="M66" s="3" t="b">
        <v>1</v>
      </c>
      <c r="N66" s="3" t="s">
        <v>1497</v>
      </c>
      <c r="O66" s="3" t="b">
        <v>1</v>
      </c>
      <c r="P66" s="35"/>
    </row>
    <row r="67" spans="1:16" x14ac:dyDescent="0.3">
      <c r="A67" s="27" t="s">
        <v>2177</v>
      </c>
      <c r="B67" s="3"/>
      <c r="C67" s="3"/>
      <c r="D67" s="3"/>
      <c r="E67" s="3"/>
      <c r="F67" s="3"/>
      <c r="G67" s="27"/>
      <c r="H67" s="11" t="s">
        <v>2343</v>
      </c>
      <c r="I67" s="16" t="s">
        <v>1124</v>
      </c>
      <c r="J67" s="3" t="s">
        <v>2345</v>
      </c>
      <c r="K67" s="3"/>
      <c r="L67" s="3"/>
      <c r="M67" s="3" t="b">
        <v>1</v>
      </c>
      <c r="N67" s="3" t="s">
        <v>1497</v>
      </c>
      <c r="O67" s="3" t="b">
        <v>1</v>
      </c>
      <c r="P67" s="35"/>
    </row>
    <row r="68" spans="1:16" x14ac:dyDescent="0.3">
      <c r="A68" s="27" t="s">
        <v>2180</v>
      </c>
      <c r="B68" s="3"/>
      <c r="C68" s="3"/>
      <c r="D68" s="3"/>
      <c r="E68" s="3"/>
      <c r="F68" s="3"/>
      <c r="G68" s="27"/>
      <c r="H68" s="11" t="s">
        <v>2343</v>
      </c>
      <c r="I68" s="16" t="s">
        <v>1124</v>
      </c>
      <c r="J68" s="3" t="s">
        <v>2345</v>
      </c>
      <c r="K68" s="3"/>
      <c r="L68" s="3"/>
      <c r="M68" s="3" t="b">
        <v>1</v>
      </c>
      <c r="N68" s="3" t="s">
        <v>1497</v>
      </c>
      <c r="O68" s="3" t="b">
        <v>1</v>
      </c>
      <c r="P68" s="35"/>
    </row>
    <row r="69" spans="1:16" x14ac:dyDescent="0.3">
      <c r="A69" s="27" t="s">
        <v>2181</v>
      </c>
      <c r="B69" s="3"/>
      <c r="C69" s="3"/>
      <c r="D69" s="3"/>
      <c r="E69" s="3"/>
      <c r="F69" s="3"/>
      <c r="G69" s="27"/>
      <c r="H69" s="11" t="s">
        <v>2343</v>
      </c>
      <c r="I69" s="16" t="s">
        <v>1124</v>
      </c>
      <c r="J69" s="3" t="s">
        <v>2345</v>
      </c>
      <c r="K69" s="3"/>
      <c r="L69" s="3"/>
      <c r="M69" s="3" t="b">
        <v>1</v>
      </c>
      <c r="N69" s="3" t="s">
        <v>1497</v>
      </c>
      <c r="O69" s="3" t="b">
        <v>1</v>
      </c>
      <c r="P69" s="35"/>
    </row>
    <row r="70" spans="1:16" x14ac:dyDescent="0.3">
      <c r="A70" s="27" t="s">
        <v>880</v>
      </c>
      <c r="B70" s="3"/>
      <c r="C70" s="3"/>
      <c r="D70" s="3"/>
      <c r="E70" s="3"/>
      <c r="F70" s="3"/>
      <c r="G70" s="27"/>
      <c r="H70" s="11" t="s">
        <v>2343</v>
      </c>
      <c r="I70" s="16" t="s">
        <v>1124</v>
      </c>
      <c r="J70" s="3" t="s">
        <v>2345</v>
      </c>
      <c r="K70" s="3"/>
      <c r="L70" s="3"/>
      <c r="M70" s="3" t="b">
        <v>1</v>
      </c>
      <c r="N70" s="3" t="s">
        <v>1497</v>
      </c>
      <c r="O70" s="3" t="b">
        <v>1</v>
      </c>
      <c r="P70" s="35"/>
    </row>
    <row r="71" spans="1:16" x14ac:dyDescent="0.3">
      <c r="A71" s="27" t="s">
        <v>2422</v>
      </c>
      <c r="B71" s="3"/>
      <c r="C71" s="3"/>
      <c r="D71" s="3"/>
      <c r="E71" s="3"/>
      <c r="F71" s="3"/>
      <c r="G71" s="27"/>
      <c r="H71" s="11" t="s">
        <v>1186</v>
      </c>
      <c r="I71" s="16" t="s">
        <v>1124</v>
      </c>
      <c r="J71" s="3" t="s">
        <v>1446</v>
      </c>
      <c r="K71" s="3"/>
      <c r="L71" s="3"/>
      <c r="M71" s="3" t="b">
        <v>1</v>
      </c>
      <c r="N71" s="3" t="s">
        <v>1497</v>
      </c>
      <c r="O71" s="3" t="b">
        <v>1</v>
      </c>
      <c r="P71" s="35"/>
    </row>
    <row r="72" spans="1:16" x14ac:dyDescent="0.3">
      <c r="A72" s="27" t="s">
        <v>2422</v>
      </c>
      <c r="B72" s="3"/>
      <c r="C72" s="3"/>
      <c r="D72" s="3"/>
      <c r="E72" s="3"/>
      <c r="F72" s="3"/>
      <c r="G72" s="27"/>
      <c r="H72" s="11" t="s">
        <v>2347</v>
      </c>
      <c r="I72" s="16" t="s">
        <v>1124</v>
      </c>
      <c r="J72" s="3" t="s">
        <v>2408</v>
      </c>
      <c r="K72" s="3"/>
      <c r="L72" s="3"/>
      <c r="M72" s="3" t="b">
        <v>1</v>
      </c>
      <c r="N72" s="3" t="s">
        <v>1497</v>
      </c>
      <c r="O72" s="3" t="b">
        <v>1</v>
      </c>
      <c r="P72" s="35"/>
    </row>
    <row r="73" spans="1:16" x14ac:dyDescent="0.3">
      <c r="A73" s="27" t="s">
        <v>2422</v>
      </c>
      <c r="B73" s="3"/>
      <c r="C73" s="3"/>
      <c r="D73" s="3"/>
      <c r="E73" s="3"/>
      <c r="F73" s="3"/>
      <c r="G73" s="27"/>
      <c r="H73" s="11" t="s">
        <v>2342</v>
      </c>
      <c r="I73" s="16" t="s">
        <v>1124</v>
      </c>
      <c r="J73" s="3" t="s">
        <v>2344</v>
      </c>
      <c r="K73" s="3"/>
      <c r="L73" s="3"/>
      <c r="M73" s="3" t="b">
        <v>1</v>
      </c>
      <c r="N73" s="3" t="s">
        <v>1497</v>
      </c>
      <c r="O73" s="3" t="b">
        <v>1</v>
      </c>
      <c r="P73" s="35"/>
    </row>
    <row r="74" spans="1:16" x14ac:dyDescent="0.3">
      <c r="A74" s="27" t="s">
        <v>2422</v>
      </c>
      <c r="B74" s="3"/>
      <c r="C74" s="3"/>
      <c r="D74" s="3"/>
      <c r="E74" s="3"/>
      <c r="F74" s="3"/>
      <c r="G74" s="27"/>
      <c r="H74" s="11" t="s">
        <v>1290</v>
      </c>
      <c r="I74" s="16" t="s">
        <v>1124</v>
      </c>
      <c r="J74" s="3" t="s">
        <v>1447</v>
      </c>
      <c r="K74" s="3"/>
      <c r="L74" s="3"/>
      <c r="M74" s="3" t="b">
        <v>0</v>
      </c>
      <c r="N74" s="3" t="s">
        <v>1497</v>
      </c>
      <c r="O74" s="3" t="b">
        <v>1</v>
      </c>
      <c r="P74" s="35"/>
    </row>
    <row r="75" spans="1:16" x14ac:dyDescent="0.3">
      <c r="A75" s="27" t="s">
        <v>2422</v>
      </c>
      <c r="B75" s="3"/>
      <c r="C75" s="3"/>
      <c r="D75" s="3"/>
      <c r="E75" s="3"/>
      <c r="F75" s="3"/>
      <c r="G75" s="3"/>
      <c r="H75" s="11" t="s">
        <v>1994</v>
      </c>
      <c r="I75" s="3" t="s">
        <v>1124</v>
      </c>
      <c r="J75" s="3" t="s">
        <v>1995</v>
      </c>
      <c r="K75" s="3"/>
      <c r="L75" s="3"/>
      <c r="M75" s="3" t="b">
        <v>1</v>
      </c>
      <c r="N75" s="3" t="s">
        <v>1497</v>
      </c>
      <c r="O75" s="3" t="b">
        <v>1</v>
      </c>
      <c r="P75" s="35"/>
    </row>
    <row r="76" spans="1:16" x14ac:dyDescent="0.3">
      <c r="A76" s="27" t="s">
        <v>2422</v>
      </c>
      <c r="B76" s="3"/>
      <c r="C76" s="3"/>
      <c r="D76" s="3"/>
      <c r="E76" s="3"/>
      <c r="F76" s="3"/>
      <c r="G76" s="27"/>
      <c r="H76" s="11" t="s">
        <v>2346</v>
      </c>
      <c r="I76" s="16" t="s">
        <v>1124</v>
      </c>
      <c r="J76" s="3" t="s">
        <v>2409</v>
      </c>
      <c r="K76" s="3"/>
      <c r="L76" s="3"/>
      <c r="M76" s="3" t="b">
        <v>1</v>
      </c>
      <c r="N76" s="3" t="s">
        <v>1497</v>
      </c>
      <c r="O76" s="3" t="b">
        <v>1</v>
      </c>
      <c r="P76" s="35"/>
    </row>
    <row r="77" spans="1:16" x14ac:dyDescent="0.3">
      <c r="A77" s="27" t="s">
        <v>2422</v>
      </c>
      <c r="B77" s="3"/>
      <c r="C77" s="3"/>
      <c r="D77" s="3"/>
      <c r="E77" s="3"/>
      <c r="F77" s="3"/>
      <c r="G77" s="3"/>
      <c r="H77" s="11" t="s">
        <v>2343</v>
      </c>
      <c r="I77" s="16" t="s">
        <v>1124</v>
      </c>
      <c r="J77" s="3" t="s">
        <v>2345</v>
      </c>
      <c r="K77" s="3"/>
      <c r="L77" s="3"/>
      <c r="M77" s="3" t="b">
        <v>1</v>
      </c>
      <c r="N77" s="3" t="s">
        <v>1497</v>
      </c>
      <c r="O77" s="3" t="b">
        <v>1</v>
      </c>
      <c r="P77" s="35"/>
    </row>
    <row r="78" spans="1:16" x14ac:dyDescent="0.3">
      <c r="A78" s="27" t="s">
        <v>2431</v>
      </c>
      <c r="B78" s="3"/>
      <c r="C78" s="3"/>
      <c r="D78" s="3"/>
      <c r="E78" s="3"/>
      <c r="F78" s="3"/>
      <c r="G78" s="27"/>
      <c r="H78" s="11" t="s">
        <v>1186</v>
      </c>
      <c r="I78" s="16" t="s">
        <v>1124</v>
      </c>
      <c r="J78" s="3" t="s">
        <v>1446</v>
      </c>
      <c r="K78" s="3"/>
      <c r="L78" s="3"/>
      <c r="M78" s="3" t="b">
        <v>1</v>
      </c>
      <c r="N78" s="3" t="s">
        <v>1497</v>
      </c>
      <c r="O78" s="3" t="b">
        <v>1</v>
      </c>
      <c r="P78" s="35"/>
    </row>
    <row r="79" spans="1:16" x14ac:dyDescent="0.3">
      <c r="A79" s="27" t="s">
        <v>2431</v>
      </c>
      <c r="B79" s="3"/>
      <c r="C79" s="3"/>
      <c r="D79" s="3"/>
      <c r="E79" s="3"/>
      <c r="F79" s="3"/>
      <c r="G79" s="27"/>
      <c r="H79" s="11" t="s">
        <v>2347</v>
      </c>
      <c r="I79" s="16" t="s">
        <v>1124</v>
      </c>
      <c r="J79" s="3" t="s">
        <v>2408</v>
      </c>
      <c r="K79" s="3"/>
      <c r="L79" s="3"/>
      <c r="M79" s="3" t="b">
        <v>1</v>
      </c>
      <c r="N79" s="3" t="s">
        <v>1497</v>
      </c>
      <c r="O79" s="3" t="b">
        <v>1</v>
      </c>
      <c r="P79" s="35"/>
    </row>
    <row r="80" spans="1:16" x14ac:dyDescent="0.3">
      <c r="A80" s="27" t="s">
        <v>2431</v>
      </c>
      <c r="B80" s="3"/>
      <c r="C80" s="3"/>
      <c r="D80" s="3"/>
      <c r="E80" s="3"/>
      <c r="F80" s="3"/>
      <c r="G80" s="27"/>
      <c r="H80" s="11" t="s">
        <v>2342</v>
      </c>
      <c r="I80" s="16" t="s">
        <v>1124</v>
      </c>
      <c r="J80" s="3" t="s">
        <v>2344</v>
      </c>
      <c r="K80" s="3"/>
      <c r="L80" s="3"/>
      <c r="M80" s="3" t="b">
        <v>1</v>
      </c>
      <c r="N80" s="3" t="s">
        <v>1497</v>
      </c>
      <c r="O80" s="3" t="b">
        <v>1</v>
      </c>
      <c r="P80" s="35"/>
    </row>
    <row r="81" spans="1:16" x14ac:dyDescent="0.3">
      <c r="A81" s="27" t="s">
        <v>2431</v>
      </c>
      <c r="B81" s="3"/>
      <c r="C81" s="3"/>
      <c r="D81" s="3"/>
      <c r="E81" s="3"/>
      <c r="F81" s="3"/>
      <c r="G81" s="27"/>
      <c r="H81" s="11" t="s">
        <v>1290</v>
      </c>
      <c r="I81" s="16" t="s">
        <v>1124</v>
      </c>
      <c r="J81" s="3" t="s">
        <v>1447</v>
      </c>
      <c r="K81" s="3"/>
      <c r="L81" s="3"/>
      <c r="M81" s="3" t="b">
        <v>0</v>
      </c>
      <c r="N81" s="3" t="s">
        <v>1497</v>
      </c>
      <c r="O81" s="3" t="b">
        <v>1</v>
      </c>
      <c r="P81" s="35"/>
    </row>
    <row r="82" spans="1:16" x14ac:dyDescent="0.3">
      <c r="A82" s="27" t="s">
        <v>2431</v>
      </c>
      <c r="B82" s="3"/>
      <c r="C82" s="3"/>
      <c r="D82" s="3"/>
      <c r="E82" s="3"/>
      <c r="F82" s="3"/>
      <c r="G82" s="3"/>
      <c r="H82" s="11" t="s">
        <v>1994</v>
      </c>
      <c r="I82" s="3" t="s">
        <v>1124</v>
      </c>
      <c r="J82" s="3" t="s">
        <v>1995</v>
      </c>
      <c r="K82" s="3"/>
      <c r="L82" s="3"/>
      <c r="M82" s="3" t="b">
        <v>1</v>
      </c>
      <c r="N82" s="3" t="s">
        <v>1497</v>
      </c>
      <c r="O82" s="3" t="b">
        <v>1</v>
      </c>
      <c r="P82" s="35"/>
    </row>
    <row r="83" spans="1:16" x14ac:dyDescent="0.3">
      <c r="A83" s="27" t="s">
        <v>2431</v>
      </c>
      <c r="B83" s="3"/>
      <c r="C83" s="3"/>
      <c r="D83" s="3"/>
      <c r="E83" s="3"/>
      <c r="F83" s="3"/>
      <c r="G83" s="27"/>
      <c r="H83" s="11" t="s">
        <v>2346</v>
      </c>
      <c r="I83" s="16" t="s">
        <v>1124</v>
      </c>
      <c r="J83" s="3" t="s">
        <v>2409</v>
      </c>
      <c r="K83" s="3"/>
      <c r="L83" s="3"/>
      <c r="M83" s="3" t="b">
        <v>1</v>
      </c>
      <c r="N83" s="3" t="s">
        <v>1497</v>
      </c>
      <c r="O83" s="3" t="b">
        <v>1</v>
      </c>
      <c r="P83" s="35"/>
    </row>
    <row r="84" spans="1:16" x14ac:dyDescent="0.3">
      <c r="A84" s="27" t="s">
        <v>2431</v>
      </c>
      <c r="B84" s="3"/>
      <c r="C84" s="3"/>
      <c r="D84" s="3"/>
      <c r="E84" s="3"/>
      <c r="F84" s="3"/>
      <c r="G84" s="3"/>
      <c r="H84" s="11" t="s">
        <v>2343</v>
      </c>
      <c r="I84" s="16" t="s">
        <v>1124</v>
      </c>
      <c r="J84" s="3" t="s">
        <v>2345</v>
      </c>
      <c r="K84" s="3"/>
      <c r="L84" s="3"/>
      <c r="M84" s="3" t="b">
        <v>1</v>
      </c>
      <c r="N84" s="3" t="s">
        <v>1497</v>
      </c>
      <c r="O84" s="3" t="b">
        <v>1</v>
      </c>
      <c r="P84" s="35"/>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FCE12DB3-6974-44E3-B8D8-669ACED740A1}">
          <x14:formula1>
            <xm:f>Validation!$G$2:$G$4</xm:f>
          </x14:formula1>
          <xm:sqref>M2:M84</xm:sqref>
        </x14:dataValidation>
        <x14:dataValidation type="list" allowBlank="1" showInputMessage="1" showErrorMessage="1" xr:uid="{44DDAE4F-755E-46AF-B627-0F025E657AB0}">
          <x14:formula1>
            <xm:f>Validation!$A$15:$A$26</xm:f>
          </x14:formula1>
          <xm:sqref>A2:A84</xm:sqref>
        </x14:dataValidation>
        <x14:dataValidation type="list" allowBlank="1" showInputMessage="1" showErrorMessage="1" xr:uid="{4FF6EF52-5EA3-4AC1-A7BE-09E70C5F2188}">
          <x14:formula1>
            <xm:f>CalculatorsTempl!$E:$E</xm:f>
          </x14:formula1>
          <xm:sqref>H2:H84</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A73ED-E9E2-453E-9FFE-7556E4CFF79F}">
  <sheetPr codeName="Sheet39">
    <tabColor rgb="FFDCCEE4"/>
  </sheetPr>
  <dimension ref="A1:AM7"/>
  <sheetViews>
    <sheetView workbookViewId="0">
      <selection activeCell="G2" sqref="G2"/>
    </sheetView>
  </sheetViews>
  <sheetFormatPr defaultRowHeight="14.4" outlineLevelCol="1" x14ac:dyDescent="0.3"/>
  <cols>
    <col min="1" max="1" width="64.5546875" customWidth="1" outlineLevel="1"/>
    <col min="2" max="2" width="15.5546875" customWidth="1" outlineLevel="1"/>
    <col min="3" max="3" width="19.5546875" customWidth="1" outlineLevel="1"/>
    <col min="4" max="4" width="15.44140625" customWidth="1" outlineLevel="1"/>
    <col min="5" max="5" width="13.88671875" customWidth="1" outlineLevel="1"/>
    <col min="6" max="6" width="20.109375" customWidth="1" outlineLevel="1"/>
    <col min="7" max="7" width="18.6640625" customWidth="1" outlineLevel="1"/>
    <col min="8" max="8" width="17.44140625" customWidth="1" outlineLevel="1"/>
    <col min="9" max="9" width="21.44140625" customWidth="1" outlineLevel="1"/>
    <col min="10" max="10" width="21.109375" customWidth="1" outlineLevel="1"/>
    <col min="11" max="11" width="11.88671875" customWidth="1" outlineLevel="1"/>
    <col min="12" max="12" width="18.88671875" customWidth="1" outlineLevel="1"/>
    <col min="13" max="13" width="20.6640625" customWidth="1" outlineLevel="1"/>
    <col min="14" max="14" width="17.6640625" customWidth="1" outlineLevel="1"/>
    <col min="15" max="20" width="18" customWidth="1" outlineLevel="1"/>
    <col min="21" max="22" width="25.88671875" customWidth="1" outlineLevel="1"/>
    <col min="23" max="23" width="15.6640625" bestFit="1" customWidth="1"/>
    <col min="24" max="24" width="21.6640625" bestFit="1" customWidth="1"/>
    <col min="25" max="25" width="14.6640625" bestFit="1" customWidth="1"/>
    <col min="26" max="26" width="14.33203125" bestFit="1" customWidth="1"/>
    <col min="27" max="28" width="13.33203125" bestFit="1" customWidth="1"/>
    <col min="29" max="29" width="17.6640625" bestFit="1" customWidth="1"/>
    <col min="30" max="30" width="11.6640625" bestFit="1" customWidth="1"/>
    <col min="31" max="31" width="16.109375" bestFit="1" customWidth="1"/>
    <col min="32" max="32" width="18.88671875" bestFit="1" customWidth="1"/>
    <col min="33" max="33" width="29.5546875" bestFit="1" customWidth="1"/>
    <col min="34" max="34" width="8.109375" bestFit="1" customWidth="1"/>
    <col min="35" max="35" width="11.6640625" bestFit="1" customWidth="1"/>
    <col min="36" max="36" width="13.6640625" bestFit="1" customWidth="1"/>
    <col min="37" max="37" width="18.6640625" bestFit="1" customWidth="1"/>
    <col min="38" max="38" width="12" bestFit="1" customWidth="1"/>
    <col min="39" max="39" width="11.6640625" bestFit="1" customWidth="1"/>
    <col min="40" max="40" width="12.33203125" bestFit="1" customWidth="1"/>
    <col min="41" max="41" width="18.33203125" bestFit="1" customWidth="1"/>
    <col min="42" max="42" width="11.88671875" bestFit="1" customWidth="1"/>
    <col min="43" max="43" width="16.33203125" bestFit="1" customWidth="1"/>
    <col min="44" max="44" width="19.5546875" bestFit="1" customWidth="1"/>
    <col min="45" max="45" width="31.109375" bestFit="1" customWidth="1"/>
    <col min="46" max="46" width="8.33203125" bestFit="1" customWidth="1"/>
    <col min="47" max="47" width="12.33203125" bestFit="1" customWidth="1"/>
    <col min="48" max="48" width="14" bestFit="1" customWidth="1"/>
    <col min="49" max="49" width="21.5546875" bestFit="1" customWidth="1"/>
    <col min="50" max="50" width="19.33203125" bestFit="1" customWidth="1"/>
    <col min="51" max="51" width="12.33203125" bestFit="1" customWidth="1"/>
    <col min="52" max="52" width="12.109375" bestFit="1" customWidth="1"/>
    <col min="53" max="53" width="20.5546875" bestFit="1" customWidth="1"/>
  </cols>
  <sheetData>
    <row r="1" spans="1:39" x14ac:dyDescent="0.3">
      <c r="A1" s="92" t="s">
        <v>43</v>
      </c>
      <c r="B1" s="82" t="s">
        <v>1375</v>
      </c>
      <c r="C1" s="93" t="s">
        <v>1376</v>
      </c>
      <c r="D1" s="93" t="s">
        <v>1377</v>
      </c>
      <c r="E1" s="93" t="s">
        <v>883</v>
      </c>
      <c r="F1" s="93" t="s">
        <v>1378</v>
      </c>
      <c r="G1" s="93" t="s">
        <v>1372</v>
      </c>
      <c r="H1" s="93" t="s">
        <v>1885</v>
      </c>
      <c r="I1" s="93" t="s">
        <v>1379</v>
      </c>
      <c r="J1" s="93" t="s">
        <v>1380</v>
      </c>
      <c r="K1" s="93" t="s">
        <v>1381</v>
      </c>
      <c r="L1" s="93" t="s">
        <v>1747</v>
      </c>
      <c r="M1" s="93" t="s">
        <v>1748</v>
      </c>
      <c r="N1" s="93" t="s">
        <v>1749</v>
      </c>
      <c r="O1" s="93" t="s">
        <v>1750</v>
      </c>
      <c r="P1" s="93" t="s">
        <v>1927</v>
      </c>
      <c r="Q1" s="93" t="s">
        <v>2038</v>
      </c>
      <c r="R1" s="93" t="s">
        <v>1989</v>
      </c>
      <c r="S1" s="93" t="s">
        <v>1990</v>
      </c>
      <c r="T1" s="93" t="s">
        <v>1996</v>
      </c>
      <c r="U1" s="93" t="s">
        <v>1932</v>
      </c>
      <c r="V1" s="93" t="s">
        <v>2040</v>
      </c>
      <c r="W1" s="82" t="s">
        <v>867</v>
      </c>
      <c r="X1" s="83" t="s">
        <v>1606</v>
      </c>
      <c r="Y1" t="s">
        <v>1331</v>
      </c>
      <c r="Z1" t="s">
        <v>893</v>
      </c>
      <c r="AA1" t="s">
        <v>871</v>
      </c>
      <c r="AB1" t="s">
        <v>857</v>
      </c>
      <c r="AC1" t="s">
        <v>884</v>
      </c>
      <c r="AD1" t="s">
        <v>49</v>
      </c>
      <c r="AE1" t="s">
        <v>1136</v>
      </c>
      <c r="AF1" t="s">
        <v>1382</v>
      </c>
      <c r="AG1" t="s">
        <v>1383</v>
      </c>
      <c r="AH1" t="s">
        <v>44</v>
      </c>
      <c r="AI1" t="s">
        <v>1384</v>
      </c>
      <c r="AJ1" t="s">
        <v>1374</v>
      </c>
      <c r="AK1" t="s">
        <v>1385</v>
      </c>
      <c r="AL1" t="s">
        <v>1386</v>
      </c>
      <c r="AM1" t="s">
        <v>1387</v>
      </c>
    </row>
    <row r="2" spans="1:39" x14ac:dyDescent="0.3">
      <c r="A2" s="121" t="str">
        <f>BF_import[[#This Row],[ScenarioCode]]&amp;Z2&amp;AA2&amp;TRIM(AG2)&amp;AK2&amp;AC2</f>
        <v>CAP_BFWD_RESALEBrought Forward Balance Capital2025/26DEFAULT</v>
      </c>
      <c r="B2" s="95">
        <f>COUNTIF(BF_import[Column1],BF_import[[#This Row],[Column1]])-1</f>
        <v>0</v>
      </c>
      <c r="C2" s="80" cm="1">
        <f t="array" ref="C2">IF(_xlfn.XLOOKUP(BF_import[[#This Row],[FinanceCode]],FC_import[FinanceCode],FC_import[AvailableToAllSchools],1,0,)=TRUE,0,IF(ISERROR(FIND(BF_import[[#This Row],[SchoolCode]],_xlfn.TEXTJOIN(",",TRUE,_xlfn.UNIQUE(IF(FC_import[FinanceCode]=BF_import[[#This Row],[FinanceCode]],FC_import[SchoolCodes],""))))),1,0))</f>
        <v>0</v>
      </c>
      <c r="D2" s="95">
        <f>IF(COUNTIF(SCHOOLS[SchoolCode],BF_import[[#This Row],[SchoolCode]])&gt;0,0,1)</f>
        <v>1</v>
      </c>
      <c r="E2" s="95">
        <f>IF(COUNTIF(LEDGER[LedgerCode],BF_import[[#This Row],[LedgerCode]])&gt;0,0,1)</f>
        <v>0</v>
      </c>
      <c r="F2" s="95">
        <f>IF(ISBLANK(BF_import[[#This Row],[MonthProfileCode]]),1,IF(COUNTIF(MONTHPRF[Code],BF_import[[#This Row],[MonthProfileCode]])&gt;0,0,1))</f>
        <v>0</v>
      </c>
      <c r="G2" s="80" cm="1">
        <f t="array" ref="G2">IF(_xlfn.XLOOKUP(BF_import[[#This Row],[DepartmentCode]],DEPTS[DepartmentCode],DEPTS[AvailableToAllSchools],1,0,)=TRUE,0,IF(ISERROR(FIND(BF_import[[#This Row],[SchoolCode]],_xlfn.TEXTJOIN(",",TRUE,_xlfn.UNIQUE(IF(DEPTS[DepartmentCode]=BF_import[[#This Row],[DepartmentCode]],DEPTS[SchoolCodes],""))))),1,0))</f>
        <v>1</v>
      </c>
      <c r="H2" s="80">
        <f>IF(BF_import[[#This Row],[FundCode]]=0,0,IF(COUNTIF(FUNDS[FundCode],BF_import[[#This Row],[FundCode]])&gt;0,0,1))</f>
        <v>0</v>
      </c>
      <c r="I2" s="80" t="e" cm="1">
        <f t="array" ref="I2">IF(_xlfn.XLOOKUP(BF_import[[#This Row],[DepartmentCode]],DEPTS[DepartmentCode],DEPTS[AvailableToAllSchools])=TRUE,(IF((_xlfn.XLOOKUP(BF_import[[#This Row],[DepartmentCode]],DEPTS[DepartmentCode],DEPTS[LedgerCode])=BF_import[[#This Row],[LedgerCode]]),0,1)),(IFERROR(IF(FIND(BF_import[[#This Row],[SchoolCode]],(_xlfn.TEXTJOIN(",",TRUE,IF(DEPTS[DepartmentCode]&amp;DEPTS[LedgerCode]=BF_import[[#This Row],[DepartmentCode]]&amp;BF_import[[#This Row],[LedgerCode]],DEPTS[SchoolCodes],"")))),0,1),1)))</f>
        <v>#N/A</v>
      </c>
      <c r="J2" s="95">
        <f>IF(ISBLANK(BF_import[[#This Row],[YearValue]])=BF_import[[#This Row],[Calculated]],0,1)</f>
        <v>1</v>
      </c>
      <c r="K2" s="95">
        <f>IF(ISBLANK(BF_import[[#This Row],[CalculatorCode]]),0,IF(COUNTIF(Calculators[CalculatorCode],BF_import[[#This Row],[CalculatorCode]])&gt;0,0,1))</f>
        <v>0</v>
      </c>
      <c r="L2" s="95">
        <f>IF(TRIM(BF_import[[#This Row],[Description]])="",1,0)</f>
        <v>0</v>
      </c>
      <c r="M2" s="95">
        <f>IF(ISBLANK(BF_import[[#This Row],[MatEditOnly]]),1,0)</f>
        <v>0</v>
      </c>
      <c r="N2" s="95">
        <f>IF(ISBLANK(BF_import[[#This Row],[FinancialYearCode]]),1,0)</f>
        <v>0</v>
      </c>
      <c r="O2" s="95">
        <f>IF(ISBLANK(BF_import[[#This Row],[Calculated]]),1,0)</f>
        <v>0</v>
      </c>
      <c r="P2" s="95">
        <f>IF(EXACT(BF_import[[#This Row],[FinanceCode]],UPPER(BF_import[[#This Row],[FinanceCode]])),0,1)+IF(EXACT(BF_import[[#This Row],[SchoolCode]],UPPER(BF_import[[#This Row],[SchoolCode]])),0,1)+IF(EXACT(BF_import[[#This Row],[LedgerCode]],UPPER(BF_import[[#This Row],[LedgerCode]])),0,1)+IF(EXACT(BF_import[[#This Row],[DepartmentCode]],UPPER(BF_import[[#This Row],[DepartmentCode]])),0,1)+IF(EXACT(BF_import[[#This Row],[CalculatorCode]],UPPER(BF_import[[#This Row],[CalculatorCode]])),0,1)+IF(EXACT(BF_import[[#This Row],[MonthProfileCode]],UPPER(BF_import[[#This Row],[MonthProfileCode]])),0,1)+IF(EXACT(BF_import[[#This Row],[FundCode]],UPPER(BF_import[[#This Row],[FundCode]])),0,1)</f>
        <v>0</v>
      </c>
      <c r="Q2" s="95">
        <f>IF(LEN(BF_import[[#This Row],[Description]])&lt;100,0,1)</f>
        <v>0</v>
      </c>
      <c r="R2" s="95">
        <f>IF(LEN(BF_import[[#This Row],[Notes]])&lt;4000,0,1)</f>
        <v>0</v>
      </c>
      <c r="S2" s="95">
        <f>IF(LEN(BF_import[[#This Row],[YearNotes]])&lt;4000,0,1)</f>
        <v>0</v>
      </c>
      <c r="T2" s="95">
        <f>IF(OR(BF_import[[#This Row],[MatEditOnly]]=TRUE,BF_import[[#This Row],[MatEditOnly]]=FALSE),IF(OR(BF_import[[#This Row],[Calculated]]=TRUE,BF_import[[#This Row],[Calculated]]=FALSE),0,1),1)</f>
        <v>0</v>
      </c>
      <c r="U2" s="95">
        <f>IF(_xlfn.XLOOKUP(BF_import[[#This Row],[FinancialYearCode]],Years[Years],Years[Years],1)=BF_import[[#This Row],[FinancialYearCode]],0,1)</f>
        <v>0</v>
      </c>
      <c r="V2" s="95">
        <f>IF(SUBSTITUTE(TEXT(BF_import[[#This Row],[ScenarioCode]],10)," ","")=TEXT(BF_import[[#This Row],[ScenarioCode]],10),0,1)</f>
        <v>0</v>
      </c>
      <c r="W2" s="95" t="e">
        <f>SUM(BF_import[[#This Row],[DuplicateLine]:[Space in ScenarioCode]])</f>
        <v>#N/A</v>
      </c>
      <c r="X2" s="80" t="e">
        <f>_xlfn.XLOOKUP(BF_import[[#This Row],[SchoolCode]],SCHOOLS[SchoolCode],SCHOOLS[Title])</f>
        <v>#N/A</v>
      </c>
      <c r="Z2" t="s">
        <v>1073</v>
      </c>
      <c r="AA2" t="s">
        <v>2285</v>
      </c>
      <c r="AB2" t="s">
        <v>51</v>
      </c>
      <c r="AC2" t="s">
        <v>51</v>
      </c>
      <c r="AF2" t="s">
        <v>1124</v>
      </c>
      <c r="AG2" t="s">
        <v>1448</v>
      </c>
      <c r="AJ2" t="b">
        <v>1</v>
      </c>
      <c r="AK2" t="s">
        <v>1497</v>
      </c>
      <c r="AL2" t="b">
        <v>0</v>
      </c>
    </row>
    <row r="3" spans="1:39" x14ac:dyDescent="0.3">
      <c r="A3" s="120" t="str">
        <f>BF_import[[#This Row],[ScenarioCode]]&amp;Z3&amp;AA3&amp;TRIM(AG3)&amp;AK3&amp;AC3</f>
        <v>CAP_BFWD_RESALESBrought Forward Balance Capital2025/26DEFAULT</v>
      </c>
      <c r="B3" s="85">
        <f>COUNTIF(BF_import[Column1],BF_import[[#This Row],[Column1]])-1</f>
        <v>0</v>
      </c>
      <c r="C3" s="80" cm="1">
        <f t="array" ref="C3">IF(_xlfn.XLOOKUP(BF_import[[#This Row],[FinanceCode]],FC_import[FinanceCode],FC_import[AvailableToAllSchools],1,0,)=TRUE,0,IF(ISERROR(FIND(BF_import[[#This Row],[SchoolCode]],_xlfn.TEXTJOIN(",",TRUE,_xlfn.UNIQUE(IF(FC_import[FinanceCode]=BF_import[[#This Row],[FinanceCode]],FC_import[SchoolCodes],""))))),1,0))</f>
        <v>0</v>
      </c>
      <c r="D3" s="85">
        <f>IF(COUNTIF(SCHOOLS[SchoolCode],BF_import[[#This Row],[SchoolCode]])&gt;0,0,1)</f>
        <v>1</v>
      </c>
      <c r="E3" s="85">
        <f>IF(COUNTIF(LEDGER[LedgerCode],BF_import[[#This Row],[LedgerCode]])&gt;0,0,1)</f>
        <v>0</v>
      </c>
      <c r="F3" s="85">
        <f>IF(ISBLANK(BF_import[[#This Row],[MonthProfileCode]]),1,IF(COUNTIF(MONTHPRF[Code],BF_import[[#This Row],[MonthProfileCode]])&gt;0,0,1))</f>
        <v>0</v>
      </c>
      <c r="G3" s="80" cm="1">
        <f t="array" ref="G3">IF(_xlfn.XLOOKUP(BF_import[[#This Row],[DepartmentCode]],DEPTS[DepartmentCode],DEPTS[AvailableToAllSchools],1,0,)=TRUE,0,IF(ISERROR(FIND(BF_import[[#This Row],[SchoolCode]],_xlfn.TEXTJOIN(",",TRUE,_xlfn.UNIQUE(IF(DEPTS[DepartmentCode]=BF_import[[#This Row],[DepartmentCode]],DEPTS[SchoolCodes],""))))),1,0))</f>
        <v>1</v>
      </c>
      <c r="H3" s="80">
        <f>IF(BF_import[[#This Row],[FundCode]]=0,0,IF(COUNTIF(FUNDS[FundCode],BF_import[[#This Row],[FundCode]])&gt;0,0,1))</f>
        <v>0</v>
      </c>
      <c r="I3" s="80" t="e" cm="1">
        <f t="array" ref="I3">IF(_xlfn.XLOOKUP(BF_import[[#This Row],[DepartmentCode]],DEPTS[DepartmentCode],DEPTS[AvailableToAllSchools])=TRUE,(IF((_xlfn.XLOOKUP(BF_import[[#This Row],[DepartmentCode]],DEPTS[DepartmentCode],DEPTS[LedgerCode])=BF_import[[#This Row],[LedgerCode]]),0,1)),(IFERROR(IF(FIND(BF_import[[#This Row],[SchoolCode]],(_xlfn.TEXTJOIN(",",TRUE,IF(DEPTS[DepartmentCode]&amp;DEPTS[LedgerCode]=BF_import[[#This Row],[DepartmentCode]]&amp;BF_import[[#This Row],[LedgerCode]],DEPTS[SchoolCodes],"")))),0,1),1)))</f>
        <v>#N/A</v>
      </c>
      <c r="J3" s="85">
        <f>IF(ISBLANK(BF_import[[#This Row],[YearValue]])=BF_import[[#This Row],[Calculated]],0,1)</f>
        <v>1</v>
      </c>
      <c r="K3" s="85">
        <f>IF(ISBLANK(BF_import[[#This Row],[CalculatorCode]]),0,IF(COUNTIF(Calculators[CalculatorCode],BF_import[[#This Row],[CalculatorCode]])&gt;0,0,1))</f>
        <v>0</v>
      </c>
      <c r="L3" s="85">
        <f>IF(TRIM(BF_import[[#This Row],[Description]])="",1,0)</f>
        <v>0</v>
      </c>
      <c r="M3" s="85">
        <f>IF(ISBLANK(BF_import[[#This Row],[MatEditOnly]]),1,0)</f>
        <v>0</v>
      </c>
      <c r="N3" s="85">
        <f>IF(ISBLANK(BF_import[[#This Row],[FinancialYearCode]]),1,0)</f>
        <v>0</v>
      </c>
      <c r="O3" s="85">
        <f>IF(ISBLANK(BF_import[[#This Row],[Calculated]]),1,0)</f>
        <v>0</v>
      </c>
      <c r="P3" s="85">
        <f>IF(EXACT(BF_import[[#This Row],[FinanceCode]],UPPER(BF_import[[#This Row],[FinanceCode]])),0,1)+IF(EXACT(BF_import[[#This Row],[SchoolCode]],UPPER(BF_import[[#This Row],[SchoolCode]])),0,1)+IF(EXACT(BF_import[[#This Row],[LedgerCode]],UPPER(BF_import[[#This Row],[LedgerCode]])),0,1)+IF(EXACT(BF_import[[#This Row],[DepartmentCode]],UPPER(BF_import[[#This Row],[DepartmentCode]])),0,1)+IF(EXACT(BF_import[[#This Row],[CalculatorCode]],UPPER(BF_import[[#This Row],[CalculatorCode]])),0,1)+IF(EXACT(BF_import[[#This Row],[MonthProfileCode]],UPPER(BF_import[[#This Row],[MonthProfileCode]])),0,1)+IF(EXACT(BF_import[[#This Row],[FundCode]],UPPER(BF_import[[#This Row],[FundCode]])),0,1)</f>
        <v>0</v>
      </c>
      <c r="Q3" s="85">
        <f>IF(LEN(BF_import[[#This Row],[Description]])&lt;100,0,1)</f>
        <v>0</v>
      </c>
      <c r="R3" s="85">
        <f>IF(LEN(BF_import[[#This Row],[Notes]])&lt;4000,0,1)</f>
        <v>0</v>
      </c>
      <c r="S3" s="85">
        <f>IF(LEN(BF_import[[#This Row],[YearNotes]])&lt;4000,0,1)</f>
        <v>0</v>
      </c>
      <c r="T3" s="85">
        <f>IF(OR(BF_import[[#This Row],[MatEditOnly]]=TRUE,BF_import[[#This Row],[MatEditOnly]]=FALSE),IF(OR(BF_import[[#This Row],[Calculated]]=TRUE,BF_import[[#This Row],[Calculated]]=FALSE),0,1),1)</f>
        <v>0</v>
      </c>
      <c r="U3" s="85">
        <f>IF(_xlfn.XLOOKUP(BF_import[[#This Row],[FinancialYearCode]],Years[Years],Years[Years],1)=BF_import[[#This Row],[FinancialYearCode]],0,1)</f>
        <v>0</v>
      </c>
      <c r="V3" s="85">
        <f>IF(SUBSTITUTE(TEXT(BF_import[[#This Row],[ScenarioCode]],10)," ","")=TEXT(BF_import[[#This Row],[ScenarioCode]],10),0,1)</f>
        <v>0</v>
      </c>
      <c r="W3" s="85" t="e">
        <f>SUM(BF_import[[#This Row],[DuplicateLine]:[Space in ScenarioCode]])</f>
        <v>#N/A</v>
      </c>
      <c r="X3" s="80" t="e">
        <f>_xlfn.XLOOKUP(BF_import[[#This Row],[SchoolCode]],SCHOOLS[SchoolCode],SCHOOLS[Title])</f>
        <v>#N/A</v>
      </c>
      <c r="Z3" t="s">
        <v>1073</v>
      </c>
      <c r="AA3" t="s">
        <v>2432</v>
      </c>
      <c r="AB3" t="s">
        <v>51</v>
      </c>
      <c r="AC3" t="s">
        <v>51</v>
      </c>
      <c r="AF3" t="s">
        <v>1124</v>
      </c>
      <c r="AG3" t="s">
        <v>1448</v>
      </c>
      <c r="AJ3" t="b">
        <v>1</v>
      </c>
      <c r="AK3" t="s">
        <v>1497</v>
      </c>
      <c r="AL3" t="b">
        <v>0</v>
      </c>
    </row>
    <row r="4" spans="1:39" x14ac:dyDescent="0.3">
      <c r="A4" s="120" t="str">
        <f>BF_import[[#This Row],[ScenarioCode]]&amp;Z4&amp;AA4&amp;TRIM(AG4)&amp;AK4&amp;AC4</f>
        <v>CAP_BFWD_RESMATBrought Forward Balance Capital2025/26DEFAULT</v>
      </c>
      <c r="B4" s="85">
        <f>COUNTIF(BF_import[Column1],BF_import[[#This Row],[Column1]])-1</f>
        <v>0</v>
      </c>
      <c r="C4" s="80" cm="1">
        <f t="array" ref="C4">IF(_xlfn.XLOOKUP(BF_import[[#This Row],[FinanceCode]],FC_import[FinanceCode],FC_import[AvailableToAllSchools],1,0,)=TRUE,0,IF(ISERROR(FIND(BF_import[[#This Row],[SchoolCode]],_xlfn.TEXTJOIN(",",TRUE,_xlfn.UNIQUE(IF(FC_import[FinanceCode]=BF_import[[#This Row],[FinanceCode]],FC_import[SchoolCodes],""))))),1,0))</f>
        <v>0</v>
      </c>
      <c r="D4" s="85">
        <f>IF(COUNTIF(SCHOOLS[SchoolCode],BF_import[[#This Row],[SchoolCode]])&gt;0,0,1)</f>
        <v>1</v>
      </c>
      <c r="E4" s="85">
        <f>IF(COUNTIF(LEDGER[LedgerCode],BF_import[[#This Row],[LedgerCode]])&gt;0,0,1)</f>
        <v>0</v>
      </c>
      <c r="F4" s="85">
        <f>IF(ISBLANK(BF_import[[#This Row],[MonthProfileCode]]),1,IF(COUNTIF(MONTHPRF[Code],BF_import[[#This Row],[MonthProfileCode]])&gt;0,0,1))</f>
        <v>0</v>
      </c>
      <c r="G4" s="80" cm="1">
        <f t="array" ref="G4">IF(_xlfn.XLOOKUP(BF_import[[#This Row],[DepartmentCode]],DEPTS[DepartmentCode],DEPTS[AvailableToAllSchools],1,0,)=TRUE,0,IF(ISERROR(FIND(BF_import[[#This Row],[SchoolCode]],_xlfn.TEXTJOIN(",",TRUE,_xlfn.UNIQUE(IF(DEPTS[DepartmentCode]=BF_import[[#This Row],[DepartmentCode]],DEPTS[SchoolCodes],""))))),1,0))</f>
        <v>1</v>
      </c>
      <c r="H4" s="80">
        <f>IF(BF_import[[#This Row],[FundCode]]=0,0,IF(COUNTIF(FUNDS[FundCode],BF_import[[#This Row],[FundCode]])&gt;0,0,1))</f>
        <v>0</v>
      </c>
      <c r="I4" s="80" t="e" cm="1">
        <f t="array" ref="I4">IF(_xlfn.XLOOKUP(BF_import[[#This Row],[DepartmentCode]],DEPTS[DepartmentCode],DEPTS[AvailableToAllSchools])=TRUE,(IF((_xlfn.XLOOKUP(BF_import[[#This Row],[DepartmentCode]],DEPTS[DepartmentCode],DEPTS[LedgerCode])=BF_import[[#This Row],[LedgerCode]]),0,1)),(IFERROR(IF(FIND(BF_import[[#This Row],[SchoolCode]],(_xlfn.TEXTJOIN(",",TRUE,IF(DEPTS[DepartmentCode]&amp;DEPTS[LedgerCode]=BF_import[[#This Row],[DepartmentCode]]&amp;BF_import[[#This Row],[LedgerCode]],DEPTS[SchoolCodes],"")))),0,1),1)))</f>
        <v>#N/A</v>
      </c>
      <c r="J4" s="85">
        <f>IF(ISBLANK(BF_import[[#This Row],[YearValue]])=BF_import[[#This Row],[Calculated]],0,1)</f>
        <v>1</v>
      </c>
      <c r="K4" s="85">
        <f>IF(ISBLANK(BF_import[[#This Row],[CalculatorCode]]),0,IF(COUNTIF(Calculators[CalculatorCode],BF_import[[#This Row],[CalculatorCode]])&gt;0,0,1))</f>
        <v>0</v>
      </c>
      <c r="L4" s="85">
        <f>IF(TRIM(BF_import[[#This Row],[Description]])="",1,0)</f>
        <v>0</v>
      </c>
      <c r="M4" s="85">
        <f>IF(ISBLANK(BF_import[[#This Row],[MatEditOnly]]),1,0)</f>
        <v>0</v>
      </c>
      <c r="N4" s="85">
        <f>IF(ISBLANK(BF_import[[#This Row],[FinancialYearCode]]),1,0)</f>
        <v>0</v>
      </c>
      <c r="O4" s="85">
        <f>IF(ISBLANK(BF_import[[#This Row],[Calculated]]),1,0)</f>
        <v>0</v>
      </c>
      <c r="P4" s="85">
        <f>IF(EXACT(BF_import[[#This Row],[FinanceCode]],UPPER(BF_import[[#This Row],[FinanceCode]])),0,1)+IF(EXACT(BF_import[[#This Row],[SchoolCode]],UPPER(BF_import[[#This Row],[SchoolCode]])),0,1)+IF(EXACT(BF_import[[#This Row],[LedgerCode]],UPPER(BF_import[[#This Row],[LedgerCode]])),0,1)+IF(EXACT(BF_import[[#This Row],[DepartmentCode]],UPPER(BF_import[[#This Row],[DepartmentCode]])),0,1)+IF(EXACT(BF_import[[#This Row],[CalculatorCode]],UPPER(BF_import[[#This Row],[CalculatorCode]])),0,1)+IF(EXACT(BF_import[[#This Row],[MonthProfileCode]],UPPER(BF_import[[#This Row],[MonthProfileCode]])),0,1)+IF(EXACT(BF_import[[#This Row],[FundCode]],UPPER(BF_import[[#This Row],[FundCode]])),0,1)</f>
        <v>0</v>
      </c>
      <c r="Q4" s="85">
        <f>IF(LEN(BF_import[[#This Row],[Description]])&lt;100,0,1)</f>
        <v>0</v>
      </c>
      <c r="R4" s="85">
        <f>IF(LEN(BF_import[[#This Row],[Notes]])&lt;4000,0,1)</f>
        <v>0</v>
      </c>
      <c r="S4" s="85">
        <f>IF(LEN(BF_import[[#This Row],[YearNotes]])&lt;4000,0,1)</f>
        <v>0</v>
      </c>
      <c r="T4" s="85">
        <f>IF(OR(BF_import[[#This Row],[MatEditOnly]]=TRUE,BF_import[[#This Row],[MatEditOnly]]=FALSE),IF(OR(BF_import[[#This Row],[Calculated]]=TRUE,BF_import[[#This Row],[Calculated]]=FALSE),0,1),1)</f>
        <v>0</v>
      </c>
      <c r="U4" s="85">
        <f>IF(_xlfn.XLOOKUP(BF_import[[#This Row],[FinancialYearCode]],Years[Years],Years[Years],1)=BF_import[[#This Row],[FinancialYearCode]],0,1)</f>
        <v>0</v>
      </c>
      <c r="V4" s="85">
        <f>IF(SUBSTITUTE(TEXT(BF_import[[#This Row],[ScenarioCode]],10)," ","")=TEXT(BF_import[[#This Row],[ScenarioCode]],10),0,1)</f>
        <v>0</v>
      </c>
      <c r="W4" s="85" t="e">
        <f>SUM(BF_import[[#This Row],[DuplicateLine]:[Space in ScenarioCode]])</f>
        <v>#N/A</v>
      </c>
      <c r="X4" s="80" t="e">
        <f>_xlfn.XLOOKUP(BF_import[[#This Row],[SchoolCode]],SCHOOLS[SchoolCode],SCHOOLS[Title])</f>
        <v>#N/A</v>
      </c>
      <c r="Z4" t="s">
        <v>1073</v>
      </c>
      <c r="AA4" t="s">
        <v>39</v>
      </c>
      <c r="AB4" t="s">
        <v>51</v>
      </c>
      <c r="AC4" t="s">
        <v>51</v>
      </c>
      <c r="AF4" t="s">
        <v>1124</v>
      </c>
      <c r="AG4" t="s">
        <v>1448</v>
      </c>
      <c r="AJ4" t="b">
        <v>1</v>
      </c>
      <c r="AK4" t="s">
        <v>1497</v>
      </c>
      <c r="AL4" t="b">
        <v>0</v>
      </c>
    </row>
    <row r="5" spans="1:39" x14ac:dyDescent="0.3">
      <c r="A5" s="120" t="str">
        <f>BF_import[[#This Row],[ScenarioCode]]&amp;Z5&amp;AA5&amp;TRIM(AG5)&amp;AK5&amp;AC5</f>
        <v>REV_BFWD_RESALEBrought Forward Balance Revenue2025/26DEFAULT</v>
      </c>
      <c r="B5" s="85">
        <f>COUNTIF(BF_import[Column1],BF_import[[#This Row],[Column1]])-1</f>
        <v>0</v>
      </c>
      <c r="C5" s="80" cm="1">
        <f t="array" ref="C5">IF(_xlfn.XLOOKUP(BF_import[[#This Row],[FinanceCode]],FC_import[FinanceCode],FC_import[AvailableToAllSchools],1,0,)=TRUE,0,IF(ISERROR(FIND(BF_import[[#This Row],[SchoolCode]],_xlfn.TEXTJOIN(",",TRUE,_xlfn.UNIQUE(IF(FC_import[FinanceCode]=BF_import[[#This Row],[FinanceCode]],FC_import[SchoolCodes],""))))),1,0))</f>
        <v>0</v>
      </c>
      <c r="D5" s="85">
        <f>IF(COUNTIF(SCHOOLS[SchoolCode],BF_import[[#This Row],[SchoolCode]])&gt;0,0,1)</f>
        <v>1</v>
      </c>
      <c r="E5" s="85">
        <f>IF(COUNTIF(LEDGER[LedgerCode],BF_import[[#This Row],[LedgerCode]])&gt;0,0,1)</f>
        <v>0</v>
      </c>
      <c r="F5" s="85">
        <f>IF(ISBLANK(BF_import[[#This Row],[MonthProfileCode]]),1,IF(COUNTIF(MONTHPRF[Code],BF_import[[#This Row],[MonthProfileCode]])&gt;0,0,1))</f>
        <v>0</v>
      </c>
      <c r="G5" s="80" cm="1">
        <f t="array" ref="G5">IF(_xlfn.XLOOKUP(BF_import[[#This Row],[DepartmentCode]],DEPTS[DepartmentCode],DEPTS[AvailableToAllSchools],1,0,)=TRUE,0,IF(ISERROR(FIND(BF_import[[#This Row],[SchoolCode]],_xlfn.TEXTJOIN(",",TRUE,_xlfn.UNIQUE(IF(DEPTS[DepartmentCode]=BF_import[[#This Row],[DepartmentCode]],DEPTS[SchoolCodes],""))))),1,0))</f>
        <v>1</v>
      </c>
      <c r="H5" s="80">
        <f>IF(BF_import[[#This Row],[FundCode]]=0,0,IF(COUNTIF(FUNDS[FundCode],BF_import[[#This Row],[FundCode]])&gt;0,0,1))</f>
        <v>0</v>
      </c>
      <c r="I5" s="80" t="e" cm="1">
        <f t="array" ref="I5">IF(_xlfn.XLOOKUP(BF_import[[#This Row],[DepartmentCode]],DEPTS[DepartmentCode],DEPTS[AvailableToAllSchools])=TRUE,(IF((_xlfn.XLOOKUP(BF_import[[#This Row],[DepartmentCode]],DEPTS[DepartmentCode],DEPTS[LedgerCode])=BF_import[[#This Row],[LedgerCode]]),0,1)),(IFERROR(IF(FIND(BF_import[[#This Row],[SchoolCode]],(_xlfn.TEXTJOIN(",",TRUE,IF(DEPTS[DepartmentCode]&amp;DEPTS[LedgerCode]=BF_import[[#This Row],[DepartmentCode]]&amp;BF_import[[#This Row],[LedgerCode]],DEPTS[SchoolCodes],"")))),0,1),1)))</f>
        <v>#N/A</v>
      </c>
      <c r="J5" s="85">
        <f>IF(ISBLANK(BF_import[[#This Row],[YearValue]])=BF_import[[#This Row],[Calculated]],0,1)</f>
        <v>1</v>
      </c>
      <c r="K5" s="85">
        <f>IF(ISBLANK(BF_import[[#This Row],[CalculatorCode]]),0,IF(COUNTIF(Calculators[CalculatorCode],BF_import[[#This Row],[CalculatorCode]])&gt;0,0,1))</f>
        <v>0</v>
      </c>
      <c r="L5" s="85">
        <f>IF(TRIM(BF_import[[#This Row],[Description]])="",1,0)</f>
        <v>0</v>
      </c>
      <c r="M5" s="85">
        <f>IF(ISBLANK(BF_import[[#This Row],[MatEditOnly]]),1,0)</f>
        <v>0</v>
      </c>
      <c r="N5" s="85">
        <f>IF(ISBLANK(BF_import[[#This Row],[FinancialYearCode]]),1,0)</f>
        <v>0</v>
      </c>
      <c r="O5" s="85">
        <f>IF(ISBLANK(BF_import[[#This Row],[Calculated]]),1,0)</f>
        <v>0</v>
      </c>
      <c r="P5" s="85">
        <f>IF(EXACT(BF_import[[#This Row],[FinanceCode]],UPPER(BF_import[[#This Row],[FinanceCode]])),0,1)+IF(EXACT(BF_import[[#This Row],[SchoolCode]],UPPER(BF_import[[#This Row],[SchoolCode]])),0,1)+IF(EXACT(BF_import[[#This Row],[LedgerCode]],UPPER(BF_import[[#This Row],[LedgerCode]])),0,1)+IF(EXACT(BF_import[[#This Row],[DepartmentCode]],UPPER(BF_import[[#This Row],[DepartmentCode]])),0,1)+IF(EXACT(BF_import[[#This Row],[CalculatorCode]],UPPER(BF_import[[#This Row],[CalculatorCode]])),0,1)+IF(EXACT(BF_import[[#This Row],[MonthProfileCode]],UPPER(BF_import[[#This Row],[MonthProfileCode]])),0,1)+IF(EXACT(BF_import[[#This Row],[FundCode]],UPPER(BF_import[[#This Row],[FundCode]])),0,1)</f>
        <v>0</v>
      </c>
      <c r="Q5" s="85">
        <f>IF(LEN(BF_import[[#This Row],[Description]])&lt;100,0,1)</f>
        <v>0</v>
      </c>
      <c r="R5" s="85">
        <f>IF(LEN(BF_import[[#This Row],[Notes]])&lt;4000,0,1)</f>
        <v>0</v>
      </c>
      <c r="S5" s="85">
        <f>IF(LEN(BF_import[[#This Row],[YearNotes]])&lt;4000,0,1)</f>
        <v>0</v>
      </c>
      <c r="T5" s="85">
        <f>IF(OR(BF_import[[#This Row],[MatEditOnly]]=TRUE,BF_import[[#This Row],[MatEditOnly]]=FALSE),IF(OR(BF_import[[#This Row],[Calculated]]=TRUE,BF_import[[#This Row],[Calculated]]=FALSE),0,1),1)</f>
        <v>0</v>
      </c>
      <c r="U5" s="85">
        <f>IF(_xlfn.XLOOKUP(BF_import[[#This Row],[FinancialYearCode]],Years[Years],Years[Years],1)=BF_import[[#This Row],[FinancialYearCode]],0,1)</f>
        <v>0</v>
      </c>
      <c r="V5" s="85">
        <f>IF(SUBSTITUTE(TEXT(BF_import[[#This Row],[ScenarioCode]],10)," ","")=TEXT(BF_import[[#This Row],[ScenarioCode]],10),0,1)</f>
        <v>0</v>
      </c>
      <c r="W5" s="85" t="e">
        <f>SUM(BF_import[[#This Row],[DuplicateLine]:[Space in ScenarioCode]])</f>
        <v>#N/A</v>
      </c>
      <c r="X5" s="80" t="e">
        <f>_xlfn.XLOOKUP(BF_import[[#This Row],[SchoolCode]],SCHOOLS[SchoolCode],SCHOOLS[Title])</f>
        <v>#N/A</v>
      </c>
      <c r="Z5" t="s">
        <v>1076</v>
      </c>
      <c r="AA5" t="s">
        <v>2285</v>
      </c>
      <c r="AB5" t="s">
        <v>51</v>
      </c>
      <c r="AC5" t="s">
        <v>51</v>
      </c>
      <c r="AF5" t="s">
        <v>1124</v>
      </c>
      <c r="AG5" t="s">
        <v>1449</v>
      </c>
      <c r="AJ5" t="b">
        <v>1</v>
      </c>
      <c r="AK5" t="s">
        <v>1497</v>
      </c>
      <c r="AL5" t="b">
        <v>0</v>
      </c>
    </row>
    <row r="6" spans="1:39" x14ac:dyDescent="0.3">
      <c r="A6" s="120" t="str">
        <f>BF_import[[#This Row],[ScenarioCode]]&amp;Z6&amp;AA6&amp;TRIM(AG6)&amp;AK6&amp;AC6</f>
        <v>REV_BFWD_RESALESBrought Forward Balance Revenue2025/26DEFAULT</v>
      </c>
      <c r="B6" s="85">
        <f>COUNTIF(BF_import[Column1],BF_import[[#This Row],[Column1]])-1</f>
        <v>0</v>
      </c>
      <c r="C6" s="80" cm="1">
        <f t="array" ref="C6">IF(_xlfn.XLOOKUP(BF_import[[#This Row],[FinanceCode]],FC_import[FinanceCode],FC_import[AvailableToAllSchools],1,0,)=TRUE,0,IF(ISERROR(FIND(BF_import[[#This Row],[SchoolCode]],_xlfn.TEXTJOIN(",",TRUE,_xlfn.UNIQUE(IF(FC_import[FinanceCode]=BF_import[[#This Row],[FinanceCode]],FC_import[SchoolCodes],""))))),1,0))</f>
        <v>0</v>
      </c>
      <c r="D6" s="85">
        <f>IF(COUNTIF(SCHOOLS[SchoolCode],BF_import[[#This Row],[SchoolCode]])&gt;0,0,1)</f>
        <v>1</v>
      </c>
      <c r="E6" s="85">
        <f>IF(COUNTIF(LEDGER[LedgerCode],BF_import[[#This Row],[LedgerCode]])&gt;0,0,1)</f>
        <v>0</v>
      </c>
      <c r="F6" s="85">
        <f>IF(ISBLANK(BF_import[[#This Row],[MonthProfileCode]]),1,IF(COUNTIF(MONTHPRF[Code],BF_import[[#This Row],[MonthProfileCode]])&gt;0,0,1))</f>
        <v>0</v>
      </c>
      <c r="G6" s="80" cm="1">
        <f t="array" ref="G6">IF(_xlfn.XLOOKUP(BF_import[[#This Row],[DepartmentCode]],DEPTS[DepartmentCode],DEPTS[AvailableToAllSchools],1,0,)=TRUE,0,IF(ISERROR(FIND(BF_import[[#This Row],[SchoolCode]],_xlfn.TEXTJOIN(",",TRUE,_xlfn.UNIQUE(IF(DEPTS[DepartmentCode]=BF_import[[#This Row],[DepartmentCode]],DEPTS[SchoolCodes],""))))),1,0))</f>
        <v>1</v>
      </c>
      <c r="H6" s="80">
        <f>IF(BF_import[[#This Row],[FundCode]]=0,0,IF(COUNTIF(FUNDS[FundCode],BF_import[[#This Row],[FundCode]])&gt;0,0,1))</f>
        <v>0</v>
      </c>
      <c r="I6" s="80" t="e" cm="1">
        <f t="array" ref="I6">IF(_xlfn.XLOOKUP(BF_import[[#This Row],[DepartmentCode]],DEPTS[DepartmentCode],DEPTS[AvailableToAllSchools])=TRUE,(IF((_xlfn.XLOOKUP(BF_import[[#This Row],[DepartmentCode]],DEPTS[DepartmentCode],DEPTS[LedgerCode])=BF_import[[#This Row],[LedgerCode]]),0,1)),(IFERROR(IF(FIND(BF_import[[#This Row],[SchoolCode]],(_xlfn.TEXTJOIN(",",TRUE,IF(DEPTS[DepartmentCode]&amp;DEPTS[LedgerCode]=BF_import[[#This Row],[DepartmentCode]]&amp;BF_import[[#This Row],[LedgerCode]],DEPTS[SchoolCodes],"")))),0,1),1)))</f>
        <v>#N/A</v>
      </c>
      <c r="J6" s="85">
        <f>IF(ISBLANK(BF_import[[#This Row],[YearValue]])=BF_import[[#This Row],[Calculated]],0,1)</f>
        <v>1</v>
      </c>
      <c r="K6" s="85">
        <f>IF(ISBLANK(BF_import[[#This Row],[CalculatorCode]]),0,IF(COUNTIF(Calculators[CalculatorCode],BF_import[[#This Row],[CalculatorCode]])&gt;0,0,1))</f>
        <v>0</v>
      </c>
      <c r="L6" s="85">
        <f>IF(TRIM(BF_import[[#This Row],[Description]])="",1,0)</f>
        <v>0</v>
      </c>
      <c r="M6" s="85">
        <f>IF(ISBLANK(BF_import[[#This Row],[MatEditOnly]]),1,0)</f>
        <v>0</v>
      </c>
      <c r="N6" s="85">
        <f>IF(ISBLANK(BF_import[[#This Row],[FinancialYearCode]]),1,0)</f>
        <v>0</v>
      </c>
      <c r="O6" s="85">
        <f>IF(ISBLANK(BF_import[[#This Row],[Calculated]]),1,0)</f>
        <v>0</v>
      </c>
      <c r="P6" s="85">
        <f>IF(EXACT(BF_import[[#This Row],[FinanceCode]],UPPER(BF_import[[#This Row],[FinanceCode]])),0,1)+IF(EXACT(BF_import[[#This Row],[SchoolCode]],UPPER(BF_import[[#This Row],[SchoolCode]])),0,1)+IF(EXACT(BF_import[[#This Row],[LedgerCode]],UPPER(BF_import[[#This Row],[LedgerCode]])),0,1)+IF(EXACT(BF_import[[#This Row],[DepartmentCode]],UPPER(BF_import[[#This Row],[DepartmentCode]])),0,1)+IF(EXACT(BF_import[[#This Row],[CalculatorCode]],UPPER(BF_import[[#This Row],[CalculatorCode]])),0,1)+IF(EXACT(BF_import[[#This Row],[MonthProfileCode]],UPPER(BF_import[[#This Row],[MonthProfileCode]])),0,1)+IF(EXACT(BF_import[[#This Row],[FundCode]],UPPER(BF_import[[#This Row],[FundCode]])),0,1)</f>
        <v>0</v>
      </c>
      <c r="Q6" s="85">
        <f>IF(LEN(BF_import[[#This Row],[Description]])&lt;100,0,1)</f>
        <v>0</v>
      </c>
      <c r="R6" s="85">
        <f>IF(LEN(BF_import[[#This Row],[Notes]])&lt;4000,0,1)</f>
        <v>0</v>
      </c>
      <c r="S6" s="85">
        <f>IF(LEN(BF_import[[#This Row],[YearNotes]])&lt;4000,0,1)</f>
        <v>0</v>
      </c>
      <c r="T6" s="85">
        <f>IF(OR(BF_import[[#This Row],[MatEditOnly]]=TRUE,BF_import[[#This Row],[MatEditOnly]]=FALSE),IF(OR(BF_import[[#This Row],[Calculated]]=TRUE,BF_import[[#This Row],[Calculated]]=FALSE),0,1),1)</f>
        <v>0</v>
      </c>
      <c r="U6" s="85">
        <f>IF(_xlfn.XLOOKUP(BF_import[[#This Row],[FinancialYearCode]],Years[Years],Years[Years],1)=BF_import[[#This Row],[FinancialYearCode]],0,1)</f>
        <v>0</v>
      </c>
      <c r="V6" s="85">
        <f>IF(SUBSTITUTE(TEXT(BF_import[[#This Row],[ScenarioCode]],10)," ","")=TEXT(BF_import[[#This Row],[ScenarioCode]],10),0,1)</f>
        <v>0</v>
      </c>
      <c r="W6" s="85" t="e">
        <f>SUM(BF_import[[#This Row],[DuplicateLine]:[Space in ScenarioCode]])</f>
        <v>#N/A</v>
      </c>
      <c r="X6" s="80" t="e">
        <f>_xlfn.XLOOKUP(BF_import[[#This Row],[SchoolCode]],SCHOOLS[SchoolCode],SCHOOLS[Title])</f>
        <v>#N/A</v>
      </c>
      <c r="Z6" t="s">
        <v>1076</v>
      </c>
      <c r="AA6" t="s">
        <v>2432</v>
      </c>
      <c r="AB6" t="s">
        <v>51</v>
      </c>
      <c r="AC6" t="s">
        <v>51</v>
      </c>
      <c r="AF6" t="s">
        <v>1124</v>
      </c>
      <c r="AG6" t="s">
        <v>1449</v>
      </c>
      <c r="AJ6" t="b">
        <v>1</v>
      </c>
      <c r="AK6" t="s">
        <v>1497</v>
      </c>
      <c r="AL6" t="b">
        <v>0</v>
      </c>
    </row>
    <row r="7" spans="1:39" x14ac:dyDescent="0.3">
      <c r="A7" s="145" t="str">
        <f>BF_import[[#This Row],[ScenarioCode]]&amp;Z7&amp;AA7&amp;TRIM(AG7)&amp;AK7&amp;AC7</f>
        <v>REV_BFWD_RESMATBrought Forward Balance Revenue2025/26DEFAULT</v>
      </c>
      <c r="B7" s="96">
        <f>COUNTIF(BF_import[Column1],BF_import[[#This Row],[Column1]])-1</f>
        <v>0</v>
      </c>
      <c r="C7" s="80" cm="1">
        <f t="array" ref="C7">IF(_xlfn.XLOOKUP(BF_import[[#This Row],[FinanceCode]],FC_import[FinanceCode],FC_import[AvailableToAllSchools],1,0,)=TRUE,0,IF(ISERROR(FIND(BF_import[[#This Row],[SchoolCode]],_xlfn.TEXTJOIN(",",TRUE,_xlfn.UNIQUE(IF(FC_import[FinanceCode]=BF_import[[#This Row],[FinanceCode]],FC_import[SchoolCodes],""))))),1,0))</f>
        <v>0</v>
      </c>
      <c r="D7" s="96">
        <f>IF(COUNTIF(SCHOOLS[SchoolCode],BF_import[[#This Row],[SchoolCode]])&gt;0,0,1)</f>
        <v>1</v>
      </c>
      <c r="E7" s="96">
        <f>IF(COUNTIF(LEDGER[LedgerCode],BF_import[[#This Row],[LedgerCode]])&gt;0,0,1)</f>
        <v>0</v>
      </c>
      <c r="F7" s="96">
        <f>IF(ISBLANK(BF_import[[#This Row],[MonthProfileCode]]),1,IF(COUNTIF(MONTHPRF[Code],BF_import[[#This Row],[MonthProfileCode]])&gt;0,0,1))</f>
        <v>0</v>
      </c>
      <c r="G7" s="80" cm="1">
        <f t="array" ref="G7">IF(_xlfn.XLOOKUP(BF_import[[#This Row],[DepartmentCode]],DEPTS[DepartmentCode],DEPTS[AvailableToAllSchools],1,0,)=TRUE,0,IF(ISERROR(FIND(BF_import[[#This Row],[SchoolCode]],_xlfn.TEXTJOIN(",",TRUE,_xlfn.UNIQUE(IF(DEPTS[DepartmentCode]=BF_import[[#This Row],[DepartmentCode]],DEPTS[SchoolCodes],""))))),1,0))</f>
        <v>1</v>
      </c>
      <c r="H7" s="80">
        <f>IF(BF_import[[#This Row],[FundCode]]=0,0,IF(COUNTIF(FUNDS[FundCode],BF_import[[#This Row],[FundCode]])&gt;0,0,1))</f>
        <v>0</v>
      </c>
      <c r="I7" s="80" t="e" cm="1">
        <f t="array" ref="I7">IF(_xlfn.XLOOKUP(BF_import[[#This Row],[DepartmentCode]],DEPTS[DepartmentCode],DEPTS[AvailableToAllSchools])=TRUE,(IF((_xlfn.XLOOKUP(BF_import[[#This Row],[DepartmentCode]],DEPTS[DepartmentCode],DEPTS[LedgerCode])=BF_import[[#This Row],[LedgerCode]]),0,1)),(IFERROR(IF(FIND(BF_import[[#This Row],[SchoolCode]],(_xlfn.TEXTJOIN(",",TRUE,IF(DEPTS[DepartmentCode]&amp;DEPTS[LedgerCode]=BF_import[[#This Row],[DepartmentCode]]&amp;BF_import[[#This Row],[LedgerCode]],DEPTS[SchoolCodes],"")))),0,1),1)))</f>
        <v>#N/A</v>
      </c>
      <c r="J7" s="96">
        <f>IF(ISBLANK(BF_import[[#This Row],[YearValue]])=BF_import[[#This Row],[Calculated]],0,1)</f>
        <v>1</v>
      </c>
      <c r="K7" s="96">
        <f>IF(ISBLANK(BF_import[[#This Row],[CalculatorCode]]),0,IF(COUNTIF(Calculators[CalculatorCode],BF_import[[#This Row],[CalculatorCode]])&gt;0,0,1))</f>
        <v>0</v>
      </c>
      <c r="L7" s="96">
        <f>IF(TRIM(BF_import[[#This Row],[Description]])="",1,0)</f>
        <v>0</v>
      </c>
      <c r="M7" s="96">
        <f>IF(ISBLANK(BF_import[[#This Row],[MatEditOnly]]),1,0)</f>
        <v>0</v>
      </c>
      <c r="N7" s="96">
        <f>IF(ISBLANK(BF_import[[#This Row],[FinancialYearCode]]),1,0)</f>
        <v>0</v>
      </c>
      <c r="O7" s="96">
        <f>IF(ISBLANK(BF_import[[#This Row],[Calculated]]),1,0)</f>
        <v>0</v>
      </c>
      <c r="P7" s="96">
        <f>IF(EXACT(BF_import[[#This Row],[FinanceCode]],UPPER(BF_import[[#This Row],[FinanceCode]])),0,1)+IF(EXACT(BF_import[[#This Row],[SchoolCode]],UPPER(BF_import[[#This Row],[SchoolCode]])),0,1)+IF(EXACT(BF_import[[#This Row],[LedgerCode]],UPPER(BF_import[[#This Row],[LedgerCode]])),0,1)+IF(EXACT(BF_import[[#This Row],[DepartmentCode]],UPPER(BF_import[[#This Row],[DepartmentCode]])),0,1)+IF(EXACT(BF_import[[#This Row],[CalculatorCode]],UPPER(BF_import[[#This Row],[CalculatorCode]])),0,1)+IF(EXACT(BF_import[[#This Row],[MonthProfileCode]],UPPER(BF_import[[#This Row],[MonthProfileCode]])),0,1)+IF(EXACT(BF_import[[#This Row],[FundCode]],UPPER(BF_import[[#This Row],[FundCode]])),0,1)</f>
        <v>0</v>
      </c>
      <c r="Q7" s="96">
        <f>IF(LEN(BF_import[[#This Row],[Description]])&lt;100,0,1)</f>
        <v>0</v>
      </c>
      <c r="R7" s="96">
        <f>IF(LEN(BF_import[[#This Row],[Notes]])&lt;4000,0,1)</f>
        <v>0</v>
      </c>
      <c r="S7" s="96">
        <f>IF(LEN(BF_import[[#This Row],[YearNotes]])&lt;4000,0,1)</f>
        <v>0</v>
      </c>
      <c r="T7" s="96">
        <f>IF(OR(BF_import[[#This Row],[MatEditOnly]]=TRUE,BF_import[[#This Row],[MatEditOnly]]=FALSE),IF(OR(BF_import[[#This Row],[Calculated]]=TRUE,BF_import[[#This Row],[Calculated]]=FALSE),0,1),1)</f>
        <v>0</v>
      </c>
      <c r="U7" s="96">
        <f>IF(_xlfn.XLOOKUP(BF_import[[#This Row],[FinancialYearCode]],Years[Years],Years[Years],1)=BF_import[[#This Row],[FinancialYearCode]],0,1)</f>
        <v>0</v>
      </c>
      <c r="V7" s="96">
        <f>IF(SUBSTITUTE(TEXT(BF_import[[#This Row],[ScenarioCode]],10)," ","")=TEXT(BF_import[[#This Row],[ScenarioCode]],10),0,1)</f>
        <v>0</v>
      </c>
      <c r="W7" s="96" t="e">
        <f>SUM(BF_import[[#This Row],[DuplicateLine]:[Space in ScenarioCode]])</f>
        <v>#N/A</v>
      </c>
      <c r="X7" s="80" t="e">
        <f>_xlfn.XLOOKUP(BF_import[[#This Row],[SchoolCode]],SCHOOLS[SchoolCode],SCHOOLS[Title])</f>
        <v>#N/A</v>
      </c>
      <c r="Z7" t="s">
        <v>1076</v>
      </c>
      <c r="AA7" t="s">
        <v>39</v>
      </c>
      <c r="AB7" t="s">
        <v>51</v>
      </c>
      <c r="AC7" t="s">
        <v>51</v>
      </c>
      <c r="AF7" t="s">
        <v>1124</v>
      </c>
      <c r="AG7" t="s">
        <v>1449</v>
      </c>
      <c r="AJ7" t="b">
        <v>1</v>
      </c>
      <c r="AK7" t="s">
        <v>1497</v>
      </c>
      <c r="AL7" t="b">
        <v>0</v>
      </c>
    </row>
  </sheetData>
  <phoneticPr fontId="2" type="noConversion"/>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47244-6CC9-4A84-9116-88AEAB4EBB3A}">
  <sheetPr codeName="Sheet37">
    <tabColor theme="0" tint="-0.34998626667073579"/>
  </sheetPr>
  <dimension ref="A1:P25"/>
  <sheetViews>
    <sheetView zoomScale="80" zoomScaleNormal="80" workbookViewId="0">
      <pane ySplit="1" topLeftCell="A2" activePane="bottomLeft" state="frozen"/>
      <selection pane="bottomLeft" activeCell="C12" sqref="C12"/>
    </sheetView>
  </sheetViews>
  <sheetFormatPr defaultColWidth="9.33203125" defaultRowHeight="14.4" x14ac:dyDescent="0.3"/>
  <cols>
    <col min="1" max="1" width="18.5546875" bestFit="1" customWidth="1"/>
    <col min="2" max="2" width="15.33203125" bestFit="1" customWidth="1"/>
    <col min="3" max="3" width="19.5546875" bestFit="1" customWidth="1"/>
    <col min="4" max="5" width="13.5546875" bestFit="1" customWidth="1"/>
    <col min="6" max="6" width="18.33203125" bestFit="1" customWidth="1"/>
    <col min="7" max="7" width="12.33203125" bestFit="1" customWidth="1"/>
    <col min="8" max="8" width="15.33203125" customWidth="1"/>
    <col min="9" max="9" width="17.5546875" customWidth="1"/>
    <col min="10" max="10" width="34.33203125" bestFit="1" customWidth="1"/>
    <col min="13" max="13" width="14.33203125" bestFit="1" customWidth="1"/>
    <col min="14" max="14" width="19.33203125" bestFit="1" customWidth="1"/>
    <col min="15" max="15" width="12.33203125" bestFit="1" customWidth="1"/>
    <col min="16" max="16" width="12.109375" style="36" bestFit="1" customWidth="1"/>
  </cols>
  <sheetData>
    <row r="1" spans="1:16" x14ac:dyDescent="0.3">
      <c r="A1" s="33" t="s">
        <v>869</v>
      </c>
      <c r="B1" s="13" t="s">
        <v>1331</v>
      </c>
      <c r="C1" s="13" t="s">
        <v>893</v>
      </c>
      <c r="D1" s="13" t="s">
        <v>871</v>
      </c>
      <c r="E1" s="13" t="s">
        <v>857</v>
      </c>
      <c r="F1" s="13" t="s">
        <v>884</v>
      </c>
      <c r="G1" s="13" t="s">
        <v>49</v>
      </c>
      <c r="H1" s="13" t="s">
        <v>1136</v>
      </c>
      <c r="I1" s="13" t="s">
        <v>1382</v>
      </c>
      <c r="J1" s="13" t="s">
        <v>1383</v>
      </c>
      <c r="K1" s="15" t="s">
        <v>44</v>
      </c>
      <c r="L1" s="15" t="s">
        <v>1384</v>
      </c>
      <c r="M1" s="14" t="s">
        <v>1374</v>
      </c>
      <c r="N1" s="13" t="s">
        <v>1385</v>
      </c>
      <c r="O1" s="14" t="s">
        <v>1386</v>
      </c>
      <c r="P1" s="34" t="s">
        <v>1387</v>
      </c>
    </row>
    <row r="2" spans="1:16" x14ac:dyDescent="0.3">
      <c r="A2" s="25" t="s">
        <v>858</v>
      </c>
      <c r="B2" s="3"/>
      <c r="C2" s="3" t="s">
        <v>1073</v>
      </c>
      <c r="D2" s="3"/>
      <c r="E2" s="3" t="str" cm="1">
        <f t="array" ref="E2">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F2" s="3" t="str" cm="1">
        <f t="array" ref="F2">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G2" s="3"/>
      <c r="H2" s="3"/>
      <c r="I2" s="3" t="s">
        <v>1124</v>
      </c>
      <c r="J2" s="3" t="s">
        <v>1448</v>
      </c>
      <c r="K2" s="3"/>
      <c r="L2" s="3"/>
      <c r="M2" s="3" t="b">
        <v>1</v>
      </c>
      <c r="N2" s="3" t="s">
        <v>1497</v>
      </c>
      <c r="O2" s="12" t="b">
        <v>0</v>
      </c>
      <c r="P2" s="4"/>
    </row>
    <row r="3" spans="1:16" x14ac:dyDescent="0.3">
      <c r="A3" s="25" t="s">
        <v>858</v>
      </c>
      <c r="B3" s="3"/>
      <c r="C3" s="3" t="s">
        <v>1076</v>
      </c>
      <c r="D3" s="3"/>
      <c r="E3" s="3" t="str" cm="1">
        <f t="array" ref="E3">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F3" s="3" t="str" cm="1">
        <f t="array" ref="F3">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G3" s="3"/>
      <c r="H3" s="3"/>
      <c r="I3" s="3" t="s">
        <v>1124</v>
      </c>
      <c r="J3" s="3" t="s">
        <v>1449</v>
      </c>
      <c r="K3" s="3"/>
      <c r="L3" s="3"/>
      <c r="M3" s="3" t="b">
        <v>1</v>
      </c>
      <c r="N3" s="3" t="s">
        <v>1497</v>
      </c>
      <c r="O3" s="12" t="b">
        <v>0</v>
      </c>
      <c r="P3" s="4"/>
    </row>
    <row r="4" spans="1:16" x14ac:dyDescent="0.3">
      <c r="A4" s="25" t="s">
        <v>859</v>
      </c>
      <c r="B4" s="3"/>
      <c r="C4" s="3" t="s">
        <v>1073</v>
      </c>
      <c r="D4" s="3"/>
      <c r="E4" s="3" t="str" cm="1">
        <f t="array" ref="E4">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F4" s="3" t="str" cm="1">
        <f t="array" ref="F4">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G4" s="3"/>
      <c r="H4" s="3"/>
      <c r="I4" s="3" t="s">
        <v>1124</v>
      </c>
      <c r="J4" s="3" t="s">
        <v>1448</v>
      </c>
      <c r="K4" s="3"/>
      <c r="L4" s="3"/>
      <c r="M4" s="3" t="b">
        <v>1</v>
      </c>
      <c r="N4" s="3" t="s">
        <v>1497</v>
      </c>
      <c r="O4" s="12" t="b">
        <v>0</v>
      </c>
      <c r="P4" s="4"/>
    </row>
    <row r="5" spans="1:16" x14ac:dyDescent="0.3">
      <c r="A5" s="25" t="s">
        <v>859</v>
      </c>
      <c r="B5" s="3"/>
      <c r="C5" s="3" t="s">
        <v>1076</v>
      </c>
      <c r="D5" s="3"/>
      <c r="E5" s="3" t="str" cm="1">
        <f t="array" ref="E5">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F5" s="3" t="str" cm="1">
        <f t="array" ref="F5">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G5" s="3"/>
      <c r="H5" s="3"/>
      <c r="I5" s="3" t="s">
        <v>1124</v>
      </c>
      <c r="J5" s="3" t="s">
        <v>1449</v>
      </c>
      <c r="K5" s="3"/>
      <c r="L5" s="3"/>
      <c r="M5" s="3" t="b">
        <v>1</v>
      </c>
      <c r="N5" s="3" t="s">
        <v>1497</v>
      </c>
      <c r="O5" s="12" t="b">
        <v>0</v>
      </c>
      <c r="P5" s="4"/>
    </row>
    <row r="6" spans="1:16" x14ac:dyDescent="0.3">
      <c r="A6" s="25" t="s">
        <v>860</v>
      </c>
      <c r="B6" s="3"/>
      <c r="C6" s="3" t="s">
        <v>1073</v>
      </c>
      <c r="D6" s="3"/>
      <c r="E6" s="3" t="str" cm="1">
        <f t="array" ref="E6">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F6" s="3" t="str" cm="1">
        <f t="array" ref="F6">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G6" s="3"/>
      <c r="H6" s="3"/>
      <c r="I6" s="3" t="s">
        <v>1124</v>
      </c>
      <c r="J6" s="3" t="s">
        <v>1448</v>
      </c>
      <c r="K6" s="3"/>
      <c r="L6" s="3"/>
      <c r="M6" s="3" t="b">
        <v>1</v>
      </c>
      <c r="N6" s="3" t="s">
        <v>1497</v>
      </c>
      <c r="O6" s="12" t="b">
        <v>0</v>
      </c>
      <c r="P6" s="4"/>
    </row>
    <row r="7" spans="1:16" x14ac:dyDescent="0.3">
      <c r="A7" s="25" t="s">
        <v>860</v>
      </c>
      <c r="B7" s="3"/>
      <c r="C7" s="3" t="s">
        <v>1076</v>
      </c>
      <c r="D7" s="3"/>
      <c r="E7" s="3" t="str" cm="1">
        <f t="array" ref="E7">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F7" s="3" t="str" cm="1">
        <f t="array" ref="F7">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G7" s="3"/>
      <c r="H7" s="3"/>
      <c r="I7" s="3" t="s">
        <v>1124</v>
      </c>
      <c r="J7" s="3" t="s">
        <v>1449</v>
      </c>
      <c r="K7" s="3"/>
      <c r="L7" s="3"/>
      <c r="M7" s="3" t="b">
        <v>1</v>
      </c>
      <c r="N7" s="3" t="s">
        <v>1497</v>
      </c>
      <c r="O7" s="12" t="b">
        <v>0</v>
      </c>
      <c r="P7" s="4"/>
    </row>
    <row r="8" spans="1:16" ht="15" customHeight="1" x14ac:dyDescent="0.3">
      <c r="A8" s="27" t="s">
        <v>1548</v>
      </c>
      <c r="B8" s="3"/>
      <c r="C8" s="3" t="s">
        <v>1073</v>
      </c>
      <c r="D8" s="3"/>
      <c r="E8" s="3" t="str" cm="1">
        <f t="array" ref="E8">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F8" s="3" t="str" cm="1">
        <f t="array" ref="F8">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G8" s="3"/>
      <c r="H8" s="11"/>
      <c r="I8" s="16" t="s">
        <v>1124</v>
      </c>
      <c r="J8" s="3" t="s">
        <v>1448</v>
      </c>
      <c r="K8" s="3"/>
      <c r="L8" s="3"/>
      <c r="M8" s="3" t="b">
        <v>1</v>
      </c>
      <c r="N8" s="3" t="s">
        <v>1497</v>
      </c>
      <c r="O8" s="12" t="b">
        <v>0</v>
      </c>
      <c r="P8" s="35"/>
    </row>
    <row r="9" spans="1:16" x14ac:dyDescent="0.3">
      <c r="A9" s="27" t="s">
        <v>1548</v>
      </c>
      <c r="B9" s="3"/>
      <c r="C9" s="3" t="s">
        <v>1076</v>
      </c>
      <c r="D9" s="3"/>
      <c r="E9" s="3" t="str" cm="1">
        <f t="array" ref="E9">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F9" s="3" t="str" cm="1">
        <f t="array" ref="F9">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G9" s="3"/>
      <c r="H9" s="11"/>
      <c r="I9" s="16" t="s">
        <v>1124</v>
      </c>
      <c r="J9" s="3" t="s">
        <v>1449</v>
      </c>
      <c r="K9" s="3"/>
      <c r="L9" s="3"/>
      <c r="M9" s="3" t="b">
        <v>1</v>
      </c>
      <c r="N9" s="3" t="s">
        <v>1497</v>
      </c>
      <c r="O9" s="12" t="b">
        <v>0</v>
      </c>
      <c r="P9" s="35"/>
    </row>
    <row r="10" spans="1:16" x14ac:dyDescent="0.3">
      <c r="A10" s="27" t="s">
        <v>880</v>
      </c>
      <c r="B10" s="3"/>
      <c r="C10" s="3" t="s">
        <v>1073</v>
      </c>
      <c r="D10" s="3"/>
      <c r="E10" s="3" t="str" cm="1">
        <f t="array" ref="E10">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F10" s="3" t="str" cm="1">
        <f t="array" ref="F10">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G10" s="27"/>
      <c r="H10" s="11"/>
      <c r="I10" s="16" t="s">
        <v>1124</v>
      </c>
      <c r="J10" s="3" t="s">
        <v>1448</v>
      </c>
      <c r="K10" s="3"/>
      <c r="L10" s="3"/>
      <c r="M10" s="3" t="b">
        <v>1</v>
      </c>
      <c r="N10" s="3" t="s">
        <v>1497</v>
      </c>
      <c r="O10" s="12" t="b">
        <v>0</v>
      </c>
      <c r="P10" s="35"/>
    </row>
    <row r="11" spans="1:16" x14ac:dyDescent="0.3">
      <c r="A11" s="27" t="s">
        <v>880</v>
      </c>
      <c r="B11" s="3"/>
      <c r="C11" s="3" t="s">
        <v>1076</v>
      </c>
      <c r="D11" s="3"/>
      <c r="E11" s="3" t="str" cm="1">
        <f t="array" ref="E11">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F11" s="3" t="str" cm="1">
        <f t="array" ref="F11">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G11" s="27"/>
      <c r="H11" s="11"/>
      <c r="I11" s="16" t="s">
        <v>1124</v>
      </c>
      <c r="J11" s="3" t="s">
        <v>1449</v>
      </c>
      <c r="K11" s="3"/>
      <c r="L11" s="3"/>
      <c r="M11" s="3" t="b">
        <v>1</v>
      </c>
      <c r="N11" s="3" t="s">
        <v>1497</v>
      </c>
      <c r="O11" s="12" t="b">
        <v>0</v>
      </c>
      <c r="P11" s="35"/>
    </row>
    <row r="12" spans="1:16" x14ac:dyDescent="0.3">
      <c r="A12" s="27" t="s">
        <v>2177</v>
      </c>
      <c r="B12" s="3"/>
      <c r="C12" s="3" t="s">
        <v>1073</v>
      </c>
      <c r="D12" s="3"/>
      <c r="E12" s="3" t="str" cm="1">
        <f t="array" ref="E12">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F12" s="3" t="str" cm="1">
        <f t="array" ref="F12">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G12" s="27"/>
      <c r="H12" s="11"/>
      <c r="I12" s="16" t="s">
        <v>1124</v>
      </c>
      <c r="J12" s="3" t="s">
        <v>1448</v>
      </c>
      <c r="K12" s="3"/>
      <c r="L12" s="3"/>
      <c r="M12" s="3" t="b">
        <v>1</v>
      </c>
      <c r="N12" s="3" t="s">
        <v>1497</v>
      </c>
      <c r="O12" s="12" t="b">
        <v>0</v>
      </c>
      <c r="P12" s="35"/>
    </row>
    <row r="13" spans="1:16" x14ac:dyDescent="0.3">
      <c r="A13" s="27" t="s">
        <v>2177</v>
      </c>
      <c r="B13" s="3"/>
      <c r="C13" s="3" t="s">
        <v>1076</v>
      </c>
      <c r="D13" s="3"/>
      <c r="E13" s="3" t="str" cm="1">
        <f t="array" ref="E13">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F13" s="3" t="str" cm="1">
        <f t="array" ref="F13">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G13" s="27"/>
      <c r="H13" s="11"/>
      <c r="I13" s="16" t="s">
        <v>1124</v>
      </c>
      <c r="J13" s="3" t="s">
        <v>1449</v>
      </c>
      <c r="K13" s="3"/>
      <c r="L13" s="3"/>
      <c r="M13" s="3" t="b">
        <v>1</v>
      </c>
      <c r="N13" s="3" t="s">
        <v>1497</v>
      </c>
      <c r="O13" s="12" t="b">
        <v>0</v>
      </c>
      <c r="P13" s="35"/>
    </row>
    <row r="14" spans="1:16" x14ac:dyDescent="0.3">
      <c r="A14" s="27" t="s">
        <v>2178</v>
      </c>
      <c r="B14" s="3"/>
      <c r="C14" s="3" t="s">
        <v>1073</v>
      </c>
      <c r="D14" s="3"/>
      <c r="E14" s="3" t="str" cm="1">
        <f t="array" ref="E14">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F14" s="3" t="str" cm="1">
        <f t="array" ref="F14">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G14" s="27"/>
      <c r="H14" s="11"/>
      <c r="I14" s="16" t="s">
        <v>1124</v>
      </c>
      <c r="J14" s="3" t="s">
        <v>1448</v>
      </c>
      <c r="K14" s="3"/>
      <c r="L14" s="3"/>
      <c r="M14" s="3" t="b">
        <v>1</v>
      </c>
      <c r="N14" s="3" t="s">
        <v>1497</v>
      </c>
      <c r="O14" s="12" t="b">
        <v>0</v>
      </c>
      <c r="P14" s="35"/>
    </row>
    <row r="15" spans="1:16" x14ac:dyDescent="0.3">
      <c r="A15" s="27" t="s">
        <v>2178</v>
      </c>
      <c r="B15" s="3"/>
      <c r="C15" s="3" t="s">
        <v>1076</v>
      </c>
      <c r="D15" s="3"/>
      <c r="E15" s="3" t="str" cm="1">
        <f t="array" ref="E15">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F15" s="3" t="str" cm="1">
        <f t="array" ref="F15">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G15" s="27"/>
      <c r="H15" s="11"/>
      <c r="I15" s="16" t="s">
        <v>1124</v>
      </c>
      <c r="J15" s="3" t="s">
        <v>1449</v>
      </c>
      <c r="K15" s="3"/>
      <c r="L15" s="3"/>
      <c r="M15" s="3" t="b">
        <v>1</v>
      </c>
      <c r="N15" s="3" t="s">
        <v>1497</v>
      </c>
      <c r="O15" s="12" t="b">
        <v>0</v>
      </c>
      <c r="P15" s="35"/>
    </row>
    <row r="16" spans="1:16" x14ac:dyDescent="0.3">
      <c r="A16" s="27" t="s">
        <v>2179</v>
      </c>
      <c r="B16" s="3"/>
      <c r="C16" s="3" t="s">
        <v>1073</v>
      </c>
      <c r="D16" s="3"/>
      <c r="E16" s="3" t="str" cm="1">
        <f t="array" ref="E16">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F16" s="3" t="str" cm="1">
        <f t="array" ref="F16">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G16" s="27"/>
      <c r="H16" s="11"/>
      <c r="I16" s="16" t="s">
        <v>1124</v>
      </c>
      <c r="J16" s="3" t="s">
        <v>1448</v>
      </c>
      <c r="K16" s="3"/>
      <c r="L16" s="3"/>
      <c r="M16" s="3" t="b">
        <v>1</v>
      </c>
      <c r="N16" s="3" t="s">
        <v>1497</v>
      </c>
      <c r="O16" s="12" t="b">
        <v>0</v>
      </c>
      <c r="P16" s="35"/>
    </row>
    <row r="17" spans="1:16" x14ac:dyDescent="0.3">
      <c r="A17" s="27" t="s">
        <v>2179</v>
      </c>
      <c r="B17" s="3"/>
      <c r="C17" s="3" t="s">
        <v>1076</v>
      </c>
      <c r="D17" s="3"/>
      <c r="E17" s="3" t="str" cm="1">
        <f t="array" ref="E17">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F17" s="3" t="str" cm="1">
        <f t="array" ref="F17">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G17" s="27"/>
      <c r="H17" s="11"/>
      <c r="I17" s="16" t="s">
        <v>1124</v>
      </c>
      <c r="J17" s="3" t="s">
        <v>1449</v>
      </c>
      <c r="K17" s="3"/>
      <c r="L17" s="3"/>
      <c r="M17" s="3" t="b">
        <v>1</v>
      </c>
      <c r="N17" s="3" t="s">
        <v>1497</v>
      </c>
      <c r="O17" s="12" t="b">
        <v>0</v>
      </c>
      <c r="P17" s="35"/>
    </row>
    <row r="18" spans="1:16" x14ac:dyDescent="0.3">
      <c r="A18" s="27" t="s">
        <v>2180</v>
      </c>
      <c r="B18" s="3"/>
      <c r="C18" s="3" t="s">
        <v>1073</v>
      </c>
      <c r="D18" s="3"/>
      <c r="E18" s="3" t="str" cm="1">
        <f t="array" ref="E18">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F18" s="3" t="str" cm="1">
        <f t="array" ref="F18">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G18" s="27"/>
      <c r="H18" s="11"/>
      <c r="I18" s="16" t="s">
        <v>1124</v>
      </c>
      <c r="J18" s="3" t="s">
        <v>1448</v>
      </c>
      <c r="K18" s="3"/>
      <c r="L18" s="3"/>
      <c r="M18" s="3" t="b">
        <v>1</v>
      </c>
      <c r="N18" s="3" t="s">
        <v>1497</v>
      </c>
      <c r="O18" s="12" t="b">
        <v>0</v>
      </c>
      <c r="P18" s="35"/>
    </row>
    <row r="19" spans="1:16" x14ac:dyDescent="0.3">
      <c r="A19" s="27" t="s">
        <v>2180</v>
      </c>
      <c r="B19" s="3"/>
      <c r="C19" s="3" t="s">
        <v>1076</v>
      </c>
      <c r="D19" s="3"/>
      <c r="E19" s="3" t="str" cm="1">
        <f t="array" ref="E19">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F19" s="3" t="str" cm="1">
        <f t="array" ref="F19">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G19" s="27"/>
      <c r="H19" s="11"/>
      <c r="I19" s="16" t="s">
        <v>1124</v>
      </c>
      <c r="J19" s="3" t="s">
        <v>1449</v>
      </c>
      <c r="K19" s="3"/>
      <c r="L19" s="3"/>
      <c r="M19" s="3" t="b">
        <v>1</v>
      </c>
      <c r="N19" s="3" t="s">
        <v>1497</v>
      </c>
      <c r="O19" s="12" t="b">
        <v>0</v>
      </c>
      <c r="P19" s="35"/>
    </row>
    <row r="20" spans="1:16" x14ac:dyDescent="0.3">
      <c r="A20" s="27" t="s">
        <v>2181</v>
      </c>
      <c r="B20" s="3"/>
      <c r="C20" s="3" t="s">
        <v>1073</v>
      </c>
      <c r="D20" s="3"/>
      <c r="E20" s="3" t="str" cm="1">
        <f t="array" ref="E20">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F20" s="3" t="str" cm="1">
        <f t="array" ref="F20">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G20" s="27"/>
      <c r="H20" s="11"/>
      <c r="I20" s="16" t="s">
        <v>1124</v>
      </c>
      <c r="J20" s="3" t="s">
        <v>1448</v>
      </c>
      <c r="K20" s="3"/>
      <c r="L20" s="3"/>
      <c r="M20" s="3" t="b">
        <v>1</v>
      </c>
      <c r="N20" s="3" t="s">
        <v>1497</v>
      </c>
      <c r="O20" s="12" t="b">
        <v>0</v>
      </c>
      <c r="P20" s="35"/>
    </row>
    <row r="21" spans="1:16" x14ac:dyDescent="0.3">
      <c r="A21" s="27" t="s">
        <v>2181</v>
      </c>
      <c r="B21" s="3"/>
      <c r="C21" s="3" t="s">
        <v>1076</v>
      </c>
      <c r="D21" s="3"/>
      <c r="E21" s="3" t="str" cm="1">
        <f t="array" ref="E21">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F21" s="3" t="str" cm="1">
        <f t="array" ref="F21">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G21" s="27"/>
      <c r="H21" s="11"/>
      <c r="I21" s="16" t="s">
        <v>1124</v>
      </c>
      <c r="J21" s="3" t="s">
        <v>1449</v>
      </c>
      <c r="K21" s="3"/>
      <c r="L21" s="3"/>
      <c r="M21" s="3" t="b">
        <v>1</v>
      </c>
      <c r="N21" s="3" t="s">
        <v>1497</v>
      </c>
      <c r="O21" s="12" t="b">
        <v>0</v>
      </c>
      <c r="P21" s="35"/>
    </row>
    <row r="22" spans="1:16" x14ac:dyDescent="0.3">
      <c r="A22" s="27" t="s">
        <v>2422</v>
      </c>
      <c r="B22" s="3"/>
      <c r="C22" s="3" t="s">
        <v>1073</v>
      </c>
      <c r="D22" s="3"/>
      <c r="E22" s="3" t="str" cm="1">
        <f t="array" ref="E22">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F22" s="3" t="str" cm="1">
        <f t="array" ref="F22">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G22" s="27"/>
      <c r="H22" s="11"/>
      <c r="I22" s="16" t="s">
        <v>1124</v>
      </c>
      <c r="J22" s="3" t="s">
        <v>1448</v>
      </c>
      <c r="K22" s="3"/>
      <c r="L22" s="3"/>
      <c r="M22" s="3" t="b">
        <v>1</v>
      </c>
      <c r="N22" s="3" t="s">
        <v>1497</v>
      </c>
      <c r="O22" s="12" t="b">
        <v>0</v>
      </c>
      <c r="P22" s="35"/>
    </row>
    <row r="23" spans="1:16" x14ac:dyDescent="0.3">
      <c r="A23" s="27" t="s">
        <v>2422</v>
      </c>
      <c r="B23" s="3"/>
      <c r="C23" s="3" t="s">
        <v>1076</v>
      </c>
      <c r="D23" s="3"/>
      <c r="E23" s="3" t="str" cm="1">
        <f t="array" ref="E23">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F23" s="3" t="str" cm="1">
        <f t="array" ref="F23">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G23" s="27"/>
      <c r="H23" s="11"/>
      <c r="I23" s="16" t="s">
        <v>1124</v>
      </c>
      <c r="J23" s="3" t="s">
        <v>1449</v>
      </c>
      <c r="K23" s="3"/>
      <c r="L23" s="3"/>
      <c r="M23" s="3" t="b">
        <v>1</v>
      </c>
      <c r="N23" s="3" t="s">
        <v>1497</v>
      </c>
      <c r="O23" s="12" t="b">
        <v>0</v>
      </c>
      <c r="P23" s="35"/>
    </row>
    <row r="24" spans="1:16" x14ac:dyDescent="0.3">
      <c r="A24" s="27" t="s">
        <v>2431</v>
      </c>
      <c r="B24" s="3"/>
      <c r="C24" s="3" t="s">
        <v>1073</v>
      </c>
      <c r="D24" s="3"/>
      <c r="E24" s="3" t="str" cm="1">
        <f t="array" ref="E24">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F24" s="3" t="str" cm="1">
        <f t="array" ref="F24">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G24" s="27"/>
      <c r="H24" s="11"/>
      <c r="I24" s="16" t="s">
        <v>1124</v>
      </c>
      <c r="J24" s="3" t="s">
        <v>1448</v>
      </c>
      <c r="K24" s="3"/>
      <c r="L24" s="3"/>
      <c r="M24" s="3" t="b">
        <v>1</v>
      </c>
      <c r="N24" s="3" t="s">
        <v>1497</v>
      </c>
      <c r="O24" s="12" t="b">
        <v>0</v>
      </c>
      <c r="P24" s="35"/>
    </row>
    <row r="25" spans="1:16" x14ac:dyDescent="0.3">
      <c r="A25" s="27" t="s">
        <v>2431</v>
      </c>
      <c r="B25" s="3"/>
      <c r="C25" s="3" t="s">
        <v>1076</v>
      </c>
      <c r="D25" s="3"/>
      <c r="E25" s="3" t="str" cm="1">
        <f t="array" ref="E25">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F25" s="3" t="str" cm="1">
        <f t="array" ref="F25">IF(_xlfn.XLOOKUP(BFBALANCE[[#This Row],[FinanceCode]],FC[FinanceCode],FC[AvailableToAllSchools])=TRUE,(_xlfn.XLOOKUP(BFBALANCE[[#This Row],[FinanceCode]],FC[FinanceCode],FC[LedgerCode])),_xlfn.XLOOKUP(1,(FC[FinanceCode]=BFBALANCE[[#This Row],[FinanceCode]])*(IF(FIND(BFBALANCE[[#This Row],[SchoolCode]],FC[SchoolCodes])&gt;=1,1,0)),FC[LedgerCode]))</f>
        <v>DEFAULT</v>
      </c>
      <c r="G25" s="27"/>
      <c r="H25" s="11"/>
      <c r="I25" s="16" t="s">
        <v>1124</v>
      </c>
      <c r="J25" s="3" t="s">
        <v>1449</v>
      </c>
      <c r="K25" s="3"/>
      <c r="L25" s="3"/>
      <c r="M25" s="3" t="b">
        <v>1</v>
      </c>
      <c r="N25" s="3" t="s">
        <v>1497</v>
      </c>
      <c r="O25" s="12" t="b">
        <v>0</v>
      </c>
      <c r="P25" s="35"/>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309978E-C0CB-4363-9354-EF2092F46439}">
          <x14:formula1>
            <xm:f>Validation!$G$2:$G$4</xm:f>
          </x14:formula1>
          <xm:sqref>M2:M25</xm:sqref>
        </x14:dataValidation>
        <x14:dataValidation type="list" allowBlank="1" showInputMessage="1" showErrorMessage="1" xr:uid="{86E249C5-E465-4064-BCE0-CFCF09DCDBC5}">
          <x14:formula1>
            <xm:f>Validation!$A$15:$A$26</xm:f>
          </x14:formula1>
          <xm:sqref>A2:A25</xm:sqref>
        </x14:dataValidation>
        <x14:dataValidation type="list" allowBlank="1" showInputMessage="1" showErrorMessage="1" xr:uid="{2BD1150D-4BE2-4070-B280-24DC34911106}">
          <x14:formula1>
            <xm:f>CalculatorsTempl!$F:$F</xm:f>
          </x14:formula1>
          <xm:sqref>H2:H25</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26138-698D-436B-8155-D762C03E8311}">
  <sheetPr codeName="Sheet52">
    <tabColor rgb="FFDCCEE4"/>
  </sheetPr>
  <dimension ref="A1:AN2"/>
  <sheetViews>
    <sheetView topLeftCell="Y1" zoomScaleNormal="100" workbookViewId="0">
      <pane ySplit="1" topLeftCell="A2" activePane="bottomLeft" state="frozen"/>
      <selection activeCell="D2" sqref="D2"/>
      <selection pane="bottomLeft" activeCell="AC3" sqref="AC3"/>
    </sheetView>
  </sheetViews>
  <sheetFormatPr defaultColWidth="9.33203125" defaultRowHeight="14.4" outlineLevelCol="1" x14ac:dyDescent="0.3"/>
  <cols>
    <col min="1" max="1" width="21.33203125" hidden="1" customWidth="1" outlineLevel="1"/>
    <col min="2" max="2" width="14.109375" hidden="1" customWidth="1" outlineLevel="1"/>
    <col min="3" max="3" width="17.5546875" hidden="1" customWidth="1" outlineLevel="1"/>
    <col min="4" max="6" width="15.5546875" hidden="1" customWidth="1" outlineLevel="1"/>
    <col min="7" max="8" width="17.33203125" hidden="1" customWidth="1" outlineLevel="1"/>
    <col min="9" max="10" width="19.88671875" hidden="1" customWidth="1" outlineLevel="1"/>
    <col min="11" max="11" width="17.33203125" hidden="1" customWidth="1" outlineLevel="1"/>
    <col min="12" max="12" width="19.88671875" hidden="1" customWidth="1" outlineLevel="1"/>
    <col min="13" max="13" width="21.6640625" hidden="1" customWidth="1" outlineLevel="1"/>
    <col min="14" max="14" width="18.5546875" hidden="1" customWidth="1" outlineLevel="1"/>
    <col min="15" max="15" width="18.88671875" hidden="1" customWidth="1" outlineLevel="1"/>
    <col min="16" max="23" width="21.6640625" hidden="1" customWidth="1" outlineLevel="1"/>
    <col min="24" max="24" width="15.33203125" customWidth="1" collapsed="1"/>
    <col min="25" max="25" width="24.6640625" bestFit="1" customWidth="1"/>
    <col min="26" max="26" width="15.33203125" bestFit="1" customWidth="1"/>
    <col min="27" max="27" width="19.5546875" bestFit="1" customWidth="1"/>
    <col min="28" max="28" width="13.5546875" bestFit="1" customWidth="1"/>
    <col min="29" max="29" width="15" bestFit="1" customWidth="1"/>
    <col min="30" max="30" width="18.33203125" bestFit="1" customWidth="1"/>
    <col min="31" max="31" width="12.33203125" bestFit="1" customWidth="1"/>
    <col min="32" max="32" width="21.109375" bestFit="1" customWidth="1"/>
    <col min="33" max="33" width="17.5546875" customWidth="1"/>
    <col min="34" max="34" width="34.33203125" bestFit="1" customWidth="1"/>
    <col min="37" max="37" width="14.33203125" bestFit="1" customWidth="1"/>
    <col min="38" max="38" width="19.33203125" bestFit="1" customWidth="1"/>
    <col min="39" max="39" width="12.33203125" bestFit="1" customWidth="1"/>
    <col min="40" max="40" width="12.109375" style="36" bestFit="1" customWidth="1"/>
  </cols>
  <sheetData>
    <row r="1" spans="1:40" x14ac:dyDescent="0.3">
      <c r="A1" s="91" t="s">
        <v>43</v>
      </c>
      <c r="B1" s="80" t="s">
        <v>1375</v>
      </c>
      <c r="C1" s="91" t="s">
        <v>1376</v>
      </c>
      <c r="D1" s="91" t="s">
        <v>1377</v>
      </c>
      <c r="E1" s="91" t="s">
        <v>883</v>
      </c>
      <c r="F1" s="91" t="s">
        <v>1378</v>
      </c>
      <c r="G1" s="91" t="s">
        <v>1372</v>
      </c>
      <c r="H1" s="91" t="s">
        <v>1442</v>
      </c>
      <c r="I1" s="91" t="s">
        <v>1379</v>
      </c>
      <c r="J1" s="91" t="s">
        <v>1380</v>
      </c>
      <c r="K1" s="91" t="s">
        <v>1381</v>
      </c>
      <c r="L1" s="91" t="s">
        <v>1747</v>
      </c>
      <c r="M1" s="91" t="s">
        <v>1748</v>
      </c>
      <c r="N1" s="91" t="s">
        <v>1749</v>
      </c>
      <c r="O1" s="91" t="s">
        <v>1750</v>
      </c>
      <c r="P1" s="91" t="s">
        <v>1751</v>
      </c>
      <c r="Q1" s="93" t="s">
        <v>2038</v>
      </c>
      <c r="R1" s="91" t="s">
        <v>1927</v>
      </c>
      <c r="S1" s="91" t="s">
        <v>1989</v>
      </c>
      <c r="T1" s="91" t="s">
        <v>1990</v>
      </c>
      <c r="U1" s="91" t="s">
        <v>1996</v>
      </c>
      <c r="V1" s="91" t="s">
        <v>1932</v>
      </c>
      <c r="W1" s="93" t="s">
        <v>2040</v>
      </c>
      <c r="X1" s="80" t="s">
        <v>867</v>
      </c>
      <c r="Y1" s="80" t="s">
        <v>1606</v>
      </c>
      <c r="Z1" s="90" t="s">
        <v>1331</v>
      </c>
      <c r="AA1" s="90" t="s">
        <v>893</v>
      </c>
      <c r="AB1" s="90" t="s">
        <v>871</v>
      </c>
      <c r="AC1" s="90" t="s">
        <v>857</v>
      </c>
      <c r="AD1" s="90" t="s">
        <v>884</v>
      </c>
      <c r="AE1" s="90" t="s">
        <v>49</v>
      </c>
      <c r="AF1" s="90" t="s">
        <v>1136</v>
      </c>
      <c r="AG1" s="90" t="s">
        <v>1382</v>
      </c>
      <c r="AH1" s="90" t="s">
        <v>1383</v>
      </c>
      <c r="AI1" s="98" t="s">
        <v>44</v>
      </c>
      <c r="AJ1" s="98" t="s">
        <v>1384</v>
      </c>
      <c r="AK1" s="99" t="s">
        <v>1374</v>
      </c>
      <c r="AL1" s="90" t="s">
        <v>1385</v>
      </c>
      <c r="AM1" s="99" t="s">
        <v>1386</v>
      </c>
      <c r="AN1" s="100" t="s">
        <v>1387</v>
      </c>
    </row>
    <row r="2" spans="1:40" x14ac:dyDescent="0.3">
      <c r="A2" s="80" t="str">
        <f>APBUD[[#This Row],[ScenarioCode]]&amp;AA2&amp;AB2&amp;TRIM(AH2)&amp;AL2&amp;AD2</f>
        <v>APBUD25262025/26</v>
      </c>
      <c r="B2" s="80">
        <f>COUNTIF(APBUD[Column1],APBUD[[#This Row],[Column1]])-1</f>
        <v>0</v>
      </c>
      <c r="C2" s="80" cm="1">
        <f t="array" ref="C2">IF(_xlfn.XLOOKUP(APBUD[[#This Row],[FinanceCode]],FinanceCodesBudget[FinanceCode],FinanceCodesBudget[AvailableToAllSchools],1,0,)=TRUE,0,IF(ISERROR(FIND(APBUD[[#This Row],[SchoolCode]],_xlfn.TEXTJOIN(",",TRUE,_xlfn.UNIQUE(IF(FinanceCodesBudget[FinanceCode]=APBUD[[#This Row],[FinanceCode]],FinanceCodesBudget[SchoolCodes],""))))),1,0))</f>
        <v>0</v>
      </c>
      <c r="D2" s="80">
        <f>IF(COUNTIF(SCHOOLS[SchoolCode],APBUD[[#This Row],[SchoolCode]])&gt;0,0,1)</f>
        <v>1</v>
      </c>
      <c r="E2" s="80">
        <f>IF(COUNTIF(LEDGER[LedgerCode],APBUD[[#This Row],[LedgerCode]])&gt;0,0,1)</f>
        <v>1</v>
      </c>
      <c r="F2" s="80">
        <f>IF(ISBLANK(APBUD[[#This Row],[MonthProfileCode]]),1,IF(COUNTIF(MONTHPRF[Code],APBUD[[#This Row],[MonthProfileCode]])&gt;0,0,1))</f>
        <v>1</v>
      </c>
      <c r="G2" s="80" cm="1">
        <f t="array" ref="G2">IF(_xlfn.XLOOKUP(APBUD[[#This Row],[DepartmentCode]]&amp;APBUD[[#This Row],[LedgerCode]],DEPTS[DepartmentCode]&amp;DEPTS[LedgerCode],DEPTS[AvailableToAllSchools],1,0,)=TRUE,0,IF(ISERROR(FIND(APBUD[[#This Row],[SchoolCode]],_xlfn.TEXTJOIN(",",TRUE,_xlfn.UNIQUE(IF(DEPTS[DepartmentCode]&amp;DEPTS[LedgerCode]=APBUD[[#This Row],[DepartmentCode]]&amp;APBUD[[#This Row],[LedgerCode]],DEPTS[SchoolCodes],""))))),1,0))</f>
        <v>0</v>
      </c>
      <c r="H2" s="80">
        <f>IF(APBUD[[#This Row],[FundCode]]=0,0,IF(COUNTIF(FUNDS[FundCode],APBUD[[#This Row],[FundCode]])&gt;0,0,1))</f>
        <v>0</v>
      </c>
      <c r="I2" s="80" t="e" cm="1">
        <f t="array" ref="I2">IF(_xlfn.XLOOKUP(APBUD[[#This Row],[DepartmentCode]]&amp;APBUD[[#This Row],[LedgerCode]],DEPTS[DepartmentCode]&amp;DEPTS[LedgerCode],DEPTS[AvailableToAllSchools])=TRUE,(IF((_xlfn.XLOOKUP(APBUD[[#This Row],[DepartmentCode]]&amp;APBUD[[#This Row],[LedgerCode]],DEPTS[DepartmentCode]&amp;DEPTS[LedgerCode],DEPTS[LedgerCode])=APBUD[[#This Row],[LedgerCode]]),0,1)),(IFERROR(IF(FIND(APBUD[[#This Row],[SchoolCode]],(_xlfn.TEXTJOIN(",",TRUE,IF(DEPTS[DepartmentCode]&amp;DEPTS[LedgerCode]=APBUD[[#This Row],[DepartmentCode]]&amp;APBUD[[#This Row],[LedgerCode]],DEPTS[SchoolCodes],"")))),0,1),1)))</f>
        <v>#N/A</v>
      </c>
      <c r="J2" s="80">
        <f>IF(ISBLANK(APBUD[[#This Row],[YearValue]])=APBUD[[#This Row],[Calculated]],0,1)</f>
        <v>1</v>
      </c>
      <c r="K2" s="80">
        <f>IF(ISBLANK(APBUD[[#This Row],[CalculatorCode]]),0,IF(COUNTIF(Calculators[CalculatorCode],APBUD[[#This Row],[CalculatorCode]])&gt;0,0,1))</f>
        <v>0</v>
      </c>
      <c r="L2" s="80">
        <f>IF(TRIM(APBUD[[#This Row],[Description]])="",1,0)</f>
        <v>1</v>
      </c>
      <c r="M2" s="80">
        <f>IF(ISBLANK(APBUD[[#This Row],[MatEditOnly]]),1,0)</f>
        <v>0</v>
      </c>
      <c r="N2" s="80">
        <f>IF(ISBLANK(APBUD[[#This Row],[FinancialYearCode]]),1,0)</f>
        <v>0</v>
      </c>
      <c r="O2" s="80">
        <f>IF(ISBLANK(APBUD[[#This Row],[Calculated]]),1,0)</f>
        <v>0</v>
      </c>
      <c r="P2" s="80">
        <f>IF(ISBLANK(APBUD[[#This Row],[ScenarioCode]]),1,0)</f>
        <v>0</v>
      </c>
      <c r="Q2" s="80">
        <f>IF(LEN(APBUD[[#This Row],[Description]])&lt;100,0,1)</f>
        <v>0</v>
      </c>
      <c r="R2" s="128">
        <f>IF(EXACT(APBUD[[#This Row],[FinanceCode]],UPPER(APBUD[[#This Row],[FinanceCode]])),0,1)+IF(EXACT(APBUD[[#This Row],[SchoolCode]],UPPER(APBUD[[#This Row],[SchoolCode]])),0,1)+IF(EXACT(APBUD[[#This Row],[LedgerCode]],UPPER(APBUD[[#This Row],[LedgerCode]])),0,1)+IF(EXACT(APBUD[[#This Row],[DepartmentCode]],UPPER(APBUD[[#This Row],[DepartmentCode]])),0,1)+IF(EXACT(APBUD[[#This Row],[CalculatorCode]],UPPER(APBUD[[#This Row],[CalculatorCode]])),0,1)+IF(EXACT(APBUD[[#This Row],[MonthProfileCode]],UPPER(APBUD[[#This Row],[MonthProfileCode]])),0,1)+IF(EXACT(APBUD[[#This Row],[FundCode]],UPPER(APBUD[[#This Row],[FundCode]])),0,1)+IF(EXACT(APBUD[[#This Row],[ScenarioCode]],UPPER(APBUD[[#This Row],[ScenarioCode]])),0,1)</f>
        <v>0</v>
      </c>
      <c r="S2" s="80">
        <f>IF(LEN(APBUD[[#This Row],[Notes]])&lt;4000,0,1)</f>
        <v>0</v>
      </c>
      <c r="T2" s="80">
        <f>IF(LEN(APBUD[[#This Row],[YearNotes]])&lt;4000,0,1)</f>
        <v>0</v>
      </c>
      <c r="U2" s="128">
        <f>IF(OR(APBUD[[#This Row],[MatEditOnly]]=TRUE,APBUD[[#This Row],[MatEditOnly]]=FALSE),IF(OR(APBUD[[#This Row],[Calculated]]=TRUE,APBUD[[#This Row],[Calculated]]=FALSE),0,1),1)</f>
        <v>0</v>
      </c>
      <c r="V2" s="128">
        <f>IF(_xlfn.XLOOKUP(APBUD[[#This Row],[FinancialYearCode]],Years[Years],Years[Years],1)=APBUD[[#This Row],[FinancialYearCode]],0,1)</f>
        <v>0</v>
      </c>
      <c r="W2" s="80">
        <f>IF(SUBSTITUTE(TEXT(APBUD[[#This Row],[ScenarioCode]],10)," ","")=TEXT(APBUD[[#This Row],[ScenarioCode]],10),0,1)</f>
        <v>0</v>
      </c>
      <c r="X2" s="80" t="e">
        <f>SUM(APBUD[[#This Row],[DuplicateLine]:[Space in ScenarioCode]])</f>
        <v>#N/A</v>
      </c>
      <c r="Y2" s="80" t="e">
        <f>_xlfn.XLOOKUP(APBUD[[#This Row],[SchoolCode]],SCHOOLS[SchoolCode],SCHOOLS[Title])</f>
        <v>#N/A</v>
      </c>
      <c r="Z2" t="s">
        <v>2335</v>
      </c>
      <c r="AC2" cm="1">
        <f t="array" ref="AC2">IF(_xlfn.XLOOKUP(APBUD[[#This Row],[FinanceCode]],FinanceCodesBudget[FinanceCode],FinanceCodesBudget[AvailableToAllSchools])=TRUE,(_xlfn.XLOOKUP(APBUD[[#This Row],[FinanceCode]],FinanceCodesBudget[FinanceCode],FinanceCodesBudget[LedgerCode])),_xlfn.XLOOKUP(1,(FinanceCodesBudget[FinanceCode]=APBUD[[#This Row],[FinanceCode]])*(IF(FIND(APBUD[[#This Row],[SchoolCode]],FinanceCodesBudget[SchoolCodes])&gt;=1,1,0)),FinanceCodesBudget[LedgerCode]))</f>
        <v>0</v>
      </c>
      <c r="AK2" t="b">
        <v>1</v>
      </c>
      <c r="AL2" t="s">
        <v>1497</v>
      </c>
      <c r="AM2" t="b">
        <v>0</v>
      </c>
    </row>
  </sheetData>
  <phoneticPr fontId="2" type="noConversion"/>
  <pageMargins left="0.7" right="0.7" top="0.75" bottom="0.75" header="0.3" footer="0.3"/>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21FD3-AD2A-41D4-AA04-053DD544CA4C}">
  <sheetPr codeName="Sheet26">
    <tabColor rgb="FFDCCEE4"/>
  </sheetPr>
  <dimension ref="A1:M10"/>
  <sheetViews>
    <sheetView workbookViewId="0">
      <selection activeCell="A3" sqref="A3:C6"/>
    </sheetView>
  </sheetViews>
  <sheetFormatPr defaultRowHeight="14.4" x14ac:dyDescent="0.3"/>
  <cols>
    <col min="1" max="1" width="24.33203125" bestFit="1" customWidth="1"/>
    <col min="2" max="2" width="35.6640625" bestFit="1" customWidth="1"/>
    <col min="3" max="3" width="22.6640625" bestFit="1" customWidth="1"/>
    <col min="6" max="6" width="13.6640625" bestFit="1" customWidth="1"/>
    <col min="7" max="7" width="24.88671875" bestFit="1" customWidth="1"/>
    <col min="8" max="8" width="25.44140625" bestFit="1" customWidth="1"/>
    <col min="9" max="9" width="11.88671875" bestFit="1" customWidth="1"/>
    <col min="10" max="10" width="6.88671875" bestFit="1" customWidth="1"/>
    <col min="11" max="11" width="9.5546875" bestFit="1" customWidth="1"/>
    <col min="12" max="12" width="12.109375" bestFit="1" customWidth="1"/>
    <col min="13" max="13" width="8.5546875" bestFit="1" customWidth="1"/>
    <col min="14" max="14" width="9.5546875" bestFit="1" customWidth="1"/>
    <col min="15" max="15" width="8.44140625" bestFit="1" customWidth="1"/>
    <col min="16" max="16" width="10.88671875" bestFit="1" customWidth="1"/>
    <col min="17" max="17" width="5.88671875" bestFit="1" customWidth="1"/>
    <col min="18" max="18" width="12.109375" bestFit="1" customWidth="1"/>
    <col min="19" max="19" width="45.109375" customWidth="1"/>
  </cols>
  <sheetData>
    <row r="1" spans="1:13" ht="15" thickBot="1" x14ac:dyDescent="0.35">
      <c r="A1" s="55" t="s">
        <v>1615</v>
      </c>
      <c r="B1" s="139" t="s">
        <v>2335</v>
      </c>
      <c r="C1" s="138"/>
      <c r="F1" t="s">
        <v>871</v>
      </c>
      <c r="G1" t="s">
        <v>50</v>
      </c>
      <c r="H1" s="140" t="s">
        <v>1619</v>
      </c>
      <c r="I1" t="s">
        <v>1617</v>
      </c>
      <c r="J1" t="s">
        <v>2336</v>
      </c>
      <c r="K1" t="s">
        <v>1618</v>
      </c>
      <c r="L1" s="140" t="s">
        <v>1614</v>
      </c>
      <c r="M1" s="140" t="s">
        <v>44</v>
      </c>
    </row>
    <row r="2" spans="1:13" ht="15" thickBot="1" x14ac:dyDescent="0.35">
      <c r="A2" s="102" t="s">
        <v>1616</v>
      </c>
      <c r="B2" s="103" t="s">
        <v>41</v>
      </c>
      <c r="C2" s="102" t="s">
        <v>1409</v>
      </c>
      <c r="F2" t="s">
        <v>2285</v>
      </c>
      <c r="G2" t="s">
        <v>2286</v>
      </c>
      <c r="H2" s="140"/>
      <c r="L2" s="140">
        <f>FS_CHECK[[#This Row],[Funding Statement Total]]-SUM(FS_CHECK[[#This Row],[Pre 16]:[Post 16]])</f>
        <v>0</v>
      </c>
      <c r="M2" s="140"/>
    </row>
    <row r="3" spans="1:13" ht="15" thickBot="1" x14ac:dyDescent="0.35">
      <c r="A3" s="101"/>
      <c r="B3" s="56"/>
      <c r="C3" s="57"/>
      <c r="F3" t="s">
        <v>2281</v>
      </c>
      <c r="G3" t="s">
        <v>2287</v>
      </c>
      <c r="H3" s="140"/>
      <c r="L3" s="140">
        <f>FS_CHECK[[#This Row],[Funding Statement Total]]-SUM(FS_CHECK[[#This Row],[Pre 16]:[Post 16]])</f>
        <v>0</v>
      </c>
      <c r="M3" s="140"/>
    </row>
    <row r="4" spans="1:13" ht="15" thickBot="1" x14ac:dyDescent="0.35">
      <c r="A4" s="101"/>
      <c r="B4" s="56"/>
      <c r="C4" s="57"/>
      <c r="F4" t="s">
        <v>2288</v>
      </c>
      <c r="G4" t="s">
        <v>2289</v>
      </c>
      <c r="H4" s="140"/>
      <c r="L4" s="140">
        <f>FS_CHECK[[#This Row],[Funding Statement Total]]-SUM(FS_CHECK[[#This Row],[Pre 16]:[Post 16]])</f>
        <v>0</v>
      </c>
      <c r="M4" s="140"/>
    </row>
    <row r="5" spans="1:13" ht="15" thickBot="1" x14ac:dyDescent="0.35">
      <c r="A5" s="101"/>
      <c r="B5" s="56"/>
      <c r="C5" s="57"/>
      <c r="F5" t="s">
        <v>2284</v>
      </c>
      <c r="G5" t="s">
        <v>2290</v>
      </c>
      <c r="H5" s="140"/>
      <c r="L5" s="140">
        <f>FS_CHECK[[#This Row],[Funding Statement Total]]-SUM(FS_CHECK[[#This Row],[Pre 16]:[Post 16]])</f>
        <v>0</v>
      </c>
      <c r="M5" s="140"/>
    </row>
    <row r="6" spans="1:13" ht="15" thickBot="1" x14ac:dyDescent="0.35">
      <c r="A6" s="101"/>
      <c r="B6" s="56"/>
      <c r="C6" s="57"/>
      <c r="F6" t="s">
        <v>2291</v>
      </c>
      <c r="G6" t="s">
        <v>2292</v>
      </c>
      <c r="H6" s="140"/>
      <c r="L6" s="140">
        <f>FS_CHECK[[#This Row],[Funding Statement Total]]-SUM(FS_CHECK[[#This Row],[Pre 16]:[Post 16]])</f>
        <v>0</v>
      </c>
      <c r="M6" s="140"/>
    </row>
    <row r="7" spans="1:13" ht="15" thickBot="1" x14ac:dyDescent="0.35">
      <c r="A7" s="101"/>
      <c r="B7" s="56"/>
      <c r="C7" s="57"/>
      <c r="F7" t="s">
        <v>2293</v>
      </c>
      <c r="G7" t="s">
        <v>2294</v>
      </c>
      <c r="H7" s="140"/>
      <c r="L7" s="140">
        <f>FS_CHECK[[#This Row],[Funding Statement Total]]-SUM(FS_CHECK[[#This Row],[Pre 16]:[Post 16]])</f>
        <v>0</v>
      </c>
      <c r="M7" s="140"/>
    </row>
    <row r="8" spans="1:13" ht="15" thickBot="1" x14ac:dyDescent="0.35">
      <c r="A8" s="101"/>
      <c r="B8" s="56"/>
      <c r="C8" s="57"/>
      <c r="F8" t="s">
        <v>2282</v>
      </c>
      <c r="G8" t="s">
        <v>2295</v>
      </c>
      <c r="H8" s="140"/>
      <c r="L8" s="140">
        <f>FS_CHECK[[#This Row],[Funding Statement Total]]-SUM(FS_CHECK[[#This Row],[Pre 16]:[Post 16]])</f>
        <v>0</v>
      </c>
      <c r="M8" s="140"/>
    </row>
    <row r="9" spans="1:13" ht="15" thickBot="1" x14ac:dyDescent="0.35">
      <c r="A9" s="101"/>
      <c r="B9" s="58"/>
      <c r="C9" s="59"/>
      <c r="F9" t="s">
        <v>2280</v>
      </c>
      <c r="G9" t="s">
        <v>2296</v>
      </c>
      <c r="H9" s="140"/>
      <c r="L9" s="140">
        <f>FS_CHECK[[#This Row],[Funding Statement Total]]-SUM(FS_CHECK[[#This Row],[Pre 16]:[Post 16]])</f>
        <v>0</v>
      </c>
      <c r="M9" s="140"/>
    </row>
    <row r="10" spans="1:13" ht="15" thickBot="1" x14ac:dyDescent="0.35">
      <c r="A10" s="142"/>
      <c r="B10" s="141"/>
      <c r="C10" s="59"/>
      <c r="F10" t="s">
        <v>2283</v>
      </c>
      <c r="G10" t="s">
        <v>2297</v>
      </c>
      <c r="H10" s="140"/>
      <c r="L10" s="140">
        <f>FS_CHECK[[#This Row],[Funding Statement Total]]-SUM(FS_CHECK[[#This Row],[Pre 16]:[Post 16]])</f>
        <v>0</v>
      </c>
      <c r="M10" s="140"/>
    </row>
  </sheetData>
  <phoneticPr fontId="2" type="noConversion"/>
  <pageMargins left="0.7" right="0.7" top="0.75" bottom="0.75" header="0.3" footer="0.3"/>
  <pageSetup paperSize="9" orientation="portrait" r:id="rId1"/>
  <tableParts count="2">
    <tablePart r:id="rId2"/>
    <tablePart r:id="rId3"/>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6F3A0-428C-44E8-8F36-C7F76E36EA06}">
  <sheetPr codeName="Sheet391">
    <tabColor rgb="FFDCCEE4"/>
  </sheetPr>
  <dimension ref="A1:N54"/>
  <sheetViews>
    <sheetView workbookViewId="0">
      <selection activeCell="D8" sqref="D5:D11"/>
      <pivotSelection pane="bottomRight" showHeader="1" axis="axisRow" activeRow="7" activeCol="3" previousRow="7" previousCol="3" click="1" r:id="rId2">
        <pivotArea dataOnly="0" labelOnly="1" outline="0" fieldPosition="0">
          <references count="1">
            <reference field="0" count="0"/>
          </references>
        </pivotArea>
      </pivotSelection>
    </sheetView>
  </sheetViews>
  <sheetFormatPr defaultColWidth="9.109375" defaultRowHeight="14.4" x14ac:dyDescent="0.3"/>
  <cols>
    <col min="1" max="1" width="28.33203125" bestFit="1" customWidth="1"/>
    <col min="2" max="2" width="33.5546875" bestFit="1" customWidth="1"/>
    <col min="3" max="3" width="19.6640625" bestFit="1" customWidth="1"/>
    <col min="4" max="4" width="20.88671875" customWidth="1"/>
    <col min="5" max="5" width="13.109375" bestFit="1" customWidth="1"/>
    <col min="6" max="6" width="19.6640625" bestFit="1" customWidth="1"/>
    <col min="7" max="7" width="20" bestFit="1" customWidth="1"/>
    <col min="8" max="9" width="19.6640625" bestFit="1" customWidth="1"/>
    <col min="10" max="10" width="14" bestFit="1" customWidth="1"/>
    <col min="11" max="11" width="13.6640625" bestFit="1" customWidth="1"/>
    <col min="12" max="12" width="16.88671875" customWidth="1"/>
    <col min="13" max="13" width="12.6640625" style="38" bestFit="1" customWidth="1"/>
    <col min="14" max="14" width="19.109375" style="38" bestFit="1" customWidth="1"/>
  </cols>
  <sheetData>
    <row r="1" spans="1:14" ht="45.75" customHeight="1" thickBot="1" x14ac:dyDescent="0.35">
      <c r="A1" s="106" t="s">
        <v>1720</v>
      </c>
      <c r="B1" s="107" t="s">
        <v>1737</v>
      </c>
      <c r="C1" s="108"/>
      <c r="D1" s="108"/>
      <c r="E1" s="108"/>
      <c r="F1" s="108"/>
      <c r="G1" s="108"/>
      <c r="H1" s="108"/>
      <c r="I1" s="108"/>
      <c r="J1" s="106" t="s">
        <v>1720</v>
      </c>
      <c r="K1" s="193" t="s">
        <v>1736</v>
      </c>
      <c r="L1" s="194"/>
      <c r="M1" s="194"/>
      <c r="N1" s="195"/>
    </row>
    <row r="2" spans="1:14" s="40" customFormat="1" ht="15.6" x14ac:dyDescent="0.3">
      <c r="A2" s="40" t="s">
        <v>1450</v>
      </c>
      <c r="D2" s="40" t="s">
        <v>1451</v>
      </c>
      <c r="F2" s="108"/>
      <c r="G2" s="40" t="s">
        <v>1452</v>
      </c>
      <c r="J2" s="40" t="s">
        <v>1612</v>
      </c>
      <c r="M2" s="53"/>
      <c r="N2" s="53"/>
    </row>
    <row r="4" spans="1:14" x14ac:dyDescent="0.3">
      <c r="A4" s="41" t="s">
        <v>1453</v>
      </c>
      <c r="B4" t="s">
        <v>1454</v>
      </c>
      <c r="D4" s="41" t="s">
        <v>1453</v>
      </c>
      <c r="E4" t="s">
        <v>1455</v>
      </c>
      <c r="G4" s="41" t="s">
        <v>1453</v>
      </c>
      <c r="H4" t="s">
        <v>1455</v>
      </c>
      <c r="J4" s="41" t="s">
        <v>1331</v>
      </c>
      <c r="K4" s="41" t="s">
        <v>871</v>
      </c>
      <c r="L4" t="s">
        <v>1611</v>
      </c>
      <c r="M4" s="54" t="s">
        <v>1613</v>
      </c>
      <c r="N4" s="54" t="s">
        <v>1614</v>
      </c>
    </row>
    <row r="5" spans="1:14" x14ac:dyDescent="0.3">
      <c r="A5" t="s">
        <v>1456</v>
      </c>
      <c r="D5" t="s">
        <v>1456</v>
      </c>
      <c r="F5" s="111"/>
      <c r="G5" t="s">
        <v>1456</v>
      </c>
      <c r="J5" t="s">
        <v>1917</v>
      </c>
      <c r="K5" t="s">
        <v>1630</v>
      </c>
      <c r="N5" s="38">
        <f>M5-L5</f>
        <v>0</v>
      </c>
    </row>
    <row r="6" spans="1:14" x14ac:dyDescent="0.3">
      <c r="A6" t="s">
        <v>1457</v>
      </c>
      <c r="D6" t="s">
        <v>1463</v>
      </c>
      <c r="E6">
        <v>10</v>
      </c>
      <c r="F6" s="111"/>
      <c r="G6" t="s">
        <v>1463</v>
      </c>
      <c r="H6">
        <v>10</v>
      </c>
      <c r="J6" t="s">
        <v>1766</v>
      </c>
      <c r="K6" t="s">
        <v>1631</v>
      </c>
      <c r="N6" s="38">
        <f t="shared" ref="N6:N8" si="0">M6-L6</f>
        <v>0</v>
      </c>
    </row>
    <row r="7" spans="1:14" x14ac:dyDescent="0.3">
      <c r="A7" t="s">
        <v>1459</v>
      </c>
      <c r="B7">
        <v>92</v>
      </c>
      <c r="D7" t="s">
        <v>1457</v>
      </c>
      <c r="F7" s="111"/>
      <c r="G7" t="s">
        <v>1459</v>
      </c>
      <c r="H7">
        <v>82</v>
      </c>
      <c r="N7" s="38">
        <f t="shared" si="0"/>
        <v>0</v>
      </c>
    </row>
    <row r="8" spans="1:14" x14ac:dyDescent="0.3">
      <c r="A8" t="s">
        <v>1461</v>
      </c>
      <c r="D8" t="s">
        <v>1459</v>
      </c>
      <c r="E8">
        <v>157</v>
      </c>
      <c r="F8" s="111"/>
      <c r="G8" t="s">
        <v>1461</v>
      </c>
      <c r="N8" s="38">
        <f t="shared" si="0"/>
        <v>0</v>
      </c>
    </row>
    <row r="9" spans="1:14" x14ac:dyDescent="0.3">
      <c r="A9" t="s">
        <v>1460</v>
      </c>
      <c r="B9">
        <v>291</v>
      </c>
      <c r="D9" t="s">
        <v>1461</v>
      </c>
      <c r="F9" s="111"/>
      <c r="G9" t="s">
        <v>1460</v>
      </c>
      <c r="H9">
        <v>291</v>
      </c>
    </row>
    <row r="10" spans="1:14" x14ac:dyDescent="0.3">
      <c r="A10" t="s">
        <v>1458</v>
      </c>
      <c r="B10">
        <v>16</v>
      </c>
      <c r="D10" t="s">
        <v>1460</v>
      </c>
      <c r="E10">
        <v>126</v>
      </c>
      <c r="F10" s="111"/>
      <c r="G10" t="s">
        <v>1458</v>
      </c>
      <c r="H10">
        <v>65</v>
      </c>
    </row>
    <row r="11" spans="1:14" x14ac:dyDescent="0.3">
      <c r="A11" t="s">
        <v>1463</v>
      </c>
      <c r="B11">
        <v>10</v>
      </c>
      <c r="D11" t="s">
        <v>1458</v>
      </c>
      <c r="E11">
        <v>72</v>
      </c>
      <c r="F11" s="111"/>
      <c r="G11" t="s">
        <v>1462</v>
      </c>
      <c r="H11">
        <v>448</v>
      </c>
    </row>
    <row r="12" spans="1:14" x14ac:dyDescent="0.3">
      <c r="A12" t="s">
        <v>1462</v>
      </c>
      <c r="B12">
        <v>409</v>
      </c>
      <c r="D12" t="s">
        <v>1462</v>
      </c>
      <c r="E12">
        <v>365</v>
      </c>
      <c r="F12" s="71"/>
    </row>
    <row r="13" spans="1:14" ht="15" thickBot="1" x14ac:dyDescent="0.35"/>
    <row r="14" spans="1:14" ht="15" thickBot="1" x14ac:dyDescent="0.35">
      <c r="F14" s="107" t="s">
        <v>1720</v>
      </c>
    </row>
    <row r="15" spans="1:14" ht="43.8" thickBot="1" x14ac:dyDescent="0.35">
      <c r="F15" s="109" t="s">
        <v>1738</v>
      </c>
    </row>
    <row r="16" spans="1:14" ht="43.8" thickBot="1" x14ac:dyDescent="0.35">
      <c r="F16" s="109" t="s">
        <v>1739</v>
      </c>
    </row>
    <row r="17" spans="1:14" ht="58.2" thickBot="1" x14ac:dyDescent="0.35">
      <c r="F17" s="109" t="s">
        <v>1740</v>
      </c>
    </row>
    <row r="18" spans="1:14" ht="58.2" thickBot="1" x14ac:dyDescent="0.35">
      <c r="F18" s="109" t="s">
        <v>1741</v>
      </c>
    </row>
    <row r="19" spans="1:14" ht="58.2" thickBot="1" x14ac:dyDescent="0.35">
      <c r="F19" s="109" t="s">
        <v>1742</v>
      </c>
    </row>
    <row r="20" spans="1:14" ht="72.599999999999994" thickBot="1" x14ac:dyDescent="0.35">
      <c r="F20" s="110" t="s">
        <v>1743</v>
      </c>
    </row>
    <row r="21" spans="1:14" ht="58.2" thickBot="1" x14ac:dyDescent="0.35">
      <c r="F21" s="109" t="s">
        <v>1744</v>
      </c>
    </row>
    <row r="24" spans="1:14" x14ac:dyDescent="0.3">
      <c r="A24" s="41" t="s">
        <v>1453</v>
      </c>
      <c r="B24" s="41" t="s">
        <v>1136</v>
      </c>
      <c r="C24" t="s">
        <v>1767</v>
      </c>
      <c r="E24" s="41" t="s">
        <v>1610</v>
      </c>
      <c r="F24" t="s">
        <v>1767</v>
      </c>
    </row>
    <row r="25" spans="1:14" x14ac:dyDescent="0.3">
      <c r="A25" t="s">
        <v>1457</v>
      </c>
      <c r="B25" t="s">
        <v>1186</v>
      </c>
      <c r="C25">
        <v>4</v>
      </c>
      <c r="E25" s="20" t="s">
        <v>1548</v>
      </c>
      <c r="F25">
        <v>1</v>
      </c>
    </row>
    <row r="26" spans="1:14" x14ac:dyDescent="0.3">
      <c r="B26" t="s">
        <v>1231</v>
      </c>
      <c r="C26">
        <v>4</v>
      </c>
      <c r="E26" s="20" t="s">
        <v>880</v>
      </c>
      <c r="F26">
        <v>1</v>
      </c>
    </row>
    <row r="27" spans="1:14" x14ac:dyDescent="0.3">
      <c r="B27" t="s">
        <v>1290</v>
      </c>
      <c r="C27">
        <v>3</v>
      </c>
      <c r="E27" s="20" t="s">
        <v>858</v>
      </c>
      <c r="F27">
        <v>1</v>
      </c>
    </row>
    <row r="28" spans="1:14" x14ac:dyDescent="0.3">
      <c r="B28" t="s">
        <v>1587</v>
      </c>
      <c r="C28">
        <v>1</v>
      </c>
      <c r="E28" s="20" t="s">
        <v>859</v>
      </c>
      <c r="F28">
        <v>1</v>
      </c>
    </row>
    <row r="29" spans="1:14" x14ac:dyDescent="0.3">
      <c r="A29" t="s">
        <v>1461</v>
      </c>
      <c r="B29" t="s">
        <v>1184</v>
      </c>
      <c r="C29">
        <v>1</v>
      </c>
      <c r="E29" s="20" t="s">
        <v>860</v>
      </c>
      <c r="F29">
        <v>1</v>
      </c>
    </row>
    <row r="30" spans="1:14" x14ac:dyDescent="0.3">
      <c r="B30" t="s">
        <v>901</v>
      </c>
      <c r="C30">
        <v>4</v>
      </c>
      <c r="E30" s="20" t="s">
        <v>1462</v>
      </c>
      <c r="F30">
        <v>5</v>
      </c>
    </row>
    <row r="31" spans="1:14" x14ac:dyDescent="0.3">
      <c r="B31" t="s">
        <v>902</v>
      </c>
      <c r="C31">
        <v>4</v>
      </c>
      <c r="M31"/>
      <c r="N31"/>
    </row>
    <row r="32" spans="1:14" x14ac:dyDescent="0.3">
      <c r="B32" t="s">
        <v>903</v>
      </c>
      <c r="C32">
        <v>4</v>
      </c>
      <c r="M32"/>
      <c r="N32"/>
    </row>
    <row r="33" spans="2:14" x14ac:dyDescent="0.3">
      <c r="B33" t="s">
        <v>904</v>
      </c>
      <c r="C33">
        <v>3</v>
      </c>
      <c r="M33"/>
      <c r="N33"/>
    </row>
    <row r="34" spans="2:14" x14ac:dyDescent="0.3">
      <c r="B34" t="s">
        <v>906</v>
      </c>
      <c r="C34">
        <v>4</v>
      </c>
      <c r="M34"/>
      <c r="N34"/>
    </row>
    <row r="35" spans="2:14" x14ac:dyDescent="0.3">
      <c r="B35" t="s">
        <v>1620</v>
      </c>
      <c r="C35">
        <v>4</v>
      </c>
      <c r="M35"/>
      <c r="N35"/>
    </row>
    <row r="36" spans="2:14" x14ac:dyDescent="0.3">
      <c r="B36" t="s">
        <v>1502</v>
      </c>
      <c r="C36">
        <v>4</v>
      </c>
      <c r="M36"/>
      <c r="N36"/>
    </row>
    <row r="37" spans="2:14" x14ac:dyDescent="0.3">
      <c r="B37" t="s">
        <v>1232</v>
      </c>
      <c r="C37">
        <v>1</v>
      </c>
      <c r="M37"/>
      <c r="N37"/>
    </row>
    <row r="38" spans="2:14" x14ac:dyDescent="0.3">
      <c r="B38" t="s">
        <v>1235</v>
      </c>
      <c r="C38">
        <v>3</v>
      </c>
      <c r="E38" s="41" t="s">
        <v>1453</v>
      </c>
      <c r="F38" s="41" t="s">
        <v>893</v>
      </c>
      <c r="G38" s="41" t="s">
        <v>1385</v>
      </c>
      <c r="H38" t="s">
        <v>1767</v>
      </c>
      <c r="M38"/>
      <c r="N38"/>
    </row>
    <row r="39" spans="2:14" x14ac:dyDescent="0.3">
      <c r="B39" t="s">
        <v>1322</v>
      </c>
      <c r="C39">
        <v>4</v>
      </c>
      <c r="E39" t="s">
        <v>1460</v>
      </c>
      <c r="F39" t="s">
        <v>941</v>
      </c>
      <c r="G39" t="s">
        <v>1394</v>
      </c>
      <c r="H39">
        <v>3</v>
      </c>
      <c r="M39"/>
      <c r="N39"/>
    </row>
    <row r="40" spans="2:14" x14ac:dyDescent="0.3">
      <c r="B40" t="s">
        <v>1323</v>
      </c>
      <c r="C40">
        <v>4</v>
      </c>
      <c r="F40" t="s">
        <v>943</v>
      </c>
      <c r="G40" t="s">
        <v>1394</v>
      </c>
      <c r="H40">
        <v>3</v>
      </c>
      <c r="M40"/>
      <c r="N40"/>
    </row>
    <row r="41" spans="2:14" x14ac:dyDescent="0.3">
      <c r="B41" t="s">
        <v>1314</v>
      </c>
      <c r="C41">
        <v>3</v>
      </c>
      <c r="F41" t="s">
        <v>945</v>
      </c>
      <c r="G41" t="s">
        <v>1394</v>
      </c>
      <c r="H41">
        <v>3</v>
      </c>
      <c r="M41"/>
      <c r="N41"/>
    </row>
    <row r="42" spans="2:14" x14ac:dyDescent="0.3">
      <c r="B42" t="s">
        <v>1316</v>
      </c>
      <c r="C42">
        <v>3</v>
      </c>
      <c r="F42" t="s">
        <v>947</v>
      </c>
      <c r="G42" t="s">
        <v>1394</v>
      </c>
      <c r="H42">
        <v>3</v>
      </c>
    </row>
    <row r="43" spans="2:14" x14ac:dyDescent="0.3">
      <c r="B43" t="s">
        <v>1318</v>
      </c>
      <c r="C43">
        <v>3</v>
      </c>
      <c r="F43" t="s">
        <v>949</v>
      </c>
      <c r="G43" t="s">
        <v>1394</v>
      </c>
      <c r="H43">
        <v>3</v>
      </c>
    </row>
    <row r="44" spans="2:14" x14ac:dyDescent="0.3">
      <c r="B44" t="s">
        <v>1320</v>
      </c>
      <c r="C44">
        <v>3</v>
      </c>
      <c r="F44" t="s">
        <v>951</v>
      </c>
      <c r="G44" t="s">
        <v>1394</v>
      </c>
      <c r="H44">
        <v>3</v>
      </c>
    </row>
    <row r="45" spans="2:14" x14ac:dyDescent="0.3">
      <c r="B45" t="s">
        <v>1324</v>
      </c>
      <c r="C45">
        <v>4</v>
      </c>
      <c r="F45" t="s">
        <v>953</v>
      </c>
      <c r="G45" t="s">
        <v>1394</v>
      </c>
      <c r="H45">
        <v>3</v>
      </c>
    </row>
    <row r="46" spans="2:14" x14ac:dyDescent="0.3">
      <c r="B46" t="s">
        <v>1326</v>
      </c>
      <c r="C46">
        <v>4</v>
      </c>
      <c r="F46" t="s">
        <v>955</v>
      </c>
      <c r="G46" t="s">
        <v>1394</v>
      </c>
      <c r="H46">
        <v>3</v>
      </c>
    </row>
    <row r="47" spans="2:14" x14ac:dyDescent="0.3">
      <c r="B47" t="s">
        <v>1536</v>
      </c>
      <c r="C47">
        <v>4</v>
      </c>
      <c r="F47" t="s">
        <v>957</v>
      </c>
      <c r="G47" t="s">
        <v>1394</v>
      </c>
      <c r="H47">
        <v>3</v>
      </c>
    </row>
    <row r="48" spans="2:14" x14ac:dyDescent="0.3">
      <c r="B48" t="s">
        <v>1537</v>
      </c>
      <c r="C48">
        <v>4</v>
      </c>
      <c r="F48" t="s">
        <v>959</v>
      </c>
      <c r="G48" t="s">
        <v>1394</v>
      </c>
      <c r="H48">
        <v>3</v>
      </c>
    </row>
    <row r="49" spans="2:8" x14ac:dyDescent="0.3">
      <c r="B49" t="s">
        <v>1294</v>
      </c>
      <c r="C49">
        <v>3</v>
      </c>
      <c r="F49" t="s">
        <v>961</v>
      </c>
      <c r="G49" t="s">
        <v>1394</v>
      </c>
      <c r="H49">
        <v>3</v>
      </c>
    </row>
    <row r="50" spans="2:8" x14ac:dyDescent="0.3">
      <c r="B50" t="s">
        <v>1580</v>
      </c>
      <c r="C50">
        <v>3</v>
      </c>
      <c r="F50" t="s">
        <v>963</v>
      </c>
      <c r="G50" t="s">
        <v>1394</v>
      </c>
      <c r="H50">
        <v>3</v>
      </c>
    </row>
    <row r="51" spans="2:8" x14ac:dyDescent="0.3">
      <c r="B51" t="s">
        <v>1831</v>
      </c>
      <c r="C51">
        <v>3</v>
      </c>
      <c r="F51" t="s">
        <v>965</v>
      </c>
      <c r="G51" t="s">
        <v>1394</v>
      </c>
      <c r="H51">
        <v>3</v>
      </c>
    </row>
    <row r="52" spans="2:8" x14ac:dyDescent="0.3">
      <c r="B52" t="s">
        <v>1832</v>
      </c>
      <c r="C52">
        <v>3</v>
      </c>
      <c r="F52" t="s">
        <v>967</v>
      </c>
      <c r="G52" t="s">
        <v>1394</v>
      </c>
      <c r="H52">
        <v>3</v>
      </c>
    </row>
    <row r="53" spans="2:8" x14ac:dyDescent="0.3">
      <c r="B53" t="s">
        <v>1835</v>
      </c>
      <c r="C53">
        <v>3</v>
      </c>
      <c r="F53" t="s">
        <v>969</v>
      </c>
      <c r="G53" t="s">
        <v>1394</v>
      </c>
      <c r="H53">
        <v>3</v>
      </c>
    </row>
    <row r="54" spans="2:8" x14ac:dyDescent="0.3">
      <c r="B54" t="s">
        <v>1836</v>
      </c>
      <c r="C54">
        <v>3</v>
      </c>
      <c r="F54" t="s">
        <v>1501</v>
      </c>
      <c r="G54" t="s">
        <v>1394</v>
      </c>
      <c r="H54">
        <v>3</v>
      </c>
    </row>
  </sheetData>
  <mergeCells count="1">
    <mergeCell ref="K1:N1"/>
  </mergeCells>
  <pageMargins left="0.7" right="0.7" top="0.75" bottom="0.75" header="0.3" footer="0.3"/>
  <pageSetup paperSize="9" orientation="portrait" r:id="rId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9ACA0-2D0D-4542-B0B2-C4842E157A60}">
  <sheetPr codeName="Sheet44">
    <tabColor theme="0"/>
  </sheetPr>
  <dimension ref="A1:Y190"/>
  <sheetViews>
    <sheetView workbookViewId="0">
      <selection activeCell="D42" sqref="D42"/>
    </sheetView>
  </sheetViews>
  <sheetFormatPr defaultRowHeight="14.4" x14ac:dyDescent="0.3"/>
  <cols>
    <col min="1" max="1" width="15.6640625" bestFit="1" customWidth="1"/>
    <col min="2" max="2" width="10.6640625" bestFit="1" customWidth="1"/>
    <col min="3" max="3" width="14.6640625" bestFit="1" customWidth="1"/>
    <col min="4" max="4" width="23.44140625" bestFit="1" customWidth="1"/>
    <col min="5" max="6" width="13.33203125" bestFit="1" customWidth="1"/>
    <col min="7" max="7" width="17.6640625" bestFit="1" customWidth="1"/>
    <col min="8" max="8" width="11.6640625" bestFit="1" customWidth="1"/>
    <col min="9" max="9" width="20.33203125" bestFit="1" customWidth="1"/>
    <col min="10" max="11" width="18.88671875" bestFit="1" customWidth="1"/>
    <col min="12" max="12" width="15.33203125" bestFit="1" customWidth="1"/>
    <col min="13" max="13" width="19" bestFit="1" customWidth="1"/>
    <col min="14" max="14" width="18.6640625" bestFit="1" customWidth="1"/>
    <col min="15" max="15" width="16.5546875" bestFit="1" customWidth="1"/>
    <col min="16" max="16" width="43.5546875" bestFit="1" customWidth="1"/>
    <col min="17" max="17" width="80.88671875" bestFit="1" customWidth="1"/>
    <col min="18" max="18" width="22.6640625" bestFit="1" customWidth="1"/>
    <col min="19" max="19" width="16.5546875" bestFit="1" customWidth="1"/>
    <col min="20" max="20" width="22.44140625" bestFit="1" customWidth="1"/>
    <col min="21" max="21" width="11.6640625" bestFit="1" customWidth="1"/>
    <col min="22" max="22" width="13.6640625" bestFit="1" customWidth="1"/>
    <col min="23" max="23" width="18.6640625" bestFit="1" customWidth="1"/>
    <col min="24" max="24" width="12" bestFit="1" customWidth="1"/>
    <col min="25" max="25" width="11.6640625" bestFit="1" customWidth="1"/>
    <col min="26" max="26" width="23.44140625" bestFit="1" customWidth="1"/>
    <col min="27" max="27" width="12.5546875" customWidth="1"/>
    <col min="28" max="28" width="14.44140625" bestFit="1" customWidth="1"/>
    <col min="29" max="29" width="20" bestFit="1" customWidth="1"/>
    <col min="30" max="30" width="12.5546875" customWidth="1"/>
    <col min="31" max="32" width="12.44140625" bestFit="1" customWidth="1"/>
    <col min="33" max="33" width="12.33203125" bestFit="1" customWidth="1"/>
    <col min="34" max="34" width="12.5546875" bestFit="1" customWidth="1"/>
    <col min="35" max="35" width="12.33203125" customWidth="1"/>
    <col min="36" max="36" width="12.5546875" bestFit="1" customWidth="1"/>
    <col min="37" max="37" width="12.33203125" customWidth="1"/>
    <col min="38" max="39" width="12.33203125" bestFit="1" customWidth="1"/>
    <col min="40" max="40" width="12.109375" bestFit="1" customWidth="1"/>
    <col min="41" max="41" width="16.5546875" bestFit="1" customWidth="1"/>
    <col min="42" max="42" width="43.33203125" bestFit="1" customWidth="1"/>
    <col min="43" max="43" width="20.5546875" bestFit="1" customWidth="1"/>
    <col min="44" max="44" width="8.33203125" bestFit="1" customWidth="1"/>
    <col min="45" max="45" width="12.33203125" bestFit="1" customWidth="1"/>
    <col min="46" max="46" width="17.33203125" bestFit="1" customWidth="1"/>
    <col min="47" max="47" width="14" bestFit="1" customWidth="1"/>
    <col min="48" max="48" width="21.5546875" bestFit="1" customWidth="1"/>
    <col min="49" max="49" width="19.33203125" bestFit="1" customWidth="1"/>
    <col min="50" max="50" width="12.33203125" bestFit="1" customWidth="1"/>
    <col min="51" max="51" width="12.109375" bestFit="1" customWidth="1"/>
  </cols>
  <sheetData>
    <row r="1" spans="1:25" x14ac:dyDescent="0.3">
      <c r="A1" t="s">
        <v>867</v>
      </c>
      <c r="B1" t="s">
        <v>1453</v>
      </c>
      <c r="C1" t="s">
        <v>1331</v>
      </c>
      <c r="D1" t="s">
        <v>893</v>
      </c>
      <c r="E1" t="s">
        <v>871</v>
      </c>
      <c r="F1" t="s">
        <v>857</v>
      </c>
      <c r="G1" t="s">
        <v>884</v>
      </c>
      <c r="H1" t="s">
        <v>49</v>
      </c>
      <c r="I1" t="s">
        <v>1136</v>
      </c>
      <c r="J1" t="s">
        <v>1382</v>
      </c>
      <c r="K1" t="s">
        <v>1371</v>
      </c>
      <c r="L1" t="s">
        <v>1373</v>
      </c>
      <c r="M1" t="s">
        <v>1404</v>
      </c>
      <c r="N1" t="s">
        <v>1405</v>
      </c>
      <c r="O1" t="s">
        <v>1406</v>
      </c>
      <c r="P1" t="s">
        <v>1383</v>
      </c>
      <c r="Q1" t="s">
        <v>44</v>
      </c>
      <c r="R1" t="s">
        <v>2090</v>
      </c>
      <c r="S1" t="s">
        <v>1885</v>
      </c>
      <c r="T1" t="s">
        <v>2040</v>
      </c>
      <c r="U1" t="s">
        <v>1384</v>
      </c>
      <c r="V1" t="s">
        <v>1374</v>
      </c>
      <c r="W1" t="s">
        <v>1385</v>
      </c>
      <c r="X1" t="s">
        <v>1386</v>
      </c>
      <c r="Y1" t="s">
        <v>1387</v>
      </c>
    </row>
    <row r="2" spans="1:25" hidden="1" x14ac:dyDescent="0.3">
      <c r="A2">
        <v>0</v>
      </c>
      <c r="B2" t="s">
        <v>1458</v>
      </c>
      <c r="D2" t="s">
        <v>1050</v>
      </c>
      <c r="E2" t="s">
        <v>2285</v>
      </c>
      <c r="F2" t="s">
        <v>51</v>
      </c>
      <c r="G2" t="s">
        <v>51</v>
      </c>
      <c r="I2" t="s">
        <v>1242</v>
      </c>
      <c r="J2" t="s">
        <v>1124</v>
      </c>
      <c r="K2" t="s">
        <v>1465</v>
      </c>
      <c r="L2" t="s">
        <v>1465</v>
      </c>
      <c r="M2" t="s">
        <v>1465</v>
      </c>
      <c r="N2" t="s">
        <v>1465</v>
      </c>
      <c r="O2" t="s">
        <v>1465</v>
      </c>
      <c r="P2" t="s">
        <v>1400</v>
      </c>
      <c r="Q2" t="s">
        <v>1679</v>
      </c>
      <c r="V2" t="b">
        <v>1</v>
      </c>
      <c r="W2" t="s">
        <v>1497</v>
      </c>
      <c r="X2" t="b">
        <v>1</v>
      </c>
    </row>
    <row r="3" spans="1:25" hidden="1" x14ac:dyDescent="0.3">
      <c r="A3">
        <v>0</v>
      </c>
      <c r="B3" t="s">
        <v>1458</v>
      </c>
      <c r="D3" t="s">
        <v>1048</v>
      </c>
      <c r="E3" t="s">
        <v>2285</v>
      </c>
      <c r="F3" t="s">
        <v>51</v>
      </c>
      <c r="G3" t="s">
        <v>51</v>
      </c>
      <c r="I3" t="s">
        <v>1244</v>
      </c>
      <c r="J3" t="s">
        <v>1124</v>
      </c>
      <c r="K3" t="s">
        <v>1465</v>
      </c>
      <c r="L3" t="s">
        <v>1465</v>
      </c>
      <c r="M3" t="s">
        <v>1465</v>
      </c>
      <c r="N3" t="s">
        <v>1465</v>
      </c>
      <c r="O3" t="s">
        <v>1465</v>
      </c>
      <c r="P3" t="s">
        <v>1399</v>
      </c>
      <c r="Q3" t="s">
        <v>1680</v>
      </c>
      <c r="V3" t="b">
        <v>1</v>
      </c>
      <c r="W3" t="s">
        <v>1497</v>
      </c>
      <c r="X3" t="b">
        <v>1</v>
      </c>
    </row>
    <row r="4" spans="1:25" hidden="1" x14ac:dyDescent="0.3">
      <c r="A4">
        <v>0</v>
      </c>
      <c r="B4" t="s">
        <v>1458</v>
      </c>
      <c r="D4" t="s">
        <v>1042</v>
      </c>
      <c r="E4" t="s">
        <v>2285</v>
      </c>
      <c r="F4" t="s">
        <v>51</v>
      </c>
      <c r="G4" t="s">
        <v>51</v>
      </c>
      <c r="I4" t="s">
        <v>1248</v>
      </c>
      <c r="J4" t="s">
        <v>1124</v>
      </c>
      <c r="K4" t="s">
        <v>1465</v>
      </c>
      <c r="L4" t="s">
        <v>1465</v>
      </c>
      <c r="M4" t="s">
        <v>1465</v>
      </c>
      <c r="N4" t="s">
        <v>1465</v>
      </c>
      <c r="O4" t="s">
        <v>1465</v>
      </c>
      <c r="P4" t="s">
        <v>1397</v>
      </c>
      <c r="Q4" t="s">
        <v>1681</v>
      </c>
      <c r="V4" t="b">
        <v>1</v>
      </c>
      <c r="W4" t="s">
        <v>1497</v>
      </c>
      <c r="X4" t="b">
        <v>1</v>
      </c>
    </row>
    <row r="5" spans="1:25" hidden="1" x14ac:dyDescent="0.3">
      <c r="A5">
        <v>0</v>
      </c>
      <c r="B5" t="s">
        <v>1458</v>
      </c>
      <c r="D5" t="s">
        <v>1044</v>
      </c>
      <c r="E5" t="s">
        <v>2285</v>
      </c>
      <c r="F5" t="s">
        <v>51</v>
      </c>
      <c r="G5" t="s">
        <v>51</v>
      </c>
      <c r="I5" t="s">
        <v>1250</v>
      </c>
      <c r="J5" t="s">
        <v>1124</v>
      </c>
      <c r="K5" t="s">
        <v>1465</v>
      </c>
      <c r="L5" t="s">
        <v>1465</v>
      </c>
      <c r="M5" t="s">
        <v>1465</v>
      </c>
      <c r="N5" t="s">
        <v>1465</v>
      </c>
      <c r="O5" t="s">
        <v>1465</v>
      </c>
      <c r="P5" t="s">
        <v>1403</v>
      </c>
      <c r="Q5" t="s">
        <v>1682</v>
      </c>
      <c r="V5" t="b">
        <v>1</v>
      </c>
      <c r="W5" t="s">
        <v>1497</v>
      </c>
      <c r="X5" t="b">
        <v>1</v>
      </c>
    </row>
    <row r="6" spans="1:25" hidden="1" x14ac:dyDescent="0.3">
      <c r="A6">
        <v>0</v>
      </c>
      <c r="B6" t="s">
        <v>1458</v>
      </c>
      <c r="D6" t="s">
        <v>1046</v>
      </c>
      <c r="E6" t="s">
        <v>2285</v>
      </c>
      <c r="F6" t="s">
        <v>51</v>
      </c>
      <c r="G6" t="s">
        <v>51</v>
      </c>
      <c r="I6" t="s">
        <v>1252</v>
      </c>
      <c r="J6" t="s">
        <v>1124</v>
      </c>
      <c r="K6" t="s">
        <v>1465</v>
      </c>
      <c r="L6" t="s">
        <v>1465</v>
      </c>
      <c r="M6" t="s">
        <v>1465</v>
      </c>
      <c r="N6" t="s">
        <v>1465</v>
      </c>
      <c r="O6" t="s">
        <v>1465</v>
      </c>
      <c r="P6" t="s">
        <v>1398</v>
      </c>
      <c r="Q6" t="s">
        <v>1684</v>
      </c>
      <c r="V6" t="b">
        <v>1</v>
      </c>
      <c r="W6" t="s">
        <v>1497</v>
      </c>
      <c r="X6" t="b">
        <v>1</v>
      </c>
    </row>
    <row r="7" spans="1:25" x14ac:dyDescent="0.3">
      <c r="A7">
        <v>0</v>
      </c>
      <c r="B7" t="s">
        <v>1458</v>
      </c>
      <c r="D7" t="s">
        <v>1050</v>
      </c>
      <c r="E7" t="s">
        <v>2432</v>
      </c>
      <c r="F7" t="s">
        <v>51</v>
      </c>
      <c r="G7" t="s">
        <v>51</v>
      </c>
      <c r="I7" t="s">
        <v>1242</v>
      </c>
      <c r="J7" t="s">
        <v>1124</v>
      </c>
      <c r="K7" t="s">
        <v>1465</v>
      </c>
      <c r="L7" t="s">
        <v>1465</v>
      </c>
      <c r="M7" t="s">
        <v>1465</v>
      </c>
      <c r="N7" t="s">
        <v>1465</v>
      </c>
      <c r="O7" t="s">
        <v>1465</v>
      </c>
      <c r="P7" t="s">
        <v>1400</v>
      </c>
      <c r="Q7" t="s">
        <v>1679</v>
      </c>
      <c r="V7" t="b">
        <v>1</v>
      </c>
      <c r="W7" t="s">
        <v>1497</v>
      </c>
      <c r="X7" t="b">
        <v>1</v>
      </c>
    </row>
    <row r="8" spans="1:25" x14ac:dyDescent="0.3">
      <c r="A8">
        <v>0</v>
      </c>
      <c r="B8" t="s">
        <v>1458</v>
      </c>
      <c r="D8" t="s">
        <v>1048</v>
      </c>
      <c r="E8" t="s">
        <v>2432</v>
      </c>
      <c r="F8" t="s">
        <v>51</v>
      </c>
      <c r="G8" t="s">
        <v>51</v>
      </c>
      <c r="I8" t="s">
        <v>1244</v>
      </c>
      <c r="J8" t="s">
        <v>1124</v>
      </c>
      <c r="K8" t="s">
        <v>1465</v>
      </c>
      <c r="L8" t="s">
        <v>1465</v>
      </c>
      <c r="M8" t="s">
        <v>1465</v>
      </c>
      <c r="N8" t="s">
        <v>1465</v>
      </c>
      <c r="O8" t="s">
        <v>1465</v>
      </c>
      <c r="P8" t="s">
        <v>1399</v>
      </c>
      <c r="Q8" t="s">
        <v>1680</v>
      </c>
      <c r="V8" t="b">
        <v>1</v>
      </c>
      <c r="W8" t="s">
        <v>1497</v>
      </c>
      <c r="X8" t="b">
        <v>1</v>
      </c>
    </row>
    <row r="9" spans="1:25" x14ac:dyDescent="0.3">
      <c r="A9">
        <v>0</v>
      </c>
      <c r="B9" t="s">
        <v>1458</v>
      </c>
      <c r="D9" t="s">
        <v>1042</v>
      </c>
      <c r="E9" t="s">
        <v>2432</v>
      </c>
      <c r="F9" t="s">
        <v>51</v>
      </c>
      <c r="G9" t="s">
        <v>51</v>
      </c>
      <c r="I9" t="s">
        <v>1248</v>
      </c>
      <c r="J9" t="s">
        <v>1124</v>
      </c>
      <c r="K9" t="s">
        <v>1465</v>
      </c>
      <c r="L9" t="s">
        <v>1465</v>
      </c>
      <c r="M9" t="s">
        <v>1465</v>
      </c>
      <c r="N9" t="s">
        <v>1465</v>
      </c>
      <c r="O9" t="s">
        <v>1465</v>
      </c>
      <c r="P9" t="s">
        <v>1397</v>
      </c>
      <c r="Q9" t="s">
        <v>1681</v>
      </c>
      <c r="V9" t="b">
        <v>1</v>
      </c>
      <c r="W9" t="s">
        <v>1497</v>
      </c>
      <c r="X9" t="b">
        <v>1</v>
      </c>
    </row>
    <row r="10" spans="1:25" x14ac:dyDescent="0.3">
      <c r="A10">
        <v>0</v>
      </c>
      <c r="B10" t="s">
        <v>1458</v>
      </c>
      <c r="D10" t="s">
        <v>1044</v>
      </c>
      <c r="E10" t="s">
        <v>2432</v>
      </c>
      <c r="F10" t="s">
        <v>51</v>
      </c>
      <c r="G10" t="s">
        <v>51</v>
      </c>
      <c r="I10" t="s">
        <v>1250</v>
      </c>
      <c r="J10" t="s">
        <v>1124</v>
      </c>
      <c r="K10" t="s">
        <v>1465</v>
      </c>
      <c r="L10" t="s">
        <v>1465</v>
      </c>
      <c r="M10" t="s">
        <v>1465</v>
      </c>
      <c r="N10" t="s">
        <v>1465</v>
      </c>
      <c r="O10" t="s">
        <v>1465</v>
      </c>
      <c r="P10" t="s">
        <v>1403</v>
      </c>
      <c r="Q10" t="s">
        <v>1682</v>
      </c>
      <c r="V10" t="b">
        <v>1</v>
      </c>
      <c r="W10" t="s">
        <v>1497</v>
      </c>
      <c r="X10" t="b">
        <v>1</v>
      </c>
    </row>
    <row r="11" spans="1:25" x14ac:dyDescent="0.3">
      <c r="A11">
        <v>0</v>
      </c>
      <c r="B11" t="s">
        <v>1458</v>
      </c>
      <c r="D11" t="s">
        <v>1046</v>
      </c>
      <c r="E11" t="s">
        <v>2432</v>
      </c>
      <c r="F11" t="s">
        <v>51</v>
      </c>
      <c r="G11" t="s">
        <v>51</v>
      </c>
      <c r="I11" t="s">
        <v>1252</v>
      </c>
      <c r="J11" t="s">
        <v>1124</v>
      </c>
      <c r="K11" t="s">
        <v>1465</v>
      </c>
      <c r="L11" t="s">
        <v>1465</v>
      </c>
      <c r="M11" t="s">
        <v>1465</v>
      </c>
      <c r="N11" t="s">
        <v>1465</v>
      </c>
      <c r="O11" t="s">
        <v>1465</v>
      </c>
      <c r="P11" t="s">
        <v>1398</v>
      </c>
      <c r="Q11" t="s">
        <v>1684</v>
      </c>
      <c r="V11" t="b">
        <v>1</v>
      </c>
      <c r="W11" t="s">
        <v>1497</v>
      </c>
      <c r="X11" t="b">
        <v>1</v>
      </c>
    </row>
    <row r="12" spans="1:25" hidden="1" x14ac:dyDescent="0.3">
      <c r="A12">
        <v>1</v>
      </c>
      <c r="B12" t="s">
        <v>1458</v>
      </c>
      <c r="D12" t="s">
        <v>2298</v>
      </c>
      <c r="E12" t="s">
        <v>39</v>
      </c>
      <c r="F12" t="s">
        <v>51</v>
      </c>
      <c r="G12" t="s">
        <v>51</v>
      </c>
      <c r="I12" t="s">
        <v>1036</v>
      </c>
      <c r="J12" t="s">
        <v>1124</v>
      </c>
      <c r="K12" t="s">
        <v>1465</v>
      </c>
      <c r="L12" t="s">
        <v>1465</v>
      </c>
      <c r="M12" t="s">
        <v>1465</v>
      </c>
      <c r="N12" t="s">
        <v>1465</v>
      </c>
      <c r="O12" t="s">
        <v>1465</v>
      </c>
      <c r="P12" t="s">
        <v>2330</v>
      </c>
      <c r="Q12" t="s">
        <v>1658</v>
      </c>
      <c r="V12" t="b">
        <v>1</v>
      </c>
      <c r="W12" t="s">
        <v>1497</v>
      </c>
      <c r="X12" t="b">
        <v>0</v>
      </c>
    </row>
    <row r="13" spans="1:25" hidden="1" x14ac:dyDescent="0.3">
      <c r="A13">
        <v>1</v>
      </c>
      <c r="B13" t="s">
        <v>1458</v>
      </c>
      <c r="D13" t="s">
        <v>2433</v>
      </c>
      <c r="E13" t="s">
        <v>39</v>
      </c>
      <c r="F13" t="s">
        <v>51</v>
      </c>
      <c r="G13" t="s">
        <v>51</v>
      </c>
      <c r="I13" t="s">
        <v>1036</v>
      </c>
      <c r="J13" t="s">
        <v>1124</v>
      </c>
      <c r="K13" t="s">
        <v>1465</v>
      </c>
      <c r="L13" t="s">
        <v>1465</v>
      </c>
      <c r="M13" t="s">
        <v>1465</v>
      </c>
      <c r="N13" t="s">
        <v>1465</v>
      </c>
      <c r="O13" t="s">
        <v>1465</v>
      </c>
      <c r="P13" t="s">
        <v>2436</v>
      </c>
      <c r="Q13" t="s">
        <v>1656</v>
      </c>
      <c r="V13" t="b">
        <v>1</v>
      </c>
      <c r="W13" t="s">
        <v>1497</v>
      </c>
      <c r="X13" t="b">
        <v>0</v>
      </c>
    </row>
    <row r="14" spans="1:25" hidden="1" x14ac:dyDescent="0.3">
      <c r="A14">
        <v>1</v>
      </c>
      <c r="B14" t="s">
        <v>1458</v>
      </c>
      <c r="D14" t="s">
        <v>2434</v>
      </c>
      <c r="E14" t="s">
        <v>39</v>
      </c>
      <c r="F14" t="s">
        <v>51</v>
      </c>
      <c r="G14" t="s">
        <v>51</v>
      </c>
      <c r="I14" t="s">
        <v>1036</v>
      </c>
      <c r="J14" t="s">
        <v>1124</v>
      </c>
      <c r="K14" t="s">
        <v>1465</v>
      </c>
      <c r="L14" t="s">
        <v>1465</v>
      </c>
      <c r="M14" t="s">
        <v>1465</v>
      </c>
      <c r="N14" t="s">
        <v>1465</v>
      </c>
      <c r="O14" t="s">
        <v>1465</v>
      </c>
      <c r="P14" t="s">
        <v>2437</v>
      </c>
      <c r="Q14" t="s">
        <v>1657</v>
      </c>
      <c r="V14" t="b">
        <v>1</v>
      </c>
      <c r="W14" t="s">
        <v>1497</v>
      </c>
      <c r="X14" t="b">
        <v>0</v>
      </c>
    </row>
    <row r="15" spans="1:25" hidden="1" x14ac:dyDescent="0.3">
      <c r="A15">
        <v>1</v>
      </c>
      <c r="B15" t="s">
        <v>1458</v>
      </c>
      <c r="D15" t="s">
        <v>997</v>
      </c>
      <c r="E15" t="s">
        <v>39</v>
      </c>
      <c r="F15" t="s">
        <v>51</v>
      </c>
      <c r="G15" t="s">
        <v>51</v>
      </c>
      <c r="I15" t="s">
        <v>1172</v>
      </c>
      <c r="J15" t="s">
        <v>1124</v>
      </c>
      <c r="K15" t="s">
        <v>1465</v>
      </c>
      <c r="L15" t="s">
        <v>1465</v>
      </c>
      <c r="M15" t="s">
        <v>1465</v>
      </c>
      <c r="N15" t="s">
        <v>1465</v>
      </c>
      <c r="O15" t="s">
        <v>1465</v>
      </c>
      <c r="P15" t="s">
        <v>1388</v>
      </c>
      <c r="Q15" t="s">
        <v>1659</v>
      </c>
      <c r="V15" t="b">
        <v>1</v>
      </c>
      <c r="W15" t="s">
        <v>1497</v>
      </c>
      <c r="X15" t="b">
        <v>0</v>
      </c>
    </row>
    <row r="16" spans="1:25" hidden="1" x14ac:dyDescent="0.3">
      <c r="A16">
        <v>0</v>
      </c>
      <c r="B16" t="s">
        <v>1458</v>
      </c>
      <c r="D16" t="s">
        <v>999</v>
      </c>
      <c r="E16" t="s">
        <v>39</v>
      </c>
      <c r="F16" t="s">
        <v>51</v>
      </c>
      <c r="G16" t="s">
        <v>51</v>
      </c>
      <c r="I16" t="s">
        <v>1172</v>
      </c>
      <c r="J16" t="s">
        <v>1124</v>
      </c>
      <c r="K16" t="s">
        <v>1465</v>
      </c>
      <c r="L16" t="s">
        <v>1465</v>
      </c>
      <c r="M16" t="s">
        <v>1465</v>
      </c>
      <c r="N16" t="s">
        <v>1465</v>
      </c>
      <c r="O16" t="s">
        <v>1465</v>
      </c>
      <c r="P16" t="s">
        <v>1395</v>
      </c>
      <c r="Q16" t="s">
        <v>1660</v>
      </c>
      <c r="V16" t="b">
        <v>1</v>
      </c>
      <c r="W16" t="s">
        <v>1394</v>
      </c>
      <c r="X16" t="b">
        <v>0</v>
      </c>
      <c r="Y16">
        <v>-4000</v>
      </c>
    </row>
    <row r="17" spans="1:25" hidden="1" x14ac:dyDescent="0.3">
      <c r="A17">
        <v>1</v>
      </c>
      <c r="B17" t="s">
        <v>1458</v>
      </c>
      <c r="D17" t="s">
        <v>1517</v>
      </c>
      <c r="E17" t="s">
        <v>39</v>
      </c>
      <c r="F17" t="s">
        <v>51</v>
      </c>
      <c r="G17" t="s">
        <v>51</v>
      </c>
      <c r="I17" t="s">
        <v>1172</v>
      </c>
      <c r="J17" t="s">
        <v>1124</v>
      </c>
      <c r="K17" t="s">
        <v>1465</v>
      </c>
      <c r="L17" t="s">
        <v>1465</v>
      </c>
      <c r="M17" t="s">
        <v>1465</v>
      </c>
      <c r="N17" t="s">
        <v>1465</v>
      </c>
      <c r="O17" t="s">
        <v>1465</v>
      </c>
      <c r="P17" t="s">
        <v>1752</v>
      </c>
      <c r="Q17" t="s">
        <v>1661</v>
      </c>
      <c r="V17" t="b">
        <v>1</v>
      </c>
      <c r="W17" t="s">
        <v>1394</v>
      </c>
      <c r="X17" t="b">
        <v>0</v>
      </c>
      <c r="Y17">
        <v>-6.75</v>
      </c>
    </row>
    <row r="18" spans="1:25" hidden="1" x14ac:dyDescent="0.3">
      <c r="A18">
        <v>1</v>
      </c>
      <c r="B18" t="s">
        <v>1458</v>
      </c>
      <c r="D18" t="s">
        <v>1001</v>
      </c>
      <c r="E18" t="s">
        <v>39</v>
      </c>
      <c r="F18" t="s">
        <v>51</v>
      </c>
      <c r="G18" t="s">
        <v>51</v>
      </c>
      <c r="I18" t="s">
        <v>1172</v>
      </c>
      <c r="J18" t="s">
        <v>1124</v>
      </c>
      <c r="K18" t="s">
        <v>1465</v>
      </c>
      <c r="L18" t="s">
        <v>1465</v>
      </c>
      <c r="M18" t="s">
        <v>1465</v>
      </c>
      <c r="N18" t="s">
        <v>1465</v>
      </c>
      <c r="O18" t="s">
        <v>1465</v>
      </c>
      <c r="P18" t="s">
        <v>1478</v>
      </c>
      <c r="Q18" t="s">
        <v>1662</v>
      </c>
      <c r="V18" t="b">
        <v>1</v>
      </c>
      <c r="W18" t="s">
        <v>1394</v>
      </c>
      <c r="X18" t="b">
        <v>0</v>
      </c>
      <c r="Y18">
        <v>-22.5</v>
      </c>
    </row>
    <row r="19" spans="1:25" hidden="1" x14ac:dyDescent="0.3">
      <c r="A19">
        <v>0</v>
      </c>
      <c r="B19" t="s">
        <v>1458</v>
      </c>
      <c r="D19" t="s">
        <v>1003</v>
      </c>
      <c r="E19" t="s">
        <v>39</v>
      </c>
      <c r="F19" t="s">
        <v>51</v>
      </c>
      <c r="G19" t="s">
        <v>51</v>
      </c>
      <c r="I19" t="s">
        <v>1172</v>
      </c>
      <c r="J19" t="s">
        <v>1124</v>
      </c>
      <c r="K19" t="s">
        <v>1465</v>
      </c>
      <c r="L19" t="s">
        <v>1465</v>
      </c>
      <c r="M19" t="s">
        <v>1465</v>
      </c>
      <c r="N19" t="s">
        <v>1465</v>
      </c>
      <c r="O19" t="s">
        <v>1465</v>
      </c>
      <c r="P19" t="s">
        <v>1479</v>
      </c>
      <c r="Q19" t="s">
        <v>1663</v>
      </c>
      <c r="V19" t="b">
        <v>1</v>
      </c>
      <c r="W19" t="s">
        <v>1394</v>
      </c>
      <c r="X19" t="b">
        <v>0</v>
      </c>
      <c r="Y19">
        <v>-11.25</v>
      </c>
    </row>
    <row r="20" spans="1:25" hidden="1" x14ac:dyDescent="0.3">
      <c r="A20">
        <v>0</v>
      </c>
      <c r="B20" t="s">
        <v>1458</v>
      </c>
      <c r="D20" t="s">
        <v>1005</v>
      </c>
      <c r="E20" t="s">
        <v>39</v>
      </c>
      <c r="F20" t="s">
        <v>51</v>
      </c>
      <c r="G20" t="s">
        <v>51</v>
      </c>
      <c r="I20" t="s">
        <v>1172</v>
      </c>
      <c r="J20" t="s">
        <v>1124</v>
      </c>
      <c r="K20" t="s">
        <v>1465</v>
      </c>
      <c r="L20" t="s">
        <v>1465</v>
      </c>
      <c r="M20" t="s">
        <v>1465</v>
      </c>
      <c r="N20" t="s">
        <v>1465</v>
      </c>
      <c r="O20" t="s">
        <v>1465</v>
      </c>
      <c r="P20" t="s">
        <v>1480</v>
      </c>
      <c r="Q20" t="s">
        <v>1664</v>
      </c>
      <c r="V20" t="b">
        <v>1</v>
      </c>
      <c r="W20" t="s">
        <v>1394</v>
      </c>
      <c r="X20" t="b">
        <v>0</v>
      </c>
      <c r="Y20">
        <v>-16.88</v>
      </c>
    </row>
    <row r="21" spans="1:25" hidden="1" x14ac:dyDescent="0.3">
      <c r="A21">
        <v>1</v>
      </c>
      <c r="B21" t="s">
        <v>1458</v>
      </c>
      <c r="D21" t="s">
        <v>1007</v>
      </c>
      <c r="E21" t="s">
        <v>39</v>
      </c>
      <c r="F21" t="s">
        <v>51</v>
      </c>
      <c r="G21" t="s">
        <v>51</v>
      </c>
      <c r="I21" t="s">
        <v>1172</v>
      </c>
      <c r="J21" t="s">
        <v>1124</v>
      </c>
      <c r="K21" t="s">
        <v>1465</v>
      </c>
      <c r="L21" t="s">
        <v>1465</v>
      </c>
      <c r="M21" t="s">
        <v>1465</v>
      </c>
      <c r="N21" t="s">
        <v>1465</v>
      </c>
      <c r="O21" t="s">
        <v>1465</v>
      </c>
      <c r="P21" t="s">
        <v>1918</v>
      </c>
      <c r="Q21" t="s">
        <v>1665</v>
      </c>
      <c r="V21" t="b">
        <v>1</v>
      </c>
      <c r="W21" t="s">
        <v>1394</v>
      </c>
      <c r="X21" t="b">
        <v>0</v>
      </c>
      <c r="Y21">
        <v>-50.625</v>
      </c>
    </row>
    <row r="22" spans="1:25" hidden="1" x14ac:dyDescent="0.3">
      <c r="A22">
        <v>0</v>
      </c>
      <c r="B22" t="s">
        <v>1458</v>
      </c>
      <c r="D22" t="s">
        <v>1009</v>
      </c>
      <c r="E22" t="s">
        <v>39</v>
      </c>
      <c r="F22" t="s">
        <v>51</v>
      </c>
      <c r="G22" t="s">
        <v>51</v>
      </c>
      <c r="I22" t="s">
        <v>1172</v>
      </c>
      <c r="J22" t="s">
        <v>1124</v>
      </c>
      <c r="K22" t="s">
        <v>1465</v>
      </c>
      <c r="L22" t="s">
        <v>1465</v>
      </c>
      <c r="M22" t="s">
        <v>1465</v>
      </c>
      <c r="N22" t="s">
        <v>1465</v>
      </c>
      <c r="O22" t="s">
        <v>1465</v>
      </c>
      <c r="P22" t="s">
        <v>1010</v>
      </c>
      <c r="Q22" t="s">
        <v>1667</v>
      </c>
      <c r="V22" t="b">
        <v>1</v>
      </c>
      <c r="W22" t="s">
        <v>1497</v>
      </c>
      <c r="X22" t="b">
        <v>0</v>
      </c>
      <c r="Y22">
        <v>-6000</v>
      </c>
    </row>
    <row r="23" spans="1:25" hidden="1" x14ac:dyDescent="0.3">
      <c r="A23">
        <v>0</v>
      </c>
      <c r="B23" t="s">
        <v>1458</v>
      </c>
      <c r="D23" t="s">
        <v>1011</v>
      </c>
      <c r="E23" t="s">
        <v>39</v>
      </c>
      <c r="F23" t="s">
        <v>51</v>
      </c>
      <c r="G23" t="s">
        <v>51</v>
      </c>
      <c r="I23" t="s">
        <v>1172</v>
      </c>
      <c r="J23" t="s">
        <v>1124</v>
      </c>
      <c r="K23" t="s">
        <v>1465</v>
      </c>
      <c r="L23" t="s">
        <v>1465</v>
      </c>
      <c r="M23" t="s">
        <v>1465</v>
      </c>
      <c r="N23" t="s">
        <v>1465</v>
      </c>
      <c r="O23" t="s">
        <v>1465</v>
      </c>
      <c r="P23" t="s">
        <v>1389</v>
      </c>
      <c r="Q23" t="s">
        <v>1666</v>
      </c>
      <c r="V23" t="b">
        <v>1</v>
      </c>
      <c r="W23" t="s">
        <v>1497</v>
      </c>
      <c r="X23" t="b">
        <v>0</v>
      </c>
      <c r="Y23">
        <v>-10000</v>
      </c>
    </row>
    <row r="24" spans="1:25" hidden="1" x14ac:dyDescent="0.3">
      <c r="A24">
        <v>0</v>
      </c>
      <c r="B24" t="s">
        <v>1458</v>
      </c>
      <c r="D24" t="s">
        <v>1502</v>
      </c>
      <c r="E24" t="s">
        <v>39</v>
      </c>
      <c r="F24" t="s">
        <v>51</v>
      </c>
      <c r="G24" t="s">
        <v>51</v>
      </c>
      <c r="I24" t="s">
        <v>1172</v>
      </c>
      <c r="J24" t="s">
        <v>1124</v>
      </c>
      <c r="K24" t="s">
        <v>1465</v>
      </c>
      <c r="L24" t="s">
        <v>1465</v>
      </c>
      <c r="M24" t="s">
        <v>1465</v>
      </c>
      <c r="N24" t="s">
        <v>1465</v>
      </c>
      <c r="O24" t="s">
        <v>1465</v>
      </c>
      <c r="P24" t="s">
        <v>1542</v>
      </c>
      <c r="Q24" t="s">
        <v>1669</v>
      </c>
      <c r="V24" t="b">
        <v>1</v>
      </c>
      <c r="W24" t="s">
        <v>1497</v>
      </c>
      <c r="X24" t="b">
        <v>0</v>
      </c>
      <c r="Y24">
        <v>-15000</v>
      </c>
    </row>
    <row r="25" spans="1:25" hidden="1" x14ac:dyDescent="0.3">
      <c r="A25">
        <v>0</v>
      </c>
      <c r="B25" t="s">
        <v>1458</v>
      </c>
      <c r="D25" t="s">
        <v>2343</v>
      </c>
      <c r="E25" t="s">
        <v>39</v>
      </c>
      <c r="F25" t="s">
        <v>51</v>
      </c>
      <c r="G25" t="s">
        <v>51</v>
      </c>
      <c r="I25" t="s">
        <v>1172</v>
      </c>
      <c r="J25" t="s">
        <v>1124</v>
      </c>
      <c r="K25" t="s">
        <v>1465</v>
      </c>
      <c r="L25" t="s">
        <v>1465</v>
      </c>
      <c r="M25" t="s">
        <v>1465</v>
      </c>
      <c r="N25" t="s">
        <v>1465</v>
      </c>
      <c r="O25" t="s">
        <v>1465</v>
      </c>
      <c r="P25" t="s">
        <v>2345</v>
      </c>
      <c r="Q25" t="s">
        <v>1668</v>
      </c>
      <c r="V25" t="b">
        <v>1</v>
      </c>
      <c r="W25" t="s">
        <v>1497</v>
      </c>
      <c r="X25" t="b">
        <v>0</v>
      </c>
      <c r="Y25">
        <v>0.5</v>
      </c>
    </row>
    <row r="26" spans="1:25" hidden="1" x14ac:dyDescent="0.3">
      <c r="A26">
        <v>0</v>
      </c>
      <c r="B26" t="s">
        <v>1458</v>
      </c>
      <c r="D26" t="s">
        <v>2342</v>
      </c>
      <c r="E26" t="s">
        <v>39</v>
      </c>
      <c r="F26" t="s">
        <v>51</v>
      </c>
      <c r="G26" t="s">
        <v>51</v>
      </c>
      <c r="I26" t="s">
        <v>1172</v>
      </c>
      <c r="J26" t="s">
        <v>1124</v>
      </c>
      <c r="K26" t="s">
        <v>1465</v>
      </c>
      <c r="L26" t="s">
        <v>1465</v>
      </c>
      <c r="M26" t="s">
        <v>1465</v>
      </c>
      <c r="N26" t="s">
        <v>1465</v>
      </c>
      <c r="O26" t="s">
        <v>1465</v>
      </c>
      <c r="P26" t="s">
        <v>2344</v>
      </c>
      <c r="Q26" t="s">
        <v>1668</v>
      </c>
      <c r="V26" t="b">
        <v>1</v>
      </c>
      <c r="W26" t="s">
        <v>1497</v>
      </c>
      <c r="X26" t="b">
        <v>0</v>
      </c>
      <c r="Y26">
        <v>0.5</v>
      </c>
    </row>
    <row r="27" spans="1:25" hidden="1" x14ac:dyDescent="0.3">
      <c r="A27">
        <v>1</v>
      </c>
      <c r="B27" t="s">
        <v>1458</v>
      </c>
      <c r="D27" t="s">
        <v>2299</v>
      </c>
      <c r="E27" t="s">
        <v>39</v>
      </c>
      <c r="F27" t="s">
        <v>51</v>
      </c>
      <c r="G27" t="s">
        <v>51</v>
      </c>
      <c r="I27" t="s">
        <v>1036</v>
      </c>
      <c r="J27" t="s">
        <v>1124</v>
      </c>
      <c r="K27" t="s">
        <v>1465</v>
      </c>
      <c r="L27" t="s">
        <v>1465</v>
      </c>
      <c r="M27" t="s">
        <v>1465</v>
      </c>
      <c r="N27" t="s">
        <v>1465</v>
      </c>
      <c r="O27" t="s">
        <v>1465</v>
      </c>
      <c r="P27" t="s">
        <v>2331</v>
      </c>
      <c r="Q27" t="s">
        <v>1670</v>
      </c>
      <c r="V27" t="b">
        <v>1</v>
      </c>
      <c r="W27" t="s">
        <v>1497</v>
      </c>
      <c r="X27" t="b">
        <v>0</v>
      </c>
    </row>
    <row r="28" spans="1:25" hidden="1" x14ac:dyDescent="0.3">
      <c r="A28">
        <v>1</v>
      </c>
      <c r="B28" t="s">
        <v>1458</v>
      </c>
      <c r="D28" t="s">
        <v>2435</v>
      </c>
      <c r="E28" t="s">
        <v>39</v>
      </c>
      <c r="F28" t="s">
        <v>51</v>
      </c>
      <c r="G28" t="s">
        <v>51</v>
      </c>
      <c r="I28" t="s">
        <v>1036</v>
      </c>
      <c r="J28" t="s">
        <v>1124</v>
      </c>
      <c r="K28" t="s">
        <v>1465</v>
      </c>
      <c r="L28" t="s">
        <v>1465</v>
      </c>
      <c r="M28" t="s">
        <v>1465</v>
      </c>
      <c r="N28" t="s">
        <v>1465</v>
      </c>
      <c r="O28" t="s">
        <v>1465</v>
      </c>
      <c r="P28" t="s">
        <v>2438</v>
      </c>
      <c r="Q28" t="s">
        <v>1671</v>
      </c>
      <c r="V28" t="b">
        <v>1</v>
      </c>
      <c r="W28" t="s">
        <v>1497</v>
      </c>
      <c r="X28" t="b">
        <v>0</v>
      </c>
    </row>
    <row r="29" spans="1:25" hidden="1" x14ac:dyDescent="0.3">
      <c r="A29">
        <v>0</v>
      </c>
      <c r="B29" t="s">
        <v>1458</v>
      </c>
      <c r="D29" t="s">
        <v>1017</v>
      </c>
      <c r="E29" t="s">
        <v>39</v>
      </c>
      <c r="F29" t="s">
        <v>51</v>
      </c>
      <c r="G29" t="s">
        <v>51</v>
      </c>
      <c r="I29" t="s">
        <v>1172</v>
      </c>
      <c r="J29" t="s">
        <v>1124</v>
      </c>
      <c r="K29" t="s">
        <v>1465</v>
      </c>
      <c r="L29" t="s">
        <v>1465</v>
      </c>
      <c r="M29" t="s">
        <v>1465</v>
      </c>
      <c r="N29" t="s">
        <v>1465</v>
      </c>
      <c r="O29" t="s">
        <v>1465</v>
      </c>
      <c r="P29" t="s">
        <v>1391</v>
      </c>
      <c r="Q29" t="s">
        <v>1672</v>
      </c>
      <c r="V29" t="b">
        <v>1</v>
      </c>
      <c r="W29" t="s">
        <v>1497</v>
      </c>
      <c r="X29" t="b">
        <v>0</v>
      </c>
      <c r="Y29">
        <v>-16000</v>
      </c>
    </row>
    <row r="30" spans="1:25" hidden="1" x14ac:dyDescent="0.3">
      <c r="A30">
        <v>0</v>
      </c>
      <c r="B30" t="s">
        <v>1458</v>
      </c>
      <c r="D30" t="s">
        <v>1019</v>
      </c>
      <c r="E30" t="s">
        <v>39</v>
      </c>
      <c r="F30" t="s">
        <v>51</v>
      </c>
      <c r="G30" t="s">
        <v>51</v>
      </c>
      <c r="I30" t="s">
        <v>1172</v>
      </c>
      <c r="J30" t="s">
        <v>1124</v>
      </c>
      <c r="K30" t="s">
        <v>1465</v>
      </c>
      <c r="L30" t="s">
        <v>1465</v>
      </c>
      <c r="M30" t="s">
        <v>1465</v>
      </c>
      <c r="N30" t="s">
        <v>1465</v>
      </c>
      <c r="O30" t="s">
        <v>1465</v>
      </c>
      <c r="P30" t="s">
        <v>1392</v>
      </c>
      <c r="V30" t="b">
        <v>1</v>
      </c>
      <c r="W30" t="s">
        <v>1497</v>
      </c>
      <c r="X30" t="b">
        <v>0</v>
      </c>
      <c r="Y30">
        <v>-10</v>
      </c>
    </row>
    <row r="31" spans="1:25" hidden="1" x14ac:dyDescent="0.3">
      <c r="A31">
        <v>0</v>
      </c>
      <c r="B31" t="s">
        <v>1458</v>
      </c>
      <c r="D31" t="s">
        <v>1022</v>
      </c>
      <c r="E31" t="s">
        <v>39</v>
      </c>
      <c r="F31" t="s">
        <v>51</v>
      </c>
      <c r="G31" t="s">
        <v>51</v>
      </c>
      <c r="I31" t="s">
        <v>1172</v>
      </c>
      <c r="J31" t="s">
        <v>1124</v>
      </c>
      <c r="K31" t="s">
        <v>1465</v>
      </c>
      <c r="L31" t="s">
        <v>1465</v>
      </c>
      <c r="M31" t="s">
        <v>1465</v>
      </c>
      <c r="N31" t="s">
        <v>1465</v>
      </c>
      <c r="O31" t="s">
        <v>1465</v>
      </c>
      <c r="P31" t="s">
        <v>1953</v>
      </c>
      <c r="Q31" t="s">
        <v>1954</v>
      </c>
      <c r="V31" t="b">
        <v>1</v>
      </c>
      <c r="W31" t="s">
        <v>1394</v>
      </c>
      <c r="X31" t="b">
        <v>0</v>
      </c>
      <c r="Y31">
        <v>-2570</v>
      </c>
    </row>
    <row r="32" spans="1:25" hidden="1" x14ac:dyDescent="0.3">
      <c r="A32">
        <v>0</v>
      </c>
      <c r="B32" t="s">
        <v>1458</v>
      </c>
      <c r="D32" t="s">
        <v>1022</v>
      </c>
      <c r="E32" t="s">
        <v>39</v>
      </c>
      <c r="F32" t="s">
        <v>51</v>
      </c>
      <c r="G32" t="s">
        <v>51</v>
      </c>
      <c r="I32" t="s">
        <v>1172</v>
      </c>
      <c r="J32" t="s">
        <v>1124</v>
      </c>
      <c r="K32" t="s">
        <v>1465</v>
      </c>
      <c r="L32" t="s">
        <v>1465</v>
      </c>
      <c r="M32" t="s">
        <v>1465</v>
      </c>
      <c r="N32" t="s">
        <v>1465</v>
      </c>
      <c r="O32" t="s">
        <v>1465</v>
      </c>
      <c r="P32" t="s">
        <v>1953</v>
      </c>
      <c r="Q32" t="s">
        <v>1954</v>
      </c>
      <c r="V32" t="b">
        <v>1</v>
      </c>
      <c r="W32" t="s">
        <v>1410</v>
      </c>
      <c r="X32" t="b">
        <v>0</v>
      </c>
      <c r="Y32">
        <v>-2630</v>
      </c>
    </row>
    <row r="33" spans="1:25" hidden="1" x14ac:dyDescent="0.3">
      <c r="A33">
        <v>0</v>
      </c>
      <c r="B33" t="s">
        <v>1458</v>
      </c>
      <c r="D33" t="s">
        <v>1023</v>
      </c>
      <c r="E33" t="s">
        <v>39</v>
      </c>
      <c r="F33" t="s">
        <v>51</v>
      </c>
      <c r="G33" t="s">
        <v>51</v>
      </c>
      <c r="I33" t="s">
        <v>1172</v>
      </c>
      <c r="J33" t="s">
        <v>1124</v>
      </c>
      <c r="K33" t="s">
        <v>1465</v>
      </c>
      <c r="L33" t="s">
        <v>1465</v>
      </c>
      <c r="M33" t="s">
        <v>1465</v>
      </c>
      <c r="N33" t="s">
        <v>1465</v>
      </c>
      <c r="O33" t="s">
        <v>1465</v>
      </c>
      <c r="P33" t="s">
        <v>1024</v>
      </c>
      <c r="Q33" t="s">
        <v>1673</v>
      </c>
      <c r="V33" t="b">
        <v>1</v>
      </c>
      <c r="W33" t="s">
        <v>1410</v>
      </c>
      <c r="X33" t="b">
        <v>0</v>
      </c>
      <c r="Y33">
        <v>-1515</v>
      </c>
    </row>
    <row r="34" spans="1:25" hidden="1" x14ac:dyDescent="0.3">
      <c r="A34">
        <v>0</v>
      </c>
      <c r="B34" t="s">
        <v>1458</v>
      </c>
      <c r="D34" t="s">
        <v>1023</v>
      </c>
      <c r="E34" t="s">
        <v>39</v>
      </c>
      <c r="F34" t="s">
        <v>51</v>
      </c>
      <c r="G34" t="s">
        <v>51</v>
      </c>
      <c r="I34" t="s">
        <v>1172</v>
      </c>
      <c r="J34" t="s">
        <v>1124</v>
      </c>
      <c r="K34" t="s">
        <v>1465</v>
      </c>
      <c r="L34" t="s">
        <v>1465</v>
      </c>
      <c r="M34" t="s">
        <v>1465</v>
      </c>
      <c r="N34" t="s">
        <v>1465</v>
      </c>
      <c r="O34" t="s">
        <v>1465</v>
      </c>
      <c r="P34" t="s">
        <v>1024</v>
      </c>
      <c r="Q34" t="s">
        <v>1673</v>
      </c>
      <c r="V34" t="b">
        <v>1</v>
      </c>
      <c r="W34" t="s">
        <v>1394</v>
      </c>
      <c r="X34" t="b">
        <v>0</v>
      </c>
      <c r="Y34">
        <v>-1480</v>
      </c>
    </row>
    <row r="35" spans="1:25" hidden="1" x14ac:dyDescent="0.3">
      <c r="A35">
        <v>0</v>
      </c>
      <c r="B35" t="s">
        <v>1458</v>
      </c>
      <c r="D35" t="s">
        <v>1025</v>
      </c>
      <c r="E35" t="s">
        <v>39</v>
      </c>
      <c r="F35" t="s">
        <v>51</v>
      </c>
      <c r="G35" t="s">
        <v>51</v>
      </c>
      <c r="I35" t="s">
        <v>1172</v>
      </c>
      <c r="J35" t="s">
        <v>1124</v>
      </c>
      <c r="K35" t="s">
        <v>1465</v>
      </c>
      <c r="L35" t="s">
        <v>1465</v>
      </c>
      <c r="M35" t="s">
        <v>1465</v>
      </c>
      <c r="N35" t="s">
        <v>1465</v>
      </c>
      <c r="O35" t="s">
        <v>1465</v>
      </c>
      <c r="P35" t="s">
        <v>1026</v>
      </c>
      <c r="Q35" t="s">
        <v>1674</v>
      </c>
      <c r="V35" t="b">
        <v>1</v>
      </c>
      <c r="W35" t="s">
        <v>1394</v>
      </c>
      <c r="X35" t="b">
        <v>0</v>
      </c>
      <c r="Y35">
        <v>-1050</v>
      </c>
    </row>
    <row r="36" spans="1:25" hidden="1" x14ac:dyDescent="0.3">
      <c r="A36">
        <v>0</v>
      </c>
      <c r="B36" t="s">
        <v>1458</v>
      </c>
      <c r="D36" t="s">
        <v>1025</v>
      </c>
      <c r="E36" t="s">
        <v>39</v>
      </c>
      <c r="F36" t="s">
        <v>51</v>
      </c>
      <c r="G36" t="s">
        <v>51</v>
      </c>
      <c r="I36" t="s">
        <v>1172</v>
      </c>
      <c r="J36" t="s">
        <v>1124</v>
      </c>
      <c r="K36" t="s">
        <v>1465</v>
      </c>
      <c r="L36" t="s">
        <v>1465</v>
      </c>
      <c r="M36" t="s">
        <v>1465</v>
      </c>
      <c r="N36" t="s">
        <v>1465</v>
      </c>
      <c r="O36" t="s">
        <v>1465</v>
      </c>
      <c r="P36" t="s">
        <v>1026</v>
      </c>
      <c r="Q36" t="s">
        <v>1674</v>
      </c>
      <c r="V36" t="b">
        <v>1</v>
      </c>
      <c r="W36" t="s">
        <v>1410</v>
      </c>
      <c r="X36" t="b">
        <v>0</v>
      </c>
      <c r="Y36">
        <v>-1075</v>
      </c>
    </row>
    <row r="37" spans="1:25" hidden="1" x14ac:dyDescent="0.3">
      <c r="A37">
        <v>0</v>
      </c>
      <c r="B37" t="s">
        <v>1458</v>
      </c>
      <c r="D37" t="s">
        <v>1027</v>
      </c>
      <c r="E37" t="s">
        <v>39</v>
      </c>
      <c r="F37" t="s">
        <v>51</v>
      </c>
      <c r="G37" t="s">
        <v>51</v>
      </c>
      <c r="I37" t="s">
        <v>1172</v>
      </c>
      <c r="J37" t="s">
        <v>1124</v>
      </c>
      <c r="K37" t="s">
        <v>1465</v>
      </c>
      <c r="L37" t="s">
        <v>1465</v>
      </c>
      <c r="M37" t="s">
        <v>1465</v>
      </c>
      <c r="N37" t="s">
        <v>1465</v>
      </c>
      <c r="O37" t="s">
        <v>1465</v>
      </c>
      <c r="P37" t="s">
        <v>1393</v>
      </c>
      <c r="Q37" t="s">
        <v>1675</v>
      </c>
      <c r="V37" t="b">
        <v>1</v>
      </c>
      <c r="W37" t="s">
        <v>1394</v>
      </c>
      <c r="X37" t="b">
        <v>0</v>
      </c>
      <c r="Y37">
        <v>-340</v>
      </c>
    </row>
    <row r="38" spans="1:25" hidden="1" x14ac:dyDescent="0.3">
      <c r="A38">
        <v>0</v>
      </c>
      <c r="B38" t="s">
        <v>1458</v>
      </c>
      <c r="D38" t="s">
        <v>1027</v>
      </c>
      <c r="E38" t="s">
        <v>39</v>
      </c>
      <c r="F38" t="s">
        <v>51</v>
      </c>
      <c r="G38" t="s">
        <v>51</v>
      </c>
      <c r="I38" t="s">
        <v>1172</v>
      </c>
      <c r="J38" t="s">
        <v>1124</v>
      </c>
      <c r="K38" t="s">
        <v>1465</v>
      </c>
      <c r="L38" t="s">
        <v>1465</v>
      </c>
      <c r="M38" t="s">
        <v>1465</v>
      </c>
      <c r="N38" t="s">
        <v>1465</v>
      </c>
      <c r="O38" t="s">
        <v>1465</v>
      </c>
      <c r="P38" t="s">
        <v>1393</v>
      </c>
      <c r="Q38" t="s">
        <v>1675</v>
      </c>
      <c r="V38" t="b">
        <v>1</v>
      </c>
      <c r="W38" t="s">
        <v>1410</v>
      </c>
      <c r="X38" t="b">
        <v>0</v>
      </c>
      <c r="Y38">
        <v>-350</v>
      </c>
    </row>
    <row r="39" spans="1:25" hidden="1" x14ac:dyDescent="0.3">
      <c r="A39">
        <v>0</v>
      </c>
      <c r="B39" t="s">
        <v>1458</v>
      </c>
      <c r="D39" t="s">
        <v>1028</v>
      </c>
      <c r="E39" t="s">
        <v>39</v>
      </c>
      <c r="F39" t="s">
        <v>51</v>
      </c>
      <c r="G39" t="s">
        <v>51</v>
      </c>
      <c r="I39" t="s">
        <v>1172</v>
      </c>
      <c r="J39" t="s">
        <v>1124</v>
      </c>
      <c r="K39" t="s">
        <v>1465</v>
      </c>
      <c r="L39" t="s">
        <v>1465</v>
      </c>
      <c r="M39" t="s">
        <v>1465</v>
      </c>
      <c r="N39" t="s">
        <v>1465</v>
      </c>
      <c r="O39" t="s">
        <v>1465</v>
      </c>
      <c r="P39" t="s">
        <v>1676</v>
      </c>
      <c r="V39" t="b">
        <v>1</v>
      </c>
      <c r="W39" t="s">
        <v>1497</v>
      </c>
      <c r="X39" t="b">
        <v>0</v>
      </c>
      <c r="Y39">
        <v>27</v>
      </c>
    </row>
    <row r="40" spans="1:25" hidden="1" x14ac:dyDescent="0.3">
      <c r="A40">
        <v>0</v>
      </c>
      <c r="B40" t="s">
        <v>1458</v>
      </c>
      <c r="D40" t="s">
        <v>1028</v>
      </c>
      <c r="E40" t="s">
        <v>39</v>
      </c>
      <c r="F40" t="s">
        <v>51</v>
      </c>
      <c r="G40" t="s">
        <v>51</v>
      </c>
      <c r="I40" t="s">
        <v>1172</v>
      </c>
      <c r="J40" t="s">
        <v>1124</v>
      </c>
      <c r="K40" t="s">
        <v>1465</v>
      </c>
      <c r="L40" t="s">
        <v>1465</v>
      </c>
      <c r="M40" t="s">
        <v>1465</v>
      </c>
      <c r="N40" t="s">
        <v>1465</v>
      </c>
      <c r="O40" t="s">
        <v>1465</v>
      </c>
      <c r="P40" t="s">
        <v>1676</v>
      </c>
      <c r="V40" t="b">
        <v>1</v>
      </c>
      <c r="W40" t="s">
        <v>1410</v>
      </c>
      <c r="X40" t="b">
        <v>0</v>
      </c>
      <c r="Y40">
        <v>25</v>
      </c>
    </row>
    <row r="41" spans="1:25" hidden="1" x14ac:dyDescent="0.3">
      <c r="A41">
        <v>0</v>
      </c>
      <c r="B41" t="s">
        <v>1458</v>
      </c>
      <c r="D41" t="s">
        <v>1028</v>
      </c>
      <c r="E41" t="s">
        <v>39</v>
      </c>
      <c r="F41" t="s">
        <v>51</v>
      </c>
      <c r="G41" t="s">
        <v>51</v>
      </c>
      <c r="I41" t="s">
        <v>1172</v>
      </c>
      <c r="J41" t="s">
        <v>1124</v>
      </c>
      <c r="K41" t="s">
        <v>1465</v>
      </c>
      <c r="L41" t="s">
        <v>1465</v>
      </c>
      <c r="M41" t="s">
        <v>1465</v>
      </c>
      <c r="N41" t="s">
        <v>1465</v>
      </c>
      <c r="O41" t="s">
        <v>1465</v>
      </c>
      <c r="P41" t="s">
        <v>1676</v>
      </c>
      <c r="V41" t="b">
        <v>1</v>
      </c>
      <c r="W41" t="s">
        <v>1394</v>
      </c>
      <c r="X41" t="b">
        <v>0</v>
      </c>
      <c r="Y41">
        <v>23</v>
      </c>
    </row>
    <row r="42" spans="1:25" hidden="1" x14ac:dyDescent="0.3">
      <c r="A42">
        <v>0</v>
      </c>
      <c r="B42" t="s">
        <v>1458</v>
      </c>
      <c r="D42" t="s">
        <v>1575</v>
      </c>
      <c r="E42" t="s">
        <v>39</v>
      </c>
      <c r="F42" t="s">
        <v>51</v>
      </c>
      <c r="G42" t="s">
        <v>51</v>
      </c>
      <c r="I42" t="s">
        <v>1172</v>
      </c>
      <c r="J42" t="s">
        <v>1124</v>
      </c>
      <c r="K42" t="s">
        <v>1465</v>
      </c>
      <c r="L42" t="s">
        <v>1465</v>
      </c>
      <c r="M42" t="s">
        <v>1465</v>
      </c>
      <c r="N42" t="s">
        <v>1465</v>
      </c>
      <c r="O42" t="s">
        <v>1465</v>
      </c>
      <c r="P42" t="s">
        <v>1576</v>
      </c>
      <c r="V42" t="b">
        <v>1</v>
      </c>
      <c r="W42" t="s">
        <v>1497</v>
      </c>
      <c r="X42" t="b">
        <v>0</v>
      </c>
      <c r="Y42">
        <v>-495.9</v>
      </c>
    </row>
    <row r="43" spans="1:25" hidden="1" x14ac:dyDescent="0.3">
      <c r="A43">
        <v>0</v>
      </c>
      <c r="B43" t="s">
        <v>1458</v>
      </c>
      <c r="D43" t="s">
        <v>1575</v>
      </c>
      <c r="E43" t="s">
        <v>39</v>
      </c>
      <c r="F43" t="s">
        <v>51</v>
      </c>
      <c r="G43" t="s">
        <v>51</v>
      </c>
      <c r="I43" t="s">
        <v>1172</v>
      </c>
      <c r="J43" t="s">
        <v>1124</v>
      </c>
      <c r="K43" t="s">
        <v>1465</v>
      </c>
      <c r="L43" t="s">
        <v>1465</v>
      </c>
      <c r="M43" t="s">
        <v>1465</v>
      </c>
      <c r="N43" t="s">
        <v>1465</v>
      </c>
      <c r="O43" t="s">
        <v>1465</v>
      </c>
      <c r="P43" t="s">
        <v>1576</v>
      </c>
      <c r="V43" t="b">
        <v>1</v>
      </c>
      <c r="W43" t="s">
        <v>1394</v>
      </c>
      <c r="X43" t="b">
        <v>0</v>
      </c>
      <c r="Y43">
        <v>-480.7</v>
      </c>
    </row>
    <row r="44" spans="1:25" hidden="1" x14ac:dyDescent="0.3">
      <c r="A44">
        <v>0</v>
      </c>
      <c r="B44" t="s">
        <v>1458</v>
      </c>
      <c r="D44" t="s">
        <v>1575</v>
      </c>
      <c r="E44" t="s">
        <v>39</v>
      </c>
      <c r="F44" t="s">
        <v>51</v>
      </c>
      <c r="G44" t="s">
        <v>51</v>
      </c>
      <c r="I44" t="s">
        <v>1172</v>
      </c>
      <c r="J44" t="s">
        <v>1124</v>
      </c>
      <c r="K44" t="s">
        <v>1465</v>
      </c>
      <c r="L44" t="s">
        <v>1465</v>
      </c>
      <c r="M44" t="s">
        <v>1465</v>
      </c>
      <c r="N44" t="s">
        <v>1465</v>
      </c>
      <c r="O44" t="s">
        <v>1465</v>
      </c>
      <c r="P44" t="s">
        <v>1576</v>
      </c>
      <c r="V44" t="b">
        <v>1</v>
      </c>
      <c r="W44" t="s">
        <v>1410</v>
      </c>
      <c r="X44" t="b">
        <v>0</v>
      </c>
      <c r="Y44">
        <v>-490.2</v>
      </c>
    </row>
    <row r="45" spans="1:25" hidden="1" x14ac:dyDescent="0.3">
      <c r="A45">
        <v>0</v>
      </c>
      <c r="B45" t="s">
        <v>1458</v>
      </c>
      <c r="D45" t="s">
        <v>1573</v>
      </c>
      <c r="E45" t="s">
        <v>39</v>
      </c>
      <c r="F45" t="s">
        <v>51</v>
      </c>
      <c r="G45" t="s">
        <v>51</v>
      </c>
      <c r="I45" t="s">
        <v>2036</v>
      </c>
      <c r="J45" t="s">
        <v>1124</v>
      </c>
      <c r="K45" t="s">
        <v>1465</v>
      </c>
      <c r="L45" t="s">
        <v>1465</v>
      </c>
      <c r="M45" t="s">
        <v>1465</v>
      </c>
      <c r="N45" t="s">
        <v>1465</v>
      </c>
      <c r="O45" t="s">
        <v>1465</v>
      </c>
      <c r="P45" t="s">
        <v>1577</v>
      </c>
      <c r="Q45" t="s">
        <v>1677</v>
      </c>
      <c r="V45" t="b">
        <v>1</v>
      </c>
      <c r="W45" t="s">
        <v>1497</v>
      </c>
      <c r="X45" t="b">
        <v>1</v>
      </c>
    </row>
    <row r="46" spans="1:25" hidden="1" x14ac:dyDescent="0.3">
      <c r="A46">
        <v>0</v>
      </c>
      <c r="B46" t="s">
        <v>1458</v>
      </c>
      <c r="D46" t="s">
        <v>1030</v>
      </c>
      <c r="E46" t="s">
        <v>39</v>
      </c>
      <c r="F46" t="s">
        <v>51</v>
      </c>
      <c r="G46" t="s">
        <v>51</v>
      </c>
      <c r="I46" t="s">
        <v>1172</v>
      </c>
      <c r="J46" t="s">
        <v>1124</v>
      </c>
      <c r="K46" t="s">
        <v>1465</v>
      </c>
      <c r="L46" t="s">
        <v>1465</v>
      </c>
      <c r="M46" t="s">
        <v>1465</v>
      </c>
      <c r="N46" t="s">
        <v>1465</v>
      </c>
      <c r="O46" t="s">
        <v>1465</v>
      </c>
      <c r="P46" t="s">
        <v>2065</v>
      </c>
      <c r="V46" t="b">
        <v>1</v>
      </c>
      <c r="W46" t="s">
        <v>1499</v>
      </c>
      <c r="X46" t="b">
        <v>0</v>
      </c>
      <c r="Y46">
        <v>2.1</v>
      </c>
    </row>
    <row r="47" spans="1:25" hidden="1" x14ac:dyDescent="0.3">
      <c r="A47">
        <v>0</v>
      </c>
      <c r="B47" t="s">
        <v>1458</v>
      </c>
      <c r="D47" t="s">
        <v>1030</v>
      </c>
      <c r="E47" t="s">
        <v>39</v>
      </c>
      <c r="F47" t="s">
        <v>51</v>
      </c>
      <c r="G47" t="s">
        <v>51</v>
      </c>
      <c r="I47" t="s">
        <v>1172</v>
      </c>
      <c r="J47" t="s">
        <v>1124</v>
      </c>
      <c r="K47" t="s">
        <v>1465</v>
      </c>
      <c r="L47" t="s">
        <v>1465</v>
      </c>
      <c r="M47" t="s">
        <v>1465</v>
      </c>
      <c r="N47" t="s">
        <v>1465</v>
      </c>
      <c r="O47" t="s">
        <v>1465</v>
      </c>
      <c r="P47" t="s">
        <v>2065</v>
      </c>
      <c r="V47" t="b">
        <v>1</v>
      </c>
      <c r="W47" t="s">
        <v>1497</v>
      </c>
      <c r="X47" t="b">
        <v>0</v>
      </c>
      <c r="Y47">
        <v>1.9</v>
      </c>
    </row>
    <row r="48" spans="1:25" hidden="1" x14ac:dyDescent="0.3">
      <c r="A48">
        <v>0</v>
      </c>
      <c r="B48" t="s">
        <v>1458</v>
      </c>
      <c r="D48" t="s">
        <v>1030</v>
      </c>
      <c r="E48" t="s">
        <v>39</v>
      </c>
      <c r="F48" t="s">
        <v>51</v>
      </c>
      <c r="G48" t="s">
        <v>51</v>
      </c>
      <c r="I48" t="s">
        <v>1172</v>
      </c>
      <c r="J48" t="s">
        <v>1124</v>
      </c>
      <c r="K48" t="s">
        <v>1465</v>
      </c>
      <c r="L48" t="s">
        <v>1465</v>
      </c>
      <c r="M48" t="s">
        <v>1465</v>
      </c>
      <c r="N48" t="s">
        <v>1465</v>
      </c>
      <c r="O48" t="s">
        <v>1465</v>
      </c>
      <c r="P48" t="s">
        <v>2065</v>
      </c>
      <c r="V48" t="b">
        <v>1</v>
      </c>
      <c r="W48" t="s">
        <v>1410</v>
      </c>
      <c r="X48" t="b">
        <v>0</v>
      </c>
      <c r="Y48">
        <v>2.2999999999999998</v>
      </c>
    </row>
    <row r="49" spans="1:25" hidden="1" x14ac:dyDescent="0.3">
      <c r="A49">
        <v>0</v>
      </c>
      <c r="B49" t="s">
        <v>1458</v>
      </c>
      <c r="D49" t="s">
        <v>1052</v>
      </c>
      <c r="E49" t="s">
        <v>39</v>
      </c>
      <c r="F49" t="s">
        <v>51</v>
      </c>
      <c r="G49" t="s">
        <v>51</v>
      </c>
      <c r="J49" t="s">
        <v>1124</v>
      </c>
      <c r="K49" t="s">
        <v>1465</v>
      </c>
      <c r="L49" t="s">
        <v>1465</v>
      </c>
      <c r="M49" t="s">
        <v>1465</v>
      </c>
      <c r="N49" t="s">
        <v>1465</v>
      </c>
      <c r="O49" t="s">
        <v>1465</v>
      </c>
      <c r="P49" t="s">
        <v>2066</v>
      </c>
      <c r="Q49" t="s">
        <v>1678</v>
      </c>
      <c r="V49" t="b">
        <v>1</v>
      </c>
      <c r="W49" t="s">
        <v>1410</v>
      </c>
      <c r="X49" t="b">
        <v>0</v>
      </c>
      <c r="Y49">
        <v>2.2999999999999998</v>
      </c>
    </row>
    <row r="50" spans="1:25" hidden="1" x14ac:dyDescent="0.3">
      <c r="A50">
        <v>0</v>
      </c>
      <c r="B50" t="s">
        <v>1458</v>
      </c>
      <c r="D50" t="s">
        <v>1052</v>
      </c>
      <c r="E50" t="s">
        <v>39</v>
      </c>
      <c r="F50" t="s">
        <v>51</v>
      </c>
      <c r="G50" t="s">
        <v>51</v>
      </c>
      <c r="J50" t="s">
        <v>1124</v>
      </c>
      <c r="K50" t="s">
        <v>1465</v>
      </c>
      <c r="L50" t="s">
        <v>1465</v>
      </c>
      <c r="M50" t="s">
        <v>1465</v>
      </c>
      <c r="N50" t="s">
        <v>1465</v>
      </c>
      <c r="O50" t="s">
        <v>1465</v>
      </c>
      <c r="P50" t="s">
        <v>2066</v>
      </c>
      <c r="Q50" t="s">
        <v>1678</v>
      </c>
      <c r="V50" t="b">
        <v>1</v>
      </c>
      <c r="W50" t="s">
        <v>1497</v>
      </c>
      <c r="X50" t="b">
        <v>0</v>
      </c>
      <c r="Y50">
        <v>1.9</v>
      </c>
    </row>
    <row r="51" spans="1:25" hidden="1" x14ac:dyDescent="0.3">
      <c r="A51">
        <v>0</v>
      </c>
      <c r="B51" t="s">
        <v>1458</v>
      </c>
      <c r="D51" t="s">
        <v>1052</v>
      </c>
      <c r="E51" t="s">
        <v>39</v>
      </c>
      <c r="F51" t="s">
        <v>51</v>
      </c>
      <c r="G51" t="s">
        <v>51</v>
      </c>
      <c r="J51" t="s">
        <v>1124</v>
      </c>
      <c r="K51" t="s">
        <v>1465</v>
      </c>
      <c r="L51" t="s">
        <v>1465</v>
      </c>
      <c r="M51" t="s">
        <v>1465</v>
      </c>
      <c r="N51" t="s">
        <v>1465</v>
      </c>
      <c r="O51" t="s">
        <v>1465</v>
      </c>
      <c r="P51" t="s">
        <v>2066</v>
      </c>
      <c r="Q51" t="s">
        <v>1678</v>
      </c>
      <c r="V51" t="b">
        <v>1</v>
      </c>
      <c r="W51" t="s">
        <v>1499</v>
      </c>
      <c r="X51" t="b">
        <v>0</v>
      </c>
      <c r="Y51">
        <v>2.1</v>
      </c>
    </row>
    <row r="52" spans="1:25" hidden="1" x14ac:dyDescent="0.3">
      <c r="A52">
        <v>1</v>
      </c>
      <c r="B52" t="s">
        <v>1458</v>
      </c>
      <c r="D52" t="s">
        <v>1032</v>
      </c>
      <c r="E52" t="s">
        <v>39</v>
      </c>
      <c r="F52" t="s">
        <v>51</v>
      </c>
      <c r="G52" t="s">
        <v>51</v>
      </c>
      <c r="I52" t="s">
        <v>1172</v>
      </c>
      <c r="J52" t="s">
        <v>1124</v>
      </c>
      <c r="K52" t="s">
        <v>1465</v>
      </c>
      <c r="L52" t="s">
        <v>1465</v>
      </c>
      <c r="M52" t="s">
        <v>1465</v>
      </c>
      <c r="N52" t="s">
        <v>1465</v>
      </c>
      <c r="O52" t="s">
        <v>1465</v>
      </c>
      <c r="P52" t="s">
        <v>1402</v>
      </c>
      <c r="V52" t="b">
        <v>1</v>
      </c>
      <c r="W52" t="s">
        <v>1497</v>
      </c>
      <c r="X52" t="b">
        <v>0</v>
      </c>
    </row>
    <row r="53" spans="1:25" hidden="1" x14ac:dyDescent="0.3">
      <c r="A53">
        <v>1</v>
      </c>
      <c r="B53" t="s">
        <v>1458</v>
      </c>
      <c r="D53" t="s">
        <v>1036</v>
      </c>
      <c r="E53" t="s">
        <v>39</v>
      </c>
      <c r="F53" t="s">
        <v>51</v>
      </c>
      <c r="G53" t="s">
        <v>51</v>
      </c>
      <c r="I53" t="s">
        <v>1172</v>
      </c>
      <c r="J53" t="s">
        <v>1124</v>
      </c>
      <c r="K53" t="s">
        <v>1465</v>
      </c>
      <c r="L53" t="s">
        <v>1465</v>
      </c>
      <c r="M53" t="s">
        <v>1465</v>
      </c>
      <c r="N53" t="s">
        <v>1465</v>
      </c>
      <c r="O53" t="s">
        <v>1465</v>
      </c>
      <c r="P53" t="s">
        <v>1302</v>
      </c>
      <c r="V53" t="b">
        <v>1</v>
      </c>
      <c r="W53" t="s">
        <v>1497</v>
      </c>
      <c r="X53" t="b">
        <v>0</v>
      </c>
    </row>
    <row r="54" spans="1:25" hidden="1" x14ac:dyDescent="0.3">
      <c r="A54">
        <v>1</v>
      </c>
      <c r="B54" t="s">
        <v>1458</v>
      </c>
      <c r="D54" t="s">
        <v>1038</v>
      </c>
      <c r="E54" t="s">
        <v>39</v>
      </c>
      <c r="F54" t="s">
        <v>51</v>
      </c>
      <c r="G54" t="s">
        <v>51</v>
      </c>
      <c r="I54" t="s">
        <v>1172</v>
      </c>
      <c r="J54" t="s">
        <v>1124</v>
      </c>
      <c r="K54" t="s">
        <v>1465</v>
      </c>
      <c r="L54" t="s">
        <v>1465</v>
      </c>
      <c r="M54" t="s">
        <v>1465</v>
      </c>
      <c r="N54" t="s">
        <v>1465</v>
      </c>
      <c r="O54" t="s">
        <v>1465</v>
      </c>
      <c r="P54" t="s">
        <v>1401</v>
      </c>
      <c r="V54" t="b">
        <v>1</v>
      </c>
      <c r="W54" t="s">
        <v>1497</v>
      </c>
      <c r="X54" t="b">
        <v>0</v>
      </c>
    </row>
    <row r="55" spans="1:25" hidden="1" x14ac:dyDescent="0.3">
      <c r="A55">
        <v>2</v>
      </c>
      <c r="B55" t="s">
        <v>1458</v>
      </c>
      <c r="D55" t="s">
        <v>1034</v>
      </c>
      <c r="E55" t="s">
        <v>39</v>
      </c>
      <c r="F55" t="s">
        <v>51</v>
      </c>
      <c r="G55" t="s">
        <v>51</v>
      </c>
      <c r="I55" t="s">
        <v>1172</v>
      </c>
      <c r="J55" t="s">
        <v>1124</v>
      </c>
      <c r="K55" t="s">
        <v>1465</v>
      </c>
      <c r="L55" t="s">
        <v>1465</v>
      </c>
      <c r="M55" t="s">
        <v>1465</v>
      </c>
      <c r="N55" t="s">
        <v>1465</v>
      </c>
      <c r="O55" t="s">
        <v>1465</v>
      </c>
      <c r="P55" t="s">
        <v>1311</v>
      </c>
      <c r="V55" t="b">
        <v>1</v>
      </c>
      <c r="W55" t="s">
        <v>1497</v>
      </c>
      <c r="X55" t="b">
        <v>0</v>
      </c>
    </row>
    <row r="56" spans="1:25" hidden="1" x14ac:dyDescent="0.3">
      <c r="A56">
        <v>0</v>
      </c>
      <c r="B56" t="s">
        <v>1458</v>
      </c>
      <c r="D56" t="s">
        <v>1054</v>
      </c>
      <c r="E56" t="s">
        <v>39</v>
      </c>
      <c r="F56" t="s">
        <v>51</v>
      </c>
      <c r="G56" t="s">
        <v>51</v>
      </c>
      <c r="J56" t="s">
        <v>1124</v>
      </c>
      <c r="K56" t="s">
        <v>1465</v>
      </c>
      <c r="L56" t="s">
        <v>1465</v>
      </c>
      <c r="M56" t="s">
        <v>1465</v>
      </c>
      <c r="N56" t="s">
        <v>1465</v>
      </c>
      <c r="O56" t="s">
        <v>1465</v>
      </c>
      <c r="P56" t="s">
        <v>2064</v>
      </c>
      <c r="Q56" t="s">
        <v>1685</v>
      </c>
      <c r="V56" t="b">
        <v>1</v>
      </c>
      <c r="W56" t="s">
        <v>1499</v>
      </c>
      <c r="X56" t="b">
        <v>0</v>
      </c>
      <c r="Y56">
        <v>2.9</v>
      </c>
    </row>
    <row r="57" spans="1:25" hidden="1" x14ac:dyDescent="0.3">
      <c r="A57">
        <v>0</v>
      </c>
      <c r="B57" t="s">
        <v>1458</v>
      </c>
      <c r="D57" t="s">
        <v>1054</v>
      </c>
      <c r="E57" t="s">
        <v>39</v>
      </c>
      <c r="F57" t="s">
        <v>51</v>
      </c>
      <c r="G57" t="s">
        <v>51</v>
      </c>
      <c r="J57" t="s">
        <v>1124</v>
      </c>
      <c r="K57" t="s">
        <v>1465</v>
      </c>
      <c r="L57" t="s">
        <v>1465</v>
      </c>
      <c r="M57" t="s">
        <v>1465</v>
      </c>
      <c r="N57" t="s">
        <v>1465</v>
      </c>
      <c r="O57" t="s">
        <v>1465</v>
      </c>
      <c r="P57" t="s">
        <v>2064</v>
      </c>
      <c r="Q57" t="s">
        <v>1685</v>
      </c>
      <c r="V57" t="b">
        <v>1</v>
      </c>
      <c r="W57" t="s">
        <v>1497</v>
      </c>
      <c r="X57" t="b">
        <v>0</v>
      </c>
      <c r="Y57">
        <v>2.2999999999999998</v>
      </c>
    </row>
    <row r="58" spans="1:25" hidden="1" x14ac:dyDescent="0.3">
      <c r="A58">
        <v>0</v>
      </c>
      <c r="B58" t="s">
        <v>1458</v>
      </c>
      <c r="D58" t="s">
        <v>1054</v>
      </c>
      <c r="E58" t="s">
        <v>39</v>
      </c>
      <c r="F58" t="s">
        <v>51</v>
      </c>
      <c r="G58" t="s">
        <v>51</v>
      </c>
      <c r="J58" t="s">
        <v>1124</v>
      </c>
      <c r="K58" t="s">
        <v>1465</v>
      </c>
      <c r="L58" t="s">
        <v>1465</v>
      </c>
      <c r="M58" t="s">
        <v>1465</v>
      </c>
      <c r="N58" t="s">
        <v>1465</v>
      </c>
      <c r="O58" t="s">
        <v>1465</v>
      </c>
      <c r="P58" t="s">
        <v>2064</v>
      </c>
      <c r="Q58" t="s">
        <v>1685</v>
      </c>
      <c r="V58" t="b">
        <v>1</v>
      </c>
      <c r="W58" t="s">
        <v>1410</v>
      </c>
      <c r="X58" t="b">
        <v>0</v>
      </c>
      <c r="Y58">
        <v>3.5</v>
      </c>
    </row>
    <row r="59" spans="1:25" hidden="1" x14ac:dyDescent="0.3">
      <c r="A59">
        <v>0</v>
      </c>
      <c r="B59" t="s">
        <v>1458</v>
      </c>
      <c r="D59" t="s">
        <v>1054</v>
      </c>
      <c r="E59" t="s">
        <v>39</v>
      </c>
      <c r="F59" t="s">
        <v>51</v>
      </c>
      <c r="G59" t="s">
        <v>51</v>
      </c>
      <c r="J59" t="s">
        <v>1124</v>
      </c>
      <c r="K59" t="s">
        <v>1465</v>
      </c>
      <c r="L59" t="s">
        <v>1465</v>
      </c>
      <c r="M59" t="s">
        <v>1465</v>
      </c>
      <c r="N59" t="s">
        <v>1465</v>
      </c>
      <c r="O59" t="s">
        <v>1465</v>
      </c>
      <c r="P59" t="s">
        <v>2064</v>
      </c>
      <c r="Q59" t="s">
        <v>1685</v>
      </c>
      <c r="V59" t="b">
        <v>1</v>
      </c>
      <c r="W59" t="s">
        <v>1394</v>
      </c>
      <c r="X59" t="b">
        <v>0</v>
      </c>
      <c r="Y59">
        <v>3</v>
      </c>
    </row>
    <row r="60" spans="1:25" hidden="1" x14ac:dyDescent="0.3">
      <c r="A60">
        <v>1</v>
      </c>
      <c r="B60" t="s">
        <v>1458</v>
      </c>
      <c r="D60" t="s">
        <v>2059</v>
      </c>
      <c r="E60" t="s">
        <v>39</v>
      </c>
      <c r="F60" t="s">
        <v>51</v>
      </c>
      <c r="G60" t="s">
        <v>51</v>
      </c>
      <c r="I60" t="s">
        <v>1172</v>
      </c>
      <c r="J60" t="s">
        <v>1124</v>
      </c>
      <c r="K60" t="s">
        <v>1465</v>
      </c>
      <c r="L60" t="s">
        <v>1465</v>
      </c>
      <c r="M60" t="s">
        <v>1465</v>
      </c>
      <c r="N60" t="s">
        <v>1465</v>
      </c>
      <c r="O60" t="s">
        <v>1465</v>
      </c>
      <c r="P60" t="s">
        <v>2063</v>
      </c>
      <c r="V60" t="b">
        <v>1</v>
      </c>
      <c r="W60" t="s">
        <v>1497</v>
      </c>
      <c r="X60" t="b">
        <v>0</v>
      </c>
    </row>
    <row r="61" spans="1:25" hidden="1" x14ac:dyDescent="0.3">
      <c r="A61">
        <v>1</v>
      </c>
      <c r="B61" t="s">
        <v>1458</v>
      </c>
      <c r="D61" t="s">
        <v>2058</v>
      </c>
      <c r="E61" t="s">
        <v>39</v>
      </c>
      <c r="F61" t="s">
        <v>51</v>
      </c>
      <c r="G61" t="s">
        <v>51</v>
      </c>
      <c r="I61" t="s">
        <v>1172</v>
      </c>
      <c r="J61" t="s">
        <v>1124</v>
      </c>
      <c r="K61" t="s">
        <v>1465</v>
      </c>
      <c r="L61" t="s">
        <v>1465</v>
      </c>
      <c r="M61" t="s">
        <v>1465</v>
      </c>
      <c r="N61" t="s">
        <v>1465</v>
      </c>
      <c r="O61" t="s">
        <v>1465</v>
      </c>
      <c r="P61" t="s">
        <v>2062</v>
      </c>
      <c r="V61" t="b">
        <v>1</v>
      </c>
      <c r="W61" t="s">
        <v>1497</v>
      </c>
      <c r="X61" t="b">
        <v>0</v>
      </c>
    </row>
    <row r="62" spans="1:25" hidden="1" x14ac:dyDescent="0.3">
      <c r="A62">
        <v>0</v>
      </c>
      <c r="B62" t="s">
        <v>1460</v>
      </c>
      <c r="D62" t="s">
        <v>920</v>
      </c>
      <c r="E62" t="s">
        <v>2285</v>
      </c>
      <c r="F62" t="s">
        <v>51</v>
      </c>
      <c r="G62" t="s">
        <v>51</v>
      </c>
      <c r="I62" t="s">
        <v>920</v>
      </c>
      <c r="J62" t="s">
        <v>1124</v>
      </c>
      <c r="K62" t="s">
        <v>1465</v>
      </c>
      <c r="L62" t="s">
        <v>1465</v>
      </c>
      <c r="M62" t="s">
        <v>1465</v>
      </c>
      <c r="N62" t="s">
        <v>1465</v>
      </c>
      <c r="O62" t="s">
        <v>1465</v>
      </c>
      <c r="P62" t="s">
        <v>921</v>
      </c>
      <c r="Q62" t="s">
        <v>1633</v>
      </c>
      <c r="R62">
        <v>0</v>
      </c>
      <c r="V62" t="b">
        <v>1</v>
      </c>
      <c r="W62" t="s">
        <v>1497</v>
      </c>
      <c r="X62" t="b">
        <v>1</v>
      </c>
    </row>
    <row r="63" spans="1:25" hidden="1" x14ac:dyDescent="0.3">
      <c r="A63">
        <v>0</v>
      </c>
      <c r="B63" t="s">
        <v>1460</v>
      </c>
      <c r="D63" t="s">
        <v>923</v>
      </c>
      <c r="E63" t="s">
        <v>2285</v>
      </c>
      <c r="F63" t="s">
        <v>51</v>
      </c>
      <c r="G63" t="s">
        <v>51</v>
      </c>
      <c r="I63" t="s">
        <v>923</v>
      </c>
      <c r="J63" t="s">
        <v>1124</v>
      </c>
      <c r="K63" t="s">
        <v>1465</v>
      </c>
      <c r="L63" t="s">
        <v>1465</v>
      </c>
      <c r="M63" t="s">
        <v>1465</v>
      </c>
      <c r="N63" t="s">
        <v>1465</v>
      </c>
      <c r="O63" t="s">
        <v>1465</v>
      </c>
      <c r="P63" t="s">
        <v>924</v>
      </c>
      <c r="Q63" t="s">
        <v>1634</v>
      </c>
      <c r="R63">
        <v>0</v>
      </c>
      <c r="V63" t="b">
        <v>1</v>
      </c>
      <c r="W63" t="s">
        <v>1497</v>
      </c>
      <c r="X63" t="b">
        <v>1</v>
      </c>
    </row>
    <row r="64" spans="1:25" hidden="1" x14ac:dyDescent="0.3">
      <c r="A64">
        <v>0</v>
      </c>
      <c r="B64" t="s">
        <v>1460</v>
      </c>
      <c r="D64" t="s">
        <v>925</v>
      </c>
      <c r="E64" t="s">
        <v>2285</v>
      </c>
      <c r="F64" t="s">
        <v>51</v>
      </c>
      <c r="G64" t="s">
        <v>51</v>
      </c>
      <c r="I64" t="s">
        <v>925</v>
      </c>
      <c r="J64" t="s">
        <v>1124</v>
      </c>
      <c r="K64" t="s">
        <v>1465</v>
      </c>
      <c r="L64" t="s">
        <v>1465</v>
      </c>
      <c r="M64" t="s">
        <v>1465</v>
      </c>
      <c r="N64" t="s">
        <v>1465</v>
      </c>
      <c r="O64" t="s">
        <v>1465</v>
      </c>
      <c r="P64" t="s">
        <v>926</v>
      </c>
      <c r="Q64" t="s">
        <v>1635</v>
      </c>
      <c r="R64">
        <v>0</v>
      </c>
      <c r="V64" t="b">
        <v>1</v>
      </c>
      <c r="W64" t="s">
        <v>1497</v>
      </c>
      <c r="X64" t="b">
        <v>1</v>
      </c>
    </row>
    <row r="65" spans="1:24" hidden="1" x14ac:dyDescent="0.3">
      <c r="A65">
        <v>0</v>
      </c>
      <c r="B65" t="s">
        <v>1460</v>
      </c>
      <c r="D65" t="s">
        <v>1563</v>
      </c>
      <c r="E65" t="s">
        <v>2285</v>
      </c>
      <c r="F65" t="s">
        <v>51</v>
      </c>
      <c r="G65" t="s">
        <v>51</v>
      </c>
      <c r="I65" t="s">
        <v>1563</v>
      </c>
      <c r="J65" t="s">
        <v>1124</v>
      </c>
      <c r="K65" t="s">
        <v>1465</v>
      </c>
      <c r="L65" t="s">
        <v>1465</v>
      </c>
      <c r="M65" t="s">
        <v>1465</v>
      </c>
      <c r="N65" t="s">
        <v>1465</v>
      </c>
      <c r="O65" t="s">
        <v>1465</v>
      </c>
      <c r="P65" t="s">
        <v>1564</v>
      </c>
      <c r="Q65" t="s">
        <v>1643</v>
      </c>
      <c r="R65">
        <v>0</v>
      </c>
      <c r="V65" t="b">
        <v>1</v>
      </c>
      <c r="W65" t="s">
        <v>1497</v>
      </c>
      <c r="X65" t="b">
        <v>1</v>
      </c>
    </row>
    <row r="66" spans="1:24" hidden="1" x14ac:dyDescent="0.3">
      <c r="A66">
        <v>0</v>
      </c>
      <c r="B66" t="s">
        <v>1460</v>
      </c>
      <c r="D66" t="s">
        <v>1503</v>
      </c>
      <c r="E66" t="s">
        <v>2285</v>
      </c>
      <c r="F66" t="s">
        <v>51</v>
      </c>
      <c r="G66" t="s">
        <v>51</v>
      </c>
      <c r="J66" t="s">
        <v>1124</v>
      </c>
      <c r="K66" t="s">
        <v>1465</v>
      </c>
      <c r="L66" t="s">
        <v>1465</v>
      </c>
      <c r="M66" t="s">
        <v>1465</v>
      </c>
      <c r="N66" t="s">
        <v>1465</v>
      </c>
      <c r="O66" t="s">
        <v>1465</v>
      </c>
      <c r="P66" t="s">
        <v>1507</v>
      </c>
      <c r="Q66" t="s">
        <v>1644</v>
      </c>
      <c r="R66">
        <v>0</v>
      </c>
      <c r="V66" t="b">
        <v>0</v>
      </c>
      <c r="W66" t="s">
        <v>1497</v>
      </c>
      <c r="X66" t="b">
        <v>1</v>
      </c>
    </row>
    <row r="67" spans="1:24" x14ac:dyDescent="0.3">
      <c r="A67">
        <v>0</v>
      </c>
      <c r="B67" t="s">
        <v>1460</v>
      </c>
      <c r="D67" t="s">
        <v>927</v>
      </c>
      <c r="E67" t="s">
        <v>2432</v>
      </c>
      <c r="F67" t="s">
        <v>51</v>
      </c>
      <c r="G67" t="s">
        <v>51</v>
      </c>
      <c r="I67" t="s">
        <v>927</v>
      </c>
      <c r="J67" t="s">
        <v>1124</v>
      </c>
      <c r="K67" t="s">
        <v>1465</v>
      </c>
      <c r="L67" t="s">
        <v>1465</v>
      </c>
      <c r="M67" t="s">
        <v>1465</v>
      </c>
      <c r="N67" t="s">
        <v>1465</v>
      </c>
      <c r="O67" t="s">
        <v>1465</v>
      </c>
      <c r="P67" t="s">
        <v>928</v>
      </c>
      <c r="Q67" t="s">
        <v>1636</v>
      </c>
      <c r="R67">
        <v>0</v>
      </c>
      <c r="V67" t="b">
        <v>1</v>
      </c>
      <c r="W67" t="s">
        <v>1497</v>
      </c>
      <c r="X67" t="b">
        <v>1</v>
      </c>
    </row>
    <row r="68" spans="1:24" x14ac:dyDescent="0.3">
      <c r="A68">
        <v>0</v>
      </c>
      <c r="B68" t="s">
        <v>1460</v>
      </c>
      <c r="D68" t="s">
        <v>1504</v>
      </c>
      <c r="E68" t="s">
        <v>2432</v>
      </c>
      <c r="F68" t="s">
        <v>51</v>
      </c>
      <c r="G68" t="s">
        <v>51</v>
      </c>
      <c r="J68" t="s">
        <v>1124</v>
      </c>
      <c r="K68" t="s">
        <v>1465</v>
      </c>
      <c r="L68" t="s">
        <v>1465</v>
      </c>
      <c r="M68" t="s">
        <v>1465</v>
      </c>
      <c r="N68" t="s">
        <v>1465</v>
      </c>
      <c r="O68" t="s">
        <v>1465</v>
      </c>
      <c r="P68" t="s">
        <v>1508</v>
      </c>
      <c r="Q68" t="s">
        <v>1637</v>
      </c>
      <c r="R68">
        <v>0</v>
      </c>
      <c r="V68" t="b">
        <v>0</v>
      </c>
      <c r="W68" t="s">
        <v>1497</v>
      </c>
      <c r="X68" t="b">
        <v>1</v>
      </c>
    </row>
    <row r="69" spans="1:24" x14ac:dyDescent="0.3">
      <c r="A69">
        <v>0</v>
      </c>
      <c r="B69" t="s">
        <v>1460</v>
      </c>
      <c r="D69" t="s">
        <v>929</v>
      </c>
      <c r="E69" t="s">
        <v>2432</v>
      </c>
      <c r="F69" t="s">
        <v>51</v>
      </c>
      <c r="G69" t="s">
        <v>51</v>
      </c>
      <c r="I69" t="s">
        <v>929</v>
      </c>
      <c r="J69" t="s">
        <v>1124</v>
      </c>
      <c r="K69" t="s">
        <v>1465</v>
      </c>
      <c r="L69" t="s">
        <v>1465</v>
      </c>
      <c r="M69" t="s">
        <v>1465</v>
      </c>
      <c r="N69" t="s">
        <v>1465</v>
      </c>
      <c r="O69" t="s">
        <v>1465</v>
      </c>
      <c r="P69" t="s">
        <v>930</v>
      </c>
      <c r="Q69" t="s">
        <v>1638</v>
      </c>
      <c r="R69">
        <v>0</v>
      </c>
      <c r="V69" t="b">
        <v>1</v>
      </c>
      <c r="W69" t="s">
        <v>1497</v>
      </c>
      <c r="X69" t="b">
        <v>1</v>
      </c>
    </row>
    <row r="70" spans="1:24" x14ac:dyDescent="0.3">
      <c r="A70">
        <v>0</v>
      </c>
      <c r="B70" t="s">
        <v>1460</v>
      </c>
      <c r="D70" t="s">
        <v>1505</v>
      </c>
      <c r="E70" t="s">
        <v>2432</v>
      </c>
      <c r="F70" t="s">
        <v>51</v>
      </c>
      <c r="G70" t="s">
        <v>51</v>
      </c>
      <c r="J70" t="s">
        <v>1124</v>
      </c>
      <c r="K70" t="s">
        <v>1465</v>
      </c>
      <c r="L70" t="s">
        <v>1465</v>
      </c>
      <c r="M70" t="s">
        <v>1465</v>
      </c>
      <c r="N70" t="s">
        <v>1465</v>
      </c>
      <c r="O70" t="s">
        <v>1465</v>
      </c>
      <c r="P70" t="s">
        <v>1510</v>
      </c>
      <c r="Q70" t="s">
        <v>1639</v>
      </c>
      <c r="R70">
        <v>0</v>
      </c>
      <c r="V70" t="b">
        <v>0</v>
      </c>
      <c r="W70" t="s">
        <v>1497</v>
      </c>
      <c r="X70" t="b">
        <v>1</v>
      </c>
    </row>
    <row r="71" spans="1:24" hidden="1" x14ac:dyDescent="0.3">
      <c r="A71">
        <v>0</v>
      </c>
      <c r="B71" t="s">
        <v>1459</v>
      </c>
      <c r="D71" t="s">
        <v>898</v>
      </c>
      <c r="E71" t="s">
        <v>2285</v>
      </c>
      <c r="F71" t="s">
        <v>51</v>
      </c>
      <c r="G71" t="s">
        <v>51</v>
      </c>
      <c r="I71" t="s">
        <v>999</v>
      </c>
      <c r="J71" t="s">
        <v>1124</v>
      </c>
      <c r="K71" t="s">
        <v>1465</v>
      </c>
      <c r="L71" t="s">
        <v>1465</v>
      </c>
      <c r="M71" t="s">
        <v>1465</v>
      </c>
      <c r="N71" t="s">
        <v>1465</v>
      </c>
      <c r="O71" t="s">
        <v>1465</v>
      </c>
      <c r="P71" t="s">
        <v>1000</v>
      </c>
      <c r="Q71" t="s">
        <v>1686</v>
      </c>
      <c r="R71">
        <v>0</v>
      </c>
      <c r="V71" t="b">
        <v>1</v>
      </c>
      <c r="W71" t="s">
        <v>1497</v>
      </c>
      <c r="X71" t="b">
        <v>1</v>
      </c>
    </row>
    <row r="72" spans="1:24" hidden="1" x14ac:dyDescent="0.3">
      <c r="A72">
        <v>0</v>
      </c>
      <c r="B72" t="s">
        <v>1459</v>
      </c>
      <c r="D72" t="s">
        <v>898</v>
      </c>
      <c r="E72" t="s">
        <v>2285</v>
      </c>
      <c r="F72" t="s">
        <v>51</v>
      </c>
      <c r="G72" t="s">
        <v>51</v>
      </c>
      <c r="I72" t="s">
        <v>1003</v>
      </c>
      <c r="J72" t="s">
        <v>1124</v>
      </c>
      <c r="K72" t="s">
        <v>1465</v>
      </c>
      <c r="L72" t="s">
        <v>1465</v>
      </c>
      <c r="M72" t="s">
        <v>1465</v>
      </c>
      <c r="N72" t="s">
        <v>1465</v>
      </c>
      <c r="O72" t="s">
        <v>1465</v>
      </c>
      <c r="P72" t="s">
        <v>1438</v>
      </c>
      <c r="Q72" t="s">
        <v>1689</v>
      </c>
      <c r="R72">
        <v>0</v>
      </c>
      <c r="V72" t="b">
        <v>0</v>
      </c>
      <c r="W72" t="s">
        <v>1497</v>
      </c>
      <c r="X72" t="b">
        <v>1</v>
      </c>
    </row>
    <row r="73" spans="1:24" hidden="1" x14ac:dyDescent="0.3">
      <c r="A73">
        <v>0</v>
      </c>
      <c r="B73" t="s">
        <v>1459</v>
      </c>
      <c r="D73" t="s">
        <v>2094</v>
      </c>
      <c r="E73" t="s">
        <v>2285</v>
      </c>
      <c r="F73" t="s">
        <v>51</v>
      </c>
      <c r="G73" t="s">
        <v>51</v>
      </c>
      <c r="I73" t="s">
        <v>2094</v>
      </c>
      <c r="J73" t="s">
        <v>1124</v>
      </c>
      <c r="K73" t="s">
        <v>1465</v>
      </c>
      <c r="L73" t="s">
        <v>1465</v>
      </c>
      <c r="M73" t="s">
        <v>1465</v>
      </c>
      <c r="N73" t="s">
        <v>1465</v>
      </c>
      <c r="O73" t="s">
        <v>1465</v>
      </c>
      <c r="P73" t="s">
        <v>2102</v>
      </c>
      <c r="Q73" t="s">
        <v>1692</v>
      </c>
      <c r="R73">
        <v>0</v>
      </c>
      <c r="V73" t="b">
        <v>1</v>
      </c>
      <c r="W73" t="s">
        <v>1497</v>
      </c>
      <c r="X73" t="b">
        <v>1</v>
      </c>
    </row>
    <row r="74" spans="1:24" hidden="1" x14ac:dyDescent="0.3">
      <c r="A74">
        <v>0</v>
      </c>
      <c r="B74" t="s">
        <v>1459</v>
      </c>
      <c r="D74" t="s">
        <v>1585</v>
      </c>
      <c r="E74" t="s">
        <v>2285</v>
      </c>
      <c r="F74" t="s">
        <v>51</v>
      </c>
      <c r="G74" t="s">
        <v>51</v>
      </c>
      <c r="I74" t="s">
        <v>2298</v>
      </c>
      <c r="J74" t="s">
        <v>1124</v>
      </c>
      <c r="K74" t="s">
        <v>1465</v>
      </c>
      <c r="L74" t="s">
        <v>1465</v>
      </c>
      <c r="M74" t="s">
        <v>1465</v>
      </c>
      <c r="N74" t="s">
        <v>1465</v>
      </c>
      <c r="O74" t="s">
        <v>1465</v>
      </c>
      <c r="P74" t="s">
        <v>2105</v>
      </c>
      <c r="Q74" t="s">
        <v>2301</v>
      </c>
      <c r="R74">
        <v>0</v>
      </c>
      <c r="V74" t="b">
        <v>1</v>
      </c>
      <c r="W74" t="s">
        <v>1497</v>
      </c>
      <c r="X74" t="b">
        <v>1</v>
      </c>
    </row>
    <row r="75" spans="1:24" hidden="1" x14ac:dyDescent="0.3">
      <c r="A75">
        <v>1</v>
      </c>
      <c r="B75" t="s">
        <v>1459</v>
      </c>
      <c r="D75" t="s">
        <v>1585</v>
      </c>
      <c r="E75" t="s">
        <v>2285</v>
      </c>
      <c r="F75" t="s">
        <v>51</v>
      </c>
      <c r="G75" t="s">
        <v>51</v>
      </c>
      <c r="I75" t="s">
        <v>1303</v>
      </c>
      <c r="J75" t="s">
        <v>1124</v>
      </c>
      <c r="K75" t="s">
        <v>1465</v>
      </c>
      <c r="L75" t="s">
        <v>1465</v>
      </c>
      <c r="M75" t="s">
        <v>1465</v>
      </c>
      <c r="N75" t="s">
        <v>1465</v>
      </c>
      <c r="O75" t="s">
        <v>1465</v>
      </c>
      <c r="P75" t="s">
        <v>2134</v>
      </c>
      <c r="Q75" t="s">
        <v>2303</v>
      </c>
      <c r="R75">
        <v>0</v>
      </c>
      <c r="V75" t="b">
        <v>0</v>
      </c>
      <c r="W75" t="s">
        <v>1497</v>
      </c>
      <c r="X75" t="b">
        <v>0</v>
      </c>
    </row>
    <row r="76" spans="1:24" hidden="1" x14ac:dyDescent="0.3">
      <c r="A76">
        <v>1</v>
      </c>
      <c r="B76" t="s">
        <v>1459</v>
      </c>
      <c r="D76" t="s">
        <v>1585</v>
      </c>
      <c r="E76" t="s">
        <v>2285</v>
      </c>
      <c r="F76" t="s">
        <v>51</v>
      </c>
      <c r="G76" t="s">
        <v>51</v>
      </c>
      <c r="I76" t="s">
        <v>1303</v>
      </c>
      <c r="J76" t="s">
        <v>1124</v>
      </c>
      <c r="K76" t="s">
        <v>1465</v>
      </c>
      <c r="L76" t="s">
        <v>1465</v>
      </c>
      <c r="M76" t="s">
        <v>1465</v>
      </c>
      <c r="N76" t="s">
        <v>1465</v>
      </c>
      <c r="O76" t="s">
        <v>1465</v>
      </c>
      <c r="P76" t="s">
        <v>2135</v>
      </c>
      <c r="Q76" t="s">
        <v>2303</v>
      </c>
      <c r="R76">
        <v>0</v>
      </c>
      <c r="V76" t="b">
        <v>0</v>
      </c>
      <c r="W76" t="s">
        <v>1497</v>
      </c>
      <c r="X76" t="b">
        <v>0</v>
      </c>
    </row>
    <row r="77" spans="1:24" hidden="1" x14ac:dyDescent="0.3">
      <c r="A77">
        <v>1</v>
      </c>
      <c r="B77" t="s">
        <v>1459</v>
      </c>
      <c r="D77" t="s">
        <v>1585</v>
      </c>
      <c r="E77" t="s">
        <v>2285</v>
      </c>
      <c r="F77" t="s">
        <v>51</v>
      </c>
      <c r="G77" t="s">
        <v>51</v>
      </c>
      <c r="I77" t="s">
        <v>1303</v>
      </c>
      <c r="J77" t="s">
        <v>1124</v>
      </c>
      <c r="K77" t="s">
        <v>1465</v>
      </c>
      <c r="L77" t="s">
        <v>1465</v>
      </c>
      <c r="M77" t="s">
        <v>1465</v>
      </c>
      <c r="N77" t="s">
        <v>1465</v>
      </c>
      <c r="O77" t="s">
        <v>1465</v>
      </c>
      <c r="P77" t="s">
        <v>2136</v>
      </c>
      <c r="Q77" t="s">
        <v>2303</v>
      </c>
      <c r="R77">
        <v>0</v>
      </c>
      <c r="V77" t="b">
        <v>0</v>
      </c>
      <c r="W77" t="s">
        <v>1497</v>
      </c>
      <c r="X77" t="b">
        <v>0</v>
      </c>
    </row>
    <row r="78" spans="1:24" hidden="1" x14ac:dyDescent="0.3">
      <c r="A78">
        <v>1</v>
      </c>
      <c r="B78" t="s">
        <v>1459</v>
      </c>
      <c r="D78" t="s">
        <v>1585</v>
      </c>
      <c r="E78" t="s">
        <v>2285</v>
      </c>
      <c r="F78" t="s">
        <v>51</v>
      </c>
      <c r="G78" t="s">
        <v>51</v>
      </c>
      <c r="I78" t="s">
        <v>1303</v>
      </c>
      <c r="J78" t="s">
        <v>1124</v>
      </c>
      <c r="K78" t="s">
        <v>1465</v>
      </c>
      <c r="L78" t="s">
        <v>1465</v>
      </c>
      <c r="M78" t="s">
        <v>1465</v>
      </c>
      <c r="N78" t="s">
        <v>1465</v>
      </c>
      <c r="O78" t="s">
        <v>1465</v>
      </c>
      <c r="P78" t="s">
        <v>2137</v>
      </c>
      <c r="Q78" t="s">
        <v>2303</v>
      </c>
      <c r="R78">
        <v>0</v>
      </c>
      <c r="V78" t="b">
        <v>0</v>
      </c>
      <c r="W78" t="s">
        <v>1497</v>
      </c>
      <c r="X78" t="b">
        <v>0</v>
      </c>
    </row>
    <row r="79" spans="1:24" hidden="1" x14ac:dyDescent="0.3">
      <c r="A79">
        <v>1</v>
      </c>
      <c r="B79" t="s">
        <v>1459</v>
      </c>
      <c r="D79" t="s">
        <v>1585</v>
      </c>
      <c r="E79" t="s">
        <v>2285</v>
      </c>
      <c r="F79" t="s">
        <v>51</v>
      </c>
      <c r="G79" t="s">
        <v>51</v>
      </c>
      <c r="I79" t="s">
        <v>1303</v>
      </c>
      <c r="J79" t="s">
        <v>1124</v>
      </c>
      <c r="K79" t="s">
        <v>1465</v>
      </c>
      <c r="L79" t="s">
        <v>1465</v>
      </c>
      <c r="M79" t="s">
        <v>1465</v>
      </c>
      <c r="N79" t="s">
        <v>1465</v>
      </c>
      <c r="O79" t="s">
        <v>1465</v>
      </c>
      <c r="P79" t="s">
        <v>2138</v>
      </c>
      <c r="Q79" t="s">
        <v>2303</v>
      </c>
      <c r="R79">
        <v>0</v>
      </c>
      <c r="V79" t="b">
        <v>0</v>
      </c>
      <c r="W79" t="s">
        <v>1497</v>
      </c>
      <c r="X79" t="b">
        <v>0</v>
      </c>
    </row>
    <row r="80" spans="1:24" hidden="1" x14ac:dyDescent="0.3">
      <c r="A80">
        <v>1</v>
      </c>
      <c r="B80" t="s">
        <v>1459</v>
      </c>
      <c r="D80" t="s">
        <v>1585</v>
      </c>
      <c r="E80" t="s">
        <v>2285</v>
      </c>
      <c r="F80" t="s">
        <v>51</v>
      </c>
      <c r="G80" t="s">
        <v>51</v>
      </c>
      <c r="I80" t="s">
        <v>1303</v>
      </c>
      <c r="J80" t="s">
        <v>1124</v>
      </c>
      <c r="K80" t="s">
        <v>1465</v>
      </c>
      <c r="L80" t="s">
        <v>1465</v>
      </c>
      <c r="M80" t="s">
        <v>1465</v>
      </c>
      <c r="N80" t="s">
        <v>1465</v>
      </c>
      <c r="O80" t="s">
        <v>1465</v>
      </c>
      <c r="P80" t="s">
        <v>2139</v>
      </c>
      <c r="Q80" t="s">
        <v>2303</v>
      </c>
      <c r="R80">
        <v>0</v>
      </c>
      <c r="V80" t="b">
        <v>0</v>
      </c>
      <c r="W80" t="s">
        <v>1497</v>
      </c>
      <c r="X80" t="b">
        <v>0</v>
      </c>
    </row>
    <row r="81" spans="1:24" hidden="1" x14ac:dyDescent="0.3">
      <c r="A81">
        <v>1</v>
      </c>
      <c r="B81" t="s">
        <v>1459</v>
      </c>
      <c r="D81" t="s">
        <v>1585</v>
      </c>
      <c r="E81" t="s">
        <v>2285</v>
      </c>
      <c r="F81" t="s">
        <v>51</v>
      </c>
      <c r="G81" t="s">
        <v>51</v>
      </c>
      <c r="I81" t="s">
        <v>1303</v>
      </c>
      <c r="J81" t="s">
        <v>1124</v>
      </c>
      <c r="K81" t="s">
        <v>1465</v>
      </c>
      <c r="L81" t="s">
        <v>1465</v>
      </c>
      <c r="M81" t="s">
        <v>1465</v>
      </c>
      <c r="N81" t="s">
        <v>1465</v>
      </c>
      <c r="O81" t="s">
        <v>1465</v>
      </c>
      <c r="P81" t="s">
        <v>2140</v>
      </c>
      <c r="Q81" t="s">
        <v>2303</v>
      </c>
      <c r="R81">
        <v>0</v>
      </c>
      <c r="V81" t="b">
        <v>0</v>
      </c>
      <c r="W81" t="s">
        <v>1497</v>
      </c>
      <c r="X81" t="b">
        <v>0</v>
      </c>
    </row>
    <row r="82" spans="1:24" hidden="1" x14ac:dyDescent="0.3">
      <c r="A82">
        <v>1</v>
      </c>
      <c r="B82" t="s">
        <v>1459</v>
      </c>
      <c r="D82" t="s">
        <v>1585</v>
      </c>
      <c r="E82" t="s">
        <v>2285</v>
      </c>
      <c r="F82" t="s">
        <v>51</v>
      </c>
      <c r="G82" t="s">
        <v>51</v>
      </c>
      <c r="I82" t="s">
        <v>1303</v>
      </c>
      <c r="J82" t="s">
        <v>1124</v>
      </c>
      <c r="K82" t="s">
        <v>1465</v>
      </c>
      <c r="L82" t="s">
        <v>1465</v>
      </c>
      <c r="M82" t="s">
        <v>1465</v>
      </c>
      <c r="N82" t="s">
        <v>1465</v>
      </c>
      <c r="O82" t="s">
        <v>1465</v>
      </c>
      <c r="P82" t="s">
        <v>2141</v>
      </c>
      <c r="Q82" t="s">
        <v>2303</v>
      </c>
      <c r="R82">
        <v>0</v>
      </c>
      <c r="V82" t="b">
        <v>0</v>
      </c>
      <c r="W82" t="s">
        <v>1497</v>
      </c>
      <c r="X82" t="b">
        <v>0</v>
      </c>
    </row>
    <row r="83" spans="1:24" hidden="1" x14ac:dyDescent="0.3">
      <c r="A83">
        <v>1</v>
      </c>
      <c r="B83" t="s">
        <v>1459</v>
      </c>
      <c r="D83" t="s">
        <v>1585</v>
      </c>
      <c r="E83" t="s">
        <v>2285</v>
      </c>
      <c r="F83" t="s">
        <v>51</v>
      </c>
      <c r="G83" t="s">
        <v>51</v>
      </c>
      <c r="I83" t="s">
        <v>1303</v>
      </c>
      <c r="J83" t="s">
        <v>1124</v>
      </c>
      <c r="K83" t="s">
        <v>1465</v>
      </c>
      <c r="L83" t="s">
        <v>1465</v>
      </c>
      <c r="M83" t="s">
        <v>1465</v>
      </c>
      <c r="N83" t="s">
        <v>1465</v>
      </c>
      <c r="O83" t="s">
        <v>1465</v>
      </c>
      <c r="P83" t="s">
        <v>2142</v>
      </c>
      <c r="Q83" t="s">
        <v>2303</v>
      </c>
      <c r="R83">
        <v>0</v>
      </c>
      <c r="V83" t="b">
        <v>0</v>
      </c>
      <c r="W83" t="s">
        <v>1497</v>
      </c>
      <c r="X83" t="b">
        <v>0</v>
      </c>
    </row>
    <row r="84" spans="1:24" hidden="1" x14ac:dyDescent="0.3">
      <c r="A84">
        <v>1</v>
      </c>
      <c r="B84" t="s">
        <v>1459</v>
      </c>
      <c r="D84" t="s">
        <v>1585</v>
      </c>
      <c r="E84" t="s">
        <v>2285</v>
      </c>
      <c r="F84" t="s">
        <v>51</v>
      </c>
      <c r="G84" t="s">
        <v>51</v>
      </c>
      <c r="I84" t="s">
        <v>1303</v>
      </c>
      <c r="J84" t="s">
        <v>1124</v>
      </c>
      <c r="K84" t="s">
        <v>1465</v>
      </c>
      <c r="L84" t="s">
        <v>1465</v>
      </c>
      <c r="M84" t="s">
        <v>1465</v>
      </c>
      <c r="N84" t="s">
        <v>1465</v>
      </c>
      <c r="O84" t="s">
        <v>1465</v>
      </c>
      <c r="P84" t="s">
        <v>2143</v>
      </c>
      <c r="Q84" t="s">
        <v>2303</v>
      </c>
      <c r="R84">
        <v>0</v>
      </c>
      <c r="V84" t="b">
        <v>0</v>
      </c>
      <c r="W84" t="s">
        <v>1497</v>
      </c>
      <c r="X84" t="b">
        <v>0</v>
      </c>
    </row>
    <row r="85" spans="1:24" hidden="1" x14ac:dyDescent="0.3">
      <c r="A85">
        <v>1</v>
      </c>
      <c r="B85" t="s">
        <v>1459</v>
      </c>
      <c r="D85" t="s">
        <v>1585</v>
      </c>
      <c r="E85" t="s">
        <v>2285</v>
      </c>
      <c r="F85" t="s">
        <v>51</v>
      </c>
      <c r="G85" t="s">
        <v>51</v>
      </c>
      <c r="I85" t="s">
        <v>1303</v>
      </c>
      <c r="J85" t="s">
        <v>1124</v>
      </c>
      <c r="K85" t="s">
        <v>1465</v>
      </c>
      <c r="L85" t="s">
        <v>1465</v>
      </c>
      <c r="M85" t="s">
        <v>1465</v>
      </c>
      <c r="N85" t="s">
        <v>1465</v>
      </c>
      <c r="O85" t="s">
        <v>1465</v>
      </c>
      <c r="P85" t="s">
        <v>2144</v>
      </c>
      <c r="Q85" t="s">
        <v>2303</v>
      </c>
      <c r="R85">
        <v>0</v>
      </c>
      <c r="V85" t="b">
        <v>0</v>
      </c>
      <c r="W85" t="s">
        <v>1497</v>
      </c>
      <c r="X85" t="b">
        <v>0</v>
      </c>
    </row>
    <row r="86" spans="1:24" hidden="1" x14ac:dyDescent="0.3">
      <c r="A86">
        <v>1</v>
      </c>
      <c r="B86" t="s">
        <v>1459</v>
      </c>
      <c r="D86" t="s">
        <v>1585</v>
      </c>
      <c r="E86" t="s">
        <v>2285</v>
      </c>
      <c r="F86" t="s">
        <v>51</v>
      </c>
      <c r="G86" t="s">
        <v>51</v>
      </c>
      <c r="I86" t="s">
        <v>1303</v>
      </c>
      <c r="J86" t="s">
        <v>1124</v>
      </c>
      <c r="K86" t="s">
        <v>1465</v>
      </c>
      <c r="L86" t="s">
        <v>1465</v>
      </c>
      <c r="M86" t="s">
        <v>1465</v>
      </c>
      <c r="N86" t="s">
        <v>1465</v>
      </c>
      <c r="O86" t="s">
        <v>1465</v>
      </c>
      <c r="P86" t="s">
        <v>2145</v>
      </c>
      <c r="Q86" t="s">
        <v>2303</v>
      </c>
      <c r="R86">
        <v>0</v>
      </c>
      <c r="V86" t="b">
        <v>0</v>
      </c>
      <c r="W86" t="s">
        <v>1497</v>
      </c>
      <c r="X86" t="b">
        <v>0</v>
      </c>
    </row>
    <row r="87" spans="1:24" hidden="1" x14ac:dyDescent="0.3">
      <c r="A87">
        <v>0</v>
      </c>
      <c r="B87" t="s">
        <v>1459</v>
      </c>
      <c r="D87" t="s">
        <v>1585</v>
      </c>
      <c r="E87" t="s">
        <v>2285</v>
      </c>
      <c r="F87" t="s">
        <v>51</v>
      </c>
      <c r="G87" t="s">
        <v>51</v>
      </c>
      <c r="I87" t="s">
        <v>2299</v>
      </c>
      <c r="J87" t="s">
        <v>1124</v>
      </c>
      <c r="K87" t="s">
        <v>1465</v>
      </c>
      <c r="L87" t="s">
        <v>1465</v>
      </c>
      <c r="M87" t="s">
        <v>1465</v>
      </c>
      <c r="N87" t="s">
        <v>1465</v>
      </c>
      <c r="O87" t="s">
        <v>1465</v>
      </c>
      <c r="P87" t="s">
        <v>2174</v>
      </c>
      <c r="Q87" t="s">
        <v>2311</v>
      </c>
      <c r="R87">
        <v>0</v>
      </c>
      <c r="V87" t="b">
        <v>1</v>
      </c>
      <c r="W87" t="s">
        <v>1497</v>
      </c>
      <c r="X87" t="b">
        <v>1</v>
      </c>
    </row>
    <row r="88" spans="1:24" hidden="1" x14ac:dyDescent="0.3">
      <c r="A88">
        <v>1</v>
      </c>
      <c r="B88" t="s">
        <v>1459</v>
      </c>
      <c r="D88" t="s">
        <v>1585</v>
      </c>
      <c r="E88" t="s">
        <v>2285</v>
      </c>
      <c r="F88" t="s">
        <v>51</v>
      </c>
      <c r="G88" t="s">
        <v>51</v>
      </c>
      <c r="I88" t="s">
        <v>1303</v>
      </c>
      <c r="J88" t="s">
        <v>1124</v>
      </c>
      <c r="K88" t="s">
        <v>1465</v>
      </c>
      <c r="L88" t="s">
        <v>1465</v>
      </c>
      <c r="M88" t="s">
        <v>1465</v>
      </c>
      <c r="N88" t="s">
        <v>1465</v>
      </c>
      <c r="O88" t="s">
        <v>1465</v>
      </c>
      <c r="P88" t="s">
        <v>2165</v>
      </c>
      <c r="Q88" t="s">
        <v>2303</v>
      </c>
      <c r="R88">
        <v>0</v>
      </c>
      <c r="V88" t="b">
        <v>0</v>
      </c>
      <c r="W88" t="s">
        <v>1497</v>
      </c>
      <c r="X88" t="b">
        <v>0</v>
      </c>
    </row>
    <row r="89" spans="1:24" hidden="1" x14ac:dyDescent="0.3">
      <c r="A89">
        <v>1</v>
      </c>
      <c r="B89" t="s">
        <v>1459</v>
      </c>
      <c r="D89" t="s">
        <v>1585</v>
      </c>
      <c r="E89" t="s">
        <v>2285</v>
      </c>
      <c r="F89" t="s">
        <v>51</v>
      </c>
      <c r="G89" t="s">
        <v>51</v>
      </c>
      <c r="I89" t="s">
        <v>1303</v>
      </c>
      <c r="J89" t="s">
        <v>1124</v>
      </c>
      <c r="K89" t="s">
        <v>1465</v>
      </c>
      <c r="L89" t="s">
        <v>1465</v>
      </c>
      <c r="M89" t="s">
        <v>1465</v>
      </c>
      <c r="N89" t="s">
        <v>1465</v>
      </c>
      <c r="O89" t="s">
        <v>1465</v>
      </c>
      <c r="P89" t="s">
        <v>2146</v>
      </c>
      <c r="Q89" t="s">
        <v>2303</v>
      </c>
      <c r="R89">
        <v>0</v>
      </c>
      <c r="V89" t="b">
        <v>0</v>
      </c>
      <c r="W89" t="s">
        <v>1497</v>
      </c>
      <c r="X89" t="b">
        <v>0</v>
      </c>
    </row>
    <row r="90" spans="1:24" hidden="1" x14ac:dyDescent="0.3">
      <c r="A90">
        <v>1</v>
      </c>
      <c r="B90" t="s">
        <v>1459</v>
      </c>
      <c r="D90" t="s">
        <v>1585</v>
      </c>
      <c r="E90" t="s">
        <v>2285</v>
      </c>
      <c r="F90" t="s">
        <v>51</v>
      </c>
      <c r="G90" t="s">
        <v>51</v>
      </c>
      <c r="I90" t="s">
        <v>1303</v>
      </c>
      <c r="J90" t="s">
        <v>1124</v>
      </c>
      <c r="K90" t="s">
        <v>1465</v>
      </c>
      <c r="L90" t="s">
        <v>1465</v>
      </c>
      <c r="M90" t="s">
        <v>1465</v>
      </c>
      <c r="N90" t="s">
        <v>1465</v>
      </c>
      <c r="O90" t="s">
        <v>1465</v>
      </c>
      <c r="P90" t="s">
        <v>2147</v>
      </c>
      <c r="Q90" t="s">
        <v>2303</v>
      </c>
      <c r="R90">
        <v>0</v>
      </c>
      <c r="V90" t="b">
        <v>0</v>
      </c>
      <c r="W90" t="s">
        <v>1497</v>
      </c>
      <c r="X90" t="b">
        <v>0</v>
      </c>
    </row>
    <row r="91" spans="1:24" hidden="1" x14ac:dyDescent="0.3">
      <c r="A91">
        <v>1</v>
      </c>
      <c r="B91" t="s">
        <v>1459</v>
      </c>
      <c r="D91" t="s">
        <v>1585</v>
      </c>
      <c r="E91" t="s">
        <v>2285</v>
      </c>
      <c r="F91" t="s">
        <v>51</v>
      </c>
      <c r="G91" t="s">
        <v>51</v>
      </c>
      <c r="J91" t="s">
        <v>1124</v>
      </c>
      <c r="K91" t="s">
        <v>1465</v>
      </c>
      <c r="L91" t="s">
        <v>1465</v>
      </c>
      <c r="M91" t="s">
        <v>1465</v>
      </c>
      <c r="N91" t="s">
        <v>1465</v>
      </c>
      <c r="O91" t="s">
        <v>1465</v>
      </c>
      <c r="P91" t="s">
        <v>2148</v>
      </c>
      <c r="Q91" t="s">
        <v>2303</v>
      </c>
      <c r="R91">
        <v>0</v>
      </c>
      <c r="V91" t="b">
        <v>0</v>
      </c>
      <c r="W91" t="s">
        <v>1497</v>
      </c>
      <c r="X91" t="b">
        <v>0</v>
      </c>
    </row>
    <row r="92" spans="1:24" hidden="1" x14ac:dyDescent="0.3">
      <c r="A92">
        <v>1</v>
      </c>
      <c r="B92" t="s">
        <v>1459</v>
      </c>
      <c r="D92" t="s">
        <v>1585</v>
      </c>
      <c r="E92" t="s">
        <v>2285</v>
      </c>
      <c r="F92" t="s">
        <v>51</v>
      </c>
      <c r="G92" t="s">
        <v>51</v>
      </c>
      <c r="J92" t="s">
        <v>1124</v>
      </c>
      <c r="K92" t="s">
        <v>1465</v>
      </c>
      <c r="L92" t="s">
        <v>1465</v>
      </c>
      <c r="M92" t="s">
        <v>1465</v>
      </c>
      <c r="N92" t="s">
        <v>1465</v>
      </c>
      <c r="O92" t="s">
        <v>1465</v>
      </c>
      <c r="P92" t="s">
        <v>2149</v>
      </c>
      <c r="Q92" t="s">
        <v>2303</v>
      </c>
      <c r="R92">
        <v>0</v>
      </c>
      <c r="V92" t="b">
        <v>0</v>
      </c>
      <c r="W92" t="s">
        <v>1497</v>
      </c>
      <c r="X92" t="b">
        <v>0</v>
      </c>
    </row>
    <row r="93" spans="1:24" hidden="1" x14ac:dyDescent="0.3">
      <c r="A93">
        <v>1</v>
      </c>
      <c r="B93" t="s">
        <v>1459</v>
      </c>
      <c r="D93" t="s">
        <v>1585</v>
      </c>
      <c r="E93" t="s">
        <v>2285</v>
      </c>
      <c r="F93" t="s">
        <v>51</v>
      </c>
      <c r="G93" t="s">
        <v>51</v>
      </c>
      <c r="J93" t="s">
        <v>1124</v>
      </c>
      <c r="K93" t="s">
        <v>1465</v>
      </c>
      <c r="L93" t="s">
        <v>1465</v>
      </c>
      <c r="M93" t="s">
        <v>1465</v>
      </c>
      <c r="N93" t="s">
        <v>1465</v>
      </c>
      <c r="O93" t="s">
        <v>1465</v>
      </c>
      <c r="P93" t="s">
        <v>2150</v>
      </c>
      <c r="Q93" t="s">
        <v>2314</v>
      </c>
      <c r="R93">
        <v>0</v>
      </c>
      <c r="V93" t="b">
        <v>0</v>
      </c>
      <c r="W93" t="s">
        <v>1497</v>
      </c>
      <c r="X93" t="b">
        <v>0</v>
      </c>
    </row>
    <row r="94" spans="1:24" hidden="1" x14ac:dyDescent="0.3">
      <c r="A94">
        <v>0</v>
      </c>
      <c r="B94" t="s">
        <v>1459</v>
      </c>
      <c r="D94" t="s">
        <v>906</v>
      </c>
      <c r="E94" t="s">
        <v>2285</v>
      </c>
      <c r="F94" t="s">
        <v>51</v>
      </c>
      <c r="G94" t="s">
        <v>51</v>
      </c>
      <c r="I94" t="s">
        <v>1205</v>
      </c>
      <c r="J94" t="s">
        <v>1124</v>
      </c>
      <c r="K94" t="s">
        <v>1465</v>
      </c>
      <c r="L94" t="s">
        <v>1465</v>
      </c>
      <c r="M94" t="s">
        <v>1465</v>
      </c>
      <c r="N94" t="s">
        <v>1465</v>
      </c>
      <c r="O94" t="s">
        <v>1465</v>
      </c>
      <c r="P94" t="s">
        <v>1609</v>
      </c>
      <c r="Q94" t="s">
        <v>2305</v>
      </c>
      <c r="R94">
        <v>0</v>
      </c>
      <c r="V94" t="b">
        <v>1</v>
      </c>
      <c r="W94" t="s">
        <v>1497</v>
      </c>
      <c r="X94" t="b">
        <v>1</v>
      </c>
    </row>
    <row r="95" spans="1:24" hidden="1" x14ac:dyDescent="0.3">
      <c r="A95">
        <v>0</v>
      </c>
      <c r="B95" t="s">
        <v>1459</v>
      </c>
      <c r="D95" t="s">
        <v>906</v>
      </c>
      <c r="E95" t="s">
        <v>2285</v>
      </c>
      <c r="F95" t="s">
        <v>51</v>
      </c>
      <c r="G95" t="s">
        <v>51</v>
      </c>
      <c r="I95" t="s">
        <v>1209</v>
      </c>
      <c r="J95" t="s">
        <v>1124</v>
      </c>
      <c r="K95" t="s">
        <v>1465</v>
      </c>
      <c r="L95" t="s">
        <v>1465</v>
      </c>
      <c r="M95" t="s">
        <v>1465</v>
      </c>
      <c r="N95" t="s">
        <v>1465</v>
      </c>
      <c r="O95" t="s">
        <v>1465</v>
      </c>
      <c r="P95" t="s">
        <v>1437</v>
      </c>
      <c r="Q95" t="s">
        <v>2310</v>
      </c>
      <c r="R95">
        <v>0</v>
      </c>
      <c r="V95" t="b">
        <v>1</v>
      </c>
      <c r="W95" t="s">
        <v>1497</v>
      </c>
      <c r="X95" t="b">
        <v>1</v>
      </c>
    </row>
    <row r="96" spans="1:24" hidden="1" x14ac:dyDescent="0.3">
      <c r="A96">
        <v>0</v>
      </c>
      <c r="B96" t="s">
        <v>1459</v>
      </c>
      <c r="D96" t="s">
        <v>1940</v>
      </c>
      <c r="E96" t="s">
        <v>2285</v>
      </c>
      <c r="F96" t="s">
        <v>51</v>
      </c>
      <c r="G96" t="s">
        <v>51</v>
      </c>
      <c r="I96" t="s">
        <v>1949</v>
      </c>
      <c r="J96" t="s">
        <v>1124</v>
      </c>
      <c r="K96" t="s">
        <v>1465</v>
      </c>
      <c r="L96" t="s">
        <v>1465</v>
      </c>
      <c r="M96" t="s">
        <v>1465</v>
      </c>
      <c r="N96" t="s">
        <v>1465</v>
      </c>
      <c r="O96" t="s">
        <v>1465</v>
      </c>
      <c r="P96" t="s">
        <v>1942</v>
      </c>
      <c r="Q96" t="s">
        <v>1955</v>
      </c>
      <c r="R96">
        <v>0</v>
      </c>
      <c r="V96" t="b">
        <v>0</v>
      </c>
      <c r="W96" t="s">
        <v>1497</v>
      </c>
      <c r="X96" t="b">
        <v>1</v>
      </c>
    </row>
    <row r="97" spans="1:24" hidden="1" x14ac:dyDescent="0.3">
      <c r="A97">
        <v>0</v>
      </c>
      <c r="B97" t="s">
        <v>1459</v>
      </c>
      <c r="D97" t="s">
        <v>914</v>
      </c>
      <c r="E97" t="s">
        <v>2285</v>
      </c>
      <c r="F97" t="s">
        <v>51</v>
      </c>
      <c r="G97" t="s">
        <v>51</v>
      </c>
      <c r="I97" t="s">
        <v>1284</v>
      </c>
      <c r="J97" t="s">
        <v>1124</v>
      </c>
      <c r="K97" t="s">
        <v>1465</v>
      </c>
      <c r="L97" t="s">
        <v>1465</v>
      </c>
      <c r="M97" t="s">
        <v>1465</v>
      </c>
      <c r="N97" t="s">
        <v>1465</v>
      </c>
      <c r="O97" t="s">
        <v>1465</v>
      </c>
      <c r="P97" t="s">
        <v>915</v>
      </c>
      <c r="Q97" t="s">
        <v>1694</v>
      </c>
      <c r="R97">
        <v>0</v>
      </c>
      <c r="V97" t="b">
        <v>0</v>
      </c>
      <c r="W97" t="s">
        <v>1497</v>
      </c>
      <c r="X97" t="b">
        <v>1</v>
      </c>
    </row>
    <row r="98" spans="1:24" hidden="1" x14ac:dyDescent="0.3">
      <c r="A98">
        <v>0</v>
      </c>
      <c r="B98" t="s">
        <v>1459</v>
      </c>
      <c r="D98" t="s">
        <v>918</v>
      </c>
      <c r="E98" t="s">
        <v>2285</v>
      </c>
      <c r="F98" t="s">
        <v>51</v>
      </c>
      <c r="G98" t="s">
        <v>51</v>
      </c>
      <c r="I98" t="s">
        <v>1288</v>
      </c>
      <c r="J98" t="s">
        <v>1124</v>
      </c>
      <c r="K98" t="s">
        <v>1465</v>
      </c>
      <c r="L98" t="s">
        <v>1465</v>
      </c>
      <c r="M98" t="s">
        <v>1465</v>
      </c>
      <c r="N98" t="s">
        <v>1465</v>
      </c>
      <c r="O98" t="s">
        <v>1465</v>
      </c>
      <c r="P98" t="s">
        <v>919</v>
      </c>
      <c r="Q98" t="s">
        <v>1696</v>
      </c>
      <c r="R98">
        <v>0</v>
      </c>
      <c r="V98" t="b">
        <v>0</v>
      </c>
      <c r="W98" t="s">
        <v>1497</v>
      </c>
      <c r="X98" t="b">
        <v>1</v>
      </c>
    </row>
    <row r="99" spans="1:24" hidden="1" x14ac:dyDescent="0.3">
      <c r="A99">
        <v>0</v>
      </c>
      <c r="B99" t="s">
        <v>1459</v>
      </c>
      <c r="D99" t="s">
        <v>912</v>
      </c>
      <c r="E99" t="s">
        <v>2285</v>
      </c>
      <c r="F99" t="s">
        <v>51</v>
      </c>
      <c r="G99" t="s">
        <v>51</v>
      </c>
      <c r="I99" t="s">
        <v>1017</v>
      </c>
      <c r="J99" t="s">
        <v>1124</v>
      </c>
      <c r="K99" t="s">
        <v>1465</v>
      </c>
      <c r="L99" t="s">
        <v>1465</v>
      </c>
      <c r="M99" t="s">
        <v>1465</v>
      </c>
      <c r="N99" t="s">
        <v>1465</v>
      </c>
      <c r="O99" t="s">
        <v>1465</v>
      </c>
      <c r="P99" t="s">
        <v>1233</v>
      </c>
      <c r="Q99" t="s">
        <v>1686</v>
      </c>
      <c r="R99">
        <v>0</v>
      </c>
      <c r="V99" t="b">
        <v>1</v>
      </c>
      <c r="W99" t="s">
        <v>1497</v>
      </c>
      <c r="X99" t="b">
        <v>1</v>
      </c>
    </row>
    <row r="100" spans="1:24" hidden="1" x14ac:dyDescent="0.3">
      <c r="A100">
        <v>0</v>
      </c>
      <c r="B100" t="s">
        <v>1459</v>
      </c>
      <c r="D100" t="s">
        <v>912</v>
      </c>
      <c r="E100" t="s">
        <v>2285</v>
      </c>
      <c r="F100" t="s">
        <v>51</v>
      </c>
      <c r="G100" t="s">
        <v>51</v>
      </c>
      <c r="I100" t="s">
        <v>1019</v>
      </c>
      <c r="J100" t="s">
        <v>1124</v>
      </c>
      <c r="K100" t="s">
        <v>1465</v>
      </c>
      <c r="L100" t="s">
        <v>1465</v>
      </c>
      <c r="M100" t="s">
        <v>1465</v>
      </c>
      <c r="N100" t="s">
        <v>1465</v>
      </c>
      <c r="O100" t="s">
        <v>1465</v>
      </c>
      <c r="P100" t="s">
        <v>1436</v>
      </c>
      <c r="Q100" t="s">
        <v>1693</v>
      </c>
      <c r="R100">
        <v>0</v>
      </c>
      <c r="V100" t="b">
        <v>1</v>
      </c>
      <c r="W100" t="s">
        <v>1497</v>
      </c>
      <c r="X100" t="b">
        <v>1</v>
      </c>
    </row>
    <row r="101" spans="1:24" hidden="1" x14ac:dyDescent="0.3">
      <c r="A101">
        <v>0</v>
      </c>
      <c r="B101" t="s">
        <v>1459</v>
      </c>
      <c r="D101" t="s">
        <v>1623</v>
      </c>
      <c r="E101" t="s">
        <v>2285</v>
      </c>
      <c r="F101" t="s">
        <v>51</v>
      </c>
      <c r="G101" t="s">
        <v>51</v>
      </c>
      <c r="I101" t="s">
        <v>1296</v>
      </c>
      <c r="J101" t="s">
        <v>1124</v>
      </c>
      <c r="K101" t="s">
        <v>1465</v>
      </c>
      <c r="L101" t="s">
        <v>1465</v>
      </c>
      <c r="M101" t="s">
        <v>1465</v>
      </c>
      <c r="N101" t="s">
        <v>1465</v>
      </c>
      <c r="O101" t="s">
        <v>1465</v>
      </c>
      <c r="P101" t="s">
        <v>1625</v>
      </c>
      <c r="Q101" t="s">
        <v>1697</v>
      </c>
      <c r="R101">
        <v>0</v>
      </c>
      <c r="V101" t="b">
        <v>1</v>
      </c>
      <c r="W101" t="s">
        <v>1497</v>
      </c>
      <c r="X101" t="b">
        <v>1</v>
      </c>
    </row>
    <row r="102" spans="1:24" hidden="1" x14ac:dyDescent="0.3">
      <c r="A102">
        <v>0</v>
      </c>
      <c r="B102" t="s">
        <v>1459</v>
      </c>
      <c r="D102" t="s">
        <v>1558</v>
      </c>
      <c r="E102" t="s">
        <v>2285</v>
      </c>
      <c r="F102" t="s">
        <v>51</v>
      </c>
      <c r="G102" t="s">
        <v>51</v>
      </c>
      <c r="I102" t="s">
        <v>1558</v>
      </c>
      <c r="J102" t="s">
        <v>1124</v>
      </c>
      <c r="K102" t="s">
        <v>1465</v>
      </c>
      <c r="L102" t="s">
        <v>1465</v>
      </c>
      <c r="M102" t="s">
        <v>1465</v>
      </c>
      <c r="N102" t="s">
        <v>1465</v>
      </c>
      <c r="O102" t="s">
        <v>1465</v>
      </c>
      <c r="P102" t="s">
        <v>1562</v>
      </c>
      <c r="Q102" t="s">
        <v>2054</v>
      </c>
      <c r="R102">
        <v>0</v>
      </c>
      <c r="V102" t="b">
        <v>1</v>
      </c>
      <c r="W102" t="s">
        <v>1497</v>
      </c>
      <c r="X102" t="b">
        <v>1</v>
      </c>
    </row>
    <row r="103" spans="1:24" hidden="1" x14ac:dyDescent="0.3">
      <c r="A103">
        <v>0</v>
      </c>
      <c r="B103" t="s">
        <v>1459</v>
      </c>
      <c r="D103" t="s">
        <v>1560</v>
      </c>
      <c r="E103" t="s">
        <v>2285</v>
      </c>
      <c r="F103" t="s">
        <v>51</v>
      </c>
      <c r="G103" t="s">
        <v>51</v>
      </c>
      <c r="I103" t="s">
        <v>1560</v>
      </c>
      <c r="J103" t="s">
        <v>1124</v>
      </c>
      <c r="K103" t="s">
        <v>1465</v>
      </c>
      <c r="L103" t="s">
        <v>1465</v>
      </c>
      <c r="M103" t="s">
        <v>1465</v>
      </c>
      <c r="N103" t="s">
        <v>1465</v>
      </c>
      <c r="O103" t="s">
        <v>1465</v>
      </c>
      <c r="P103" t="s">
        <v>1561</v>
      </c>
      <c r="Q103" t="s">
        <v>1698</v>
      </c>
      <c r="R103">
        <v>0</v>
      </c>
      <c r="V103" t="b">
        <v>1</v>
      </c>
      <c r="W103" t="s">
        <v>1497</v>
      </c>
      <c r="X103" t="b">
        <v>1</v>
      </c>
    </row>
    <row r="104" spans="1:24" x14ac:dyDescent="0.3">
      <c r="A104">
        <v>0</v>
      </c>
      <c r="B104" t="s">
        <v>1459</v>
      </c>
      <c r="D104" t="s">
        <v>898</v>
      </c>
      <c r="E104" t="s">
        <v>2432</v>
      </c>
      <c r="F104" t="s">
        <v>51</v>
      </c>
      <c r="G104" t="s">
        <v>51</v>
      </c>
      <c r="I104" t="s">
        <v>999</v>
      </c>
      <c r="J104" t="s">
        <v>1124</v>
      </c>
      <c r="K104" t="s">
        <v>1465</v>
      </c>
      <c r="L104" t="s">
        <v>1465</v>
      </c>
      <c r="M104" t="s">
        <v>1465</v>
      </c>
      <c r="N104" t="s">
        <v>1465</v>
      </c>
      <c r="O104" t="s">
        <v>1465</v>
      </c>
      <c r="P104" t="s">
        <v>1000</v>
      </c>
      <c r="Q104" t="s">
        <v>1686</v>
      </c>
      <c r="R104">
        <v>0</v>
      </c>
      <c r="V104" t="b">
        <v>1</v>
      </c>
      <c r="W104" t="s">
        <v>1497</v>
      </c>
      <c r="X104" t="b">
        <v>1</v>
      </c>
    </row>
    <row r="105" spans="1:24" x14ac:dyDescent="0.3">
      <c r="A105">
        <v>0</v>
      </c>
      <c r="B105" t="s">
        <v>1459</v>
      </c>
      <c r="D105" t="s">
        <v>898</v>
      </c>
      <c r="E105" t="s">
        <v>2432</v>
      </c>
      <c r="F105" t="s">
        <v>51</v>
      </c>
      <c r="G105" t="s">
        <v>51</v>
      </c>
      <c r="I105" t="s">
        <v>1005</v>
      </c>
      <c r="J105" t="s">
        <v>1124</v>
      </c>
      <c r="K105" t="s">
        <v>1465</v>
      </c>
      <c r="L105" t="s">
        <v>1465</v>
      </c>
      <c r="M105" t="s">
        <v>1465</v>
      </c>
      <c r="N105" t="s">
        <v>1465</v>
      </c>
      <c r="O105" t="s">
        <v>1465</v>
      </c>
      <c r="P105" t="s">
        <v>1439</v>
      </c>
      <c r="Q105" t="s">
        <v>1690</v>
      </c>
      <c r="R105">
        <v>0</v>
      </c>
      <c r="V105" t="b">
        <v>0</v>
      </c>
      <c r="W105" t="s">
        <v>1497</v>
      </c>
      <c r="X105" t="b">
        <v>1</v>
      </c>
    </row>
    <row r="106" spans="1:24" x14ac:dyDescent="0.3">
      <c r="A106">
        <v>0</v>
      </c>
      <c r="B106" t="s">
        <v>1459</v>
      </c>
      <c r="D106" t="s">
        <v>2094</v>
      </c>
      <c r="E106" t="s">
        <v>2432</v>
      </c>
      <c r="F106" t="s">
        <v>51</v>
      </c>
      <c r="G106" t="s">
        <v>51</v>
      </c>
      <c r="I106" t="s">
        <v>2094</v>
      </c>
      <c r="J106" t="s">
        <v>1124</v>
      </c>
      <c r="K106" t="s">
        <v>1465</v>
      </c>
      <c r="L106" t="s">
        <v>1465</v>
      </c>
      <c r="M106" t="s">
        <v>1465</v>
      </c>
      <c r="N106" t="s">
        <v>1465</v>
      </c>
      <c r="O106" t="s">
        <v>1465</v>
      </c>
      <c r="P106" t="s">
        <v>2102</v>
      </c>
      <c r="Q106" t="s">
        <v>1692</v>
      </c>
      <c r="R106">
        <v>0</v>
      </c>
      <c r="V106" t="b">
        <v>1</v>
      </c>
      <c r="W106" t="s">
        <v>1497</v>
      </c>
      <c r="X106" t="b">
        <v>1</v>
      </c>
    </row>
    <row r="107" spans="1:24" x14ac:dyDescent="0.3">
      <c r="A107">
        <v>0</v>
      </c>
      <c r="B107" t="s">
        <v>1459</v>
      </c>
      <c r="D107" t="s">
        <v>1585</v>
      </c>
      <c r="E107" t="s">
        <v>2432</v>
      </c>
      <c r="F107" t="s">
        <v>51</v>
      </c>
      <c r="G107" t="s">
        <v>51</v>
      </c>
      <c r="I107" t="s">
        <v>2433</v>
      </c>
      <c r="J107" t="s">
        <v>1124</v>
      </c>
      <c r="K107" t="s">
        <v>1465</v>
      </c>
      <c r="L107" t="s">
        <v>1465</v>
      </c>
      <c r="M107" t="s">
        <v>1465</v>
      </c>
      <c r="N107" t="s">
        <v>1465</v>
      </c>
      <c r="O107" t="s">
        <v>1465</v>
      </c>
      <c r="P107" t="s">
        <v>2151</v>
      </c>
      <c r="Q107" t="s">
        <v>2300</v>
      </c>
      <c r="R107">
        <v>0</v>
      </c>
      <c r="V107" t="b">
        <v>1</v>
      </c>
      <c r="W107" t="s">
        <v>1497</v>
      </c>
      <c r="X107" t="b">
        <v>1</v>
      </c>
    </row>
    <row r="108" spans="1:24" x14ac:dyDescent="0.3">
      <c r="A108">
        <v>0</v>
      </c>
      <c r="B108" t="s">
        <v>1459</v>
      </c>
      <c r="D108" t="s">
        <v>1585</v>
      </c>
      <c r="E108" t="s">
        <v>2432</v>
      </c>
      <c r="F108" t="s">
        <v>51</v>
      </c>
      <c r="G108" t="s">
        <v>51</v>
      </c>
      <c r="I108" t="s">
        <v>2434</v>
      </c>
      <c r="J108" t="s">
        <v>1124</v>
      </c>
      <c r="K108" t="s">
        <v>1465</v>
      </c>
      <c r="L108" t="s">
        <v>1465</v>
      </c>
      <c r="M108" t="s">
        <v>1465</v>
      </c>
      <c r="N108" t="s">
        <v>1465</v>
      </c>
      <c r="O108" t="s">
        <v>1465</v>
      </c>
      <c r="P108" t="s">
        <v>2152</v>
      </c>
      <c r="Q108" t="s">
        <v>2302</v>
      </c>
      <c r="R108">
        <v>0</v>
      </c>
      <c r="V108" t="b">
        <v>1</v>
      </c>
      <c r="W108" t="s">
        <v>1497</v>
      </c>
      <c r="X108" t="b">
        <v>1</v>
      </c>
    </row>
    <row r="109" spans="1:24" x14ac:dyDescent="0.3">
      <c r="A109">
        <v>1</v>
      </c>
      <c r="B109" t="s">
        <v>1459</v>
      </c>
      <c r="D109" t="s">
        <v>1585</v>
      </c>
      <c r="E109" t="s">
        <v>2432</v>
      </c>
      <c r="F109" t="s">
        <v>51</v>
      </c>
      <c r="G109" t="s">
        <v>51</v>
      </c>
      <c r="I109" t="s">
        <v>1303</v>
      </c>
      <c r="J109" t="s">
        <v>1124</v>
      </c>
      <c r="K109" t="s">
        <v>1465</v>
      </c>
      <c r="L109" t="s">
        <v>1465</v>
      </c>
      <c r="M109" t="s">
        <v>1465</v>
      </c>
      <c r="N109" t="s">
        <v>1465</v>
      </c>
      <c r="O109" t="s">
        <v>1465</v>
      </c>
      <c r="P109" t="s">
        <v>2153</v>
      </c>
      <c r="Q109" t="s">
        <v>2303</v>
      </c>
      <c r="R109">
        <v>0</v>
      </c>
      <c r="V109" t="b">
        <v>0</v>
      </c>
      <c r="W109" t="s">
        <v>1497</v>
      </c>
      <c r="X109" t="b">
        <v>0</v>
      </c>
    </row>
    <row r="110" spans="1:24" x14ac:dyDescent="0.3">
      <c r="A110">
        <v>1</v>
      </c>
      <c r="B110" t="s">
        <v>1459</v>
      </c>
      <c r="D110" t="s">
        <v>1585</v>
      </c>
      <c r="E110" t="s">
        <v>2432</v>
      </c>
      <c r="F110" t="s">
        <v>51</v>
      </c>
      <c r="G110" t="s">
        <v>51</v>
      </c>
      <c r="I110" t="s">
        <v>1303</v>
      </c>
      <c r="J110" t="s">
        <v>1124</v>
      </c>
      <c r="K110" t="s">
        <v>1465</v>
      </c>
      <c r="L110" t="s">
        <v>1465</v>
      </c>
      <c r="M110" t="s">
        <v>1465</v>
      </c>
      <c r="N110" t="s">
        <v>1465</v>
      </c>
      <c r="O110" t="s">
        <v>1465</v>
      </c>
      <c r="P110" t="s">
        <v>2154</v>
      </c>
      <c r="Q110" t="s">
        <v>2303</v>
      </c>
      <c r="R110">
        <v>0</v>
      </c>
      <c r="V110" t="b">
        <v>0</v>
      </c>
      <c r="W110" t="s">
        <v>1497</v>
      </c>
      <c r="X110" t="b">
        <v>0</v>
      </c>
    </row>
    <row r="111" spans="1:24" x14ac:dyDescent="0.3">
      <c r="A111">
        <v>1</v>
      </c>
      <c r="B111" t="s">
        <v>1459</v>
      </c>
      <c r="D111" t="s">
        <v>1585</v>
      </c>
      <c r="E111" t="s">
        <v>2432</v>
      </c>
      <c r="F111" t="s">
        <v>51</v>
      </c>
      <c r="G111" t="s">
        <v>51</v>
      </c>
      <c r="I111" t="s">
        <v>1303</v>
      </c>
      <c r="J111" t="s">
        <v>1124</v>
      </c>
      <c r="K111" t="s">
        <v>1465</v>
      </c>
      <c r="L111" t="s">
        <v>1465</v>
      </c>
      <c r="M111" t="s">
        <v>1465</v>
      </c>
      <c r="N111" t="s">
        <v>1465</v>
      </c>
      <c r="O111" t="s">
        <v>1465</v>
      </c>
      <c r="P111" t="s">
        <v>2155</v>
      </c>
      <c r="Q111" t="s">
        <v>2303</v>
      </c>
      <c r="R111">
        <v>0</v>
      </c>
      <c r="V111" t="b">
        <v>0</v>
      </c>
      <c r="W111" t="s">
        <v>1497</v>
      </c>
      <c r="X111" t="b">
        <v>0</v>
      </c>
    </row>
    <row r="112" spans="1:24" x14ac:dyDescent="0.3">
      <c r="A112">
        <v>1</v>
      </c>
      <c r="B112" t="s">
        <v>1459</v>
      </c>
      <c r="D112" t="s">
        <v>1585</v>
      </c>
      <c r="E112" t="s">
        <v>2432</v>
      </c>
      <c r="F112" t="s">
        <v>51</v>
      </c>
      <c r="G112" t="s">
        <v>51</v>
      </c>
      <c r="I112" t="s">
        <v>1303</v>
      </c>
      <c r="J112" t="s">
        <v>1124</v>
      </c>
      <c r="K112" t="s">
        <v>1465</v>
      </c>
      <c r="L112" t="s">
        <v>1465</v>
      </c>
      <c r="M112" t="s">
        <v>1465</v>
      </c>
      <c r="N112" t="s">
        <v>1465</v>
      </c>
      <c r="O112" t="s">
        <v>1465</v>
      </c>
      <c r="P112" t="s">
        <v>2156</v>
      </c>
      <c r="Q112" t="s">
        <v>2303</v>
      </c>
      <c r="R112">
        <v>0</v>
      </c>
      <c r="V112" t="b">
        <v>0</v>
      </c>
      <c r="W112" t="s">
        <v>1497</v>
      </c>
      <c r="X112" t="b">
        <v>0</v>
      </c>
    </row>
    <row r="113" spans="1:24" x14ac:dyDescent="0.3">
      <c r="A113">
        <v>1</v>
      </c>
      <c r="B113" t="s">
        <v>1459</v>
      </c>
      <c r="D113" t="s">
        <v>1585</v>
      </c>
      <c r="E113" t="s">
        <v>2432</v>
      </c>
      <c r="F113" t="s">
        <v>51</v>
      </c>
      <c r="G113" t="s">
        <v>51</v>
      </c>
      <c r="I113" t="s">
        <v>1303</v>
      </c>
      <c r="J113" t="s">
        <v>1124</v>
      </c>
      <c r="K113" t="s">
        <v>1465</v>
      </c>
      <c r="L113" t="s">
        <v>1465</v>
      </c>
      <c r="M113" t="s">
        <v>1465</v>
      </c>
      <c r="N113" t="s">
        <v>1465</v>
      </c>
      <c r="O113" t="s">
        <v>1465</v>
      </c>
      <c r="P113" t="s">
        <v>2157</v>
      </c>
      <c r="Q113" t="s">
        <v>2303</v>
      </c>
      <c r="R113">
        <v>0</v>
      </c>
      <c r="V113" t="b">
        <v>0</v>
      </c>
      <c r="W113" t="s">
        <v>1497</v>
      </c>
      <c r="X113" t="b">
        <v>0</v>
      </c>
    </row>
    <row r="114" spans="1:24" x14ac:dyDescent="0.3">
      <c r="A114">
        <v>1</v>
      </c>
      <c r="B114" t="s">
        <v>1459</v>
      </c>
      <c r="D114" t="s">
        <v>1585</v>
      </c>
      <c r="E114" t="s">
        <v>2432</v>
      </c>
      <c r="F114" t="s">
        <v>51</v>
      </c>
      <c r="G114" t="s">
        <v>51</v>
      </c>
      <c r="I114" t="s">
        <v>1303</v>
      </c>
      <c r="J114" t="s">
        <v>1124</v>
      </c>
      <c r="K114" t="s">
        <v>1465</v>
      </c>
      <c r="L114" t="s">
        <v>1465</v>
      </c>
      <c r="M114" t="s">
        <v>1465</v>
      </c>
      <c r="N114" t="s">
        <v>1465</v>
      </c>
      <c r="O114" t="s">
        <v>1465</v>
      </c>
      <c r="P114" t="s">
        <v>2158</v>
      </c>
      <c r="Q114" t="s">
        <v>2303</v>
      </c>
      <c r="R114">
        <v>0</v>
      </c>
      <c r="V114" t="b">
        <v>0</v>
      </c>
      <c r="W114" t="s">
        <v>1497</v>
      </c>
      <c r="X114" t="b">
        <v>0</v>
      </c>
    </row>
    <row r="115" spans="1:24" x14ac:dyDescent="0.3">
      <c r="A115">
        <v>1</v>
      </c>
      <c r="B115" t="s">
        <v>1459</v>
      </c>
      <c r="D115" t="s">
        <v>1585</v>
      </c>
      <c r="E115" t="s">
        <v>2432</v>
      </c>
      <c r="F115" t="s">
        <v>51</v>
      </c>
      <c r="G115" t="s">
        <v>51</v>
      </c>
      <c r="I115" t="s">
        <v>1303</v>
      </c>
      <c r="J115" t="s">
        <v>1124</v>
      </c>
      <c r="K115" t="s">
        <v>1465</v>
      </c>
      <c r="L115" t="s">
        <v>1465</v>
      </c>
      <c r="M115" t="s">
        <v>1465</v>
      </c>
      <c r="N115" t="s">
        <v>1465</v>
      </c>
      <c r="O115" t="s">
        <v>1465</v>
      </c>
      <c r="P115" t="s">
        <v>2159</v>
      </c>
      <c r="Q115" t="s">
        <v>2303</v>
      </c>
      <c r="R115">
        <v>0</v>
      </c>
      <c r="V115" t="b">
        <v>0</v>
      </c>
      <c r="W115" t="s">
        <v>1497</v>
      </c>
      <c r="X115" t="b">
        <v>0</v>
      </c>
    </row>
    <row r="116" spans="1:24" x14ac:dyDescent="0.3">
      <c r="A116">
        <v>1</v>
      </c>
      <c r="B116" t="s">
        <v>1459</v>
      </c>
      <c r="D116" t="s">
        <v>1585</v>
      </c>
      <c r="E116" t="s">
        <v>2432</v>
      </c>
      <c r="F116" t="s">
        <v>51</v>
      </c>
      <c r="G116" t="s">
        <v>51</v>
      </c>
      <c r="I116" t="s">
        <v>1303</v>
      </c>
      <c r="J116" t="s">
        <v>1124</v>
      </c>
      <c r="K116" t="s">
        <v>1465</v>
      </c>
      <c r="L116" t="s">
        <v>1465</v>
      </c>
      <c r="M116" t="s">
        <v>1465</v>
      </c>
      <c r="N116" t="s">
        <v>1465</v>
      </c>
      <c r="O116" t="s">
        <v>1465</v>
      </c>
      <c r="P116" t="s">
        <v>2160</v>
      </c>
      <c r="Q116" t="s">
        <v>2303</v>
      </c>
      <c r="R116">
        <v>0</v>
      </c>
      <c r="V116" t="b">
        <v>0</v>
      </c>
      <c r="W116" t="s">
        <v>1497</v>
      </c>
      <c r="X116" t="b">
        <v>0</v>
      </c>
    </row>
    <row r="117" spans="1:24" x14ac:dyDescent="0.3">
      <c r="A117">
        <v>1</v>
      </c>
      <c r="B117" t="s">
        <v>1459</v>
      </c>
      <c r="D117" t="s">
        <v>1585</v>
      </c>
      <c r="E117" t="s">
        <v>2432</v>
      </c>
      <c r="F117" t="s">
        <v>51</v>
      </c>
      <c r="G117" t="s">
        <v>51</v>
      </c>
      <c r="I117" t="s">
        <v>1303</v>
      </c>
      <c r="J117" t="s">
        <v>1124</v>
      </c>
      <c r="K117" t="s">
        <v>1465</v>
      </c>
      <c r="L117" t="s">
        <v>1465</v>
      </c>
      <c r="M117" t="s">
        <v>1465</v>
      </c>
      <c r="N117" t="s">
        <v>1465</v>
      </c>
      <c r="O117" t="s">
        <v>1465</v>
      </c>
      <c r="P117" t="s">
        <v>2161</v>
      </c>
      <c r="Q117" t="s">
        <v>2303</v>
      </c>
      <c r="R117">
        <v>0</v>
      </c>
      <c r="V117" t="b">
        <v>0</v>
      </c>
      <c r="W117" t="s">
        <v>1497</v>
      </c>
      <c r="X117" t="b">
        <v>0</v>
      </c>
    </row>
    <row r="118" spans="1:24" x14ac:dyDescent="0.3">
      <c r="A118">
        <v>1</v>
      </c>
      <c r="B118" t="s">
        <v>1459</v>
      </c>
      <c r="D118" t="s">
        <v>1585</v>
      </c>
      <c r="E118" t="s">
        <v>2432</v>
      </c>
      <c r="F118" t="s">
        <v>51</v>
      </c>
      <c r="G118" t="s">
        <v>51</v>
      </c>
      <c r="I118" t="s">
        <v>1303</v>
      </c>
      <c r="J118" t="s">
        <v>1124</v>
      </c>
      <c r="K118" t="s">
        <v>1465</v>
      </c>
      <c r="L118" t="s">
        <v>1465</v>
      </c>
      <c r="M118" t="s">
        <v>1465</v>
      </c>
      <c r="N118" t="s">
        <v>1465</v>
      </c>
      <c r="O118" t="s">
        <v>1465</v>
      </c>
      <c r="P118" t="s">
        <v>2162</v>
      </c>
      <c r="Q118" t="s">
        <v>2303</v>
      </c>
      <c r="R118">
        <v>0</v>
      </c>
      <c r="V118" t="b">
        <v>0</v>
      </c>
      <c r="W118" t="s">
        <v>1497</v>
      </c>
      <c r="X118" t="b">
        <v>0</v>
      </c>
    </row>
    <row r="119" spans="1:24" x14ac:dyDescent="0.3">
      <c r="A119">
        <v>1</v>
      </c>
      <c r="B119" t="s">
        <v>1459</v>
      </c>
      <c r="D119" t="s">
        <v>1585</v>
      </c>
      <c r="E119" t="s">
        <v>2432</v>
      </c>
      <c r="F119" t="s">
        <v>51</v>
      </c>
      <c r="G119" t="s">
        <v>51</v>
      </c>
      <c r="I119" t="s">
        <v>1303</v>
      </c>
      <c r="J119" t="s">
        <v>1124</v>
      </c>
      <c r="K119" t="s">
        <v>1465</v>
      </c>
      <c r="L119" t="s">
        <v>1465</v>
      </c>
      <c r="M119" t="s">
        <v>1465</v>
      </c>
      <c r="N119" t="s">
        <v>1465</v>
      </c>
      <c r="O119" t="s">
        <v>1465</v>
      </c>
      <c r="P119" t="s">
        <v>2163</v>
      </c>
      <c r="Q119" t="s">
        <v>2303</v>
      </c>
      <c r="R119">
        <v>0</v>
      </c>
      <c r="V119" t="b">
        <v>0</v>
      </c>
      <c r="W119" t="s">
        <v>1497</v>
      </c>
      <c r="X119" t="b">
        <v>0</v>
      </c>
    </row>
    <row r="120" spans="1:24" x14ac:dyDescent="0.3">
      <c r="A120">
        <v>1</v>
      </c>
      <c r="B120" t="s">
        <v>1459</v>
      </c>
      <c r="D120" t="s">
        <v>1585</v>
      </c>
      <c r="E120" t="s">
        <v>2432</v>
      </c>
      <c r="F120" t="s">
        <v>51</v>
      </c>
      <c r="G120" t="s">
        <v>51</v>
      </c>
      <c r="I120" t="s">
        <v>1303</v>
      </c>
      <c r="J120" t="s">
        <v>1124</v>
      </c>
      <c r="K120" t="s">
        <v>1465</v>
      </c>
      <c r="L120" t="s">
        <v>1465</v>
      </c>
      <c r="M120" t="s">
        <v>1465</v>
      </c>
      <c r="N120" t="s">
        <v>1465</v>
      </c>
      <c r="O120" t="s">
        <v>1465</v>
      </c>
      <c r="P120" t="s">
        <v>2164</v>
      </c>
      <c r="Q120" t="s">
        <v>2303</v>
      </c>
      <c r="R120">
        <v>0</v>
      </c>
      <c r="V120" t="b">
        <v>0</v>
      </c>
      <c r="W120" t="s">
        <v>1497</v>
      </c>
      <c r="X120" t="b">
        <v>0</v>
      </c>
    </row>
    <row r="121" spans="1:24" x14ac:dyDescent="0.3">
      <c r="A121">
        <v>0</v>
      </c>
      <c r="B121" t="s">
        <v>1459</v>
      </c>
      <c r="D121" t="s">
        <v>1585</v>
      </c>
      <c r="E121" t="s">
        <v>2432</v>
      </c>
      <c r="F121" t="s">
        <v>51</v>
      </c>
      <c r="G121" t="s">
        <v>51</v>
      </c>
      <c r="I121" t="s">
        <v>2435</v>
      </c>
      <c r="J121" t="s">
        <v>1124</v>
      </c>
      <c r="K121" t="s">
        <v>1465</v>
      </c>
      <c r="L121" t="s">
        <v>1465</v>
      </c>
      <c r="M121" t="s">
        <v>1465</v>
      </c>
      <c r="N121" t="s">
        <v>1465</v>
      </c>
      <c r="O121" t="s">
        <v>1465</v>
      </c>
      <c r="P121" t="s">
        <v>2176</v>
      </c>
      <c r="Q121" t="s">
        <v>2311</v>
      </c>
      <c r="R121">
        <v>0</v>
      </c>
      <c r="V121" t="b">
        <v>1</v>
      </c>
      <c r="W121" t="s">
        <v>1497</v>
      </c>
      <c r="X121" t="b">
        <v>1</v>
      </c>
    </row>
    <row r="122" spans="1:24" x14ac:dyDescent="0.3">
      <c r="A122">
        <v>1</v>
      </c>
      <c r="B122" t="s">
        <v>1459</v>
      </c>
      <c r="D122" t="s">
        <v>1585</v>
      </c>
      <c r="E122" t="s">
        <v>2432</v>
      </c>
      <c r="F122" t="s">
        <v>51</v>
      </c>
      <c r="G122" t="s">
        <v>51</v>
      </c>
      <c r="I122" t="s">
        <v>1303</v>
      </c>
      <c r="J122" t="s">
        <v>1124</v>
      </c>
      <c r="K122" t="s">
        <v>1465</v>
      </c>
      <c r="L122" t="s">
        <v>1465</v>
      </c>
      <c r="M122" t="s">
        <v>1465</v>
      </c>
      <c r="N122" t="s">
        <v>1465</v>
      </c>
      <c r="O122" t="s">
        <v>1465</v>
      </c>
      <c r="P122" t="s">
        <v>2175</v>
      </c>
      <c r="Q122" t="s">
        <v>2303</v>
      </c>
      <c r="R122">
        <v>0</v>
      </c>
      <c r="V122" t="b">
        <v>0</v>
      </c>
      <c r="W122" t="s">
        <v>1497</v>
      </c>
      <c r="X122" t="b">
        <v>0</v>
      </c>
    </row>
    <row r="123" spans="1:24" x14ac:dyDescent="0.3">
      <c r="A123">
        <v>1</v>
      </c>
      <c r="B123" t="s">
        <v>1459</v>
      </c>
      <c r="D123" t="s">
        <v>1585</v>
      </c>
      <c r="E123" t="s">
        <v>2432</v>
      </c>
      <c r="F123" t="s">
        <v>51</v>
      </c>
      <c r="G123" t="s">
        <v>51</v>
      </c>
      <c r="I123" t="s">
        <v>1303</v>
      </c>
      <c r="J123" t="s">
        <v>1124</v>
      </c>
      <c r="K123" t="s">
        <v>1465</v>
      </c>
      <c r="L123" t="s">
        <v>1465</v>
      </c>
      <c r="M123" t="s">
        <v>1465</v>
      </c>
      <c r="N123" t="s">
        <v>1465</v>
      </c>
      <c r="O123" t="s">
        <v>1465</v>
      </c>
      <c r="P123" t="s">
        <v>2166</v>
      </c>
      <c r="Q123" t="s">
        <v>2303</v>
      </c>
      <c r="R123">
        <v>0</v>
      </c>
      <c r="V123" t="b">
        <v>0</v>
      </c>
      <c r="W123" t="s">
        <v>1497</v>
      </c>
      <c r="X123" t="b">
        <v>0</v>
      </c>
    </row>
    <row r="124" spans="1:24" x14ac:dyDescent="0.3">
      <c r="A124">
        <v>1</v>
      </c>
      <c r="B124" t="s">
        <v>1459</v>
      </c>
      <c r="D124" t="s">
        <v>1585</v>
      </c>
      <c r="E124" t="s">
        <v>2432</v>
      </c>
      <c r="F124" t="s">
        <v>51</v>
      </c>
      <c r="G124" t="s">
        <v>51</v>
      </c>
      <c r="I124" t="s">
        <v>1303</v>
      </c>
      <c r="J124" t="s">
        <v>1124</v>
      </c>
      <c r="K124" t="s">
        <v>1465</v>
      </c>
      <c r="L124" t="s">
        <v>1465</v>
      </c>
      <c r="M124" t="s">
        <v>1465</v>
      </c>
      <c r="N124" t="s">
        <v>1465</v>
      </c>
      <c r="O124" t="s">
        <v>1465</v>
      </c>
      <c r="P124" t="s">
        <v>2167</v>
      </c>
      <c r="Q124" t="s">
        <v>2303</v>
      </c>
      <c r="R124">
        <v>0</v>
      </c>
      <c r="V124" t="b">
        <v>0</v>
      </c>
      <c r="W124" t="s">
        <v>1497</v>
      </c>
      <c r="X124" t="b">
        <v>0</v>
      </c>
    </row>
    <row r="125" spans="1:24" x14ac:dyDescent="0.3">
      <c r="A125">
        <v>1</v>
      </c>
      <c r="B125" t="s">
        <v>1459</v>
      </c>
      <c r="D125" t="s">
        <v>1585</v>
      </c>
      <c r="E125" t="s">
        <v>2432</v>
      </c>
      <c r="F125" t="s">
        <v>51</v>
      </c>
      <c r="G125" t="s">
        <v>51</v>
      </c>
      <c r="J125" t="s">
        <v>1124</v>
      </c>
      <c r="K125" t="s">
        <v>1465</v>
      </c>
      <c r="L125" t="s">
        <v>1465</v>
      </c>
      <c r="M125" t="s">
        <v>1465</v>
      </c>
      <c r="N125" t="s">
        <v>1465</v>
      </c>
      <c r="O125" t="s">
        <v>1465</v>
      </c>
      <c r="P125" t="s">
        <v>2168</v>
      </c>
      <c r="Q125" t="s">
        <v>2303</v>
      </c>
      <c r="R125">
        <v>0</v>
      </c>
      <c r="V125" t="b">
        <v>0</v>
      </c>
      <c r="W125" t="s">
        <v>1497</v>
      </c>
      <c r="X125" t="b">
        <v>0</v>
      </c>
    </row>
    <row r="126" spans="1:24" x14ac:dyDescent="0.3">
      <c r="A126">
        <v>1</v>
      </c>
      <c r="B126" t="s">
        <v>1459</v>
      </c>
      <c r="D126" t="s">
        <v>1585</v>
      </c>
      <c r="E126" t="s">
        <v>2432</v>
      </c>
      <c r="F126" t="s">
        <v>51</v>
      </c>
      <c r="G126" t="s">
        <v>51</v>
      </c>
      <c r="J126" t="s">
        <v>1124</v>
      </c>
      <c r="K126" t="s">
        <v>1465</v>
      </c>
      <c r="L126" t="s">
        <v>1465</v>
      </c>
      <c r="M126" t="s">
        <v>1465</v>
      </c>
      <c r="N126" t="s">
        <v>1465</v>
      </c>
      <c r="O126" t="s">
        <v>1465</v>
      </c>
      <c r="P126" t="s">
        <v>2169</v>
      </c>
      <c r="Q126" t="s">
        <v>2303</v>
      </c>
      <c r="R126">
        <v>0</v>
      </c>
      <c r="V126" t="b">
        <v>0</v>
      </c>
      <c r="W126" t="s">
        <v>1497</v>
      </c>
      <c r="X126" t="b">
        <v>0</v>
      </c>
    </row>
    <row r="127" spans="1:24" x14ac:dyDescent="0.3">
      <c r="A127">
        <v>1</v>
      </c>
      <c r="B127" t="s">
        <v>1459</v>
      </c>
      <c r="D127" t="s">
        <v>1585</v>
      </c>
      <c r="E127" t="s">
        <v>2432</v>
      </c>
      <c r="F127" t="s">
        <v>51</v>
      </c>
      <c r="G127" t="s">
        <v>51</v>
      </c>
      <c r="J127" t="s">
        <v>1124</v>
      </c>
      <c r="K127" t="s">
        <v>1465</v>
      </c>
      <c r="L127" t="s">
        <v>1465</v>
      </c>
      <c r="M127" t="s">
        <v>1465</v>
      </c>
      <c r="N127" t="s">
        <v>1465</v>
      </c>
      <c r="O127" t="s">
        <v>1465</v>
      </c>
      <c r="P127" t="s">
        <v>2170</v>
      </c>
      <c r="Q127" t="s">
        <v>2314</v>
      </c>
      <c r="R127">
        <v>0</v>
      </c>
      <c r="V127" t="b">
        <v>0</v>
      </c>
      <c r="W127" t="s">
        <v>1497</v>
      </c>
      <c r="X127" t="b">
        <v>0</v>
      </c>
    </row>
    <row r="128" spans="1:24" x14ac:dyDescent="0.3">
      <c r="A128">
        <v>0</v>
      </c>
      <c r="B128" t="s">
        <v>1459</v>
      </c>
      <c r="D128" t="s">
        <v>906</v>
      </c>
      <c r="E128" t="s">
        <v>2432</v>
      </c>
      <c r="F128" t="s">
        <v>51</v>
      </c>
      <c r="G128" t="s">
        <v>51</v>
      </c>
      <c r="I128" t="s">
        <v>1205</v>
      </c>
      <c r="J128" t="s">
        <v>1124</v>
      </c>
      <c r="K128" t="s">
        <v>1465</v>
      </c>
      <c r="L128" t="s">
        <v>1465</v>
      </c>
      <c r="M128" t="s">
        <v>1465</v>
      </c>
      <c r="N128" t="s">
        <v>1465</v>
      </c>
      <c r="O128" t="s">
        <v>1465</v>
      </c>
      <c r="P128" t="s">
        <v>1609</v>
      </c>
      <c r="Q128" t="s">
        <v>2305</v>
      </c>
      <c r="R128">
        <v>0</v>
      </c>
      <c r="V128" t="b">
        <v>1</v>
      </c>
      <c r="W128" t="s">
        <v>1497</v>
      </c>
      <c r="X128" t="b">
        <v>1</v>
      </c>
    </row>
    <row r="129" spans="1:24" x14ac:dyDescent="0.3">
      <c r="A129">
        <v>0</v>
      </c>
      <c r="B129" t="s">
        <v>1459</v>
      </c>
      <c r="D129" t="s">
        <v>906</v>
      </c>
      <c r="E129" t="s">
        <v>2432</v>
      </c>
      <c r="F129" t="s">
        <v>51</v>
      </c>
      <c r="G129" t="s">
        <v>51</v>
      </c>
      <c r="I129" t="s">
        <v>1209</v>
      </c>
      <c r="J129" t="s">
        <v>1124</v>
      </c>
      <c r="K129" t="s">
        <v>1465</v>
      </c>
      <c r="L129" t="s">
        <v>1465</v>
      </c>
      <c r="M129" t="s">
        <v>1465</v>
      </c>
      <c r="N129" t="s">
        <v>1465</v>
      </c>
      <c r="O129" t="s">
        <v>1465</v>
      </c>
      <c r="P129" t="s">
        <v>1437</v>
      </c>
      <c r="Q129" t="s">
        <v>2310</v>
      </c>
      <c r="R129">
        <v>0</v>
      </c>
      <c r="V129" t="b">
        <v>1</v>
      </c>
      <c r="W129" t="s">
        <v>1497</v>
      </c>
      <c r="X129" t="b">
        <v>1</v>
      </c>
    </row>
    <row r="130" spans="1:24" x14ac:dyDescent="0.3">
      <c r="A130">
        <v>0</v>
      </c>
      <c r="B130" t="s">
        <v>1459</v>
      </c>
      <c r="D130" t="s">
        <v>1940</v>
      </c>
      <c r="E130" t="s">
        <v>2432</v>
      </c>
      <c r="F130" t="s">
        <v>51</v>
      </c>
      <c r="G130" t="s">
        <v>51</v>
      </c>
      <c r="I130" t="s">
        <v>1949</v>
      </c>
      <c r="J130" t="s">
        <v>1124</v>
      </c>
      <c r="K130" t="s">
        <v>1465</v>
      </c>
      <c r="L130" t="s">
        <v>1465</v>
      </c>
      <c r="M130" t="s">
        <v>1465</v>
      </c>
      <c r="N130" t="s">
        <v>1465</v>
      </c>
      <c r="O130" t="s">
        <v>1465</v>
      </c>
      <c r="P130" t="s">
        <v>1942</v>
      </c>
      <c r="Q130" t="s">
        <v>1955</v>
      </c>
      <c r="R130">
        <v>0</v>
      </c>
      <c r="V130" t="b">
        <v>0</v>
      </c>
      <c r="W130" t="s">
        <v>1497</v>
      </c>
      <c r="X130" t="b">
        <v>1</v>
      </c>
    </row>
    <row r="131" spans="1:24" x14ac:dyDescent="0.3">
      <c r="A131">
        <v>0</v>
      </c>
      <c r="B131" t="s">
        <v>1459</v>
      </c>
      <c r="D131" t="s">
        <v>916</v>
      </c>
      <c r="E131" t="s">
        <v>2432</v>
      </c>
      <c r="F131" t="s">
        <v>51</v>
      </c>
      <c r="G131" t="s">
        <v>51</v>
      </c>
      <c r="I131" t="s">
        <v>1286</v>
      </c>
      <c r="J131" t="s">
        <v>1124</v>
      </c>
      <c r="K131" t="s">
        <v>1465</v>
      </c>
      <c r="L131" t="s">
        <v>1465</v>
      </c>
      <c r="M131" t="s">
        <v>1465</v>
      </c>
      <c r="N131" t="s">
        <v>1465</v>
      </c>
      <c r="O131" t="s">
        <v>1465</v>
      </c>
      <c r="P131" t="s">
        <v>917</v>
      </c>
      <c r="Q131" t="s">
        <v>1695</v>
      </c>
      <c r="R131">
        <v>0</v>
      </c>
      <c r="V131" t="b">
        <v>0</v>
      </c>
      <c r="W131" t="s">
        <v>1497</v>
      </c>
      <c r="X131" t="b">
        <v>1</v>
      </c>
    </row>
    <row r="132" spans="1:24" x14ac:dyDescent="0.3">
      <c r="A132">
        <v>0</v>
      </c>
      <c r="B132" t="s">
        <v>1459</v>
      </c>
      <c r="D132" t="s">
        <v>918</v>
      </c>
      <c r="E132" t="s">
        <v>2432</v>
      </c>
      <c r="F132" t="s">
        <v>51</v>
      </c>
      <c r="G132" t="s">
        <v>51</v>
      </c>
      <c r="I132" t="s">
        <v>1288</v>
      </c>
      <c r="J132" t="s">
        <v>1124</v>
      </c>
      <c r="K132" t="s">
        <v>1465</v>
      </c>
      <c r="L132" t="s">
        <v>1465</v>
      </c>
      <c r="M132" t="s">
        <v>1465</v>
      </c>
      <c r="N132" t="s">
        <v>1465</v>
      </c>
      <c r="O132" t="s">
        <v>1465</v>
      </c>
      <c r="P132" t="s">
        <v>919</v>
      </c>
      <c r="Q132" t="s">
        <v>1696</v>
      </c>
      <c r="R132">
        <v>0</v>
      </c>
      <c r="V132" t="b">
        <v>0</v>
      </c>
      <c r="W132" t="s">
        <v>1497</v>
      </c>
      <c r="X132" t="b">
        <v>1</v>
      </c>
    </row>
    <row r="133" spans="1:24" hidden="1" x14ac:dyDescent="0.3">
      <c r="B133" t="s">
        <v>1461</v>
      </c>
      <c r="E133" t="s">
        <v>39</v>
      </c>
      <c r="I133" t="s">
        <v>1184</v>
      </c>
      <c r="J133" t="s">
        <v>1124</v>
      </c>
      <c r="K133" t="s">
        <v>1465</v>
      </c>
      <c r="L133" t="s">
        <v>1465</v>
      </c>
      <c r="M133" t="s">
        <v>1465</v>
      </c>
      <c r="N133" t="s">
        <v>1465</v>
      </c>
      <c r="O133" t="s">
        <v>1465</v>
      </c>
      <c r="P133" t="s">
        <v>1443</v>
      </c>
      <c r="R133">
        <v>0</v>
      </c>
      <c r="V133" t="b">
        <v>1</v>
      </c>
      <c r="W133" t="s">
        <v>1497</v>
      </c>
      <c r="X133" t="b">
        <v>1</v>
      </c>
    </row>
    <row r="134" spans="1:24" hidden="1" x14ac:dyDescent="0.3">
      <c r="B134" t="s">
        <v>1461</v>
      </c>
      <c r="E134" t="s">
        <v>2285</v>
      </c>
      <c r="I134" t="s">
        <v>1585</v>
      </c>
      <c r="J134" t="s">
        <v>1124</v>
      </c>
      <c r="K134" t="s">
        <v>1465</v>
      </c>
      <c r="L134" t="s">
        <v>1465</v>
      </c>
      <c r="M134" t="s">
        <v>1465</v>
      </c>
      <c r="N134" t="s">
        <v>1465</v>
      </c>
      <c r="O134" t="s">
        <v>1465</v>
      </c>
      <c r="P134" t="s">
        <v>2057</v>
      </c>
      <c r="R134">
        <v>0</v>
      </c>
      <c r="V134" t="b">
        <v>1</v>
      </c>
      <c r="W134" t="s">
        <v>1497</v>
      </c>
      <c r="X134" t="b">
        <v>1</v>
      </c>
    </row>
    <row r="135" spans="1:24" x14ac:dyDescent="0.3">
      <c r="B135" t="s">
        <v>1461</v>
      </c>
      <c r="E135" t="s">
        <v>2432</v>
      </c>
      <c r="I135" t="s">
        <v>1585</v>
      </c>
      <c r="J135" t="s">
        <v>1124</v>
      </c>
      <c r="K135" t="s">
        <v>1465</v>
      </c>
      <c r="L135" t="s">
        <v>1465</v>
      </c>
      <c r="M135" t="s">
        <v>1465</v>
      </c>
      <c r="N135" t="s">
        <v>1465</v>
      </c>
      <c r="O135" t="s">
        <v>1465</v>
      </c>
      <c r="P135" t="s">
        <v>2057</v>
      </c>
      <c r="R135">
        <v>0</v>
      </c>
      <c r="V135" t="b">
        <v>1</v>
      </c>
      <c r="W135" t="s">
        <v>1497</v>
      </c>
      <c r="X135" t="b">
        <v>1</v>
      </c>
    </row>
    <row r="136" spans="1:24" hidden="1" x14ac:dyDescent="0.3">
      <c r="B136" t="s">
        <v>1461</v>
      </c>
      <c r="E136" t="s">
        <v>2285</v>
      </c>
      <c r="I136" t="s">
        <v>906</v>
      </c>
      <c r="J136" t="s">
        <v>1124</v>
      </c>
      <c r="K136" t="s">
        <v>1465</v>
      </c>
      <c r="L136" t="s">
        <v>1465</v>
      </c>
      <c r="M136" t="s">
        <v>1465</v>
      </c>
      <c r="N136" t="s">
        <v>1465</v>
      </c>
      <c r="O136" t="s">
        <v>1465</v>
      </c>
      <c r="P136" t="s">
        <v>1765</v>
      </c>
      <c r="R136">
        <v>0</v>
      </c>
      <c r="V136" t="b">
        <v>1</v>
      </c>
      <c r="W136" t="s">
        <v>1497</v>
      </c>
      <c r="X136" t="b">
        <v>1</v>
      </c>
    </row>
    <row r="137" spans="1:24" x14ac:dyDescent="0.3">
      <c r="B137" t="s">
        <v>1461</v>
      </c>
      <c r="E137" t="s">
        <v>2432</v>
      </c>
      <c r="I137" t="s">
        <v>906</v>
      </c>
      <c r="J137" t="s">
        <v>1124</v>
      </c>
      <c r="K137" t="s">
        <v>1465</v>
      </c>
      <c r="L137" t="s">
        <v>1465</v>
      </c>
      <c r="M137" t="s">
        <v>1465</v>
      </c>
      <c r="N137" t="s">
        <v>1465</v>
      </c>
      <c r="O137" t="s">
        <v>1465</v>
      </c>
      <c r="P137" t="s">
        <v>1765</v>
      </c>
      <c r="R137">
        <v>0</v>
      </c>
      <c r="V137" t="b">
        <v>1</v>
      </c>
      <c r="W137" t="s">
        <v>1497</v>
      </c>
      <c r="X137" t="b">
        <v>1</v>
      </c>
    </row>
    <row r="138" spans="1:24" hidden="1" x14ac:dyDescent="0.3">
      <c r="B138" t="s">
        <v>1461</v>
      </c>
      <c r="E138" t="s">
        <v>2285</v>
      </c>
      <c r="I138" t="s">
        <v>1945</v>
      </c>
      <c r="J138" t="s">
        <v>1118</v>
      </c>
      <c r="K138" t="s">
        <v>1465</v>
      </c>
      <c r="L138" t="s">
        <v>1465</v>
      </c>
      <c r="M138" t="s">
        <v>1465</v>
      </c>
      <c r="N138" t="s">
        <v>1465</v>
      </c>
      <c r="O138" t="s">
        <v>1465</v>
      </c>
      <c r="P138" t="s">
        <v>1946</v>
      </c>
      <c r="R138">
        <v>0</v>
      </c>
      <c r="V138" t="b">
        <v>1</v>
      </c>
      <c r="W138" t="s">
        <v>1497</v>
      </c>
      <c r="X138" t="b">
        <v>1</v>
      </c>
    </row>
    <row r="139" spans="1:24" x14ac:dyDescent="0.3">
      <c r="B139" t="s">
        <v>1461</v>
      </c>
      <c r="E139" t="s">
        <v>2432</v>
      </c>
      <c r="I139" t="s">
        <v>1945</v>
      </c>
      <c r="J139" t="s">
        <v>1118</v>
      </c>
      <c r="K139" t="s">
        <v>1465</v>
      </c>
      <c r="L139" t="s">
        <v>1465</v>
      </c>
      <c r="M139" t="s">
        <v>1465</v>
      </c>
      <c r="N139" t="s">
        <v>1465</v>
      </c>
      <c r="O139" t="s">
        <v>1465</v>
      </c>
      <c r="P139" t="s">
        <v>1946</v>
      </c>
      <c r="R139">
        <v>0</v>
      </c>
      <c r="V139" t="b">
        <v>1</v>
      </c>
      <c r="W139" t="s">
        <v>1497</v>
      </c>
      <c r="X139" t="b">
        <v>1</v>
      </c>
    </row>
    <row r="140" spans="1:24" hidden="1" x14ac:dyDescent="0.3">
      <c r="B140" t="s">
        <v>1461</v>
      </c>
      <c r="E140" t="s">
        <v>2285</v>
      </c>
      <c r="I140" t="s">
        <v>1947</v>
      </c>
      <c r="J140" t="s">
        <v>1120</v>
      </c>
      <c r="K140" t="s">
        <v>1465</v>
      </c>
      <c r="L140" t="s">
        <v>1465</v>
      </c>
      <c r="M140" t="s">
        <v>1465</v>
      </c>
      <c r="N140" t="s">
        <v>1465</v>
      </c>
      <c r="O140" t="s">
        <v>1465</v>
      </c>
      <c r="P140" t="s">
        <v>1948</v>
      </c>
      <c r="R140">
        <v>0</v>
      </c>
      <c r="V140" t="b">
        <v>1</v>
      </c>
      <c r="W140" t="s">
        <v>1497</v>
      </c>
      <c r="X140" t="b">
        <v>1</v>
      </c>
    </row>
    <row r="141" spans="1:24" x14ac:dyDescent="0.3">
      <c r="B141" t="s">
        <v>1461</v>
      </c>
      <c r="E141" t="s">
        <v>2432</v>
      </c>
      <c r="I141" t="s">
        <v>1947</v>
      </c>
      <c r="J141" t="s">
        <v>1120</v>
      </c>
      <c r="K141" t="s">
        <v>1465</v>
      </c>
      <c r="L141" t="s">
        <v>1465</v>
      </c>
      <c r="M141" t="s">
        <v>1465</v>
      </c>
      <c r="N141" t="s">
        <v>1465</v>
      </c>
      <c r="O141" t="s">
        <v>1465</v>
      </c>
      <c r="P141" t="s">
        <v>1948</v>
      </c>
      <c r="R141">
        <v>0</v>
      </c>
      <c r="V141" t="b">
        <v>1</v>
      </c>
      <c r="W141" t="s">
        <v>1497</v>
      </c>
      <c r="X141" t="b">
        <v>1</v>
      </c>
    </row>
    <row r="142" spans="1:24" hidden="1" x14ac:dyDescent="0.3">
      <c r="B142" t="s">
        <v>1461</v>
      </c>
      <c r="E142" t="s">
        <v>2285</v>
      </c>
      <c r="I142" t="s">
        <v>1314</v>
      </c>
      <c r="J142" t="s">
        <v>1118</v>
      </c>
      <c r="K142" t="s">
        <v>1465</v>
      </c>
      <c r="L142" t="s">
        <v>1465</v>
      </c>
      <c r="M142" t="s">
        <v>1465</v>
      </c>
      <c r="N142" t="s">
        <v>1465</v>
      </c>
      <c r="O142" t="s">
        <v>1465</v>
      </c>
      <c r="P142" t="s">
        <v>1315</v>
      </c>
      <c r="R142">
        <v>0</v>
      </c>
      <c r="V142" t="b">
        <v>1</v>
      </c>
      <c r="W142" t="s">
        <v>1497</v>
      </c>
      <c r="X142" t="b">
        <v>1</v>
      </c>
    </row>
    <row r="143" spans="1:24" hidden="1" x14ac:dyDescent="0.3">
      <c r="B143" t="s">
        <v>1461</v>
      </c>
      <c r="E143" t="s">
        <v>2285</v>
      </c>
      <c r="I143" t="s">
        <v>1316</v>
      </c>
      <c r="J143" t="s">
        <v>1120</v>
      </c>
      <c r="K143" t="s">
        <v>1465</v>
      </c>
      <c r="L143" t="s">
        <v>1465</v>
      </c>
      <c r="M143" t="s">
        <v>1465</v>
      </c>
      <c r="N143" t="s">
        <v>1465</v>
      </c>
      <c r="O143" t="s">
        <v>1465</v>
      </c>
      <c r="P143" t="s">
        <v>1317</v>
      </c>
      <c r="R143">
        <v>0</v>
      </c>
      <c r="V143" t="b">
        <v>1</v>
      </c>
      <c r="W143" t="s">
        <v>1497</v>
      </c>
      <c r="X143" t="b">
        <v>1</v>
      </c>
    </row>
    <row r="144" spans="1:24" x14ac:dyDescent="0.3">
      <c r="B144" t="s">
        <v>1461</v>
      </c>
      <c r="E144" t="s">
        <v>2432</v>
      </c>
      <c r="I144" t="s">
        <v>1318</v>
      </c>
      <c r="J144" t="s">
        <v>1118</v>
      </c>
      <c r="K144" t="s">
        <v>1465</v>
      </c>
      <c r="L144" t="s">
        <v>1465</v>
      </c>
      <c r="M144" t="s">
        <v>1465</v>
      </c>
      <c r="N144" t="s">
        <v>1465</v>
      </c>
      <c r="O144" t="s">
        <v>1465</v>
      </c>
      <c r="P144" t="s">
        <v>1319</v>
      </c>
      <c r="R144">
        <v>0</v>
      </c>
      <c r="V144" t="b">
        <v>1</v>
      </c>
      <c r="W144" t="s">
        <v>1497</v>
      </c>
      <c r="X144" t="b">
        <v>1</v>
      </c>
    </row>
    <row r="145" spans="2:24" x14ac:dyDescent="0.3">
      <c r="B145" t="s">
        <v>1461</v>
      </c>
      <c r="E145" t="s">
        <v>2432</v>
      </c>
      <c r="I145" t="s">
        <v>1320</v>
      </c>
      <c r="J145" t="s">
        <v>1120</v>
      </c>
      <c r="K145" t="s">
        <v>1465</v>
      </c>
      <c r="L145" t="s">
        <v>1465</v>
      </c>
      <c r="M145" t="s">
        <v>1465</v>
      </c>
      <c r="N145" t="s">
        <v>1465</v>
      </c>
      <c r="O145" t="s">
        <v>1465</v>
      </c>
      <c r="P145" t="s">
        <v>1321</v>
      </c>
      <c r="R145">
        <v>0</v>
      </c>
      <c r="V145" t="b">
        <v>1</v>
      </c>
      <c r="W145" t="s">
        <v>1497</v>
      </c>
      <c r="X145" t="b">
        <v>1</v>
      </c>
    </row>
    <row r="146" spans="2:24" hidden="1" x14ac:dyDescent="0.3">
      <c r="B146" t="s">
        <v>1461</v>
      </c>
      <c r="E146" t="s">
        <v>2285</v>
      </c>
      <c r="I146" t="s">
        <v>1324</v>
      </c>
      <c r="J146" t="s">
        <v>1118</v>
      </c>
      <c r="K146" t="s">
        <v>1465</v>
      </c>
      <c r="L146" t="s">
        <v>1465</v>
      </c>
      <c r="M146" t="s">
        <v>1465</v>
      </c>
      <c r="N146" t="s">
        <v>1465</v>
      </c>
      <c r="O146" t="s">
        <v>1465</v>
      </c>
      <c r="P146" t="s">
        <v>1325</v>
      </c>
      <c r="R146">
        <v>0</v>
      </c>
      <c r="V146" t="b">
        <v>1</v>
      </c>
      <c r="W146" t="s">
        <v>1497</v>
      </c>
      <c r="X146" t="b">
        <v>1</v>
      </c>
    </row>
    <row r="147" spans="2:24" x14ac:dyDescent="0.3">
      <c r="B147" t="s">
        <v>1461</v>
      </c>
      <c r="E147" t="s">
        <v>2432</v>
      </c>
      <c r="I147" t="s">
        <v>1324</v>
      </c>
      <c r="J147" t="s">
        <v>1118</v>
      </c>
      <c r="K147" t="s">
        <v>1465</v>
      </c>
      <c r="L147" t="s">
        <v>1465</v>
      </c>
      <c r="M147" t="s">
        <v>1465</v>
      </c>
      <c r="N147" t="s">
        <v>1465</v>
      </c>
      <c r="O147" t="s">
        <v>1465</v>
      </c>
      <c r="P147" t="s">
        <v>1325</v>
      </c>
      <c r="R147">
        <v>0</v>
      </c>
      <c r="V147" t="b">
        <v>1</v>
      </c>
      <c r="W147" t="s">
        <v>1497</v>
      </c>
      <c r="X147" t="b">
        <v>1</v>
      </c>
    </row>
    <row r="148" spans="2:24" hidden="1" x14ac:dyDescent="0.3">
      <c r="B148" t="s">
        <v>1461</v>
      </c>
      <c r="E148" t="s">
        <v>2285</v>
      </c>
      <c r="I148" t="s">
        <v>1326</v>
      </c>
      <c r="J148" t="s">
        <v>1120</v>
      </c>
      <c r="K148" t="s">
        <v>1465</v>
      </c>
      <c r="L148" t="s">
        <v>1465</v>
      </c>
      <c r="M148" t="s">
        <v>1465</v>
      </c>
      <c r="N148" t="s">
        <v>1465</v>
      </c>
      <c r="O148" t="s">
        <v>1465</v>
      </c>
      <c r="P148" t="s">
        <v>1327</v>
      </c>
      <c r="R148">
        <v>0</v>
      </c>
      <c r="V148" t="b">
        <v>1</v>
      </c>
      <c r="W148" t="s">
        <v>1497</v>
      </c>
      <c r="X148" t="b">
        <v>1</v>
      </c>
    </row>
    <row r="149" spans="2:24" x14ac:dyDescent="0.3">
      <c r="B149" t="s">
        <v>1461</v>
      </c>
      <c r="E149" t="s">
        <v>2432</v>
      </c>
      <c r="I149" t="s">
        <v>1326</v>
      </c>
      <c r="J149" t="s">
        <v>1120</v>
      </c>
      <c r="K149" t="s">
        <v>1465</v>
      </c>
      <c r="L149" t="s">
        <v>1465</v>
      </c>
      <c r="M149" t="s">
        <v>1465</v>
      </c>
      <c r="N149" t="s">
        <v>1465</v>
      </c>
      <c r="O149" t="s">
        <v>1465</v>
      </c>
      <c r="P149" t="s">
        <v>1327</v>
      </c>
      <c r="R149">
        <v>0</v>
      </c>
      <c r="V149" t="b">
        <v>1</v>
      </c>
      <c r="W149" t="s">
        <v>1497</v>
      </c>
      <c r="X149" t="b">
        <v>1</v>
      </c>
    </row>
    <row r="150" spans="2:24" hidden="1" x14ac:dyDescent="0.3">
      <c r="B150" t="s">
        <v>1461</v>
      </c>
      <c r="E150" t="s">
        <v>2285</v>
      </c>
      <c r="I150" t="s">
        <v>1536</v>
      </c>
      <c r="J150" t="s">
        <v>1124</v>
      </c>
      <c r="K150" t="s">
        <v>1465</v>
      </c>
      <c r="L150" t="s">
        <v>1465</v>
      </c>
      <c r="M150" t="s">
        <v>1465</v>
      </c>
      <c r="N150" t="s">
        <v>1465</v>
      </c>
      <c r="O150" t="s">
        <v>1465</v>
      </c>
      <c r="P150" t="s">
        <v>1540</v>
      </c>
      <c r="R150">
        <v>0</v>
      </c>
      <c r="V150" t="b">
        <v>1</v>
      </c>
      <c r="W150" t="s">
        <v>1497</v>
      </c>
      <c r="X150" t="b">
        <v>1</v>
      </c>
    </row>
    <row r="151" spans="2:24" x14ac:dyDescent="0.3">
      <c r="B151" t="s">
        <v>1461</v>
      </c>
      <c r="E151" t="s">
        <v>2432</v>
      </c>
      <c r="I151" t="s">
        <v>1536</v>
      </c>
      <c r="J151" t="s">
        <v>1124</v>
      </c>
      <c r="K151" t="s">
        <v>1465</v>
      </c>
      <c r="L151" t="s">
        <v>1465</v>
      </c>
      <c r="M151" t="s">
        <v>1465</v>
      </c>
      <c r="N151" t="s">
        <v>1465</v>
      </c>
      <c r="O151" t="s">
        <v>1465</v>
      </c>
      <c r="P151" t="s">
        <v>1540</v>
      </c>
      <c r="R151">
        <v>0</v>
      </c>
      <c r="V151" t="b">
        <v>1</v>
      </c>
      <c r="W151" t="s">
        <v>1497</v>
      </c>
      <c r="X151" t="b">
        <v>1</v>
      </c>
    </row>
    <row r="152" spans="2:24" hidden="1" x14ac:dyDescent="0.3">
      <c r="B152" t="s">
        <v>1461</v>
      </c>
      <c r="E152" t="s">
        <v>2285</v>
      </c>
      <c r="I152" t="s">
        <v>1537</v>
      </c>
      <c r="J152" t="s">
        <v>1124</v>
      </c>
      <c r="K152" t="s">
        <v>1465</v>
      </c>
      <c r="L152" t="s">
        <v>1465</v>
      </c>
      <c r="M152" t="s">
        <v>1465</v>
      </c>
      <c r="N152" t="s">
        <v>1465</v>
      </c>
      <c r="O152" t="s">
        <v>1465</v>
      </c>
      <c r="P152" t="s">
        <v>1541</v>
      </c>
      <c r="R152">
        <v>0</v>
      </c>
      <c r="V152" t="b">
        <v>1</v>
      </c>
      <c r="W152" t="s">
        <v>1497</v>
      </c>
      <c r="X152" t="b">
        <v>1</v>
      </c>
    </row>
    <row r="153" spans="2:24" x14ac:dyDescent="0.3">
      <c r="B153" t="s">
        <v>1461</v>
      </c>
      <c r="E153" t="s">
        <v>2432</v>
      </c>
      <c r="I153" t="s">
        <v>1537</v>
      </c>
      <c r="J153" t="s">
        <v>1124</v>
      </c>
      <c r="K153" t="s">
        <v>1465</v>
      </c>
      <c r="L153" t="s">
        <v>1465</v>
      </c>
      <c r="M153" t="s">
        <v>1465</v>
      </c>
      <c r="N153" t="s">
        <v>1465</v>
      </c>
      <c r="O153" t="s">
        <v>1465</v>
      </c>
      <c r="P153" t="s">
        <v>1541</v>
      </c>
      <c r="R153">
        <v>0</v>
      </c>
      <c r="V153" t="b">
        <v>1</v>
      </c>
      <c r="W153" t="s">
        <v>1497</v>
      </c>
      <c r="X153" t="b">
        <v>1</v>
      </c>
    </row>
    <row r="154" spans="2:24" hidden="1" x14ac:dyDescent="0.3">
      <c r="B154" t="s">
        <v>1461</v>
      </c>
      <c r="E154" t="s">
        <v>2285</v>
      </c>
      <c r="I154" t="s">
        <v>1294</v>
      </c>
      <c r="J154" t="s">
        <v>1124</v>
      </c>
      <c r="K154" t="s">
        <v>1465</v>
      </c>
      <c r="L154" t="s">
        <v>1465</v>
      </c>
      <c r="M154" t="s">
        <v>1465</v>
      </c>
      <c r="N154" t="s">
        <v>1465</v>
      </c>
      <c r="O154" t="s">
        <v>1465</v>
      </c>
      <c r="P154" t="s">
        <v>1444</v>
      </c>
      <c r="R154">
        <v>0</v>
      </c>
      <c r="V154" t="b">
        <v>1</v>
      </c>
      <c r="W154" t="s">
        <v>1497</v>
      </c>
      <c r="X154" t="b">
        <v>1</v>
      </c>
    </row>
    <row r="155" spans="2:24" hidden="1" x14ac:dyDescent="0.3">
      <c r="B155" t="s">
        <v>1461</v>
      </c>
      <c r="E155" t="s">
        <v>2285</v>
      </c>
      <c r="I155" t="s">
        <v>2050</v>
      </c>
      <c r="J155" t="s">
        <v>1124</v>
      </c>
      <c r="K155" t="s">
        <v>1465</v>
      </c>
      <c r="L155" t="s">
        <v>1465</v>
      </c>
      <c r="M155" t="s">
        <v>1465</v>
      </c>
      <c r="N155" t="s">
        <v>1465</v>
      </c>
      <c r="O155" t="s">
        <v>1465</v>
      </c>
      <c r="P155" t="s">
        <v>2051</v>
      </c>
      <c r="R155">
        <v>0</v>
      </c>
      <c r="V155" t="b">
        <v>1</v>
      </c>
      <c r="W155" t="s">
        <v>1497</v>
      </c>
      <c r="X155" t="b">
        <v>1</v>
      </c>
    </row>
    <row r="156" spans="2:24" hidden="1" x14ac:dyDescent="0.3">
      <c r="B156" t="s">
        <v>1461</v>
      </c>
      <c r="E156" t="s">
        <v>2285</v>
      </c>
      <c r="I156" t="s">
        <v>2052</v>
      </c>
      <c r="J156" t="s">
        <v>1124</v>
      </c>
      <c r="K156" t="s">
        <v>1465</v>
      </c>
      <c r="L156" t="s">
        <v>1465</v>
      </c>
      <c r="M156" t="s">
        <v>1465</v>
      </c>
      <c r="N156" t="s">
        <v>1465</v>
      </c>
      <c r="O156" t="s">
        <v>1465</v>
      </c>
      <c r="P156" t="s">
        <v>2053</v>
      </c>
      <c r="R156">
        <v>0</v>
      </c>
      <c r="V156" t="b">
        <v>1</v>
      </c>
      <c r="W156" t="s">
        <v>1497</v>
      </c>
      <c r="X156" t="b">
        <v>1</v>
      </c>
    </row>
    <row r="157" spans="2:24" hidden="1" x14ac:dyDescent="0.3">
      <c r="B157" t="s">
        <v>1461</v>
      </c>
      <c r="E157" t="s">
        <v>39</v>
      </c>
      <c r="I157" t="s">
        <v>1036</v>
      </c>
      <c r="J157" t="s">
        <v>1124</v>
      </c>
      <c r="K157" t="s">
        <v>1465</v>
      </c>
      <c r="L157" t="s">
        <v>1465</v>
      </c>
      <c r="M157" t="s">
        <v>1465</v>
      </c>
      <c r="N157" t="s">
        <v>1465</v>
      </c>
      <c r="O157" t="s">
        <v>1465</v>
      </c>
      <c r="P157" t="s">
        <v>1445</v>
      </c>
      <c r="R157">
        <v>0</v>
      </c>
      <c r="V157" t="b">
        <v>0</v>
      </c>
      <c r="W157" t="s">
        <v>1497</v>
      </c>
      <c r="X157" t="b">
        <v>1</v>
      </c>
    </row>
    <row r="158" spans="2:24" hidden="1" x14ac:dyDescent="0.3">
      <c r="B158" t="s">
        <v>1461</v>
      </c>
      <c r="E158" t="s">
        <v>2285</v>
      </c>
      <c r="I158" t="s">
        <v>1303</v>
      </c>
      <c r="J158" t="s">
        <v>1118</v>
      </c>
      <c r="K158" t="s">
        <v>1465</v>
      </c>
      <c r="L158" t="s">
        <v>1465</v>
      </c>
      <c r="M158" t="s">
        <v>1465</v>
      </c>
      <c r="N158" t="s">
        <v>1465</v>
      </c>
      <c r="O158" t="s">
        <v>1465</v>
      </c>
      <c r="P158" t="s">
        <v>2418</v>
      </c>
      <c r="R158">
        <v>0</v>
      </c>
      <c r="V158" t="b">
        <v>0</v>
      </c>
      <c r="W158" t="s">
        <v>1497</v>
      </c>
      <c r="X158" t="b">
        <v>0</v>
      </c>
    </row>
    <row r="159" spans="2:24" x14ac:dyDescent="0.3">
      <c r="B159" t="s">
        <v>1461</v>
      </c>
      <c r="E159" t="s">
        <v>2432</v>
      </c>
      <c r="I159" t="s">
        <v>1303</v>
      </c>
      <c r="J159" t="s">
        <v>1118</v>
      </c>
      <c r="K159" t="s">
        <v>1465</v>
      </c>
      <c r="L159" t="s">
        <v>1465</v>
      </c>
      <c r="M159" t="s">
        <v>1465</v>
      </c>
      <c r="N159" t="s">
        <v>1465</v>
      </c>
      <c r="O159" t="s">
        <v>1465</v>
      </c>
      <c r="P159" t="s">
        <v>2418</v>
      </c>
      <c r="R159">
        <v>0</v>
      </c>
      <c r="V159" t="b">
        <v>0</v>
      </c>
      <c r="W159" t="s">
        <v>1497</v>
      </c>
      <c r="X159" t="b">
        <v>0</v>
      </c>
    </row>
    <row r="160" spans="2:24" hidden="1" x14ac:dyDescent="0.3">
      <c r="B160" t="s">
        <v>1461</v>
      </c>
      <c r="E160" t="s">
        <v>2285</v>
      </c>
      <c r="I160" t="s">
        <v>1303</v>
      </c>
      <c r="J160" t="s">
        <v>1120</v>
      </c>
      <c r="K160" t="s">
        <v>1465</v>
      </c>
      <c r="L160" t="s">
        <v>1465</v>
      </c>
      <c r="M160" t="s">
        <v>1465</v>
      </c>
      <c r="N160" t="s">
        <v>1465</v>
      </c>
      <c r="O160" t="s">
        <v>1465</v>
      </c>
      <c r="P160" t="s">
        <v>2417</v>
      </c>
      <c r="R160">
        <v>0</v>
      </c>
      <c r="V160" t="b">
        <v>0</v>
      </c>
      <c r="W160" t="s">
        <v>1497</v>
      </c>
      <c r="X160" t="b">
        <v>0</v>
      </c>
    </row>
    <row r="161" spans="2:24" x14ac:dyDescent="0.3">
      <c r="B161" t="s">
        <v>1461</v>
      </c>
      <c r="E161" t="s">
        <v>2432</v>
      </c>
      <c r="I161" t="s">
        <v>1303</v>
      </c>
      <c r="J161" t="s">
        <v>1120</v>
      </c>
      <c r="K161" t="s">
        <v>1465</v>
      </c>
      <c r="L161" t="s">
        <v>1465</v>
      </c>
      <c r="M161" t="s">
        <v>1465</v>
      </c>
      <c r="N161" t="s">
        <v>1465</v>
      </c>
      <c r="O161" t="s">
        <v>1465</v>
      </c>
      <c r="P161" t="s">
        <v>2417</v>
      </c>
      <c r="R161">
        <v>0</v>
      </c>
      <c r="V161" t="b">
        <v>0</v>
      </c>
      <c r="W161" t="s">
        <v>1497</v>
      </c>
      <c r="X161" t="b">
        <v>0</v>
      </c>
    </row>
    <row r="162" spans="2:24" hidden="1" x14ac:dyDescent="0.3">
      <c r="B162" t="s">
        <v>1461</v>
      </c>
      <c r="E162" t="s">
        <v>2285</v>
      </c>
      <c r="I162" t="s">
        <v>1303</v>
      </c>
      <c r="J162" t="s">
        <v>1118</v>
      </c>
      <c r="K162" t="s">
        <v>1465</v>
      </c>
      <c r="L162" t="s">
        <v>1465</v>
      </c>
      <c r="M162" t="s">
        <v>1465</v>
      </c>
      <c r="N162" t="s">
        <v>1465</v>
      </c>
      <c r="O162" t="s">
        <v>1465</v>
      </c>
      <c r="P162" t="s">
        <v>2420</v>
      </c>
      <c r="R162">
        <v>0</v>
      </c>
      <c r="V162" t="b">
        <v>0</v>
      </c>
      <c r="W162" t="s">
        <v>1497</v>
      </c>
      <c r="X162" t="b">
        <v>0</v>
      </c>
    </row>
    <row r="163" spans="2:24" x14ac:dyDescent="0.3">
      <c r="B163" t="s">
        <v>1461</v>
      </c>
      <c r="E163" t="s">
        <v>2432</v>
      </c>
      <c r="I163" t="s">
        <v>1303</v>
      </c>
      <c r="J163" t="s">
        <v>1118</v>
      </c>
      <c r="K163" t="s">
        <v>1465</v>
      </c>
      <c r="L163" t="s">
        <v>1465</v>
      </c>
      <c r="M163" t="s">
        <v>1465</v>
      </c>
      <c r="N163" t="s">
        <v>1465</v>
      </c>
      <c r="O163" t="s">
        <v>1465</v>
      </c>
      <c r="P163" t="s">
        <v>2420</v>
      </c>
      <c r="R163">
        <v>0</v>
      </c>
      <c r="V163" t="b">
        <v>0</v>
      </c>
      <c r="W163" t="s">
        <v>1497</v>
      </c>
      <c r="X163" t="b">
        <v>0</v>
      </c>
    </row>
    <row r="164" spans="2:24" hidden="1" x14ac:dyDescent="0.3">
      <c r="B164" t="s">
        <v>1461</v>
      </c>
      <c r="E164" t="s">
        <v>2285</v>
      </c>
      <c r="I164" t="s">
        <v>1303</v>
      </c>
      <c r="J164" t="s">
        <v>1120</v>
      </c>
      <c r="K164" t="s">
        <v>1465</v>
      </c>
      <c r="L164" t="s">
        <v>1465</v>
      </c>
      <c r="M164" t="s">
        <v>1465</v>
      </c>
      <c r="N164" t="s">
        <v>1465</v>
      </c>
      <c r="O164" t="s">
        <v>1465</v>
      </c>
      <c r="P164" t="s">
        <v>2419</v>
      </c>
      <c r="R164">
        <v>0</v>
      </c>
      <c r="V164" t="b">
        <v>0</v>
      </c>
      <c r="W164" t="s">
        <v>1497</v>
      </c>
      <c r="X164" t="b">
        <v>0</v>
      </c>
    </row>
    <row r="165" spans="2:24" x14ac:dyDescent="0.3">
      <c r="B165" t="s">
        <v>1461</v>
      </c>
      <c r="E165" t="s">
        <v>2432</v>
      </c>
      <c r="I165" t="s">
        <v>1303</v>
      </c>
      <c r="J165" t="s">
        <v>1120</v>
      </c>
      <c r="K165" t="s">
        <v>1465</v>
      </c>
      <c r="L165" t="s">
        <v>1465</v>
      </c>
      <c r="M165" t="s">
        <v>1465</v>
      </c>
      <c r="N165" t="s">
        <v>1465</v>
      </c>
      <c r="O165" t="s">
        <v>1465</v>
      </c>
      <c r="P165" t="s">
        <v>2419</v>
      </c>
      <c r="R165">
        <v>0</v>
      </c>
      <c r="V165" t="b">
        <v>0</v>
      </c>
      <c r="W165" t="s">
        <v>1497</v>
      </c>
      <c r="X165" t="b">
        <v>0</v>
      </c>
    </row>
    <row r="166" spans="2:24" hidden="1" x14ac:dyDescent="0.3">
      <c r="B166" t="s">
        <v>1457</v>
      </c>
      <c r="E166" t="s">
        <v>2285</v>
      </c>
      <c r="I166" t="s">
        <v>1186</v>
      </c>
      <c r="J166" t="s">
        <v>1124</v>
      </c>
      <c r="K166" t="s">
        <v>1465</v>
      </c>
      <c r="L166" t="s">
        <v>1465</v>
      </c>
      <c r="M166" t="s">
        <v>1465</v>
      </c>
      <c r="N166" t="s">
        <v>1465</v>
      </c>
      <c r="O166" t="s">
        <v>1465</v>
      </c>
      <c r="P166" t="s">
        <v>1446</v>
      </c>
      <c r="R166">
        <v>0</v>
      </c>
      <c r="V166" t="b">
        <v>1</v>
      </c>
      <c r="W166" t="s">
        <v>1497</v>
      </c>
      <c r="X166" t="b">
        <v>1</v>
      </c>
    </row>
    <row r="167" spans="2:24" x14ac:dyDescent="0.3">
      <c r="B167" t="s">
        <v>1457</v>
      </c>
      <c r="E167" t="s">
        <v>2432</v>
      </c>
      <c r="I167" t="s">
        <v>1186</v>
      </c>
      <c r="J167" t="s">
        <v>1124</v>
      </c>
      <c r="K167" t="s">
        <v>1465</v>
      </c>
      <c r="L167" t="s">
        <v>1465</v>
      </c>
      <c r="M167" t="s">
        <v>1465</v>
      </c>
      <c r="N167" t="s">
        <v>1465</v>
      </c>
      <c r="O167" t="s">
        <v>1465</v>
      </c>
      <c r="P167" t="s">
        <v>1446</v>
      </c>
      <c r="R167">
        <v>0</v>
      </c>
      <c r="V167" t="b">
        <v>1</v>
      </c>
      <c r="W167" t="s">
        <v>1497</v>
      </c>
      <c r="X167" t="b">
        <v>1</v>
      </c>
    </row>
    <row r="168" spans="2:24" hidden="1" x14ac:dyDescent="0.3">
      <c r="B168" t="s">
        <v>1457</v>
      </c>
      <c r="E168" t="s">
        <v>2285</v>
      </c>
      <c r="I168" t="s">
        <v>1994</v>
      </c>
      <c r="J168" t="s">
        <v>1124</v>
      </c>
      <c r="K168" t="s">
        <v>1465</v>
      </c>
      <c r="L168" t="s">
        <v>1465</v>
      </c>
      <c r="M168" t="s">
        <v>1465</v>
      </c>
      <c r="N168" t="s">
        <v>1465</v>
      </c>
      <c r="O168" t="s">
        <v>1465</v>
      </c>
      <c r="P168" t="s">
        <v>1995</v>
      </c>
      <c r="R168">
        <v>0</v>
      </c>
      <c r="V168" t="b">
        <v>1</v>
      </c>
      <c r="W168" t="s">
        <v>1497</v>
      </c>
      <c r="X168" t="b">
        <v>1</v>
      </c>
    </row>
    <row r="169" spans="2:24" x14ac:dyDescent="0.3">
      <c r="B169" t="s">
        <v>1457</v>
      </c>
      <c r="E169" t="s">
        <v>2432</v>
      </c>
      <c r="I169" t="s">
        <v>1994</v>
      </c>
      <c r="J169" t="s">
        <v>1124</v>
      </c>
      <c r="K169" t="s">
        <v>1465</v>
      </c>
      <c r="L169" t="s">
        <v>1465</v>
      </c>
      <c r="M169" t="s">
        <v>1465</v>
      </c>
      <c r="N169" t="s">
        <v>1465</v>
      </c>
      <c r="O169" t="s">
        <v>1465</v>
      </c>
      <c r="P169" t="s">
        <v>1995</v>
      </c>
      <c r="R169">
        <v>0</v>
      </c>
      <c r="V169" t="b">
        <v>1</v>
      </c>
      <c r="W169" t="s">
        <v>1497</v>
      </c>
      <c r="X169" t="b">
        <v>1</v>
      </c>
    </row>
    <row r="170" spans="2:24" hidden="1" x14ac:dyDescent="0.3">
      <c r="B170" t="s">
        <v>1457</v>
      </c>
      <c r="E170" t="s">
        <v>2285</v>
      </c>
      <c r="I170" t="s">
        <v>2346</v>
      </c>
      <c r="J170" t="s">
        <v>1124</v>
      </c>
      <c r="K170" t="s">
        <v>1465</v>
      </c>
      <c r="L170" t="s">
        <v>1465</v>
      </c>
      <c r="M170" t="s">
        <v>1465</v>
      </c>
      <c r="N170" t="s">
        <v>1465</v>
      </c>
      <c r="O170" t="s">
        <v>1465</v>
      </c>
      <c r="P170" t="s">
        <v>2409</v>
      </c>
      <c r="R170">
        <v>0</v>
      </c>
      <c r="V170" t="b">
        <v>1</v>
      </c>
      <c r="W170" t="s">
        <v>1497</v>
      </c>
      <c r="X170" t="b">
        <v>1</v>
      </c>
    </row>
    <row r="171" spans="2:24" x14ac:dyDescent="0.3">
      <c r="B171" t="s">
        <v>1457</v>
      </c>
      <c r="E171" t="s">
        <v>2432</v>
      </c>
      <c r="I171" t="s">
        <v>2346</v>
      </c>
      <c r="J171" t="s">
        <v>1124</v>
      </c>
      <c r="K171" t="s">
        <v>1465</v>
      </c>
      <c r="L171" t="s">
        <v>1465</v>
      </c>
      <c r="M171" t="s">
        <v>1465</v>
      </c>
      <c r="N171" t="s">
        <v>1465</v>
      </c>
      <c r="O171" t="s">
        <v>1465</v>
      </c>
      <c r="P171" t="s">
        <v>2409</v>
      </c>
      <c r="R171">
        <v>0</v>
      </c>
      <c r="V171" t="b">
        <v>1</v>
      </c>
      <c r="W171" t="s">
        <v>1497</v>
      </c>
      <c r="X171" t="b">
        <v>1</v>
      </c>
    </row>
    <row r="172" spans="2:24" hidden="1" x14ac:dyDescent="0.3">
      <c r="B172" t="s">
        <v>1457</v>
      </c>
      <c r="E172" t="s">
        <v>39</v>
      </c>
      <c r="I172" t="s">
        <v>2346</v>
      </c>
      <c r="J172" t="s">
        <v>1124</v>
      </c>
      <c r="K172" t="s">
        <v>1465</v>
      </c>
      <c r="L172" t="s">
        <v>1465</v>
      </c>
      <c r="M172" t="s">
        <v>1465</v>
      </c>
      <c r="N172" t="s">
        <v>1465</v>
      </c>
      <c r="O172" t="s">
        <v>1465</v>
      </c>
      <c r="P172" t="s">
        <v>2409</v>
      </c>
      <c r="R172">
        <v>0</v>
      </c>
      <c r="V172" t="b">
        <v>1</v>
      </c>
      <c r="W172" t="s">
        <v>1497</v>
      </c>
      <c r="X172" t="b">
        <v>1</v>
      </c>
    </row>
    <row r="173" spans="2:24" hidden="1" x14ac:dyDescent="0.3">
      <c r="B173" t="s">
        <v>1457</v>
      </c>
      <c r="E173" t="s">
        <v>2285</v>
      </c>
      <c r="I173" t="s">
        <v>2347</v>
      </c>
      <c r="J173" t="s">
        <v>1124</v>
      </c>
      <c r="K173" t="s">
        <v>1465</v>
      </c>
      <c r="L173" t="s">
        <v>1465</v>
      </c>
      <c r="M173" t="s">
        <v>1465</v>
      </c>
      <c r="N173" t="s">
        <v>1465</v>
      </c>
      <c r="O173" t="s">
        <v>1465</v>
      </c>
      <c r="P173" t="s">
        <v>2408</v>
      </c>
      <c r="R173">
        <v>0</v>
      </c>
      <c r="V173" t="b">
        <v>1</v>
      </c>
      <c r="W173" t="s">
        <v>1497</v>
      </c>
      <c r="X173" t="b">
        <v>1</v>
      </c>
    </row>
    <row r="174" spans="2:24" x14ac:dyDescent="0.3">
      <c r="B174" t="s">
        <v>1457</v>
      </c>
      <c r="E174" t="s">
        <v>2432</v>
      </c>
      <c r="I174" t="s">
        <v>2347</v>
      </c>
      <c r="J174" t="s">
        <v>1124</v>
      </c>
      <c r="K174" t="s">
        <v>1465</v>
      </c>
      <c r="L174" t="s">
        <v>1465</v>
      </c>
      <c r="M174" t="s">
        <v>1465</v>
      </c>
      <c r="N174" t="s">
        <v>1465</v>
      </c>
      <c r="O174" t="s">
        <v>1465</v>
      </c>
      <c r="P174" t="s">
        <v>2408</v>
      </c>
      <c r="R174">
        <v>0</v>
      </c>
      <c r="V174" t="b">
        <v>1</v>
      </c>
      <c r="W174" t="s">
        <v>1497</v>
      </c>
      <c r="X174" t="b">
        <v>1</v>
      </c>
    </row>
    <row r="175" spans="2:24" hidden="1" x14ac:dyDescent="0.3">
      <c r="B175" t="s">
        <v>1457</v>
      </c>
      <c r="E175" t="s">
        <v>39</v>
      </c>
      <c r="I175" t="s">
        <v>2347</v>
      </c>
      <c r="J175" t="s">
        <v>1124</v>
      </c>
      <c r="K175" t="s">
        <v>1465</v>
      </c>
      <c r="L175" t="s">
        <v>1465</v>
      </c>
      <c r="M175" t="s">
        <v>1465</v>
      </c>
      <c r="N175" t="s">
        <v>1465</v>
      </c>
      <c r="O175" t="s">
        <v>1465</v>
      </c>
      <c r="P175" t="s">
        <v>2408</v>
      </c>
      <c r="R175">
        <v>0</v>
      </c>
      <c r="V175" t="b">
        <v>1</v>
      </c>
      <c r="W175" t="s">
        <v>1497</v>
      </c>
      <c r="X175" t="b">
        <v>1</v>
      </c>
    </row>
    <row r="176" spans="2:24" hidden="1" x14ac:dyDescent="0.3">
      <c r="B176" t="s">
        <v>1457</v>
      </c>
      <c r="E176" t="s">
        <v>2285</v>
      </c>
      <c r="I176" t="s">
        <v>2343</v>
      </c>
      <c r="J176" t="s">
        <v>1124</v>
      </c>
      <c r="K176" t="s">
        <v>1465</v>
      </c>
      <c r="L176" t="s">
        <v>1465</v>
      </c>
      <c r="M176" t="s">
        <v>1465</v>
      </c>
      <c r="N176" t="s">
        <v>1465</v>
      </c>
      <c r="O176" t="s">
        <v>1465</v>
      </c>
      <c r="P176" t="s">
        <v>2345</v>
      </c>
      <c r="R176">
        <v>0</v>
      </c>
      <c r="V176" t="b">
        <v>1</v>
      </c>
      <c r="W176" t="s">
        <v>1497</v>
      </c>
      <c r="X176" t="b">
        <v>1</v>
      </c>
    </row>
    <row r="177" spans="1:24" x14ac:dyDescent="0.3">
      <c r="B177" t="s">
        <v>1457</v>
      </c>
      <c r="E177" t="s">
        <v>2432</v>
      </c>
      <c r="I177" t="s">
        <v>2343</v>
      </c>
      <c r="J177" t="s">
        <v>1124</v>
      </c>
      <c r="K177" t="s">
        <v>1465</v>
      </c>
      <c r="L177" t="s">
        <v>1465</v>
      </c>
      <c r="M177" t="s">
        <v>1465</v>
      </c>
      <c r="N177" t="s">
        <v>1465</v>
      </c>
      <c r="O177" t="s">
        <v>1465</v>
      </c>
      <c r="P177" t="s">
        <v>2345</v>
      </c>
      <c r="R177">
        <v>0</v>
      </c>
      <c r="V177" t="b">
        <v>1</v>
      </c>
      <c r="W177" t="s">
        <v>1497</v>
      </c>
      <c r="X177" t="b">
        <v>1</v>
      </c>
    </row>
    <row r="178" spans="1:24" hidden="1" x14ac:dyDescent="0.3">
      <c r="B178" t="s">
        <v>1457</v>
      </c>
      <c r="E178" t="s">
        <v>39</v>
      </c>
      <c r="I178" t="s">
        <v>2343</v>
      </c>
      <c r="J178" t="s">
        <v>1124</v>
      </c>
      <c r="K178" t="s">
        <v>1465</v>
      </c>
      <c r="L178" t="s">
        <v>1465</v>
      </c>
      <c r="M178" t="s">
        <v>1465</v>
      </c>
      <c r="N178" t="s">
        <v>1465</v>
      </c>
      <c r="O178" t="s">
        <v>1465</v>
      </c>
      <c r="P178" t="s">
        <v>2345</v>
      </c>
      <c r="R178">
        <v>0</v>
      </c>
      <c r="V178" t="b">
        <v>1</v>
      </c>
      <c r="W178" t="s">
        <v>1497</v>
      </c>
      <c r="X178" t="b">
        <v>1</v>
      </c>
    </row>
    <row r="179" spans="1:24" hidden="1" x14ac:dyDescent="0.3">
      <c r="B179" t="s">
        <v>1457</v>
      </c>
      <c r="E179" t="s">
        <v>2285</v>
      </c>
      <c r="I179" t="s">
        <v>2342</v>
      </c>
      <c r="J179" t="s">
        <v>1124</v>
      </c>
      <c r="K179" t="s">
        <v>1465</v>
      </c>
      <c r="L179" t="s">
        <v>1465</v>
      </c>
      <c r="M179" t="s">
        <v>1465</v>
      </c>
      <c r="N179" t="s">
        <v>1465</v>
      </c>
      <c r="O179" t="s">
        <v>1465</v>
      </c>
      <c r="P179" t="s">
        <v>2344</v>
      </c>
      <c r="R179">
        <v>0</v>
      </c>
      <c r="V179" t="b">
        <v>1</v>
      </c>
      <c r="W179" t="s">
        <v>1497</v>
      </c>
      <c r="X179" t="b">
        <v>1</v>
      </c>
    </row>
    <row r="180" spans="1:24" x14ac:dyDescent="0.3">
      <c r="B180" t="s">
        <v>1457</v>
      </c>
      <c r="E180" t="s">
        <v>2432</v>
      </c>
      <c r="I180" t="s">
        <v>2342</v>
      </c>
      <c r="J180" t="s">
        <v>1124</v>
      </c>
      <c r="K180" t="s">
        <v>1465</v>
      </c>
      <c r="L180" t="s">
        <v>1465</v>
      </c>
      <c r="M180" t="s">
        <v>1465</v>
      </c>
      <c r="N180" t="s">
        <v>1465</v>
      </c>
      <c r="O180" t="s">
        <v>1465</v>
      </c>
      <c r="P180" t="s">
        <v>2344</v>
      </c>
      <c r="R180">
        <v>0</v>
      </c>
      <c r="V180" t="b">
        <v>1</v>
      </c>
      <c r="W180" t="s">
        <v>1497</v>
      </c>
      <c r="X180" t="b">
        <v>1</v>
      </c>
    </row>
    <row r="181" spans="1:24" hidden="1" x14ac:dyDescent="0.3">
      <c r="B181" t="s">
        <v>1457</v>
      </c>
      <c r="E181" t="s">
        <v>39</v>
      </c>
      <c r="I181" t="s">
        <v>2342</v>
      </c>
      <c r="J181" t="s">
        <v>1124</v>
      </c>
      <c r="K181" t="s">
        <v>1465</v>
      </c>
      <c r="L181" t="s">
        <v>1465</v>
      </c>
      <c r="M181" t="s">
        <v>1465</v>
      </c>
      <c r="N181" t="s">
        <v>1465</v>
      </c>
      <c r="O181" t="s">
        <v>1465</v>
      </c>
      <c r="P181" t="s">
        <v>2344</v>
      </c>
      <c r="R181">
        <v>0</v>
      </c>
      <c r="V181" t="b">
        <v>1</v>
      </c>
      <c r="W181" t="s">
        <v>1497</v>
      </c>
      <c r="X181" t="b">
        <v>1</v>
      </c>
    </row>
    <row r="182" spans="1:24" hidden="1" x14ac:dyDescent="0.3">
      <c r="B182" t="s">
        <v>1457</v>
      </c>
      <c r="E182" t="s">
        <v>2285</v>
      </c>
      <c r="I182" t="s">
        <v>1290</v>
      </c>
      <c r="J182" t="s">
        <v>1124</v>
      </c>
      <c r="K182" t="s">
        <v>1465</v>
      </c>
      <c r="L182" t="s">
        <v>1465</v>
      </c>
      <c r="M182" t="s">
        <v>1465</v>
      </c>
      <c r="N182" t="s">
        <v>1465</v>
      </c>
      <c r="O182" t="s">
        <v>1465</v>
      </c>
      <c r="P182" t="s">
        <v>1447</v>
      </c>
      <c r="R182">
        <v>0</v>
      </c>
      <c r="V182" t="b">
        <v>0</v>
      </c>
      <c r="W182" t="s">
        <v>1497</v>
      </c>
      <c r="X182" t="b">
        <v>1</v>
      </c>
    </row>
    <row r="183" spans="1:24" x14ac:dyDescent="0.3">
      <c r="B183" t="s">
        <v>1457</v>
      </c>
      <c r="E183" t="s">
        <v>2432</v>
      </c>
      <c r="I183" t="s">
        <v>1290</v>
      </c>
      <c r="J183" t="s">
        <v>1124</v>
      </c>
      <c r="K183" t="s">
        <v>1465</v>
      </c>
      <c r="L183" t="s">
        <v>1465</v>
      </c>
      <c r="M183" t="s">
        <v>1465</v>
      </c>
      <c r="N183" t="s">
        <v>1465</v>
      </c>
      <c r="O183" t="s">
        <v>1465</v>
      </c>
      <c r="P183" t="s">
        <v>1447</v>
      </c>
      <c r="R183">
        <v>0</v>
      </c>
      <c r="V183" t="b">
        <v>0</v>
      </c>
      <c r="W183" t="s">
        <v>1497</v>
      </c>
      <c r="X183" t="b">
        <v>1</v>
      </c>
    </row>
    <row r="184" spans="1:24" hidden="1" x14ac:dyDescent="0.3">
      <c r="A184">
        <v>1</v>
      </c>
      <c r="B184" t="s">
        <v>1463</v>
      </c>
      <c r="D184" t="s">
        <v>1073</v>
      </c>
      <c r="E184" t="s">
        <v>2285</v>
      </c>
      <c r="F184" t="s">
        <v>51</v>
      </c>
      <c r="G184" t="s">
        <v>51</v>
      </c>
      <c r="J184" t="s">
        <v>1124</v>
      </c>
      <c r="K184" t="s">
        <v>1465</v>
      </c>
      <c r="L184" t="s">
        <v>1465</v>
      </c>
      <c r="M184" t="s">
        <v>1465</v>
      </c>
      <c r="N184" t="s">
        <v>1465</v>
      </c>
      <c r="O184" t="s">
        <v>1465</v>
      </c>
      <c r="P184" t="s">
        <v>1448</v>
      </c>
      <c r="S184">
        <v>0</v>
      </c>
      <c r="T184">
        <v>0</v>
      </c>
      <c r="V184" t="b">
        <v>1</v>
      </c>
      <c r="W184" t="s">
        <v>1497</v>
      </c>
      <c r="X184" t="b">
        <v>0</v>
      </c>
    </row>
    <row r="185" spans="1:24" x14ac:dyDescent="0.3">
      <c r="A185">
        <v>1</v>
      </c>
      <c r="B185" t="s">
        <v>1463</v>
      </c>
      <c r="D185" t="s">
        <v>1073</v>
      </c>
      <c r="E185" t="s">
        <v>2432</v>
      </c>
      <c r="F185" t="s">
        <v>51</v>
      </c>
      <c r="G185" t="s">
        <v>51</v>
      </c>
      <c r="J185" t="s">
        <v>1124</v>
      </c>
      <c r="K185" t="s">
        <v>1465</v>
      </c>
      <c r="L185" t="s">
        <v>1465</v>
      </c>
      <c r="M185" t="s">
        <v>1465</v>
      </c>
      <c r="N185" t="s">
        <v>1465</v>
      </c>
      <c r="O185" t="s">
        <v>1465</v>
      </c>
      <c r="P185" t="s">
        <v>1448</v>
      </c>
      <c r="S185">
        <v>0</v>
      </c>
      <c r="T185">
        <v>0</v>
      </c>
      <c r="V185" t="b">
        <v>1</v>
      </c>
      <c r="W185" t="s">
        <v>1497</v>
      </c>
      <c r="X185" t="b">
        <v>0</v>
      </c>
    </row>
    <row r="186" spans="1:24" hidden="1" x14ac:dyDescent="0.3">
      <c r="A186">
        <v>1</v>
      </c>
      <c r="B186" t="s">
        <v>1463</v>
      </c>
      <c r="D186" t="s">
        <v>1073</v>
      </c>
      <c r="E186" t="s">
        <v>39</v>
      </c>
      <c r="F186" t="s">
        <v>51</v>
      </c>
      <c r="G186" t="s">
        <v>51</v>
      </c>
      <c r="J186" t="s">
        <v>1124</v>
      </c>
      <c r="K186" t="s">
        <v>1465</v>
      </c>
      <c r="L186" t="s">
        <v>1465</v>
      </c>
      <c r="M186" t="s">
        <v>1465</v>
      </c>
      <c r="N186" t="s">
        <v>1465</v>
      </c>
      <c r="O186" t="s">
        <v>1465</v>
      </c>
      <c r="P186" t="s">
        <v>1448</v>
      </c>
      <c r="S186">
        <v>0</v>
      </c>
      <c r="T186">
        <v>0</v>
      </c>
      <c r="V186" t="b">
        <v>1</v>
      </c>
      <c r="W186" t="s">
        <v>1497</v>
      </c>
      <c r="X186" t="b">
        <v>0</v>
      </c>
    </row>
    <row r="187" spans="1:24" hidden="1" x14ac:dyDescent="0.3">
      <c r="A187">
        <v>1</v>
      </c>
      <c r="B187" t="s">
        <v>1463</v>
      </c>
      <c r="D187" t="s">
        <v>1076</v>
      </c>
      <c r="E187" t="s">
        <v>2285</v>
      </c>
      <c r="F187" t="s">
        <v>51</v>
      </c>
      <c r="G187" t="s">
        <v>51</v>
      </c>
      <c r="J187" t="s">
        <v>1124</v>
      </c>
      <c r="K187" t="s">
        <v>1465</v>
      </c>
      <c r="L187" t="s">
        <v>1465</v>
      </c>
      <c r="M187" t="s">
        <v>1465</v>
      </c>
      <c r="N187" t="s">
        <v>1465</v>
      </c>
      <c r="O187" t="s">
        <v>1465</v>
      </c>
      <c r="P187" t="s">
        <v>1449</v>
      </c>
      <c r="S187">
        <v>0</v>
      </c>
      <c r="T187">
        <v>0</v>
      </c>
      <c r="V187" t="b">
        <v>1</v>
      </c>
      <c r="W187" t="s">
        <v>1497</v>
      </c>
      <c r="X187" t="b">
        <v>0</v>
      </c>
    </row>
    <row r="188" spans="1:24" x14ac:dyDescent="0.3">
      <c r="A188">
        <v>1</v>
      </c>
      <c r="B188" t="s">
        <v>1463</v>
      </c>
      <c r="D188" t="s">
        <v>1076</v>
      </c>
      <c r="E188" t="s">
        <v>2432</v>
      </c>
      <c r="F188" t="s">
        <v>51</v>
      </c>
      <c r="G188" t="s">
        <v>51</v>
      </c>
      <c r="J188" t="s">
        <v>1124</v>
      </c>
      <c r="K188" t="s">
        <v>1465</v>
      </c>
      <c r="L188" t="s">
        <v>1465</v>
      </c>
      <c r="M188" t="s">
        <v>1465</v>
      </c>
      <c r="N188" t="s">
        <v>1465</v>
      </c>
      <c r="O188" t="s">
        <v>1465</v>
      </c>
      <c r="P188" t="s">
        <v>1449</v>
      </c>
      <c r="S188">
        <v>0</v>
      </c>
      <c r="T188">
        <v>0</v>
      </c>
      <c r="V188" t="b">
        <v>1</v>
      </c>
      <c r="W188" t="s">
        <v>1497</v>
      </c>
      <c r="X188" t="b">
        <v>0</v>
      </c>
    </row>
    <row r="189" spans="1:24" hidden="1" x14ac:dyDescent="0.3">
      <c r="A189">
        <v>1</v>
      </c>
      <c r="B189" t="s">
        <v>1463</v>
      </c>
      <c r="D189" t="s">
        <v>1076</v>
      </c>
      <c r="E189" t="s">
        <v>39</v>
      </c>
      <c r="F189" t="s">
        <v>51</v>
      </c>
      <c r="G189" t="s">
        <v>51</v>
      </c>
      <c r="J189" t="s">
        <v>1124</v>
      </c>
      <c r="K189" t="s">
        <v>1465</v>
      </c>
      <c r="L189" t="s">
        <v>1465</v>
      </c>
      <c r="M189" t="s">
        <v>1465</v>
      </c>
      <c r="N189" t="s">
        <v>1465</v>
      </c>
      <c r="O189" t="s">
        <v>1465</v>
      </c>
      <c r="P189" t="s">
        <v>1449</v>
      </c>
      <c r="S189">
        <v>0</v>
      </c>
      <c r="T189">
        <v>0</v>
      </c>
      <c r="V189" t="b">
        <v>1</v>
      </c>
      <c r="W189" t="s">
        <v>1497</v>
      </c>
      <c r="X189" t="b">
        <v>0</v>
      </c>
    </row>
    <row r="190" spans="1:24" hidden="1" x14ac:dyDescent="0.3">
      <c r="B190" t="s">
        <v>1456</v>
      </c>
      <c r="C190" t="s">
        <v>2335</v>
      </c>
      <c r="F190">
        <v>0</v>
      </c>
      <c r="J190" t="s">
        <v>1124</v>
      </c>
      <c r="K190" t="s">
        <v>1465</v>
      </c>
      <c r="L190" t="s">
        <v>1465</v>
      </c>
      <c r="M190" t="s">
        <v>1465</v>
      </c>
      <c r="N190" t="s">
        <v>1465</v>
      </c>
      <c r="O190" t="s">
        <v>1465</v>
      </c>
      <c r="T190">
        <v>0</v>
      </c>
      <c r="V190" t="b">
        <v>1</v>
      </c>
      <c r="W190" t="s">
        <v>1497</v>
      </c>
      <c r="X190" t="b">
        <v>0</v>
      </c>
    </row>
  </sheetData>
  <phoneticPr fontId="2" type="noConversion"/>
  <pageMargins left="0.7" right="0.7" top="0.75" bottom="0.75" header="0.3" footer="0.3"/>
  <pageSetup paperSize="9" orientation="portrait" r:id="rId1"/>
  <tableParts count="1">
    <tablePart r:id="rId2"/>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E222E-1F14-4384-B85B-0DB7A9A39CD4}">
  <sheetPr codeName="Sheet45">
    <tabColor theme="0"/>
  </sheetPr>
  <dimension ref="A1:R112"/>
  <sheetViews>
    <sheetView zoomScale="70" zoomScaleNormal="70" workbookViewId="0">
      <selection activeCell="I16" sqref="I16"/>
    </sheetView>
  </sheetViews>
  <sheetFormatPr defaultRowHeight="14.4" x14ac:dyDescent="0.3"/>
  <cols>
    <col min="1" max="1" width="16.44140625" bestFit="1" customWidth="1"/>
    <col min="2" max="2" width="13" bestFit="1" customWidth="1"/>
    <col min="3" max="3" width="21.44140625" bestFit="1" customWidth="1"/>
    <col min="4" max="4" width="25.44140625" bestFit="1" customWidth="1"/>
    <col min="5" max="6" width="18.88671875" bestFit="1" customWidth="1"/>
    <col min="7" max="7" width="24.33203125" bestFit="1" customWidth="1"/>
    <col min="8" max="8" width="16.6640625" bestFit="1" customWidth="1"/>
    <col min="9" max="9" width="25" bestFit="1" customWidth="1"/>
    <col min="10" max="11" width="25.6640625" bestFit="1" customWidth="1"/>
    <col min="12" max="12" width="21.6640625" bestFit="1" customWidth="1"/>
    <col min="13" max="13" width="27.109375" bestFit="1" customWidth="1"/>
    <col min="14" max="14" width="26" bestFit="1" customWidth="1"/>
    <col min="15" max="15" width="23.109375" bestFit="1" customWidth="1"/>
    <col min="16" max="16" width="51.109375" bestFit="1" customWidth="1"/>
    <col min="17" max="17" width="81.109375" bestFit="1" customWidth="1"/>
    <col min="18" max="18" width="18.5546875" bestFit="1" customWidth="1"/>
    <col min="19" max="19" width="22.109375" bestFit="1" customWidth="1"/>
  </cols>
  <sheetData>
    <row r="1" spans="1:18" x14ac:dyDescent="0.3">
      <c r="A1" t="s">
        <v>2583</v>
      </c>
      <c r="B1" t="s">
        <v>1453</v>
      </c>
      <c r="C1" t="s">
        <v>1331</v>
      </c>
      <c r="D1" t="s">
        <v>893</v>
      </c>
      <c r="E1" t="s">
        <v>871</v>
      </c>
      <c r="F1" t="s">
        <v>857</v>
      </c>
      <c r="G1" t="s">
        <v>884</v>
      </c>
      <c r="H1" t="s">
        <v>49</v>
      </c>
      <c r="I1" t="s">
        <v>1136</v>
      </c>
      <c r="J1" t="s">
        <v>1382</v>
      </c>
      <c r="K1" t="s">
        <v>1371</v>
      </c>
      <c r="L1" t="s">
        <v>1373</v>
      </c>
      <c r="M1" t="s">
        <v>1404</v>
      </c>
      <c r="N1" t="s">
        <v>1405</v>
      </c>
      <c r="O1" t="s">
        <v>1406</v>
      </c>
      <c r="P1" t="s">
        <v>1383</v>
      </c>
      <c r="Q1" t="s">
        <v>44</v>
      </c>
      <c r="R1" t="s">
        <v>1374</v>
      </c>
    </row>
    <row r="2" spans="1:18" x14ac:dyDescent="0.3">
      <c r="B2" t="s">
        <v>1458</v>
      </c>
      <c r="D2" t="s">
        <v>1050</v>
      </c>
      <c r="E2" t="s">
        <v>2572</v>
      </c>
      <c r="F2" t="s">
        <v>51</v>
      </c>
      <c r="G2" t="s">
        <v>51</v>
      </c>
      <c r="I2" t="s">
        <v>1242</v>
      </c>
      <c r="J2" t="s">
        <v>1124</v>
      </c>
      <c r="K2" t="s">
        <v>1465</v>
      </c>
      <c r="L2" t="s">
        <v>1465</v>
      </c>
      <c r="M2" t="s">
        <v>1465</v>
      </c>
      <c r="N2" t="s">
        <v>1465</v>
      </c>
      <c r="O2" t="s">
        <v>1465</v>
      </c>
      <c r="P2" t="s">
        <v>1400</v>
      </c>
      <c r="Q2" t="s">
        <v>1679</v>
      </c>
      <c r="R2" t="b">
        <v>1</v>
      </c>
    </row>
    <row r="3" spans="1:18" x14ac:dyDescent="0.3">
      <c r="B3" t="s">
        <v>1458</v>
      </c>
      <c r="D3" t="s">
        <v>1048</v>
      </c>
      <c r="E3" t="s">
        <v>2572</v>
      </c>
      <c r="F3" t="s">
        <v>51</v>
      </c>
      <c r="G3" t="s">
        <v>51</v>
      </c>
      <c r="I3" t="s">
        <v>1244</v>
      </c>
      <c r="J3" t="s">
        <v>1124</v>
      </c>
      <c r="K3" t="s">
        <v>1465</v>
      </c>
      <c r="L3" t="s">
        <v>1465</v>
      </c>
      <c r="M3" t="s">
        <v>1465</v>
      </c>
      <c r="N3" t="s">
        <v>1465</v>
      </c>
      <c r="O3" t="s">
        <v>1465</v>
      </c>
      <c r="P3" t="s">
        <v>1399</v>
      </c>
      <c r="Q3" t="s">
        <v>1680</v>
      </c>
      <c r="R3" t="b">
        <v>1</v>
      </c>
    </row>
    <row r="4" spans="1:18" x14ac:dyDescent="0.3">
      <c r="B4" t="s">
        <v>1458</v>
      </c>
      <c r="D4" t="s">
        <v>1042</v>
      </c>
      <c r="E4" t="s">
        <v>2572</v>
      </c>
      <c r="F4" t="s">
        <v>51</v>
      </c>
      <c r="G4" t="s">
        <v>51</v>
      </c>
      <c r="I4" t="s">
        <v>1248</v>
      </c>
      <c r="J4" t="s">
        <v>1124</v>
      </c>
      <c r="K4" t="s">
        <v>1465</v>
      </c>
      <c r="L4" t="s">
        <v>1465</v>
      </c>
      <c r="M4" t="s">
        <v>1465</v>
      </c>
      <c r="N4" t="s">
        <v>1465</v>
      </c>
      <c r="O4" t="s">
        <v>1465</v>
      </c>
      <c r="P4" t="s">
        <v>1397</v>
      </c>
      <c r="Q4" t="s">
        <v>1681</v>
      </c>
      <c r="R4" t="b">
        <v>1</v>
      </c>
    </row>
    <row r="5" spans="1:18" x14ac:dyDescent="0.3">
      <c r="B5" t="s">
        <v>1458</v>
      </c>
      <c r="D5" t="s">
        <v>1044</v>
      </c>
      <c r="E5" t="s">
        <v>2572</v>
      </c>
      <c r="F5" t="s">
        <v>51</v>
      </c>
      <c r="G5" t="s">
        <v>51</v>
      </c>
      <c r="I5" t="s">
        <v>1250</v>
      </c>
      <c r="J5" t="s">
        <v>1124</v>
      </c>
      <c r="K5" t="s">
        <v>1465</v>
      </c>
      <c r="L5" t="s">
        <v>1465</v>
      </c>
      <c r="M5" t="s">
        <v>1465</v>
      </c>
      <c r="N5" t="s">
        <v>1465</v>
      </c>
      <c r="O5" t="s">
        <v>1465</v>
      </c>
      <c r="P5" t="s">
        <v>1403</v>
      </c>
      <c r="Q5" t="s">
        <v>1682</v>
      </c>
      <c r="R5" t="b">
        <v>1</v>
      </c>
    </row>
    <row r="6" spans="1:18" x14ac:dyDescent="0.3">
      <c r="B6" t="s">
        <v>1458</v>
      </c>
      <c r="D6" t="s">
        <v>1040</v>
      </c>
      <c r="E6" t="s">
        <v>2572</v>
      </c>
      <c r="F6" t="s">
        <v>51</v>
      </c>
      <c r="G6" t="s">
        <v>51</v>
      </c>
      <c r="I6" t="s">
        <v>1246</v>
      </c>
      <c r="J6" t="s">
        <v>1124</v>
      </c>
      <c r="K6" t="s">
        <v>1465</v>
      </c>
      <c r="L6" t="s">
        <v>1465</v>
      </c>
      <c r="M6" t="s">
        <v>1465</v>
      </c>
      <c r="N6" t="s">
        <v>1465</v>
      </c>
      <c r="O6" t="s">
        <v>1465</v>
      </c>
      <c r="P6" t="s">
        <v>1396</v>
      </c>
      <c r="Q6" t="s">
        <v>1683</v>
      </c>
      <c r="R6" t="b">
        <v>1</v>
      </c>
    </row>
    <row r="7" spans="1:18" x14ac:dyDescent="0.3">
      <c r="B7" t="s">
        <v>1458</v>
      </c>
      <c r="D7" t="s">
        <v>1046</v>
      </c>
      <c r="E7" t="s">
        <v>2572</v>
      </c>
      <c r="F7" t="s">
        <v>51</v>
      </c>
      <c r="G7" t="s">
        <v>51</v>
      </c>
      <c r="I7" t="s">
        <v>1252</v>
      </c>
      <c r="J7" t="s">
        <v>1124</v>
      </c>
      <c r="K7" t="s">
        <v>1465</v>
      </c>
      <c r="L7" t="s">
        <v>1465</v>
      </c>
      <c r="M7" t="s">
        <v>1465</v>
      </c>
      <c r="N7" t="s">
        <v>1465</v>
      </c>
      <c r="O7" t="s">
        <v>1465</v>
      </c>
      <c r="P7" t="s">
        <v>1398</v>
      </c>
      <c r="Q7" t="s">
        <v>1684</v>
      </c>
      <c r="R7" t="b">
        <v>1</v>
      </c>
    </row>
    <row r="8" spans="1:18" x14ac:dyDescent="0.3">
      <c r="B8" t="s">
        <v>1458</v>
      </c>
      <c r="D8" t="s">
        <v>2573</v>
      </c>
      <c r="E8" t="s">
        <v>39</v>
      </c>
      <c r="F8" t="s">
        <v>51</v>
      </c>
      <c r="G8" t="s">
        <v>51</v>
      </c>
      <c r="I8" t="s">
        <v>1036</v>
      </c>
      <c r="J8" t="s">
        <v>1124</v>
      </c>
      <c r="K8" t="s">
        <v>1465</v>
      </c>
      <c r="L8" t="s">
        <v>1465</v>
      </c>
      <c r="M8" t="s">
        <v>1465</v>
      </c>
      <c r="N8" t="s">
        <v>1465</v>
      </c>
      <c r="O8" t="s">
        <v>1465</v>
      </c>
      <c r="P8" t="s">
        <v>2574</v>
      </c>
      <c r="Q8" t="s">
        <v>1658</v>
      </c>
      <c r="R8" t="b">
        <v>1</v>
      </c>
    </row>
    <row r="9" spans="1:18" x14ac:dyDescent="0.3">
      <c r="B9" t="s">
        <v>1458</v>
      </c>
      <c r="D9" t="s">
        <v>2575</v>
      </c>
      <c r="E9" t="s">
        <v>39</v>
      </c>
      <c r="F9" t="s">
        <v>51</v>
      </c>
      <c r="G9" t="s">
        <v>51</v>
      </c>
      <c r="I9" t="s">
        <v>1036</v>
      </c>
      <c r="J9" t="s">
        <v>1124</v>
      </c>
      <c r="K9" t="s">
        <v>1465</v>
      </c>
      <c r="L9" t="s">
        <v>1465</v>
      </c>
      <c r="M9" t="s">
        <v>1465</v>
      </c>
      <c r="N9" t="s">
        <v>1465</v>
      </c>
      <c r="O9" t="s">
        <v>1465</v>
      </c>
      <c r="P9" t="s">
        <v>2576</v>
      </c>
      <c r="Q9" t="s">
        <v>1656</v>
      </c>
      <c r="R9" t="b">
        <v>1</v>
      </c>
    </row>
    <row r="10" spans="1:18" x14ac:dyDescent="0.3">
      <c r="B10" t="s">
        <v>1458</v>
      </c>
      <c r="D10" t="s">
        <v>2577</v>
      </c>
      <c r="E10" t="s">
        <v>39</v>
      </c>
      <c r="F10" t="s">
        <v>51</v>
      </c>
      <c r="G10" t="s">
        <v>51</v>
      </c>
      <c r="I10" t="s">
        <v>1036</v>
      </c>
      <c r="J10" t="s">
        <v>1124</v>
      </c>
      <c r="K10" t="s">
        <v>1465</v>
      </c>
      <c r="L10" t="s">
        <v>1465</v>
      </c>
      <c r="M10" t="s">
        <v>1465</v>
      </c>
      <c r="N10" t="s">
        <v>1465</v>
      </c>
      <c r="O10" t="s">
        <v>1465</v>
      </c>
      <c r="P10" t="s">
        <v>2578</v>
      </c>
      <c r="Q10" t="s">
        <v>1657</v>
      </c>
      <c r="R10" t="b">
        <v>1</v>
      </c>
    </row>
    <row r="11" spans="1:18" x14ac:dyDescent="0.3">
      <c r="B11" t="s">
        <v>1458</v>
      </c>
      <c r="D11" t="s">
        <v>997</v>
      </c>
      <c r="E11" t="s">
        <v>39</v>
      </c>
      <c r="F11" t="s">
        <v>51</v>
      </c>
      <c r="G11" t="s">
        <v>51</v>
      </c>
      <c r="I11" t="s">
        <v>1172</v>
      </c>
      <c r="J11" t="s">
        <v>1124</v>
      </c>
      <c r="K11" t="s">
        <v>1465</v>
      </c>
      <c r="L11" t="s">
        <v>1465</v>
      </c>
      <c r="M11" t="s">
        <v>1465</v>
      </c>
      <c r="N11" t="s">
        <v>1465</v>
      </c>
      <c r="O11" t="s">
        <v>1465</v>
      </c>
      <c r="P11" t="s">
        <v>1388</v>
      </c>
      <c r="Q11" t="s">
        <v>1659</v>
      </c>
      <c r="R11" t="b">
        <v>1</v>
      </c>
    </row>
    <row r="12" spans="1:18" x14ac:dyDescent="0.3">
      <c r="B12" t="s">
        <v>1458</v>
      </c>
      <c r="D12" t="s">
        <v>999</v>
      </c>
      <c r="E12" t="s">
        <v>39</v>
      </c>
      <c r="F12" t="s">
        <v>51</v>
      </c>
      <c r="G12" t="s">
        <v>51</v>
      </c>
      <c r="I12" t="s">
        <v>1172</v>
      </c>
      <c r="J12" t="s">
        <v>1124</v>
      </c>
      <c r="K12" t="s">
        <v>1465</v>
      </c>
      <c r="L12" t="s">
        <v>1465</v>
      </c>
      <c r="M12" t="s">
        <v>1465</v>
      </c>
      <c r="N12" t="s">
        <v>1465</v>
      </c>
      <c r="O12" t="s">
        <v>1465</v>
      </c>
      <c r="P12" t="s">
        <v>1395</v>
      </c>
      <c r="Q12" t="s">
        <v>1660</v>
      </c>
      <c r="R12" t="b">
        <v>1</v>
      </c>
    </row>
    <row r="13" spans="1:18" x14ac:dyDescent="0.3">
      <c r="B13" t="s">
        <v>1458</v>
      </c>
      <c r="D13" t="s">
        <v>1517</v>
      </c>
      <c r="E13" t="s">
        <v>39</v>
      </c>
      <c r="F13" t="s">
        <v>51</v>
      </c>
      <c r="G13" t="s">
        <v>51</v>
      </c>
      <c r="I13" t="s">
        <v>1172</v>
      </c>
      <c r="J13" t="s">
        <v>1124</v>
      </c>
      <c r="K13" t="s">
        <v>1465</v>
      </c>
      <c r="L13" t="s">
        <v>1465</v>
      </c>
      <c r="M13" t="s">
        <v>1465</v>
      </c>
      <c r="N13" t="s">
        <v>1465</v>
      </c>
      <c r="O13" t="s">
        <v>1465</v>
      </c>
      <c r="P13" t="s">
        <v>1752</v>
      </c>
      <c r="Q13" t="s">
        <v>1661</v>
      </c>
      <c r="R13" t="b">
        <v>1</v>
      </c>
    </row>
    <row r="14" spans="1:18" x14ac:dyDescent="0.3">
      <c r="B14" t="s">
        <v>1458</v>
      </c>
      <c r="D14" t="s">
        <v>1001</v>
      </c>
      <c r="E14" t="s">
        <v>39</v>
      </c>
      <c r="F14" t="s">
        <v>51</v>
      </c>
      <c r="G14" t="s">
        <v>51</v>
      </c>
      <c r="I14" t="s">
        <v>1172</v>
      </c>
      <c r="J14" t="s">
        <v>1124</v>
      </c>
      <c r="K14" t="s">
        <v>1465</v>
      </c>
      <c r="L14" t="s">
        <v>1465</v>
      </c>
      <c r="M14" t="s">
        <v>1465</v>
      </c>
      <c r="N14" t="s">
        <v>1465</v>
      </c>
      <c r="O14" t="s">
        <v>1465</v>
      </c>
      <c r="P14" t="s">
        <v>1478</v>
      </c>
      <c r="Q14" t="s">
        <v>1662</v>
      </c>
      <c r="R14" t="b">
        <v>1</v>
      </c>
    </row>
    <row r="15" spans="1:18" x14ac:dyDescent="0.3">
      <c r="B15" t="s">
        <v>1458</v>
      </c>
      <c r="D15" t="s">
        <v>1003</v>
      </c>
      <c r="E15" t="s">
        <v>39</v>
      </c>
      <c r="F15" t="s">
        <v>51</v>
      </c>
      <c r="G15" t="s">
        <v>51</v>
      </c>
      <c r="I15" t="s">
        <v>1172</v>
      </c>
      <c r="J15" t="s">
        <v>1124</v>
      </c>
      <c r="K15" t="s">
        <v>1465</v>
      </c>
      <c r="L15" t="s">
        <v>1465</v>
      </c>
      <c r="M15" t="s">
        <v>1465</v>
      </c>
      <c r="N15" t="s">
        <v>1465</v>
      </c>
      <c r="O15" t="s">
        <v>1465</v>
      </c>
      <c r="P15" t="s">
        <v>1479</v>
      </c>
      <c r="Q15" t="s">
        <v>1663</v>
      </c>
      <c r="R15" t="b">
        <v>1</v>
      </c>
    </row>
    <row r="16" spans="1:18" x14ac:dyDescent="0.3">
      <c r="B16" t="s">
        <v>1458</v>
      </c>
      <c r="D16" t="s">
        <v>1005</v>
      </c>
      <c r="E16" t="s">
        <v>39</v>
      </c>
      <c r="F16" t="s">
        <v>51</v>
      </c>
      <c r="G16" t="s">
        <v>51</v>
      </c>
      <c r="I16" t="s">
        <v>1172</v>
      </c>
      <c r="J16" t="s">
        <v>1124</v>
      </c>
      <c r="K16" t="s">
        <v>1465</v>
      </c>
      <c r="L16" t="s">
        <v>1465</v>
      </c>
      <c r="M16" t="s">
        <v>1465</v>
      </c>
      <c r="N16" t="s">
        <v>1465</v>
      </c>
      <c r="O16" t="s">
        <v>1465</v>
      </c>
      <c r="P16" t="s">
        <v>1480</v>
      </c>
      <c r="Q16" t="s">
        <v>1664</v>
      </c>
      <c r="R16" t="b">
        <v>1</v>
      </c>
    </row>
    <row r="17" spans="2:18" x14ac:dyDescent="0.3">
      <c r="B17" t="s">
        <v>1458</v>
      </c>
      <c r="D17" t="s">
        <v>1007</v>
      </c>
      <c r="E17" t="s">
        <v>39</v>
      </c>
      <c r="F17" t="s">
        <v>51</v>
      </c>
      <c r="G17" t="s">
        <v>51</v>
      </c>
      <c r="I17" t="s">
        <v>1172</v>
      </c>
      <c r="J17" t="s">
        <v>1124</v>
      </c>
      <c r="K17" t="s">
        <v>1465</v>
      </c>
      <c r="L17" t="s">
        <v>1465</v>
      </c>
      <c r="M17" t="s">
        <v>1465</v>
      </c>
      <c r="N17" t="s">
        <v>1465</v>
      </c>
      <c r="O17" t="s">
        <v>1465</v>
      </c>
      <c r="P17" t="s">
        <v>1918</v>
      </c>
      <c r="Q17" t="s">
        <v>1665</v>
      </c>
      <c r="R17" t="b">
        <v>1</v>
      </c>
    </row>
    <row r="18" spans="2:18" x14ac:dyDescent="0.3">
      <c r="B18" t="s">
        <v>1458</v>
      </c>
      <c r="D18" t="s">
        <v>1009</v>
      </c>
      <c r="E18" t="s">
        <v>39</v>
      </c>
      <c r="F18" t="s">
        <v>51</v>
      </c>
      <c r="G18" t="s">
        <v>51</v>
      </c>
      <c r="I18" t="s">
        <v>1172</v>
      </c>
      <c r="J18" t="s">
        <v>1124</v>
      </c>
      <c r="K18" t="s">
        <v>1465</v>
      </c>
      <c r="L18" t="s">
        <v>1465</v>
      </c>
      <c r="M18" t="s">
        <v>1465</v>
      </c>
      <c r="N18" t="s">
        <v>1465</v>
      </c>
      <c r="O18" t="s">
        <v>1465</v>
      </c>
      <c r="P18" t="s">
        <v>1010</v>
      </c>
      <c r="Q18" t="s">
        <v>1667</v>
      </c>
      <c r="R18" t="b">
        <v>1</v>
      </c>
    </row>
    <row r="19" spans="2:18" x14ac:dyDescent="0.3">
      <c r="B19" t="s">
        <v>1458</v>
      </c>
      <c r="D19" t="s">
        <v>1011</v>
      </c>
      <c r="E19" t="s">
        <v>39</v>
      </c>
      <c r="F19" t="s">
        <v>51</v>
      </c>
      <c r="G19" t="s">
        <v>51</v>
      </c>
      <c r="I19" t="s">
        <v>1172</v>
      </c>
      <c r="J19" t="s">
        <v>1124</v>
      </c>
      <c r="K19" t="s">
        <v>1465</v>
      </c>
      <c r="L19" t="s">
        <v>1465</v>
      </c>
      <c r="M19" t="s">
        <v>1465</v>
      </c>
      <c r="N19" t="s">
        <v>1465</v>
      </c>
      <c r="O19" t="s">
        <v>1465</v>
      </c>
      <c r="P19" t="s">
        <v>1389</v>
      </c>
      <c r="Q19" t="s">
        <v>1666</v>
      </c>
      <c r="R19" t="b">
        <v>1</v>
      </c>
    </row>
    <row r="20" spans="2:18" x14ac:dyDescent="0.3">
      <c r="B20" t="s">
        <v>1458</v>
      </c>
      <c r="D20" t="s">
        <v>1502</v>
      </c>
      <c r="E20" t="s">
        <v>39</v>
      </c>
      <c r="F20" t="s">
        <v>51</v>
      </c>
      <c r="G20" t="s">
        <v>51</v>
      </c>
      <c r="I20" t="s">
        <v>1172</v>
      </c>
      <c r="J20" t="s">
        <v>1124</v>
      </c>
      <c r="K20" t="s">
        <v>1465</v>
      </c>
      <c r="L20" t="s">
        <v>1465</v>
      </c>
      <c r="M20" t="s">
        <v>1465</v>
      </c>
      <c r="N20" t="s">
        <v>1465</v>
      </c>
      <c r="O20" t="s">
        <v>1465</v>
      </c>
      <c r="P20" t="s">
        <v>1542</v>
      </c>
      <c r="Q20" t="s">
        <v>1669</v>
      </c>
      <c r="R20" t="b">
        <v>1</v>
      </c>
    </row>
    <row r="21" spans="2:18" x14ac:dyDescent="0.3">
      <c r="B21" t="s">
        <v>1458</v>
      </c>
      <c r="D21" t="s">
        <v>2343</v>
      </c>
      <c r="E21" t="s">
        <v>39</v>
      </c>
      <c r="F21" t="s">
        <v>51</v>
      </c>
      <c r="G21" t="s">
        <v>51</v>
      </c>
      <c r="I21" t="s">
        <v>1172</v>
      </c>
      <c r="J21" t="s">
        <v>1124</v>
      </c>
      <c r="K21" t="s">
        <v>1465</v>
      </c>
      <c r="L21" t="s">
        <v>1465</v>
      </c>
      <c r="M21" t="s">
        <v>1465</v>
      </c>
      <c r="N21" t="s">
        <v>1465</v>
      </c>
      <c r="O21" t="s">
        <v>1465</v>
      </c>
      <c r="P21" t="s">
        <v>2345</v>
      </c>
      <c r="Q21" t="s">
        <v>1668</v>
      </c>
      <c r="R21" t="b">
        <v>1</v>
      </c>
    </row>
    <row r="22" spans="2:18" x14ac:dyDescent="0.3">
      <c r="B22" t="s">
        <v>1458</v>
      </c>
      <c r="D22" t="s">
        <v>2342</v>
      </c>
      <c r="E22" t="s">
        <v>39</v>
      </c>
      <c r="F22" t="s">
        <v>51</v>
      </c>
      <c r="G22" t="s">
        <v>51</v>
      </c>
      <c r="I22" t="s">
        <v>1172</v>
      </c>
      <c r="J22" t="s">
        <v>1124</v>
      </c>
      <c r="K22" t="s">
        <v>1465</v>
      </c>
      <c r="L22" t="s">
        <v>1465</v>
      </c>
      <c r="M22" t="s">
        <v>1465</v>
      </c>
      <c r="N22" t="s">
        <v>1465</v>
      </c>
      <c r="O22" t="s">
        <v>1465</v>
      </c>
      <c r="P22" t="s">
        <v>2344</v>
      </c>
      <c r="Q22" t="s">
        <v>1668</v>
      </c>
      <c r="R22" t="b">
        <v>1</v>
      </c>
    </row>
    <row r="23" spans="2:18" x14ac:dyDescent="0.3">
      <c r="B23" t="s">
        <v>1458</v>
      </c>
      <c r="D23" t="s">
        <v>2579</v>
      </c>
      <c r="E23" t="s">
        <v>39</v>
      </c>
      <c r="F23" t="s">
        <v>51</v>
      </c>
      <c r="G23" t="s">
        <v>51</v>
      </c>
      <c r="I23" t="s">
        <v>1036</v>
      </c>
      <c r="J23" t="s">
        <v>1124</v>
      </c>
      <c r="K23" t="s">
        <v>1465</v>
      </c>
      <c r="L23" t="s">
        <v>1465</v>
      </c>
      <c r="M23" t="s">
        <v>1465</v>
      </c>
      <c r="N23" t="s">
        <v>1465</v>
      </c>
      <c r="O23" t="s">
        <v>1465</v>
      </c>
      <c r="P23" t="s">
        <v>2580</v>
      </c>
      <c r="Q23" t="s">
        <v>1670</v>
      </c>
      <c r="R23" t="b">
        <v>1</v>
      </c>
    </row>
    <row r="24" spans="2:18" x14ac:dyDescent="0.3">
      <c r="B24" t="s">
        <v>1458</v>
      </c>
      <c r="D24" t="s">
        <v>2581</v>
      </c>
      <c r="E24" t="s">
        <v>39</v>
      </c>
      <c r="F24" t="s">
        <v>51</v>
      </c>
      <c r="G24" t="s">
        <v>51</v>
      </c>
      <c r="I24" t="s">
        <v>1036</v>
      </c>
      <c r="J24" t="s">
        <v>1124</v>
      </c>
      <c r="K24" t="s">
        <v>1465</v>
      </c>
      <c r="L24" t="s">
        <v>1465</v>
      </c>
      <c r="M24" t="s">
        <v>1465</v>
      </c>
      <c r="N24" t="s">
        <v>1465</v>
      </c>
      <c r="O24" t="s">
        <v>1465</v>
      </c>
      <c r="P24" t="s">
        <v>2582</v>
      </c>
      <c r="Q24" t="s">
        <v>1671</v>
      </c>
      <c r="R24" t="b">
        <v>1</v>
      </c>
    </row>
    <row r="25" spans="2:18" x14ac:dyDescent="0.3">
      <c r="B25" t="s">
        <v>1458</v>
      </c>
      <c r="D25" t="s">
        <v>1017</v>
      </c>
      <c r="E25" t="s">
        <v>39</v>
      </c>
      <c r="F25" t="s">
        <v>51</v>
      </c>
      <c r="G25" t="s">
        <v>51</v>
      </c>
      <c r="I25" t="s">
        <v>1172</v>
      </c>
      <c r="J25" t="s">
        <v>1124</v>
      </c>
      <c r="K25" t="s">
        <v>1465</v>
      </c>
      <c r="L25" t="s">
        <v>1465</v>
      </c>
      <c r="M25" t="s">
        <v>1465</v>
      </c>
      <c r="N25" t="s">
        <v>1465</v>
      </c>
      <c r="O25" t="s">
        <v>1465</v>
      </c>
      <c r="P25" t="s">
        <v>1391</v>
      </c>
      <c r="Q25" t="s">
        <v>1672</v>
      </c>
      <c r="R25" t="b">
        <v>1</v>
      </c>
    </row>
    <row r="26" spans="2:18" x14ac:dyDescent="0.3">
      <c r="B26" t="s">
        <v>1458</v>
      </c>
      <c r="D26" t="s">
        <v>1019</v>
      </c>
      <c r="E26" t="s">
        <v>39</v>
      </c>
      <c r="F26" t="s">
        <v>51</v>
      </c>
      <c r="G26" t="s">
        <v>51</v>
      </c>
      <c r="I26" t="s">
        <v>1172</v>
      </c>
      <c r="J26" t="s">
        <v>1124</v>
      </c>
      <c r="K26" t="s">
        <v>1465</v>
      </c>
      <c r="L26" t="s">
        <v>1465</v>
      </c>
      <c r="M26" t="s">
        <v>1465</v>
      </c>
      <c r="N26" t="s">
        <v>1465</v>
      </c>
      <c r="O26" t="s">
        <v>1465</v>
      </c>
      <c r="P26" t="s">
        <v>1392</v>
      </c>
      <c r="R26" t="b">
        <v>1</v>
      </c>
    </row>
    <row r="27" spans="2:18" x14ac:dyDescent="0.3">
      <c r="B27" t="s">
        <v>1458</v>
      </c>
      <c r="D27" t="s">
        <v>1022</v>
      </c>
      <c r="E27" t="s">
        <v>39</v>
      </c>
      <c r="F27" t="s">
        <v>51</v>
      </c>
      <c r="G27" t="s">
        <v>51</v>
      </c>
      <c r="I27" t="s">
        <v>1172</v>
      </c>
      <c r="J27" t="s">
        <v>1124</v>
      </c>
      <c r="K27" t="s">
        <v>1465</v>
      </c>
      <c r="L27" t="s">
        <v>1465</v>
      </c>
      <c r="M27" t="s">
        <v>1465</v>
      </c>
      <c r="N27" t="s">
        <v>1465</v>
      </c>
      <c r="O27" t="s">
        <v>1465</v>
      </c>
      <c r="P27" t="s">
        <v>1953</v>
      </c>
      <c r="Q27" t="s">
        <v>1954</v>
      </c>
      <c r="R27" t="b">
        <v>1</v>
      </c>
    </row>
    <row r="28" spans="2:18" x14ac:dyDescent="0.3">
      <c r="B28" t="s">
        <v>1458</v>
      </c>
      <c r="D28" t="s">
        <v>1023</v>
      </c>
      <c r="E28" t="s">
        <v>39</v>
      </c>
      <c r="F28" t="s">
        <v>51</v>
      </c>
      <c r="G28" t="s">
        <v>51</v>
      </c>
      <c r="I28" t="s">
        <v>1172</v>
      </c>
      <c r="J28" t="s">
        <v>1124</v>
      </c>
      <c r="K28" t="s">
        <v>1465</v>
      </c>
      <c r="L28" t="s">
        <v>1465</v>
      </c>
      <c r="M28" t="s">
        <v>1465</v>
      </c>
      <c r="N28" t="s">
        <v>1465</v>
      </c>
      <c r="O28" t="s">
        <v>1465</v>
      </c>
      <c r="P28" t="s">
        <v>1024</v>
      </c>
      <c r="Q28" t="s">
        <v>1673</v>
      </c>
      <c r="R28" t="b">
        <v>1</v>
      </c>
    </row>
    <row r="29" spans="2:18" x14ac:dyDescent="0.3">
      <c r="B29" t="s">
        <v>1458</v>
      </c>
      <c r="D29" t="s">
        <v>1025</v>
      </c>
      <c r="E29" t="s">
        <v>39</v>
      </c>
      <c r="F29" t="s">
        <v>51</v>
      </c>
      <c r="G29" t="s">
        <v>51</v>
      </c>
      <c r="I29" t="s">
        <v>1172</v>
      </c>
      <c r="J29" t="s">
        <v>1124</v>
      </c>
      <c r="K29" t="s">
        <v>1465</v>
      </c>
      <c r="L29" t="s">
        <v>1465</v>
      </c>
      <c r="M29" t="s">
        <v>1465</v>
      </c>
      <c r="N29" t="s">
        <v>1465</v>
      </c>
      <c r="O29" t="s">
        <v>1465</v>
      </c>
      <c r="P29" t="s">
        <v>1026</v>
      </c>
      <c r="Q29" t="s">
        <v>1674</v>
      </c>
      <c r="R29" t="b">
        <v>1</v>
      </c>
    </row>
    <row r="30" spans="2:18" x14ac:dyDescent="0.3">
      <c r="B30" t="s">
        <v>1458</v>
      </c>
      <c r="D30" t="s">
        <v>1027</v>
      </c>
      <c r="E30" t="s">
        <v>39</v>
      </c>
      <c r="F30" t="s">
        <v>51</v>
      </c>
      <c r="G30" t="s">
        <v>51</v>
      </c>
      <c r="I30" t="s">
        <v>1172</v>
      </c>
      <c r="J30" t="s">
        <v>1124</v>
      </c>
      <c r="K30" t="s">
        <v>1465</v>
      </c>
      <c r="L30" t="s">
        <v>1465</v>
      </c>
      <c r="M30" t="s">
        <v>1465</v>
      </c>
      <c r="N30" t="s">
        <v>1465</v>
      </c>
      <c r="O30" t="s">
        <v>1465</v>
      </c>
      <c r="P30" t="s">
        <v>1393</v>
      </c>
      <c r="Q30" t="s">
        <v>1675</v>
      </c>
      <c r="R30" t="b">
        <v>1</v>
      </c>
    </row>
    <row r="31" spans="2:18" x14ac:dyDescent="0.3">
      <c r="B31" t="s">
        <v>1458</v>
      </c>
      <c r="D31" t="s">
        <v>1028</v>
      </c>
      <c r="E31" t="s">
        <v>39</v>
      </c>
      <c r="F31" t="s">
        <v>51</v>
      </c>
      <c r="G31" t="s">
        <v>51</v>
      </c>
      <c r="I31" t="s">
        <v>1172</v>
      </c>
      <c r="J31" t="s">
        <v>1124</v>
      </c>
      <c r="K31" t="s">
        <v>1465</v>
      </c>
      <c r="L31" t="s">
        <v>1465</v>
      </c>
      <c r="M31" t="s">
        <v>1465</v>
      </c>
      <c r="N31" t="s">
        <v>1465</v>
      </c>
      <c r="O31" t="s">
        <v>1465</v>
      </c>
      <c r="P31" t="s">
        <v>1676</v>
      </c>
      <c r="R31" t="b">
        <v>1</v>
      </c>
    </row>
    <row r="32" spans="2:18" x14ac:dyDescent="0.3">
      <c r="B32" t="s">
        <v>1458</v>
      </c>
      <c r="D32" t="s">
        <v>1575</v>
      </c>
      <c r="E32" t="s">
        <v>39</v>
      </c>
      <c r="F32" t="s">
        <v>51</v>
      </c>
      <c r="G32" t="s">
        <v>51</v>
      </c>
      <c r="I32" t="s">
        <v>1172</v>
      </c>
      <c r="J32" t="s">
        <v>1124</v>
      </c>
      <c r="K32" t="s">
        <v>1465</v>
      </c>
      <c r="L32" t="s">
        <v>1465</v>
      </c>
      <c r="M32" t="s">
        <v>1465</v>
      </c>
      <c r="N32" t="s">
        <v>1465</v>
      </c>
      <c r="O32" t="s">
        <v>1465</v>
      </c>
      <c r="P32" t="s">
        <v>1576</v>
      </c>
      <c r="R32" t="b">
        <v>1</v>
      </c>
    </row>
    <row r="33" spans="2:18" x14ac:dyDescent="0.3">
      <c r="B33" t="s">
        <v>1458</v>
      </c>
      <c r="D33" t="s">
        <v>1573</v>
      </c>
      <c r="E33" t="s">
        <v>39</v>
      </c>
      <c r="F33" t="s">
        <v>51</v>
      </c>
      <c r="G33" t="s">
        <v>51</v>
      </c>
      <c r="I33" t="s">
        <v>2036</v>
      </c>
      <c r="J33" t="s">
        <v>1124</v>
      </c>
      <c r="K33" t="s">
        <v>1465</v>
      </c>
      <c r="L33" t="s">
        <v>1465</v>
      </c>
      <c r="M33" t="s">
        <v>1465</v>
      </c>
      <c r="N33" t="s">
        <v>1465</v>
      </c>
      <c r="O33" t="s">
        <v>1465</v>
      </c>
      <c r="P33" t="s">
        <v>1577</v>
      </c>
      <c r="Q33" t="s">
        <v>1677</v>
      </c>
      <c r="R33" t="b">
        <v>1</v>
      </c>
    </row>
    <row r="34" spans="2:18" x14ac:dyDescent="0.3">
      <c r="B34" t="s">
        <v>1458</v>
      </c>
      <c r="D34" t="s">
        <v>1030</v>
      </c>
      <c r="E34" t="s">
        <v>39</v>
      </c>
      <c r="F34" t="s">
        <v>51</v>
      </c>
      <c r="G34" t="s">
        <v>51</v>
      </c>
      <c r="I34" t="s">
        <v>1172</v>
      </c>
      <c r="J34" t="s">
        <v>1124</v>
      </c>
      <c r="K34" t="s">
        <v>1465</v>
      </c>
      <c r="L34" t="s">
        <v>1465</v>
      </c>
      <c r="M34" t="s">
        <v>1465</v>
      </c>
      <c r="N34" t="s">
        <v>1465</v>
      </c>
      <c r="O34" t="s">
        <v>1465</v>
      </c>
      <c r="P34" t="s">
        <v>2065</v>
      </c>
      <c r="R34" t="b">
        <v>1</v>
      </c>
    </row>
    <row r="35" spans="2:18" x14ac:dyDescent="0.3">
      <c r="B35" t="s">
        <v>1458</v>
      </c>
      <c r="D35" t="s">
        <v>1052</v>
      </c>
      <c r="E35" t="s">
        <v>39</v>
      </c>
      <c r="F35" t="s">
        <v>51</v>
      </c>
      <c r="G35" t="s">
        <v>51</v>
      </c>
      <c r="J35" t="s">
        <v>1124</v>
      </c>
      <c r="K35" t="s">
        <v>1465</v>
      </c>
      <c r="L35" t="s">
        <v>1465</v>
      </c>
      <c r="M35" t="s">
        <v>1465</v>
      </c>
      <c r="N35" t="s">
        <v>1465</v>
      </c>
      <c r="O35" t="s">
        <v>1465</v>
      </c>
      <c r="P35" t="s">
        <v>2066</v>
      </c>
      <c r="Q35" t="s">
        <v>1678</v>
      </c>
      <c r="R35" t="b">
        <v>1</v>
      </c>
    </row>
    <row r="36" spans="2:18" x14ac:dyDescent="0.3">
      <c r="B36" t="s">
        <v>1458</v>
      </c>
      <c r="D36" t="s">
        <v>1032</v>
      </c>
      <c r="E36" t="s">
        <v>39</v>
      </c>
      <c r="F36" t="s">
        <v>51</v>
      </c>
      <c r="G36" t="s">
        <v>51</v>
      </c>
      <c r="I36" t="s">
        <v>1172</v>
      </c>
      <c r="J36" t="s">
        <v>1124</v>
      </c>
      <c r="K36" t="s">
        <v>1465</v>
      </c>
      <c r="L36" t="s">
        <v>1465</v>
      </c>
      <c r="M36" t="s">
        <v>1465</v>
      </c>
      <c r="N36" t="s">
        <v>1465</v>
      </c>
      <c r="O36" t="s">
        <v>1465</v>
      </c>
      <c r="P36" t="s">
        <v>1402</v>
      </c>
      <c r="R36" t="b">
        <v>1</v>
      </c>
    </row>
    <row r="37" spans="2:18" x14ac:dyDescent="0.3">
      <c r="B37" t="s">
        <v>1458</v>
      </c>
      <c r="D37" t="s">
        <v>1036</v>
      </c>
      <c r="E37" t="s">
        <v>39</v>
      </c>
      <c r="F37" t="s">
        <v>51</v>
      </c>
      <c r="G37" t="s">
        <v>51</v>
      </c>
      <c r="I37" t="s">
        <v>1172</v>
      </c>
      <c r="J37" t="s">
        <v>1124</v>
      </c>
      <c r="K37" t="s">
        <v>1465</v>
      </c>
      <c r="L37" t="s">
        <v>1465</v>
      </c>
      <c r="M37" t="s">
        <v>1465</v>
      </c>
      <c r="N37" t="s">
        <v>1465</v>
      </c>
      <c r="O37" t="s">
        <v>1465</v>
      </c>
      <c r="P37" t="s">
        <v>1302</v>
      </c>
      <c r="R37" t="b">
        <v>1</v>
      </c>
    </row>
    <row r="38" spans="2:18" x14ac:dyDescent="0.3">
      <c r="B38" t="s">
        <v>1458</v>
      </c>
      <c r="D38" t="s">
        <v>1038</v>
      </c>
      <c r="E38" t="s">
        <v>39</v>
      </c>
      <c r="F38" t="s">
        <v>51</v>
      </c>
      <c r="G38" t="s">
        <v>51</v>
      </c>
      <c r="I38" t="s">
        <v>1172</v>
      </c>
      <c r="J38" t="s">
        <v>1124</v>
      </c>
      <c r="K38" t="s">
        <v>1465</v>
      </c>
      <c r="L38" t="s">
        <v>1465</v>
      </c>
      <c r="M38" t="s">
        <v>1465</v>
      </c>
      <c r="N38" t="s">
        <v>1465</v>
      </c>
      <c r="O38" t="s">
        <v>1465</v>
      </c>
      <c r="P38" t="s">
        <v>1401</v>
      </c>
      <c r="R38" t="b">
        <v>1</v>
      </c>
    </row>
    <row r="39" spans="2:18" x14ac:dyDescent="0.3">
      <c r="B39" t="s">
        <v>1458</v>
      </c>
      <c r="D39" t="s">
        <v>1034</v>
      </c>
      <c r="E39" t="s">
        <v>39</v>
      </c>
      <c r="F39" t="s">
        <v>51</v>
      </c>
      <c r="G39" t="s">
        <v>51</v>
      </c>
      <c r="I39" t="s">
        <v>1172</v>
      </c>
      <c r="J39" t="s">
        <v>1124</v>
      </c>
      <c r="K39" t="s">
        <v>1465</v>
      </c>
      <c r="L39" t="s">
        <v>1465</v>
      </c>
      <c r="M39" t="s">
        <v>1465</v>
      </c>
      <c r="N39" t="s">
        <v>1465</v>
      </c>
      <c r="O39" t="s">
        <v>1465</v>
      </c>
      <c r="P39" t="s">
        <v>1311</v>
      </c>
      <c r="R39" t="b">
        <v>1</v>
      </c>
    </row>
    <row r="40" spans="2:18" x14ac:dyDescent="0.3">
      <c r="B40" t="s">
        <v>1458</v>
      </c>
      <c r="D40" t="s">
        <v>1054</v>
      </c>
      <c r="E40" t="s">
        <v>39</v>
      </c>
      <c r="F40" t="s">
        <v>51</v>
      </c>
      <c r="G40" t="s">
        <v>51</v>
      </c>
      <c r="J40" t="s">
        <v>1124</v>
      </c>
      <c r="K40" t="s">
        <v>1465</v>
      </c>
      <c r="L40" t="s">
        <v>1465</v>
      </c>
      <c r="M40" t="s">
        <v>1465</v>
      </c>
      <c r="N40" t="s">
        <v>1465</v>
      </c>
      <c r="O40" t="s">
        <v>1465</v>
      </c>
      <c r="P40" t="s">
        <v>2064</v>
      </c>
      <c r="Q40" t="s">
        <v>1685</v>
      </c>
      <c r="R40" t="b">
        <v>1</v>
      </c>
    </row>
    <row r="41" spans="2:18" x14ac:dyDescent="0.3">
      <c r="B41" t="s">
        <v>1458</v>
      </c>
      <c r="D41" t="s">
        <v>2059</v>
      </c>
      <c r="E41" t="s">
        <v>39</v>
      </c>
      <c r="F41" t="s">
        <v>51</v>
      </c>
      <c r="G41" t="s">
        <v>51</v>
      </c>
      <c r="I41" t="s">
        <v>1172</v>
      </c>
      <c r="J41" t="s">
        <v>1124</v>
      </c>
      <c r="K41" t="s">
        <v>1465</v>
      </c>
      <c r="L41" t="s">
        <v>1465</v>
      </c>
      <c r="M41" t="s">
        <v>1465</v>
      </c>
      <c r="N41" t="s">
        <v>1465</v>
      </c>
      <c r="O41" t="s">
        <v>1465</v>
      </c>
      <c r="P41" t="s">
        <v>2063</v>
      </c>
      <c r="R41" t="b">
        <v>1</v>
      </c>
    </row>
    <row r="42" spans="2:18" x14ac:dyDescent="0.3">
      <c r="B42" t="s">
        <v>1458</v>
      </c>
      <c r="D42" t="s">
        <v>2058</v>
      </c>
      <c r="E42" t="s">
        <v>39</v>
      </c>
      <c r="F42" t="s">
        <v>51</v>
      </c>
      <c r="G42" t="s">
        <v>51</v>
      </c>
      <c r="I42" t="s">
        <v>1172</v>
      </c>
      <c r="J42" t="s">
        <v>1124</v>
      </c>
      <c r="K42" t="s">
        <v>1465</v>
      </c>
      <c r="L42" t="s">
        <v>1465</v>
      </c>
      <c r="M42" t="s">
        <v>1465</v>
      </c>
      <c r="N42" t="s">
        <v>1465</v>
      </c>
      <c r="O42" t="s">
        <v>1465</v>
      </c>
      <c r="P42" t="s">
        <v>2062</v>
      </c>
      <c r="R42" t="b">
        <v>1</v>
      </c>
    </row>
    <row r="43" spans="2:18" x14ac:dyDescent="0.3">
      <c r="B43" t="s">
        <v>1460</v>
      </c>
      <c r="D43" t="s">
        <v>927</v>
      </c>
      <c r="E43" t="s">
        <v>2432</v>
      </c>
      <c r="F43" t="s">
        <v>51</v>
      </c>
      <c r="G43" t="s">
        <v>51</v>
      </c>
      <c r="I43" t="s">
        <v>927</v>
      </c>
      <c r="J43" t="s">
        <v>1124</v>
      </c>
      <c r="K43" t="s">
        <v>1465</v>
      </c>
      <c r="L43" t="s">
        <v>1465</v>
      </c>
      <c r="M43" t="s">
        <v>1465</v>
      </c>
      <c r="N43" t="s">
        <v>1465</v>
      </c>
      <c r="O43" t="s">
        <v>1465</v>
      </c>
      <c r="P43" t="s">
        <v>928</v>
      </c>
      <c r="Q43" t="s">
        <v>1636</v>
      </c>
      <c r="R43" t="b">
        <v>1</v>
      </c>
    </row>
    <row r="44" spans="2:18" x14ac:dyDescent="0.3">
      <c r="B44" t="s">
        <v>1460</v>
      </c>
      <c r="D44" t="s">
        <v>1504</v>
      </c>
      <c r="E44" t="s">
        <v>2432</v>
      </c>
      <c r="F44" t="s">
        <v>51</v>
      </c>
      <c r="G44" t="s">
        <v>51</v>
      </c>
      <c r="J44" t="s">
        <v>1124</v>
      </c>
      <c r="K44" t="s">
        <v>1465</v>
      </c>
      <c r="L44" t="s">
        <v>1465</v>
      </c>
      <c r="M44" t="s">
        <v>1465</v>
      </c>
      <c r="N44" t="s">
        <v>1465</v>
      </c>
      <c r="O44" t="s">
        <v>1465</v>
      </c>
      <c r="P44" t="s">
        <v>1508</v>
      </c>
      <c r="Q44" t="s">
        <v>1637</v>
      </c>
      <c r="R44" t="b">
        <v>0</v>
      </c>
    </row>
    <row r="45" spans="2:18" x14ac:dyDescent="0.3">
      <c r="B45" t="s">
        <v>1460</v>
      </c>
      <c r="D45" t="s">
        <v>929</v>
      </c>
      <c r="E45" t="s">
        <v>2432</v>
      </c>
      <c r="F45" t="s">
        <v>51</v>
      </c>
      <c r="G45" t="s">
        <v>51</v>
      </c>
      <c r="I45" t="s">
        <v>929</v>
      </c>
      <c r="J45" t="s">
        <v>1124</v>
      </c>
      <c r="K45" t="s">
        <v>1465</v>
      </c>
      <c r="L45" t="s">
        <v>1465</v>
      </c>
      <c r="M45" t="s">
        <v>1465</v>
      </c>
      <c r="N45" t="s">
        <v>1465</v>
      </c>
      <c r="O45" t="s">
        <v>1465</v>
      </c>
      <c r="P45" t="s">
        <v>930</v>
      </c>
      <c r="Q45" t="s">
        <v>1638</v>
      </c>
      <c r="R45" t="b">
        <v>1</v>
      </c>
    </row>
    <row r="46" spans="2:18" x14ac:dyDescent="0.3">
      <c r="B46" t="s">
        <v>1460</v>
      </c>
      <c r="D46" t="s">
        <v>1505</v>
      </c>
      <c r="E46" t="s">
        <v>2432</v>
      </c>
      <c r="F46" t="s">
        <v>51</v>
      </c>
      <c r="G46" t="s">
        <v>51</v>
      </c>
      <c r="J46" t="s">
        <v>1124</v>
      </c>
      <c r="K46" t="s">
        <v>1465</v>
      </c>
      <c r="L46" t="s">
        <v>1465</v>
      </c>
      <c r="M46" t="s">
        <v>1465</v>
      </c>
      <c r="N46" t="s">
        <v>1465</v>
      </c>
      <c r="O46" t="s">
        <v>1465</v>
      </c>
      <c r="P46" t="s">
        <v>1510</v>
      </c>
      <c r="Q46" t="s">
        <v>1639</v>
      </c>
      <c r="R46" t="b">
        <v>0</v>
      </c>
    </row>
    <row r="47" spans="2:18" x14ac:dyDescent="0.3">
      <c r="B47" t="s">
        <v>1460</v>
      </c>
      <c r="D47" t="s">
        <v>2084</v>
      </c>
      <c r="E47" t="s">
        <v>1630</v>
      </c>
      <c r="F47" t="s">
        <v>51</v>
      </c>
      <c r="G47" t="s">
        <v>51</v>
      </c>
      <c r="I47" t="s">
        <v>2084</v>
      </c>
      <c r="J47" t="s">
        <v>1124</v>
      </c>
      <c r="K47" t="s">
        <v>1465</v>
      </c>
      <c r="L47" t="s">
        <v>1465</v>
      </c>
      <c r="M47" t="s">
        <v>1465</v>
      </c>
      <c r="N47" t="s">
        <v>1465</v>
      </c>
      <c r="O47" t="s">
        <v>1465</v>
      </c>
      <c r="P47" t="s">
        <v>2085</v>
      </c>
      <c r="Q47" t="s">
        <v>2088</v>
      </c>
      <c r="R47" t="b">
        <v>0</v>
      </c>
    </row>
    <row r="48" spans="2:18" x14ac:dyDescent="0.3">
      <c r="B48" t="s">
        <v>1460</v>
      </c>
      <c r="D48" t="s">
        <v>920</v>
      </c>
      <c r="E48" t="s">
        <v>1630</v>
      </c>
      <c r="F48" t="s">
        <v>51</v>
      </c>
      <c r="G48" t="s">
        <v>51</v>
      </c>
      <c r="I48" t="s">
        <v>920</v>
      </c>
      <c r="J48" t="s">
        <v>1124</v>
      </c>
      <c r="K48" t="s">
        <v>1465</v>
      </c>
      <c r="L48" t="s">
        <v>1465</v>
      </c>
      <c r="M48" t="s">
        <v>1465</v>
      </c>
      <c r="N48" t="s">
        <v>1465</v>
      </c>
      <c r="O48" t="s">
        <v>1465</v>
      </c>
      <c r="P48" t="s">
        <v>921</v>
      </c>
      <c r="Q48" t="s">
        <v>1633</v>
      </c>
      <c r="R48" t="b">
        <v>1</v>
      </c>
    </row>
    <row r="49" spans="2:18" x14ac:dyDescent="0.3">
      <c r="B49" t="s">
        <v>1460</v>
      </c>
      <c r="D49" t="s">
        <v>923</v>
      </c>
      <c r="E49" t="s">
        <v>1630</v>
      </c>
      <c r="F49" t="s">
        <v>51</v>
      </c>
      <c r="G49" t="s">
        <v>51</v>
      </c>
      <c r="I49" t="s">
        <v>923</v>
      </c>
      <c r="J49" t="s">
        <v>1124</v>
      </c>
      <c r="K49" t="s">
        <v>1465</v>
      </c>
      <c r="L49" t="s">
        <v>1465</v>
      </c>
      <c r="M49" t="s">
        <v>1465</v>
      </c>
      <c r="N49" t="s">
        <v>1465</v>
      </c>
      <c r="O49" t="s">
        <v>1465</v>
      </c>
      <c r="P49" t="s">
        <v>924</v>
      </c>
      <c r="Q49" t="s">
        <v>1634</v>
      </c>
      <c r="R49" t="b">
        <v>1</v>
      </c>
    </row>
    <row r="50" spans="2:18" x14ac:dyDescent="0.3">
      <c r="B50" t="s">
        <v>1460</v>
      </c>
      <c r="D50" t="s">
        <v>925</v>
      </c>
      <c r="E50" t="s">
        <v>1630</v>
      </c>
      <c r="F50" t="s">
        <v>51</v>
      </c>
      <c r="G50" t="s">
        <v>51</v>
      </c>
      <c r="I50" t="s">
        <v>925</v>
      </c>
      <c r="J50" t="s">
        <v>1124</v>
      </c>
      <c r="K50" t="s">
        <v>1465</v>
      </c>
      <c r="L50" t="s">
        <v>1465</v>
      </c>
      <c r="M50" t="s">
        <v>1465</v>
      </c>
      <c r="N50" t="s">
        <v>1465</v>
      </c>
      <c r="O50" t="s">
        <v>1465</v>
      </c>
      <c r="P50" t="s">
        <v>926</v>
      </c>
      <c r="Q50" t="s">
        <v>1635</v>
      </c>
      <c r="R50" t="b">
        <v>1</v>
      </c>
    </row>
    <row r="51" spans="2:18" x14ac:dyDescent="0.3">
      <c r="B51" t="s">
        <v>1460</v>
      </c>
      <c r="D51" t="s">
        <v>1563</v>
      </c>
      <c r="E51" t="s">
        <v>1630</v>
      </c>
      <c r="F51" t="s">
        <v>51</v>
      </c>
      <c r="G51" t="s">
        <v>51</v>
      </c>
      <c r="I51" t="s">
        <v>1563</v>
      </c>
      <c r="J51" t="s">
        <v>1124</v>
      </c>
      <c r="K51" t="s">
        <v>1465</v>
      </c>
      <c r="L51" t="s">
        <v>1465</v>
      </c>
      <c r="M51" t="s">
        <v>1465</v>
      </c>
      <c r="N51" t="s">
        <v>1465</v>
      </c>
      <c r="O51" t="s">
        <v>1465</v>
      </c>
      <c r="P51" t="s">
        <v>1564</v>
      </c>
      <c r="Q51" t="s">
        <v>1643</v>
      </c>
      <c r="R51" t="b">
        <v>1</v>
      </c>
    </row>
    <row r="52" spans="2:18" x14ac:dyDescent="0.3">
      <c r="B52" t="s">
        <v>1460</v>
      </c>
      <c r="D52" t="s">
        <v>1503</v>
      </c>
      <c r="E52" t="s">
        <v>1630</v>
      </c>
      <c r="F52" t="s">
        <v>51</v>
      </c>
      <c r="G52" t="s">
        <v>51</v>
      </c>
      <c r="J52" t="s">
        <v>1124</v>
      </c>
      <c r="K52" t="s">
        <v>1465</v>
      </c>
      <c r="L52" t="s">
        <v>1465</v>
      </c>
      <c r="M52" t="s">
        <v>1465</v>
      </c>
      <c r="N52" t="s">
        <v>1465</v>
      </c>
      <c r="O52" t="s">
        <v>1465</v>
      </c>
      <c r="P52" t="s">
        <v>1507</v>
      </c>
      <c r="Q52" t="s">
        <v>1644</v>
      </c>
      <c r="R52" t="b">
        <v>0</v>
      </c>
    </row>
    <row r="53" spans="2:18" x14ac:dyDescent="0.3">
      <c r="B53" t="s">
        <v>1459</v>
      </c>
      <c r="D53" t="s">
        <v>898</v>
      </c>
      <c r="E53" t="s">
        <v>2571</v>
      </c>
      <c r="F53" t="s">
        <v>51</v>
      </c>
      <c r="G53" t="s">
        <v>51</v>
      </c>
      <c r="I53" t="s">
        <v>999</v>
      </c>
      <c r="J53" t="s">
        <v>1124</v>
      </c>
      <c r="K53" t="s">
        <v>1465</v>
      </c>
      <c r="L53" t="s">
        <v>1465</v>
      </c>
      <c r="M53" t="s">
        <v>1465</v>
      </c>
      <c r="N53" t="s">
        <v>1465</v>
      </c>
      <c r="O53" t="s">
        <v>1465</v>
      </c>
      <c r="P53" t="s">
        <v>1000</v>
      </c>
      <c r="Q53" t="s">
        <v>1686</v>
      </c>
      <c r="R53" t="b">
        <v>1</v>
      </c>
    </row>
    <row r="54" spans="2:18" x14ac:dyDescent="0.3">
      <c r="B54" t="s">
        <v>1461</v>
      </c>
      <c r="E54" t="s">
        <v>39</v>
      </c>
      <c r="I54" t="s">
        <v>1184</v>
      </c>
      <c r="J54" t="s">
        <v>1124</v>
      </c>
      <c r="K54" t="s">
        <v>1465</v>
      </c>
      <c r="L54" t="s">
        <v>1465</v>
      </c>
      <c r="M54" t="s">
        <v>1465</v>
      </c>
      <c r="N54" t="s">
        <v>1465</v>
      </c>
      <c r="O54" t="s">
        <v>1465</v>
      </c>
      <c r="P54" t="s">
        <v>1443</v>
      </c>
      <c r="R54" t="b">
        <v>1</v>
      </c>
    </row>
    <row r="55" spans="2:18" x14ac:dyDescent="0.3">
      <c r="B55" t="s">
        <v>1461</v>
      </c>
      <c r="E55" t="s">
        <v>2432</v>
      </c>
      <c r="I55" t="s">
        <v>1585</v>
      </c>
      <c r="J55" t="s">
        <v>1124</v>
      </c>
      <c r="K55" t="s">
        <v>1465</v>
      </c>
      <c r="L55" t="s">
        <v>1465</v>
      </c>
      <c r="M55" t="s">
        <v>1465</v>
      </c>
      <c r="N55" t="s">
        <v>1465</v>
      </c>
      <c r="O55" t="s">
        <v>1465</v>
      </c>
      <c r="P55" t="s">
        <v>2057</v>
      </c>
      <c r="R55" t="b">
        <v>1</v>
      </c>
    </row>
    <row r="56" spans="2:18" x14ac:dyDescent="0.3">
      <c r="B56" t="s">
        <v>1461</v>
      </c>
      <c r="E56" t="s">
        <v>1630</v>
      </c>
      <c r="I56" t="s">
        <v>1585</v>
      </c>
      <c r="J56" t="s">
        <v>1124</v>
      </c>
      <c r="K56" t="s">
        <v>1465</v>
      </c>
      <c r="L56" t="s">
        <v>1465</v>
      </c>
      <c r="M56" t="s">
        <v>1465</v>
      </c>
      <c r="N56" t="s">
        <v>1465</v>
      </c>
      <c r="O56" t="s">
        <v>1465</v>
      </c>
      <c r="P56" t="s">
        <v>2057</v>
      </c>
      <c r="R56" t="b">
        <v>1</v>
      </c>
    </row>
    <row r="57" spans="2:18" x14ac:dyDescent="0.3">
      <c r="B57" t="s">
        <v>1461</v>
      </c>
      <c r="E57" t="s">
        <v>2432</v>
      </c>
      <c r="I57" t="s">
        <v>906</v>
      </c>
      <c r="J57" t="s">
        <v>1124</v>
      </c>
      <c r="K57" t="s">
        <v>1465</v>
      </c>
      <c r="L57" t="s">
        <v>1465</v>
      </c>
      <c r="M57" t="s">
        <v>1465</v>
      </c>
      <c r="N57" t="s">
        <v>1465</v>
      </c>
      <c r="O57" t="s">
        <v>1465</v>
      </c>
      <c r="P57" t="s">
        <v>1765</v>
      </c>
      <c r="R57" t="b">
        <v>1</v>
      </c>
    </row>
    <row r="58" spans="2:18" x14ac:dyDescent="0.3">
      <c r="B58" t="s">
        <v>1461</v>
      </c>
      <c r="E58" t="s">
        <v>1630</v>
      </c>
      <c r="I58" t="s">
        <v>906</v>
      </c>
      <c r="J58" t="s">
        <v>1124</v>
      </c>
      <c r="K58" t="s">
        <v>1465</v>
      </c>
      <c r="L58" t="s">
        <v>1465</v>
      </c>
      <c r="M58" t="s">
        <v>1465</v>
      </c>
      <c r="N58" t="s">
        <v>1465</v>
      </c>
      <c r="O58" t="s">
        <v>1465</v>
      </c>
      <c r="P58" t="s">
        <v>1765</v>
      </c>
      <c r="R58" t="b">
        <v>1</v>
      </c>
    </row>
    <row r="59" spans="2:18" x14ac:dyDescent="0.3">
      <c r="B59" t="s">
        <v>1461</v>
      </c>
      <c r="E59" t="s">
        <v>2432</v>
      </c>
      <c r="I59" t="s">
        <v>1945</v>
      </c>
      <c r="J59" t="s">
        <v>1118</v>
      </c>
      <c r="K59" t="s">
        <v>1465</v>
      </c>
      <c r="L59" t="s">
        <v>1465</v>
      </c>
      <c r="M59" t="s">
        <v>1465</v>
      </c>
      <c r="N59" t="s">
        <v>1465</v>
      </c>
      <c r="O59" t="s">
        <v>1465</v>
      </c>
      <c r="P59" t="s">
        <v>1946</v>
      </c>
      <c r="R59" t="b">
        <v>1</v>
      </c>
    </row>
    <row r="60" spans="2:18" x14ac:dyDescent="0.3">
      <c r="B60" t="s">
        <v>1461</v>
      </c>
      <c r="E60" t="s">
        <v>1630</v>
      </c>
      <c r="I60" t="s">
        <v>1945</v>
      </c>
      <c r="J60" t="s">
        <v>1118</v>
      </c>
      <c r="K60" t="s">
        <v>1465</v>
      </c>
      <c r="L60" t="s">
        <v>1465</v>
      </c>
      <c r="M60" t="s">
        <v>1465</v>
      </c>
      <c r="N60" t="s">
        <v>1465</v>
      </c>
      <c r="O60" t="s">
        <v>1465</v>
      </c>
      <c r="P60" t="s">
        <v>1946</v>
      </c>
      <c r="R60" t="b">
        <v>1</v>
      </c>
    </row>
    <row r="61" spans="2:18" x14ac:dyDescent="0.3">
      <c r="B61" t="s">
        <v>1461</v>
      </c>
      <c r="E61" t="s">
        <v>2432</v>
      </c>
      <c r="I61" t="s">
        <v>1947</v>
      </c>
      <c r="J61" t="s">
        <v>1120</v>
      </c>
      <c r="K61" t="s">
        <v>1465</v>
      </c>
      <c r="L61" t="s">
        <v>1465</v>
      </c>
      <c r="M61" t="s">
        <v>1465</v>
      </c>
      <c r="N61" t="s">
        <v>1465</v>
      </c>
      <c r="O61" t="s">
        <v>1465</v>
      </c>
      <c r="P61" t="s">
        <v>1948</v>
      </c>
      <c r="R61" t="b">
        <v>1</v>
      </c>
    </row>
    <row r="62" spans="2:18" x14ac:dyDescent="0.3">
      <c r="B62" t="s">
        <v>1461</v>
      </c>
      <c r="E62" t="s">
        <v>1630</v>
      </c>
      <c r="I62" t="s">
        <v>1947</v>
      </c>
      <c r="J62" t="s">
        <v>1120</v>
      </c>
      <c r="K62" t="s">
        <v>1465</v>
      </c>
      <c r="L62" t="s">
        <v>1465</v>
      </c>
      <c r="M62" t="s">
        <v>1465</v>
      </c>
      <c r="N62" t="s">
        <v>1465</v>
      </c>
      <c r="O62" t="s">
        <v>1465</v>
      </c>
      <c r="P62" t="s">
        <v>1948</v>
      </c>
      <c r="R62" t="b">
        <v>1</v>
      </c>
    </row>
    <row r="63" spans="2:18" x14ac:dyDescent="0.3">
      <c r="B63" t="s">
        <v>1461</v>
      </c>
      <c r="E63" t="s">
        <v>1630</v>
      </c>
      <c r="I63" t="s">
        <v>1314</v>
      </c>
      <c r="J63" t="s">
        <v>1118</v>
      </c>
      <c r="K63" t="s">
        <v>1465</v>
      </c>
      <c r="L63" t="s">
        <v>1465</v>
      </c>
      <c r="M63" t="s">
        <v>1465</v>
      </c>
      <c r="N63" t="s">
        <v>1465</v>
      </c>
      <c r="O63" t="s">
        <v>1465</v>
      </c>
      <c r="P63" t="s">
        <v>1315</v>
      </c>
      <c r="R63" t="b">
        <v>1</v>
      </c>
    </row>
    <row r="64" spans="2:18" x14ac:dyDescent="0.3">
      <c r="B64" t="s">
        <v>1461</v>
      </c>
      <c r="E64" t="s">
        <v>1630</v>
      </c>
      <c r="I64" t="s">
        <v>1316</v>
      </c>
      <c r="J64" t="s">
        <v>1120</v>
      </c>
      <c r="K64" t="s">
        <v>1465</v>
      </c>
      <c r="L64" t="s">
        <v>1465</v>
      </c>
      <c r="M64" t="s">
        <v>1465</v>
      </c>
      <c r="N64" t="s">
        <v>1465</v>
      </c>
      <c r="O64" t="s">
        <v>1465</v>
      </c>
      <c r="P64" t="s">
        <v>1317</v>
      </c>
      <c r="R64" t="b">
        <v>1</v>
      </c>
    </row>
    <row r="65" spans="2:18" x14ac:dyDescent="0.3">
      <c r="B65" t="s">
        <v>1461</v>
      </c>
      <c r="E65" t="s">
        <v>2432</v>
      </c>
      <c r="I65" t="s">
        <v>1318</v>
      </c>
      <c r="J65" t="s">
        <v>1118</v>
      </c>
      <c r="K65" t="s">
        <v>1465</v>
      </c>
      <c r="L65" t="s">
        <v>1465</v>
      </c>
      <c r="M65" t="s">
        <v>1465</v>
      </c>
      <c r="N65" t="s">
        <v>1465</v>
      </c>
      <c r="O65" t="s">
        <v>1465</v>
      </c>
      <c r="P65" t="s">
        <v>1319</v>
      </c>
      <c r="R65" t="b">
        <v>1</v>
      </c>
    </row>
    <row r="66" spans="2:18" x14ac:dyDescent="0.3">
      <c r="B66" t="s">
        <v>1461</v>
      </c>
      <c r="E66" t="s">
        <v>2432</v>
      </c>
      <c r="I66" t="s">
        <v>1320</v>
      </c>
      <c r="J66" t="s">
        <v>1120</v>
      </c>
      <c r="K66" t="s">
        <v>1465</v>
      </c>
      <c r="L66" t="s">
        <v>1465</v>
      </c>
      <c r="M66" t="s">
        <v>1465</v>
      </c>
      <c r="N66" t="s">
        <v>1465</v>
      </c>
      <c r="O66" t="s">
        <v>1465</v>
      </c>
      <c r="P66" t="s">
        <v>1321</v>
      </c>
      <c r="R66" t="b">
        <v>1</v>
      </c>
    </row>
    <row r="67" spans="2:18" x14ac:dyDescent="0.3">
      <c r="B67" t="s">
        <v>1461</v>
      </c>
      <c r="E67" t="s">
        <v>2432</v>
      </c>
      <c r="I67" t="s">
        <v>1324</v>
      </c>
      <c r="J67" t="s">
        <v>1118</v>
      </c>
      <c r="K67" t="s">
        <v>1465</v>
      </c>
      <c r="L67" t="s">
        <v>1465</v>
      </c>
      <c r="M67" t="s">
        <v>1465</v>
      </c>
      <c r="N67" t="s">
        <v>1465</v>
      </c>
      <c r="O67" t="s">
        <v>1465</v>
      </c>
      <c r="P67" t="s">
        <v>1325</v>
      </c>
      <c r="R67" t="b">
        <v>1</v>
      </c>
    </row>
    <row r="68" spans="2:18" x14ac:dyDescent="0.3">
      <c r="B68" t="s">
        <v>1461</v>
      </c>
      <c r="E68" t="s">
        <v>1630</v>
      </c>
      <c r="I68" t="s">
        <v>1324</v>
      </c>
      <c r="J68" t="s">
        <v>1118</v>
      </c>
      <c r="K68" t="s">
        <v>1465</v>
      </c>
      <c r="L68" t="s">
        <v>1465</v>
      </c>
      <c r="M68" t="s">
        <v>1465</v>
      </c>
      <c r="N68" t="s">
        <v>1465</v>
      </c>
      <c r="O68" t="s">
        <v>1465</v>
      </c>
      <c r="P68" t="s">
        <v>1325</v>
      </c>
      <c r="R68" t="b">
        <v>1</v>
      </c>
    </row>
    <row r="69" spans="2:18" x14ac:dyDescent="0.3">
      <c r="B69" t="s">
        <v>1461</v>
      </c>
      <c r="E69" t="s">
        <v>2432</v>
      </c>
      <c r="I69" t="s">
        <v>1326</v>
      </c>
      <c r="J69" t="s">
        <v>1120</v>
      </c>
      <c r="K69" t="s">
        <v>1465</v>
      </c>
      <c r="L69" t="s">
        <v>1465</v>
      </c>
      <c r="M69" t="s">
        <v>1465</v>
      </c>
      <c r="N69" t="s">
        <v>1465</v>
      </c>
      <c r="O69" t="s">
        <v>1465</v>
      </c>
      <c r="P69" t="s">
        <v>1327</v>
      </c>
      <c r="R69" t="b">
        <v>1</v>
      </c>
    </row>
    <row r="70" spans="2:18" x14ac:dyDescent="0.3">
      <c r="B70" t="s">
        <v>1461</v>
      </c>
      <c r="E70" t="s">
        <v>1630</v>
      </c>
      <c r="I70" t="s">
        <v>1326</v>
      </c>
      <c r="J70" t="s">
        <v>1120</v>
      </c>
      <c r="K70" t="s">
        <v>1465</v>
      </c>
      <c r="L70" t="s">
        <v>1465</v>
      </c>
      <c r="M70" t="s">
        <v>1465</v>
      </c>
      <c r="N70" t="s">
        <v>1465</v>
      </c>
      <c r="O70" t="s">
        <v>1465</v>
      </c>
      <c r="P70" t="s">
        <v>1327</v>
      </c>
      <c r="R70" t="b">
        <v>1</v>
      </c>
    </row>
    <row r="71" spans="2:18" x14ac:dyDescent="0.3">
      <c r="B71" t="s">
        <v>1461</v>
      </c>
      <c r="E71" t="s">
        <v>2432</v>
      </c>
      <c r="I71" t="s">
        <v>1536</v>
      </c>
      <c r="J71" t="s">
        <v>1124</v>
      </c>
      <c r="K71" t="s">
        <v>1465</v>
      </c>
      <c r="L71" t="s">
        <v>1465</v>
      </c>
      <c r="M71" t="s">
        <v>1465</v>
      </c>
      <c r="N71" t="s">
        <v>1465</v>
      </c>
      <c r="O71" t="s">
        <v>1465</v>
      </c>
      <c r="P71" t="s">
        <v>1540</v>
      </c>
      <c r="R71" t="b">
        <v>1</v>
      </c>
    </row>
    <row r="72" spans="2:18" x14ac:dyDescent="0.3">
      <c r="B72" t="s">
        <v>1461</v>
      </c>
      <c r="E72" t="s">
        <v>1630</v>
      </c>
      <c r="I72" t="s">
        <v>1536</v>
      </c>
      <c r="J72" t="s">
        <v>1124</v>
      </c>
      <c r="K72" t="s">
        <v>1465</v>
      </c>
      <c r="L72" t="s">
        <v>1465</v>
      </c>
      <c r="M72" t="s">
        <v>1465</v>
      </c>
      <c r="N72" t="s">
        <v>1465</v>
      </c>
      <c r="O72" t="s">
        <v>1465</v>
      </c>
      <c r="P72" t="s">
        <v>1540</v>
      </c>
      <c r="R72" t="b">
        <v>1</v>
      </c>
    </row>
    <row r="73" spans="2:18" x14ac:dyDescent="0.3">
      <c r="B73" t="s">
        <v>1461</v>
      </c>
      <c r="E73" t="s">
        <v>2432</v>
      </c>
      <c r="I73" t="s">
        <v>1537</v>
      </c>
      <c r="J73" t="s">
        <v>1124</v>
      </c>
      <c r="K73" t="s">
        <v>1465</v>
      </c>
      <c r="L73" t="s">
        <v>1465</v>
      </c>
      <c r="M73" t="s">
        <v>1465</v>
      </c>
      <c r="N73" t="s">
        <v>1465</v>
      </c>
      <c r="O73" t="s">
        <v>1465</v>
      </c>
      <c r="P73" t="s">
        <v>1541</v>
      </c>
      <c r="R73" t="b">
        <v>1</v>
      </c>
    </row>
    <row r="74" spans="2:18" x14ac:dyDescent="0.3">
      <c r="B74" t="s">
        <v>1461</v>
      </c>
      <c r="E74" t="s">
        <v>1630</v>
      </c>
      <c r="I74" t="s">
        <v>1537</v>
      </c>
      <c r="J74" t="s">
        <v>1124</v>
      </c>
      <c r="K74" t="s">
        <v>1465</v>
      </c>
      <c r="L74" t="s">
        <v>1465</v>
      </c>
      <c r="M74" t="s">
        <v>1465</v>
      </c>
      <c r="N74" t="s">
        <v>1465</v>
      </c>
      <c r="O74" t="s">
        <v>1465</v>
      </c>
      <c r="P74" t="s">
        <v>1541</v>
      </c>
      <c r="R74" t="b">
        <v>1</v>
      </c>
    </row>
    <row r="75" spans="2:18" x14ac:dyDescent="0.3">
      <c r="B75" t="s">
        <v>1461</v>
      </c>
      <c r="E75" t="s">
        <v>1630</v>
      </c>
      <c r="I75" t="s">
        <v>1294</v>
      </c>
      <c r="J75" t="s">
        <v>1124</v>
      </c>
      <c r="K75" t="s">
        <v>1465</v>
      </c>
      <c r="L75" t="s">
        <v>1465</v>
      </c>
      <c r="M75" t="s">
        <v>1465</v>
      </c>
      <c r="N75" t="s">
        <v>1465</v>
      </c>
      <c r="O75" t="s">
        <v>1465</v>
      </c>
      <c r="P75" t="s">
        <v>1444</v>
      </c>
      <c r="R75" t="b">
        <v>1</v>
      </c>
    </row>
    <row r="76" spans="2:18" x14ac:dyDescent="0.3">
      <c r="B76" t="s">
        <v>1461</v>
      </c>
      <c r="E76" t="s">
        <v>1630</v>
      </c>
      <c r="I76" t="s">
        <v>2050</v>
      </c>
      <c r="J76" t="s">
        <v>1124</v>
      </c>
      <c r="K76" t="s">
        <v>1465</v>
      </c>
      <c r="L76" t="s">
        <v>1465</v>
      </c>
      <c r="M76" t="s">
        <v>1465</v>
      </c>
      <c r="N76" t="s">
        <v>1465</v>
      </c>
      <c r="O76" t="s">
        <v>1465</v>
      </c>
      <c r="P76" t="s">
        <v>2051</v>
      </c>
      <c r="R76" t="b">
        <v>1</v>
      </c>
    </row>
    <row r="77" spans="2:18" x14ac:dyDescent="0.3">
      <c r="B77" t="s">
        <v>1461</v>
      </c>
      <c r="E77" t="s">
        <v>1630</v>
      </c>
      <c r="I77" t="s">
        <v>2052</v>
      </c>
      <c r="J77" t="s">
        <v>1124</v>
      </c>
      <c r="K77" t="s">
        <v>1465</v>
      </c>
      <c r="L77" t="s">
        <v>1465</v>
      </c>
      <c r="M77" t="s">
        <v>1465</v>
      </c>
      <c r="N77" t="s">
        <v>1465</v>
      </c>
      <c r="O77" t="s">
        <v>1465</v>
      </c>
      <c r="P77" t="s">
        <v>2053</v>
      </c>
      <c r="R77" t="b">
        <v>1</v>
      </c>
    </row>
    <row r="78" spans="2:18" x14ac:dyDescent="0.3">
      <c r="B78" t="s">
        <v>1461</v>
      </c>
      <c r="E78" t="s">
        <v>39</v>
      </c>
      <c r="I78" t="s">
        <v>1036</v>
      </c>
      <c r="J78" t="s">
        <v>1124</v>
      </c>
      <c r="K78" t="s">
        <v>1465</v>
      </c>
      <c r="L78" t="s">
        <v>1465</v>
      </c>
      <c r="M78" t="s">
        <v>1465</v>
      </c>
      <c r="N78" t="s">
        <v>1465</v>
      </c>
      <c r="O78" t="s">
        <v>1465</v>
      </c>
      <c r="P78" t="s">
        <v>1445</v>
      </c>
      <c r="R78" t="b">
        <v>0</v>
      </c>
    </row>
    <row r="79" spans="2:18" x14ac:dyDescent="0.3">
      <c r="B79" t="s">
        <v>1461</v>
      </c>
      <c r="E79" t="s">
        <v>2432</v>
      </c>
      <c r="I79" t="s">
        <v>1303</v>
      </c>
      <c r="J79" t="s">
        <v>1118</v>
      </c>
      <c r="K79" t="s">
        <v>1465</v>
      </c>
      <c r="L79" t="s">
        <v>1465</v>
      </c>
      <c r="M79" t="s">
        <v>1465</v>
      </c>
      <c r="N79" t="s">
        <v>1465</v>
      </c>
      <c r="O79" t="s">
        <v>1465</v>
      </c>
      <c r="P79" t="s">
        <v>2418</v>
      </c>
      <c r="R79" t="b">
        <v>0</v>
      </c>
    </row>
    <row r="80" spans="2:18" x14ac:dyDescent="0.3">
      <c r="B80" t="s">
        <v>1461</v>
      </c>
      <c r="E80" t="s">
        <v>2432</v>
      </c>
      <c r="I80" t="s">
        <v>1303</v>
      </c>
      <c r="J80" t="s">
        <v>1120</v>
      </c>
      <c r="K80" t="s">
        <v>1465</v>
      </c>
      <c r="L80" t="s">
        <v>1465</v>
      </c>
      <c r="M80" t="s">
        <v>1465</v>
      </c>
      <c r="N80" t="s">
        <v>1465</v>
      </c>
      <c r="O80" t="s">
        <v>1465</v>
      </c>
      <c r="P80" t="s">
        <v>2419</v>
      </c>
      <c r="R80" t="b">
        <v>0</v>
      </c>
    </row>
    <row r="81" spans="2:18" x14ac:dyDescent="0.3">
      <c r="B81" t="s">
        <v>1461</v>
      </c>
      <c r="E81" t="s">
        <v>2432</v>
      </c>
      <c r="I81" t="s">
        <v>1303</v>
      </c>
      <c r="J81" t="s">
        <v>1118</v>
      </c>
      <c r="K81" t="s">
        <v>1465</v>
      </c>
      <c r="L81" t="s">
        <v>1465</v>
      </c>
      <c r="M81" t="s">
        <v>1465</v>
      </c>
      <c r="N81" t="s">
        <v>1465</v>
      </c>
      <c r="O81" t="s">
        <v>1465</v>
      </c>
      <c r="P81" t="s">
        <v>2420</v>
      </c>
      <c r="R81" t="b">
        <v>0</v>
      </c>
    </row>
    <row r="82" spans="2:18" x14ac:dyDescent="0.3">
      <c r="B82" t="s">
        <v>1461</v>
      </c>
      <c r="E82" t="s">
        <v>2432</v>
      </c>
      <c r="I82" t="s">
        <v>1303</v>
      </c>
      <c r="J82" t="s">
        <v>1120</v>
      </c>
      <c r="K82" t="s">
        <v>1465</v>
      </c>
      <c r="L82" t="s">
        <v>1465</v>
      </c>
      <c r="M82" t="s">
        <v>1465</v>
      </c>
      <c r="N82" t="s">
        <v>1465</v>
      </c>
      <c r="O82" t="s">
        <v>1465</v>
      </c>
      <c r="P82" t="s">
        <v>2417</v>
      </c>
      <c r="R82" t="b">
        <v>0</v>
      </c>
    </row>
    <row r="83" spans="2:18" x14ac:dyDescent="0.3">
      <c r="B83" t="s">
        <v>1461</v>
      </c>
      <c r="E83" t="s">
        <v>1630</v>
      </c>
      <c r="I83" t="s">
        <v>1303</v>
      </c>
      <c r="J83" t="s">
        <v>1120</v>
      </c>
      <c r="K83" t="s">
        <v>1465</v>
      </c>
      <c r="L83" t="s">
        <v>1465</v>
      </c>
      <c r="M83" t="s">
        <v>1465</v>
      </c>
      <c r="N83" t="s">
        <v>1465</v>
      </c>
      <c r="O83" t="s">
        <v>1465</v>
      </c>
      <c r="P83" t="s">
        <v>2417</v>
      </c>
      <c r="R83" t="b">
        <v>0</v>
      </c>
    </row>
    <row r="84" spans="2:18" x14ac:dyDescent="0.3">
      <c r="B84" t="s">
        <v>1461</v>
      </c>
      <c r="E84" t="s">
        <v>1630</v>
      </c>
      <c r="I84" t="s">
        <v>1303</v>
      </c>
      <c r="J84" t="s">
        <v>1118</v>
      </c>
      <c r="K84" t="s">
        <v>1465</v>
      </c>
      <c r="L84" t="s">
        <v>1465</v>
      </c>
      <c r="M84" t="s">
        <v>1465</v>
      </c>
      <c r="N84" t="s">
        <v>1465</v>
      </c>
      <c r="O84" t="s">
        <v>1465</v>
      </c>
      <c r="P84" t="s">
        <v>2418</v>
      </c>
      <c r="R84" t="b">
        <v>0</v>
      </c>
    </row>
    <row r="85" spans="2:18" x14ac:dyDescent="0.3">
      <c r="B85" t="s">
        <v>1461</v>
      </c>
      <c r="E85" t="s">
        <v>1630</v>
      </c>
      <c r="I85" t="s">
        <v>1303</v>
      </c>
      <c r="J85" t="s">
        <v>1118</v>
      </c>
      <c r="K85" t="s">
        <v>1465</v>
      </c>
      <c r="L85" t="s">
        <v>1465</v>
      </c>
      <c r="M85" t="s">
        <v>1465</v>
      </c>
      <c r="N85" t="s">
        <v>1465</v>
      </c>
      <c r="O85" t="s">
        <v>1465</v>
      </c>
      <c r="P85" t="s">
        <v>2420</v>
      </c>
      <c r="R85" t="b">
        <v>0</v>
      </c>
    </row>
    <row r="86" spans="2:18" x14ac:dyDescent="0.3">
      <c r="B86" t="s">
        <v>1461</v>
      </c>
      <c r="E86" t="s">
        <v>1630</v>
      </c>
      <c r="I86" t="s">
        <v>1303</v>
      </c>
      <c r="J86" t="s">
        <v>1120</v>
      </c>
      <c r="K86" t="s">
        <v>1465</v>
      </c>
      <c r="L86" t="s">
        <v>1465</v>
      </c>
      <c r="M86" t="s">
        <v>1465</v>
      </c>
      <c r="N86" t="s">
        <v>1465</v>
      </c>
      <c r="O86" t="s">
        <v>1465</v>
      </c>
      <c r="P86" t="s">
        <v>2419</v>
      </c>
      <c r="R86" t="b">
        <v>0</v>
      </c>
    </row>
    <row r="87" spans="2:18" x14ac:dyDescent="0.3">
      <c r="B87" t="s">
        <v>1457</v>
      </c>
      <c r="E87" t="s">
        <v>2432</v>
      </c>
      <c r="I87" t="s">
        <v>1186</v>
      </c>
      <c r="J87" t="s">
        <v>1124</v>
      </c>
      <c r="K87" t="s">
        <v>1465</v>
      </c>
      <c r="L87" t="s">
        <v>1465</v>
      </c>
      <c r="M87" t="s">
        <v>1465</v>
      </c>
      <c r="N87" t="s">
        <v>1465</v>
      </c>
      <c r="O87" t="s">
        <v>1465</v>
      </c>
      <c r="P87" t="s">
        <v>1446</v>
      </c>
      <c r="R87" t="b">
        <v>1</v>
      </c>
    </row>
    <row r="88" spans="2:18" x14ac:dyDescent="0.3">
      <c r="B88" t="s">
        <v>1457</v>
      </c>
      <c r="E88" t="s">
        <v>1630</v>
      </c>
      <c r="I88" t="s">
        <v>1186</v>
      </c>
      <c r="J88" t="s">
        <v>1124</v>
      </c>
      <c r="K88" t="s">
        <v>1465</v>
      </c>
      <c r="L88" t="s">
        <v>1465</v>
      </c>
      <c r="M88" t="s">
        <v>1465</v>
      </c>
      <c r="N88" t="s">
        <v>1465</v>
      </c>
      <c r="O88" t="s">
        <v>1465</v>
      </c>
      <c r="P88" t="s">
        <v>1446</v>
      </c>
      <c r="R88" t="b">
        <v>1</v>
      </c>
    </row>
    <row r="89" spans="2:18" x14ac:dyDescent="0.3">
      <c r="B89" t="s">
        <v>1457</v>
      </c>
      <c r="E89" t="s">
        <v>2432</v>
      </c>
      <c r="I89" t="s">
        <v>1994</v>
      </c>
      <c r="J89" t="s">
        <v>1124</v>
      </c>
      <c r="K89" t="s">
        <v>1465</v>
      </c>
      <c r="L89" t="s">
        <v>1465</v>
      </c>
      <c r="M89" t="s">
        <v>1465</v>
      </c>
      <c r="N89" t="s">
        <v>1465</v>
      </c>
      <c r="O89" t="s">
        <v>1465</v>
      </c>
      <c r="P89" t="s">
        <v>1995</v>
      </c>
      <c r="R89" t="b">
        <v>1</v>
      </c>
    </row>
    <row r="90" spans="2:18" x14ac:dyDescent="0.3">
      <c r="B90" t="s">
        <v>1457</v>
      </c>
      <c r="E90" t="s">
        <v>1630</v>
      </c>
      <c r="I90" t="s">
        <v>1994</v>
      </c>
      <c r="J90" t="s">
        <v>1124</v>
      </c>
      <c r="K90" t="s">
        <v>1465</v>
      </c>
      <c r="L90" t="s">
        <v>1465</v>
      </c>
      <c r="M90" t="s">
        <v>1465</v>
      </c>
      <c r="N90" t="s">
        <v>1465</v>
      </c>
      <c r="O90" t="s">
        <v>1465</v>
      </c>
      <c r="P90" t="s">
        <v>1995</v>
      </c>
      <c r="R90" t="b">
        <v>1</v>
      </c>
    </row>
    <row r="91" spans="2:18" x14ac:dyDescent="0.3">
      <c r="B91" t="s">
        <v>1457</v>
      </c>
      <c r="E91" t="s">
        <v>2432</v>
      </c>
      <c r="I91" t="s">
        <v>2346</v>
      </c>
      <c r="J91" t="s">
        <v>1124</v>
      </c>
      <c r="K91" t="s">
        <v>1465</v>
      </c>
      <c r="L91" t="s">
        <v>1465</v>
      </c>
      <c r="M91" t="s">
        <v>1465</v>
      </c>
      <c r="N91" t="s">
        <v>1465</v>
      </c>
      <c r="O91" t="s">
        <v>1465</v>
      </c>
      <c r="P91" t="s">
        <v>2409</v>
      </c>
      <c r="R91" t="b">
        <v>1</v>
      </c>
    </row>
    <row r="92" spans="2:18" x14ac:dyDescent="0.3">
      <c r="B92" t="s">
        <v>1457</v>
      </c>
      <c r="E92" t="s">
        <v>39</v>
      </c>
      <c r="I92" t="s">
        <v>2346</v>
      </c>
      <c r="J92" t="s">
        <v>1124</v>
      </c>
      <c r="K92" t="s">
        <v>1465</v>
      </c>
      <c r="L92" t="s">
        <v>1465</v>
      </c>
      <c r="M92" t="s">
        <v>1465</v>
      </c>
      <c r="N92" t="s">
        <v>1465</v>
      </c>
      <c r="O92" t="s">
        <v>1465</v>
      </c>
      <c r="P92" t="s">
        <v>2409</v>
      </c>
      <c r="R92" t="b">
        <v>1</v>
      </c>
    </row>
    <row r="93" spans="2:18" x14ac:dyDescent="0.3">
      <c r="B93" t="s">
        <v>1457</v>
      </c>
      <c r="E93" t="s">
        <v>1630</v>
      </c>
      <c r="I93" t="s">
        <v>2346</v>
      </c>
      <c r="J93" t="s">
        <v>1124</v>
      </c>
      <c r="K93" t="s">
        <v>1465</v>
      </c>
      <c r="L93" t="s">
        <v>1465</v>
      </c>
      <c r="M93" t="s">
        <v>1465</v>
      </c>
      <c r="N93" t="s">
        <v>1465</v>
      </c>
      <c r="O93" t="s">
        <v>1465</v>
      </c>
      <c r="P93" t="s">
        <v>2409</v>
      </c>
      <c r="R93" t="b">
        <v>1</v>
      </c>
    </row>
    <row r="94" spans="2:18" x14ac:dyDescent="0.3">
      <c r="B94" t="s">
        <v>1457</v>
      </c>
      <c r="E94" t="s">
        <v>2432</v>
      </c>
      <c r="I94" t="s">
        <v>2347</v>
      </c>
      <c r="J94" t="s">
        <v>1124</v>
      </c>
      <c r="K94" t="s">
        <v>1465</v>
      </c>
      <c r="L94" t="s">
        <v>1465</v>
      </c>
      <c r="M94" t="s">
        <v>1465</v>
      </c>
      <c r="N94" t="s">
        <v>1465</v>
      </c>
      <c r="O94" t="s">
        <v>1465</v>
      </c>
      <c r="P94" t="s">
        <v>2408</v>
      </c>
      <c r="R94" t="b">
        <v>1</v>
      </c>
    </row>
    <row r="95" spans="2:18" x14ac:dyDescent="0.3">
      <c r="B95" t="s">
        <v>1457</v>
      </c>
      <c r="E95" t="s">
        <v>39</v>
      </c>
      <c r="I95" t="s">
        <v>2347</v>
      </c>
      <c r="J95" t="s">
        <v>1124</v>
      </c>
      <c r="K95" t="s">
        <v>1465</v>
      </c>
      <c r="L95" t="s">
        <v>1465</v>
      </c>
      <c r="M95" t="s">
        <v>1465</v>
      </c>
      <c r="N95" t="s">
        <v>1465</v>
      </c>
      <c r="O95" t="s">
        <v>1465</v>
      </c>
      <c r="P95" t="s">
        <v>2408</v>
      </c>
      <c r="R95" t="b">
        <v>1</v>
      </c>
    </row>
    <row r="96" spans="2:18" x14ac:dyDescent="0.3">
      <c r="B96" t="s">
        <v>1457</v>
      </c>
      <c r="E96" t="s">
        <v>1630</v>
      </c>
      <c r="I96" t="s">
        <v>2347</v>
      </c>
      <c r="J96" t="s">
        <v>1124</v>
      </c>
      <c r="K96" t="s">
        <v>1465</v>
      </c>
      <c r="L96" t="s">
        <v>1465</v>
      </c>
      <c r="M96" t="s">
        <v>1465</v>
      </c>
      <c r="N96" t="s">
        <v>1465</v>
      </c>
      <c r="O96" t="s">
        <v>1465</v>
      </c>
      <c r="P96" t="s">
        <v>2408</v>
      </c>
      <c r="R96" t="b">
        <v>1</v>
      </c>
    </row>
    <row r="97" spans="2:18" x14ac:dyDescent="0.3">
      <c r="B97" t="s">
        <v>1457</v>
      </c>
      <c r="E97" t="s">
        <v>2432</v>
      </c>
      <c r="I97" t="s">
        <v>2343</v>
      </c>
      <c r="J97" t="s">
        <v>1124</v>
      </c>
      <c r="K97" t="s">
        <v>1465</v>
      </c>
      <c r="L97" t="s">
        <v>1465</v>
      </c>
      <c r="M97" t="s">
        <v>1465</v>
      </c>
      <c r="N97" t="s">
        <v>1465</v>
      </c>
      <c r="O97" t="s">
        <v>1465</v>
      </c>
      <c r="P97" t="s">
        <v>2345</v>
      </c>
      <c r="R97" t="b">
        <v>1</v>
      </c>
    </row>
    <row r="98" spans="2:18" x14ac:dyDescent="0.3">
      <c r="B98" t="s">
        <v>1457</v>
      </c>
      <c r="E98" t="s">
        <v>39</v>
      </c>
      <c r="I98" t="s">
        <v>2343</v>
      </c>
      <c r="J98" t="s">
        <v>1124</v>
      </c>
      <c r="K98" t="s">
        <v>1465</v>
      </c>
      <c r="L98" t="s">
        <v>1465</v>
      </c>
      <c r="M98" t="s">
        <v>1465</v>
      </c>
      <c r="N98" t="s">
        <v>1465</v>
      </c>
      <c r="O98" t="s">
        <v>1465</v>
      </c>
      <c r="P98" t="s">
        <v>2345</v>
      </c>
      <c r="R98" t="b">
        <v>1</v>
      </c>
    </row>
    <row r="99" spans="2:18" x14ac:dyDescent="0.3">
      <c r="B99" t="s">
        <v>1457</v>
      </c>
      <c r="E99" t="s">
        <v>1630</v>
      </c>
      <c r="I99" t="s">
        <v>2343</v>
      </c>
      <c r="J99" t="s">
        <v>1124</v>
      </c>
      <c r="K99" t="s">
        <v>1465</v>
      </c>
      <c r="L99" t="s">
        <v>1465</v>
      </c>
      <c r="M99" t="s">
        <v>1465</v>
      </c>
      <c r="N99" t="s">
        <v>1465</v>
      </c>
      <c r="O99" t="s">
        <v>1465</v>
      </c>
      <c r="P99" t="s">
        <v>2345</v>
      </c>
      <c r="R99" t="b">
        <v>1</v>
      </c>
    </row>
    <row r="100" spans="2:18" x14ac:dyDescent="0.3">
      <c r="B100" t="s">
        <v>1457</v>
      </c>
      <c r="E100" t="s">
        <v>2432</v>
      </c>
      <c r="I100" t="s">
        <v>2342</v>
      </c>
      <c r="J100" t="s">
        <v>1124</v>
      </c>
      <c r="K100" t="s">
        <v>1465</v>
      </c>
      <c r="L100" t="s">
        <v>1465</v>
      </c>
      <c r="M100" t="s">
        <v>1465</v>
      </c>
      <c r="N100" t="s">
        <v>1465</v>
      </c>
      <c r="O100" t="s">
        <v>1465</v>
      </c>
      <c r="P100" t="s">
        <v>2344</v>
      </c>
      <c r="R100" t="b">
        <v>1</v>
      </c>
    </row>
    <row r="101" spans="2:18" x14ac:dyDescent="0.3">
      <c r="B101" t="s">
        <v>1457</v>
      </c>
      <c r="E101" t="s">
        <v>39</v>
      </c>
      <c r="I101" t="s">
        <v>2342</v>
      </c>
      <c r="J101" t="s">
        <v>1124</v>
      </c>
      <c r="K101" t="s">
        <v>1465</v>
      </c>
      <c r="L101" t="s">
        <v>1465</v>
      </c>
      <c r="M101" t="s">
        <v>1465</v>
      </c>
      <c r="N101" t="s">
        <v>1465</v>
      </c>
      <c r="O101" t="s">
        <v>1465</v>
      </c>
      <c r="P101" t="s">
        <v>2344</v>
      </c>
      <c r="R101" t="b">
        <v>1</v>
      </c>
    </row>
    <row r="102" spans="2:18" x14ac:dyDescent="0.3">
      <c r="B102" t="s">
        <v>1457</v>
      </c>
      <c r="E102" t="s">
        <v>1630</v>
      </c>
      <c r="I102" t="s">
        <v>2342</v>
      </c>
      <c r="J102" t="s">
        <v>1124</v>
      </c>
      <c r="K102" t="s">
        <v>1465</v>
      </c>
      <c r="L102" t="s">
        <v>1465</v>
      </c>
      <c r="M102" t="s">
        <v>1465</v>
      </c>
      <c r="N102" t="s">
        <v>1465</v>
      </c>
      <c r="O102" t="s">
        <v>1465</v>
      </c>
      <c r="P102" t="s">
        <v>2344</v>
      </c>
      <c r="R102" t="b">
        <v>1</v>
      </c>
    </row>
    <row r="103" spans="2:18" x14ac:dyDescent="0.3">
      <c r="B103" t="s">
        <v>1457</v>
      </c>
      <c r="E103" t="s">
        <v>2432</v>
      </c>
      <c r="I103" t="s">
        <v>1290</v>
      </c>
      <c r="J103" t="s">
        <v>1124</v>
      </c>
      <c r="K103" t="s">
        <v>1465</v>
      </c>
      <c r="L103" t="s">
        <v>1465</v>
      </c>
      <c r="M103" t="s">
        <v>1465</v>
      </c>
      <c r="N103" t="s">
        <v>1465</v>
      </c>
      <c r="O103" t="s">
        <v>1465</v>
      </c>
      <c r="P103" t="s">
        <v>1447</v>
      </c>
      <c r="R103" t="b">
        <v>0</v>
      </c>
    </row>
    <row r="104" spans="2:18" x14ac:dyDescent="0.3">
      <c r="B104" t="s">
        <v>1457</v>
      </c>
      <c r="E104" t="s">
        <v>1630</v>
      </c>
      <c r="I104" t="s">
        <v>1290</v>
      </c>
      <c r="J104" t="s">
        <v>1124</v>
      </c>
      <c r="K104" t="s">
        <v>1465</v>
      </c>
      <c r="L104" t="s">
        <v>1465</v>
      </c>
      <c r="M104" t="s">
        <v>1465</v>
      </c>
      <c r="N104" t="s">
        <v>1465</v>
      </c>
      <c r="O104" t="s">
        <v>1465</v>
      </c>
      <c r="P104" t="s">
        <v>1447</v>
      </c>
      <c r="R104" t="b">
        <v>0</v>
      </c>
    </row>
    <row r="105" spans="2:18" x14ac:dyDescent="0.3">
      <c r="B105" t="s">
        <v>1457</v>
      </c>
      <c r="E105" t="s">
        <v>1630</v>
      </c>
      <c r="I105" t="s">
        <v>2083</v>
      </c>
      <c r="J105" t="s">
        <v>1124</v>
      </c>
      <c r="K105" t="s">
        <v>1465</v>
      </c>
      <c r="L105" t="s">
        <v>1465</v>
      </c>
      <c r="M105" t="s">
        <v>1465</v>
      </c>
      <c r="N105" t="s">
        <v>1465</v>
      </c>
      <c r="O105" t="s">
        <v>1465</v>
      </c>
      <c r="P105" t="s">
        <v>2089</v>
      </c>
      <c r="R105" t="b">
        <v>0</v>
      </c>
    </row>
    <row r="106" spans="2:18" x14ac:dyDescent="0.3">
      <c r="B106" t="s">
        <v>1463</v>
      </c>
      <c r="D106" t="s">
        <v>1073</v>
      </c>
      <c r="E106" t="s">
        <v>2285</v>
      </c>
      <c r="F106" t="s">
        <v>51</v>
      </c>
      <c r="G106" t="s">
        <v>51</v>
      </c>
      <c r="J106" t="s">
        <v>1124</v>
      </c>
      <c r="K106" t="s">
        <v>1465</v>
      </c>
      <c r="L106" t="s">
        <v>1465</v>
      </c>
      <c r="M106" t="s">
        <v>1465</v>
      </c>
      <c r="N106" t="s">
        <v>1465</v>
      </c>
      <c r="O106" t="s">
        <v>1465</v>
      </c>
      <c r="P106" t="s">
        <v>1448</v>
      </c>
      <c r="R106" t="b">
        <v>1</v>
      </c>
    </row>
    <row r="107" spans="2:18" x14ac:dyDescent="0.3">
      <c r="B107" t="s">
        <v>1463</v>
      </c>
      <c r="D107" t="s">
        <v>1073</v>
      </c>
      <c r="E107" t="s">
        <v>2432</v>
      </c>
      <c r="F107" t="s">
        <v>51</v>
      </c>
      <c r="G107" t="s">
        <v>51</v>
      </c>
      <c r="J107" t="s">
        <v>1124</v>
      </c>
      <c r="K107" t="s">
        <v>1465</v>
      </c>
      <c r="L107" t="s">
        <v>1465</v>
      </c>
      <c r="M107" t="s">
        <v>1465</v>
      </c>
      <c r="N107" t="s">
        <v>1465</v>
      </c>
      <c r="O107" t="s">
        <v>1465</v>
      </c>
      <c r="P107" t="s">
        <v>1448</v>
      </c>
      <c r="R107" t="b">
        <v>1</v>
      </c>
    </row>
    <row r="108" spans="2:18" x14ac:dyDescent="0.3">
      <c r="B108" t="s">
        <v>1463</v>
      </c>
      <c r="D108" t="s">
        <v>1073</v>
      </c>
      <c r="E108" t="s">
        <v>39</v>
      </c>
      <c r="F108" t="s">
        <v>51</v>
      </c>
      <c r="G108" t="s">
        <v>51</v>
      </c>
      <c r="J108" t="s">
        <v>1124</v>
      </c>
      <c r="K108" t="s">
        <v>1465</v>
      </c>
      <c r="L108" t="s">
        <v>1465</v>
      </c>
      <c r="M108" t="s">
        <v>1465</v>
      </c>
      <c r="N108" t="s">
        <v>1465</v>
      </c>
      <c r="O108" t="s">
        <v>1465</v>
      </c>
      <c r="P108" t="s">
        <v>1448</v>
      </c>
      <c r="R108" t="b">
        <v>1</v>
      </c>
    </row>
    <row r="109" spans="2:18" x14ac:dyDescent="0.3">
      <c r="B109" t="s">
        <v>1463</v>
      </c>
      <c r="D109" t="s">
        <v>1076</v>
      </c>
      <c r="E109" t="s">
        <v>2285</v>
      </c>
      <c r="F109" t="s">
        <v>51</v>
      </c>
      <c r="G109" t="s">
        <v>51</v>
      </c>
      <c r="J109" t="s">
        <v>1124</v>
      </c>
      <c r="K109" t="s">
        <v>1465</v>
      </c>
      <c r="L109" t="s">
        <v>1465</v>
      </c>
      <c r="M109" t="s">
        <v>1465</v>
      </c>
      <c r="N109" t="s">
        <v>1465</v>
      </c>
      <c r="O109" t="s">
        <v>1465</v>
      </c>
      <c r="P109" t="s">
        <v>1449</v>
      </c>
      <c r="R109" t="b">
        <v>1</v>
      </c>
    </row>
    <row r="110" spans="2:18" x14ac:dyDescent="0.3">
      <c r="B110" t="s">
        <v>1463</v>
      </c>
      <c r="D110" t="s">
        <v>1076</v>
      </c>
      <c r="E110" t="s">
        <v>2432</v>
      </c>
      <c r="F110" t="s">
        <v>51</v>
      </c>
      <c r="G110" t="s">
        <v>51</v>
      </c>
      <c r="J110" t="s">
        <v>1124</v>
      </c>
      <c r="K110" t="s">
        <v>1465</v>
      </c>
      <c r="L110" t="s">
        <v>1465</v>
      </c>
      <c r="M110" t="s">
        <v>1465</v>
      </c>
      <c r="N110" t="s">
        <v>1465</v>
      </c>
      <c r="O110" t="s">
        <v>1465</v>
      </c>
      <c r="P110" t="s">
        <v>1449</v>
      </c>
      <c r="R110" t="b">
        <v>1</v>
      </c>
    </row>
    <row r="111" spans="2:18" x14ac:dyDescent="0.3">
      <c r="B111" t="s">
        <v>1463</v>
      </c>
      <c r="D111" t="s">
        <v>1076</v>
      </c>
      <c r="E111" t="s">
        <v>39</v>
      </c>
      <c r="F111" t="s">
        <v>51</v>
      </c>
      <c r="G111" t="s">
        <v>51</v>
      </c>
      <c r="J111" t="s">
        <v>1124</v>
      </c>
      <c r="K111" t="s">
        <v>1465</v>
      </c>
      <c r="L111" t="s">
        <v>1465</v>
      </c>
      <c r="M111" t="s">
        <v>1465</v>
      </c>
      <c r="N111" t="s">
        <v>1465</v>
      </c>
      <c r="O111" t="s">
        <v>1465</v>
      </c>
      <c r="P111" t="s">
        <v>1449</v>
      </c>
      <c r="R111" t="b">
        <v>1</v>
      </c>
    </row>
    <row r="112" spans="2:18" x14ac:dyDescent="0.3">
      <c r="B112" t="s">
        <v>1456</v>
      </c>
      <c r="C112" t="s">
        <v>2335</v>
      </c>
      <c r="F112">
        <v>0</v>
      </c>
      <c r="K112" t="s">
        <v>1465</v>
      </c>
      <c r="L112" t="s">
        <v>1465</v>
      </c>
      <c r="M112" t="s">
        <v>1465</v>
      </c>
      <c r="N112" t="s">
        <v>1465</v>
      </c>
      <c r="O112" t="s">
        <v>1465</v>
      </c>
      <c r="R112" t="b">
        <v>1</v>
      </c>
    </row>
  </sheetData>
  <pageMargins left="0.7" right="0.7" top="0.75" bottom="0.75" header="0.3" footer="0.3"/>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B5B08-D16A-44EA-8D02-DCAE3761F901}">
  <sheetPr codeName="Sheet46">
    <tabColor theme="0"/>
  </sheetPr>
  <dimension ref="A1:K101"/>
  <sheetViews>
    <sheetView workbookViewId="0">
      <selection activeCell="N27" sqref="N27"/>
    </sheetView>
  </sheetViews>
  <sheetFormatPr defaultRowHeight="14.4" x14ac:dyDescent="0.3"/>
  <cols>
    <col min="1" max="1" width="10.33203125" bestFit="1" customWidth="1"/>
    <col min="2" max="2" width="14.6640625" bestFit="1" customWidth="1"/>
    <col min="3" max="3" width="17.44140625" bestFit="1" customWidth="1"/>
    <col min="4" max="5" width="13.33203125" bestFit="1" customWidth="1"/>
    <col min="6" max="6" width="17.6640625" bestFit="1" customWidth="1"/>
    <col min="7" max="7" width="42.109375" bestFit="1" customWidth="1"/>
    <col min="8" max="8" width="11.6640625" bestFit="1" customWidth="1"/>
    <col min="9" max="9" width="18.6640625" bestFit="1" customWidth="1"/>
    <col min="10" max="10" width="12" bestFit="1" customWidth="1"/>
    <col min="11" max="11" width="11.6640625" bestFit="1" customWidth="1"/>
  </cols>
  <sheetData>
    <row r="1" spans="1:11" x14ac:dyDescent="0.3">
      <c r="A1" t="s">
        <v>1453</v>
      </c>
      <c r="B1" t="s">
        <v>1331</v>
      </c>
      <c r="C1" t="s">
        <v>893</v>
      </c>
      <c r="D1" t="s">
        <v>871</v>
      </c>
      <c r="E1" t="s">
        <v>857</v>
      </c>
      <c r="F1" t="s">
        <v>884</v>
      </c>
      <c r="G1" t="s">
        <v>1383</v>
      </c>
      <c r="H1" t="s">
        <v>1384</v>
      </c>
      <c r="I1" t="s">
        <v>1385</v>
      </c>
      <c r="J1" t="s">
        <v>1386</v>
      </c>
      <c r="K1" t="s">
        <v>1387</v>
      </c>
    </row>
    <row r="2" spans="1:11" x14ac:dyDescent="0.3">
      <c r="A2" t="s">
        <v>1458</v>
      </c>
      <c r="C2" t="s">
        <v>2298</v>
      </c>
      <c r="D2" t="s">
        <v>39</v>
      </c>
      <c r="E2" t="s">
        <v>51</v>
      </c>
      <c r="F2" t="s">
        <v>51</v>
      </c>
      <c r="G2" t="s">
        <v>2330</v>
      </c>
      <c r="I2" t="s">
        <v>1497</v>
      </c>
      <c r="J2" t="b">
        <v>0</v>
      </c>
    </row>
    <row r="3" spans="1:11" x14ac:dyDescent="0.3">
      <c r="A3" t="s">
        <v>1458</v>
      </c>
      <c r="C3" t="s">
        <v>2433</v>
      </c>
      <c r="D3" t="s">
        <v>39</v>
      </c>
      <c r="E3" t="s">
        <v>51</v>
      </c>
      <c r="F3" t="s">
        <v>51</v>
      </c>
      <c r="G3" t="s">
        <v>2436</v>
      </c>
      <c r="I3" t="s">
        <v>1497</v>
      </c>
      <c r="J3" t="b">
        <v>0</v>
      </c>
    </row>
    <row r="4" spans="1:11" x14ac:dyDescent="0.3">
      <c r="A4" t="s">
        <v>1458</v>
      </c>
      <c r="C4" t="s">
        <v>2434</v>
      </c>
      <c r="D4" t="s">
        <v>39</v>
      </c>
      <c r="E4" t="s">
        <v>51</v>
      </c>
      <c r="F4" t="s">
        <v>51</v>
      </c>
      <c r="G4" t="s">
        <v>2437</v>
      </c>
      <c r="I4" t="s">
        <v>1497</v>
      </c>
      <c r="J4" t="b">
        <v>0</v>
      </c>
    </row>
    <row r="5" spans="1:11" x14ac:dyDescent="0.3">
      <c r="A5" t="s">
        <v>1458</v>
      </c>
      <c r="C5" t="s">
        <v>997</v>
      </c>
      <c r="D5" t="s">
        <v>39</v>
      </c>
      <c r="E5" t="s">
        <v>51</v>
      </c>
      <c r="F5" t="s">
        <v>51</v>
      </c>
      <c r="G5" t="s">
        <v>1388</v>
      </c>
      <c r="I5" t="s">
        <v>1497</v>
      </c>
      <c r="J5" t="b">
        <v>0</v>
      </c>
    </row>
    <row r="6" spans="1:11" x14ac:dyDescent="0.3">
      <c r="A6" t="s">
        <v>1458</v>
      </c>
      <c r="C6" t="s">
        <v>999</v>
      </c>
      <c r="D6" t="s">
        <v>39</v>
      </c>
      <c r="E6" t="s">
        <v>51</v>
      </c>
      <c r="F6" t="s">
        <v>51</v>
      </c>
      <c r="G6" t="s">
        <v>1395</v>
      </c>
      <c r="I6" t="s">
        <v>1394</v>
      </c>
      <c r="J6" t="b">
        <v>0</v>
      </c>
      <c r="K6">
        <v>-4000</v>
      </c>
    </row>
    <row r="7" spans="1:11" x14ac:dyDescent="0.3">
      <c r="A7" t="s">
        <v>1458</v>
      </c>
      <c r="C7" t="s">
        <v>1517</v>
      </c>
      <c r="D7" t="s">
        <v>39</v>
      </c>
      <c r="E7" t="s">
        <v>51</v>
      </c>
      <c r="F7" t="s">
        <v>51</v>
      </c>
      <c r="G7" t="s">
        <v>1752</v>
      </c>
      <c r="I7" t="s">
        <v>1394</v>
      </c>
      <c r="J7" t="b">
        <v>0</v>
      </c>
      <c r="K7">
        <v>-6.75</v>
      </c>
    </row>
    <row r="8" spans="1:11" x14ac:dyDescent="0.3">
      <c r="A8" t="s">
        <v>1458</v>
      </c>
      <c r="C8" t="s">
        <v>1001</v>
      </c>
      <c r="D8" t="s">
        <v>39</v>
      </c>
      <c r="E8" t="s">
        <v>51</v>
      </c>
      <c r="F8" t="s">
        <v>51</v>
      </c>
      <c r="G8" t="s">
        <v>1478</v>
      </c>
      <c r="I8" t="s">
        <v>1394</v>
      </c>
      <c r="J8" t="b">
        <v>0</v>
      </c>
      <c r="K8">
        <v>-22.5</v>
      </c>
    </row>
    <row r="9" spans="1:11" x14ac:dyDescent="0.3">
      <c r="A9" t="s">
        <v>1458</v>
      </c>
      <c r="C9" t="s">
        <v>1003</v>
      </c>
      <c r="D9" t="s">
        <v>39</v>
      </c>
      <c r="E9" t="s">
        <v>51</v>
      </c>
      <c r="F9" t="s">
        <v>51</v>
      </c>
      <c r="G9" t="s">
        <v>1479</v>
      </c>
      <c r="I9" t="s">
        <v>1394</v>
      </c>
      <c r="J9" t="b">
        <v>0</v>
      </c>
      <c r="K9">
        <v>-11.25</v>
      </c>
    </row>
    <row r="10" spans="1:11" x14ac:dyDescent="0.3">
      <c r="A10" t="s">
        <v>1458</v>
      </c>
      <c r="C10" t="s">
        <v>1005</v>
      </c>
      <c r="D10" t="s">
        <v>39</v>
      </c>
      <c r="E10" t="s">
        <v>51</v>
      </c>
      <c r="F10" t="s">
        <v>51</v>
      </c>
      <c r="G10" t="s">
        <v>1480</v>
      </c>
      <c r="I10" t="s">
        <v>1394</v>
      </c>
      <c r="J10" t="b">
        <v>0</v>
      </c>
      <c r="K10">
        <v>-16.88</v>
      </c>
    </row>
    <row r="11" spans="1:11" x14ac:dyDescent="0.3">
      <c r="A11" t="s">
        <v>1458</v>
      </c>
      <c r="C11" t="s">
        <v>1007</v>
      </c>
      <c r="D11" t="s">
        <v>39</v>
      </c>
      <c r="E11" t="s">
        <v>51</v>
      </c>
      <c r="F11" t="s">
        <v>51</v>
      </c>
      <c r="G11" t="s">
        <v>1918</v>
      </c>
      <c r="I11" t="s">
        <v>1394</v>
      </c>
      <c r="J11" t="b">
        <v>0</v>
      </c>
      <c r="K11">
        <v>-50.625</v>
      </c>
    </row>
    <row r="12" spans="1:11" x14ac:dyDescent="0.3">
      <c r="A12" t="s">
        <v>1458</v>
      </c>
      <c r="C12" t="s">
        <v>1009</v>
      </c>
      <c r="D12" t="s">
        <v>39</v>
      </c>
      <c r="E12" t="s">
        <v>51</v>
      </c>
      <c r="F12" t="s">
        <v>51</v>
      </c>
      <c r="G12" t="s">
        <v>1010</v>
      </c>
      <c r="I12" t="s">
        <v>1497</v>
      </c>
      <c r="J12" t="b">
        <v>0</v>
      </c>
      <c r="K12">
        <v>-6000</v>
      </c>
    </row>
    <row r="13" spans="1:11" x14ac:dyDescent="0.3">
      <c r="A13" t="s">
        <v>1458</v>
      </c>
      <c r="C13" t="s">
        <v>1011</v>
      </c>
      <c r="D13" t="s">
        <v>39</v>
      </c>
      <c r="E13" t="s">
        <v>51</v>
      </c>
      <c r="F13" t="s">
        <v>51</v>
      </c>
      <c r="G13" t="s">
        <v>1389</v>
      </c>
      <c r="I13" t="s">
        <v>1497</v>
      </c>
      <c r="J13" t="b">
        <v>0</v>
      </c>
      <c r="K13">
        <v>-10000</v>
      </c>
    </row>
    <row r="14" spans="1:11" x14ac:dyDescent="0.3">
      <c r="A14" t="s">
        <v>1458</v>
      </c>
      <c r="C14" t="s">
        <v>1502</v>
      </c>
      <c r="D14" t="s">
        <v>39</v>
      </c>
      <c r="E14" t="s">
        <v>51</v>
      </c>
      <c r="F14" t="s">
        <v>51</v>
      </c>
      <c r="G14" t="s">
        <v>1542</v>
      </c>
      <c r="I14" t="s">
        <v>1497</v>
      </c>
      <c r="J14" t="b">
        <v>0</v>
      </c>
      <c r="K14">
        <v>-15000</v>
      </c>
    </row>
    <row r="15" spans="1:11" x14ac:dyDescent="0.3">
      <c r="A15" t="s">
        <v>1458</v>
      </c>
      <c r="C15" t="s">
        <v>2343</v>
      </c>
      <c r="D15" t="s">
        <v>39</v>
      </c>
      <c r="E15" t="s">
        <v>51</v>
      </c>
      <c r="F15" t="s">
        <v>51</v>
      </c>
      <c r="G15" t="s">
        <v>2345</v>
      </c>
      <c r="I15" t="s">
        <v>1497</v>
      </c>
      <c r="J15" t="b">
        <v>0</v>
      </c>
      <c r="K15">
        <v>0.5</v>
      </c>
    </row>
    <row r="16" spans="1:11" x14ac:dyDescent="0.3">
      <c r="A16" t="s">
        <v>1458</v>
      </c>
      <c r="C16" t="s">
        <v>2342</v>
      </c>
      <c r="D16" t="s">
        <v>39</v>
      </c>
      <c r="E16" t="s">
        <v>51</v>
      </c>
      <c r="F16" t="s">
        <v>51</v>
      </c>
      <c r="G16" t="s">
        <v>2344</v>
      </c>
      <c r="I16" t="s">
        <v>1497</v>
      </c>
      <c r="J16" t="b">
        <v>0</v>
      </c>
      <c r="K16">
        <v>0.5</v>
      </c>
    </row>
    <row r="17" spans="1:11" x14ac:dyDescent="0.3">
      <c r="A17" t="s">
        <v>1458</v>
      </c>
      <c r="C17" t="s">
        <v>2299</v>
      </c>
      <c r="D17" t="s">
        <v>39</v>
      </c>
      <c r="E17" t="s">
        <v>51</v>
      </c>
      <c r="F17" t="s">
        <v>51</v>
      </c>
      <c r="G17" t="s">
        <v>2331</v>
      </c>
      <c r="I17" t="s">
        <v>1497</v>
      </c>
      <c r="J17" t="b">
        <v>0</v>
      </c>
    </row>
    <row r="18" spans="1:11" x14ac:dyDescent="0.3">
      <c r="A18" t="s">
        <v>1458</v>
      </c>
      <c r="C18" t="s">
        <v>2435</v>
      </c>
      <c r="D18" t="s">
        <v>39</v>
      </c>
      <c r="E18" t="s">
        <v>51</v>
      </c>
      <c r="F18" t="s">
        <v>51</v>
      </c>
      <c r="G18" t="s">
        <v>2438</v>
      </c>
      <c r="I18" t="s">
        <v>1497</v>
      </c>
      <c r="J18" t="b">
        <v>0</v>
      </c>
    </row>
    <row r="19" spans="1:11" x14ac:dyDescent="0.3">
      <c r="A19" t="s">
        <v>1458</v>
      </c>
      <c r="C19" t="s">
        <v>1017</v>
      </c>
      <c r="D19" t="s">
        <v>39</v>
      </c>
      <c r="E19" t="s">
        <v>51</v>
      </c>
      <c r="F19" t="s">
        <v>51</v>
      </c>
      <c r="G19" t="s">
        <v>1391</v>
      </c>
      <c r="I19" t="s">
        <v>1497</v>
      </c>
      <c r="J19" t="b">
        <v>0</v>
      </c>
      <c r="K19">
        <v>-16000</v>
      </c>
    </row>
    <row r="20" spans="1:11" x14ac:dyDescent="0.3">
      <c r="A20" t="s">
        <v>1458</v>
      </c>
      <c r="C20" t="s">
        <v>1019</v>
      </c>
      <c r="D20" t="s">
        <v>39</v>
      </c>
      <c r="E20" t="s">
        <v>51</v>
      </c>
      <c r="F20" t="s">
        <v>51</v>
      </c>
      <c r="G20" t="s">
        <v>1392</v>
      </c>
      <c r="I20" t="s">
        <v>1497</v>
      </c>
      <c r="J20" t="b">
        <v>0</v>
      </c>
      <c r="K20">
        <v>-10</v>
      </c>
    </row>
    <row r="21" spans="1:11" x14ac:dyDescent="0.3">
      <c r="A21" t="s">
        <v>1458</v>
      </c>
      <c r="C21" t="s">
        <v>1022</v>
      </c>
      <c r="D21" t="s">
        <v>39</v>
      </c>
      <c r="E21" t="s">
        <v>51</v>
      </c>
      <c r="F21" t="s">
        <v>51</v>
      </c>
      <c r="G21" t="s">
        <v>1953</v>
      </c>
      <c r="I21" t="s">
        <v>1394</v>
      </c>
      <c r="J21" t="b">
        <v>0</v>
      </c>
      <c r="K21">
        <v>-2570</v>
      </c>
    </row>
    <row r="22" spans="1:11" x14ac:dyDescent="0.3">
      <c r="A22" t="s">
        <v>1458</v>
      </c>
      <c r="C22" t="s">
        <v>1022</v>
      </c>
      <c r="D22" t="s">
        <v>39</v>
      </c>
      <c r="E22" t="s">
        <v>51</v>
      </c>
      <c r="F22" t="s">
        <v>51</v>
      </c>
      <c r="G22" t="s">
        <v>1953</v>
      </c>
      <c r="I22" t="s">
        <v>1410</v>
      </c>
      <c r="J22" t="b">
        <v>0</v>
      </c>
      <c r="K22">
        <v>-2630</v>
      </c>
    </row>
    <row r="23" spans="1:11" x14ac:dyDescent="0.3">
      <c r="A23" t="s">
        <v>1458</v>
      </c>
      <c r="C23" t="s">
        <v>1023</v>
      </c>
      <c r="D23" t="s">
        <v>39</v>
      </c>
      <c r="E23" t="s">
        <v>51</v>
      </c>
      <c r="F23" t="s">
        <v>51</v>
      </c>
      <c r="G23" t="s">
        <v>1024</v>
      </c>
      <c r="I23" t="s">
        <v>1410</v>
      </c>
      <c r="J23" t="b">
        <v>0</v>
      </c>
      <c r="K23">
        <v>-1515</v>
      </c>
    </row>
    <row r="24" spans="1:11" x14ac:dyDescent="0.3">
      <c r="A24" t="s">
        <v>1458</v>
      </c>
      <c r="C24" t="s">
        <v>1023</v>
      </c>
      <c r="D24" t="s">
        <v>39</v>
      </c>
      <c r="E24" t="s">
        <v>51</v>
      </c>
      <c r="F24" t="s">
        <v>51</v>
      </c>
      <c r="G24" t="s">
        <v>1024</v>
      </c>
      <c r="I24" t="s">
        <v>1394</v>
      </c>
      <c r="J24" t="b">
        <v>0</v>
      </c>
      <c r="K24">
        <v>-1480</v>
      </c>
    </row>
    <row r="25" spans="1:11" x14ac:dyDescent="0.3">
      <c r="A25" t="s">
        <v>1458</v>
      </c>
      <c r="C25" t="s">
        <v>1025</v>
      </c>
      <c r="D25" t="s">
        <v>39</v>
      </c>
      <c r="E25" t="s">
        <v>51</v>
      </c>
      <c r="F25" t="s">
        <v>51</v>
      </c>
      <c r="G25" t="s">
        <v>1026</v>
      </c>
      <c r="I25" t="s">
        <v>1394</v>
      </c>
      <c r="J25" t="b">
        <v>0</v>
      </c>
      <c r="K25">
        <v>-1050</v>
      </c>
    </row>
    <row r="26" spans="1:11" x14ac:dyDescent="0.3">
      <c r="A26" t="s">
        <v>1458</v>
      </c>
      <c r="C26" t="s">
        <v>1025</v>
      </c>
      <c r="D26" t="s">
        <v>39</v>
      </c>
      <c r="E26" t="s">
        <v>51</v>
      </c>
      <c r="F26" t="s">
        <v>51</v>
      </c>
      <c r="G26" t="s">
        <v>1026</v>
      </c>
      <c r="I26" t="s">
        <v>1410</v>
      </c>
      <c r="J26" t="b">
        <v>0</v>
      </c>
      <c r="K26">
        <v>-1075</v>
      </c>
    </row>
    <row r="27" spans="1:11" x14ac:dyDescent="0.3">
      <c r="A27" t="s">
        <v>1458</v>
      </c>
      <c r="C27" t="s">
        <v>1027</v>
      </c>
      <c r="D27" t="s">
        <v>39</v>
      </c>
      <c r="E27" t="s">
        <v>51</v>
      </c>
      <c r="F27" t="s">
        <v>51</v>
      </c>
      <c r="G27" t="s">
        <v>1393</v>
      </c>
      <c r="I27" t="s">
        <v>1394</v>
      </c>
      <c r="J27" t="b">
        <v>0</v>
      </c>
      <c r="K27">
        <v>-340</v>
      </c>
    </row>
    <row r="28" spans="1:11" x14ac:dyDescent="0.3">
      <c r="A28" t="s">
        <v>1458</v>
      </c>
      <c r="C28" t="s">
        <v>1027</v>
      </c>
      <c r="D28" t="s">
        <v>39</v>
      </c>
      <c r="E28" t="s">
        <v>51</v>
      </c>
      <c r="F28" t="s">
        <v>51</v>
      </c>
      <c r="G28" t="s">
        <v>1393</v>
      </c>
      <c r="I28" t="s">
        <v>1410</v>
      </c>
      <c r="J28" t="b">
        <v>0</v>
      </c>
      <c r="K28">
        <v>-350</v>
      </c>
    </row>
    <row r="29" spans="1:11" x14ac:dyDescent="0.3">
      <c r="A29" t="s">
        <v>1458</v>
      </c>
      <c r="C29" t="s">
        <v>1028</v>
      </c>
      <c r="D29" t="s">
        <v>39</v>
      </c>
      <c r="E29" t="s">
        <v>51</v>
      </c>
      <c r="F29" t="s">
        <v>51</v>
      </c>
      <c r="G29" t="s">
        <v>1676</v>
      </c>
      <c r="I29" t="s">
        <v>1497</v>
      </c>
      <c r="J29" t="b">
        <v>0</v>
      </c>
      <c r="K29">
        <v>27</v>
      </c>
    </row>
    <row r="30" spans="1:11" x14ac:dyDescent="0.3">
      <c r="A30" t="s">
        <v>1458</v>
      </c>
      <c r="C30" t="s">
        <v>1028</v>
      </c>
      <c r="D30" t="s">
        <v>39</v>
      </c>
      <c r="E30" t="s">
        <v>51</v>
      </c>
      <c r="F30" t="s">
        <v>51</v>
      </c>
      <c r="G30" t="s">
        <v>1676</v>
      </c>
      <c r="I30" t="s">
        <v>1410</v>
      </c>
      <c r="J30" t="b">
        <v>0</v>
      </c>
      <c r="K30">
        <v>25</v>
      </c>
    </row>
    <row r="31" spans="1:11" x14ac:dyDescent="0.3">
      <c r="A31" t="s">
        <v>1458</v>
      </c>
      <c r="C31" t="s">
        <v>1028</v>
      </c>
      <c r="D31" t="s">
        <v>39</v>
      </c>
      <c r="E31" t="s">
        <v>51</v>
      </c>
      <c r="F31" t="s">
        <v>51</v>
      </c>
      <c r="G31" t="s">
        <v>1676</v>
      </c>
      <c r="I31" t="s">
        <v>1394</v>
      </c>
      <c r="J31" t="b">
        <v>0</v>
      </c>
      <c r="K31">
        <v>23</v>
      </c>
    </row>
    <row r="32" spans="1:11" x14ac:dyDescent="0.3">
      <c r="A32" t="s">
        <v>1458</v>
      </c>
      <c r="C32" t="s">
        <v>1575</v>
      </c>
      <c r="D32" t="s">
        <v>39</v>
      </c>
      <c r="E32" t="s">
        <v>51</v>
      </c>
      <c r="F32" t="s">
        <v>51</v>
      </c>
      <c r="G32" t="s">
        <v>1576</v>
      </c>
      <c r="I32" t="s">
        <v>1497</v>
      </c>
      <c r="J32" t="b">
        <v>0</v>
      </c>
      <c r="K32">
        <v>-495.9</v>
      </c>
    </row>
    <row r="33" spans="1:11" x14ac:dyDescent="0.3">
      <c r="A33" t="s">
        <v>1458</v>
      </c>
      <c r="C33" t="s">
        <v>1575</v>
      </c>
      <c r="D33" t="s">
        <v>39</v>
      </c>
      <c r="E33" t="s">
        <v>51</v>
      </c>
      <c r="F33" t="s">
        <v>51</v>
      </c>
      <c r="G33" t="s">
        <v>1576</v>
      </c>
      <c r="I33" t="s">
        <v>1394</v>
      </c>
      <c r="J33" t="b">
        <v>0</v>
      </c>
      <c r="K33">
        <v>-480.7</v>
      </c>
    </row>
    <row r="34" spans="1:11" x14ac:dyDescent="0.3">
      <c r="A34" t="s">
        <v>1458</v>
      </c>
      <c r="C34" t="s">
        <v>1575</v>
      </c>
      <c r="D34" t="s">
        <v>39</v>
      </c>
      <c r="E34" t="s">
        <v>51</v>
      </c>
      <c r="F34" t="s">
        <v>51</v>
      </c>
      <c r="G34" t="s">
        <v>1576</v>
      </c>
      <c r="I34" t="s">
        <v>1410</v>
      </c>
      <c r="J34" t="b">
        <v>0</v>
      </c>
      <c r="K34">
        <v>-490.2</v>
      </c>
    </row>
    <row r="35" spans="1:11" x14ac:dyDescent="0.3">
      <c r="A35" t="s">
        <v>1458</v>
      </c>
      <c r="C35" t="s">
        <v>1030</v>
      </c>
      <c r="D35" t="s">
        <v>39</v>
      </c>
      <c r="E35" t="s">
        <v>51</v>
      </c>
      <c r="F35" t="s">
        <v>51</v>
      </c>
      <c r="G35" t="s">
        <v>2065</v>
      </c>
      <c r="I35" t="s">
        <v>1499</v>
      </c>
      <c r="J35" t="b">
        <v>0</v>
      </c>
      <c r="K35">
        <v>2.1</v>
      </c>
    </row>
    <row r="36" spans="1:11" x14ac:dyDescent="0.3">
      <c r="A36" t="s">
        <v>1458</v>
      </c>
      <c r="C36" t="s">
        <v>1030</v>
      </c>
      <c r="D36" t="s">
        <v>39</v>
      </c>
      <c r="E36" t="s">
        <v>51</v>
      </c>
      <c r="F36" t="s">
        <v>51</v>
      </c>
      <c r="G36" t="s">
        <v>2065</v>
      </c>
      <c r="I36" t="s">
        <v>1497</v>
      </c>
      <c r="J36" t="b">
        <v>0</v>
      </c>
      <c r="K36">
        <v>1.9</v>
      </c>
    </row>
    <row r="37" spans="1:11" x14ac:dyDescent="0.3">
      <c r="A37" t="s">
        <v>1458</v>
      </c>
      <c r="C37" t="s">
        <v>1030</v>
      </c>
      <c r="D37" t="s">
        <v>39</v>
      </c>
      <c r="E37" t="s">
        <v>51</v>
      </c>
      <c r="F37" t="s">
        <v>51</v>
      </c>
      <c r="G37" t="s">
        <v>2065</v>
      </c>
      <c r="I37" t="s">
        <v>1410</v>
      </c>
      <c r="J37" t="b">
        <v>0</v>
      </c>
      <c r="K37">
        <v>2.2999999999999998</v>
      </c>
    </row>
    <row r="38" spans="1:11" x14ac:dyDescent="0.3">
      <c r="A38" t="s">
        <v>1458</v>
      </c>
      <c r="C38" t="s">
        <v>1052</v>
      </c>
      <c r="D38" t="s">
        <v>39</v>
      </c>
      <c r="E38" t="s">
        <v>51</v>
      </c>
      <c r="F38" t="s">
        <v>51</v>
      </c>
      <c r="G38" t="s">
        <v>2066</v>
      </c>
      <c r="I38" t="s">
        <v>1410</v>
      </c>
      <c r="J38" t="b">
        <v>0</v>
      </c>
      <c r="K38">
        <v>2.2999999999999998</v>
      </c>
    </row>
    <row r="39" spans="1:11" x14ac:dyDescent="0.3">
      <c r="A39" t="s">
        <v>1458</v>
      </c>
      <c r="C39" t="s">
        <v>1052</v>
      </c>
      <c r="D39" t="s">
        <v>39</v>
      </c>
      <c r="E39" t="s">
        <v>51</v>
      </c>
      <c r="F39" t="s">
        <v>51</v>
      </c>
      <c r="G39" t="s">
        <v>2066</v>
      </c>
      <c r="I39" t="s">
        <v>1497</v>
      </c>
      <c r="J39" t="b">
        <v>0</v>
      </c>
      <c r="K39">
        <v>1.9</v>
      </c>
    </row>
    <row r="40" spans="1:11" x14ac:dyDescent="0.3">
      <c r="A40" t="s">
        <v>1458</v>
      </c>
      <c r="C40" t="s">
        <v>1052</v>
      </c>
      <c r="D40" t="s">
        <v>39</v>
      </c>
      <c r="E40" t="s">
        <v>51</v>
      </c>
      <c r="F40" t="s">
        <v>51</v>
      </c>
      <c r="G40" t="s">
        <v>2066</v>
      </c>
      <c r="I40" t="s">
        <v>1499</v>
      </c>
      <c r="J40" t="b">
        <v>0</v>
      </c>
      <c r="K40">
        <v>2.1</v>
      </c>
    </row>
    <row r="41" spans="1:11" x14ac:dyDescent="0.3">
      <c r="A41" t="s">
        <v>1458</v>
      </c>
      <c r="C41" t="s">
        <v>1032</v>
      </c>
      <c r="D41" t="s">
        <v>39</v>
      </c>
      <c r="E41" t="s">
        <v>51</v>
      </c>
      <c r="F41" t="s">
        <v>51</v>
      </c>
      <c r="G41" t="s">
        <v>1402</v>
      </c>
      <c r="I41" t="s">
        <v>1497</v>
      </c>
      <c r="J41" t="b">
        <v>0</v>
      </c>
    </row>
    <row r="42" spans="1:11" x14ac:dyDescent="0.3">
      <c r="A42" t="s">
        <v>1458</v>
      </c>
      <c r="C42" t="s">
        <v>1036</v>
      </c>
      <c r="D42" t="s">
        <v>39</v>
      </c>
      <c r="E42" t="s">
        <v>51</v>
      </c>
      <c r="F42" t="s">
        <v>51</v>
      </c>
      <c r="G42" t="s">
        <v>1302</v>
      </c>
      <c r="I42" t="s">
        <v>1497</v>
      </c>
      <c r="J42" t="b">
        <v>0</v>
      </c>
    </row>
    <row r="43" spans="1:11" x14ac:dyDescent="0.3">
      <c r="A43" t="s">
        <v>1458</v>
      </c>
      <c r="C43" t="s">
        <v>1038</v>
      </c>
      <c r="D43" t="s">
        <v>39</v>
      </c>
      <c r="E43" t="s">
        <v>51</v>
      </c>
      <c r="F43" t="s">
        <v>51</v>
      </c>
      <c r="G43" t="s">
        <v>1401</v>
      </c>
      <c r="I43" t="s">
        <v>1497</v>
      </c>
      <c r="J43" t="b">
        <v>0</v>
      </c>
    </row>
    <row r="44" spans="1:11" x14ac:dyDescent="0.3">
      <c r="A44" t="s">
        <v>1458</v>
      </c>
      <c r="C44" t="s">
        <v>1034</v>
      </c>
      <c r="D44" t="s">
        <v>39</v>
      </c>
      <c r="E44" t="s">
        <v>51</v>
      </c>
      <c r="F44" t="s">
        <v>51</v>
      </c>
      <c r="G44" t="s">
        <v>1311</v>
      </c>
      <c r="I44" t="s">
        <v>1497</v>
      </c>
      <c r="J44" t="b">
        <v>0</v>
      </c>
    </row>
    <row r="45" spans="1:11" x14ac:dyDescent="0.3">
      <c r="A45" t="s">
        <v>1458</v>
      </c>
      <c r="C45" t="s">
        <v>1054</v>
      </c>
      <c r="D45" t="s">
        <v>39</v>
      </c>
      <c r="E45" t="s">
        <v>51</v>
      </c>
      <c r="F45" t="s">
        <v>51</v>
      </c>
      <c r="G45" t="s">
        <v>2064</v>
      </c>
      <c r="I45" t="s">
        <v>1499</v>
      </c>
      <c r="J45" t="b">
        <v>0</v>
      </c>
      <c r="K45">
        <v>2.9</v>
      </c>
    </row>
    <row r="46" spans="1:11" x14ac:dyDescent="0.3">
      <c r="A46" t="s">
        <v>1458</v>
      </c>
      <c r="C46" t="s">
        <v>1054</v>
      </c>
      <c r="D46" t="s">
        <v>39</v>
      </c>
      <c r="E46" t="s">
        <v>51</v>
      </c>
      <c r="F46" t="s">
        <v>51</v>
      </c>
      <c r="G46" t="s">
        <v>2064</v>
      </c>
      <c r="I46" t="s">
        <v>1497</v>
      </c>
      <c r="J46" t="b">
        <v>0</v>
      </c>
      <c r="K46">
        <v>2.2999999999999998</v>
      </c>
    </row>
    <row r="47" spans="1:11" x14ac:dyDescent="0.3">
      <c r="A47" t="s">
        <v>1458</v>
      </c>
      <c r="C47" t="s">
        <v>1054</v>
      </c>
      <c r="D47" t="s">
        <v>39</v>
      </c>
      <c r="E47" t="s">
        <v>51</v>
      </c>
      <c r="F47" t="s">
        <v>51</v>
      </c>
      <c r="G47" t="s">
        <v>2064</v>
      </c>
      <c r="I47" t="s">
        <v>1410</v>
      </c>
      <c r="J47" t="b">
        <v>0</v>
      </c>
      <c r="K47">
        <v>3.5</v>
      </c>
    </row>
    <row r="48" spans="1:11" x14ac:dyDescent="0.3">
      <c r="A48" t="s">
        <v>1458</v>
      </c>
      <c r="C48" t="s">
        <v>1054</v>
      </c>
      <c r="D48" t="s">
        <v>39</v>
      </c>
      <c r="E48" t="s">
        <v>51</v>
      </c>
      <c r="F48" t="s">
        <v>51</v>
      </c>
      <c r="G48" t="s">
        <v>2064</v>
      </c>
      <c r="I48" t="s">
        <v>1394</v>
      </c>
      <c r="J48" t="b">
        <v>0</v>
      </c>
      <c r="K48">
        <v>3</v>
      </c>
    </row>
    <row r="49" spans="1:10" x14ac:dyDescent="0.3">
      <c r="A49" t="s">
        <v>1458</v>
      </c>
      <c r="C49" t="s">
        <v>2059</v>
      </c>
      <c r="D49" t="s">
        <v>39</v>
      </c>
      <c r="E49" t="s">
        <v>51</v>
      </c>
      <c r="F49" t="s">
        <v>51</v>
      </c>
      <c r="G49" t="s">
        <v>2063</v>
      </c>
      <c r="I49" t="s">
        <v>1497</v>
      </c>
      <c r="J49" t="b">
        <v>0</v>
      </c>
    </row>
    <row r="50" spans="1:10" x14ac:dyDescent="0.3">
      <c r="A50" t="s">
        <v>1458</v>
      </c>
      <c r="C50" t="s">
        <v>2058</v>
      </c>
      <c r="D50" t="s">
        <v>39</v>
      </c>
      <c r="E50" t="s">
        <v>51</v>
      </c>
      <c r="F50" t="s">
        <v>51</v>
      </c>
      <c r="G50" t="s">
        <v>2062</v>
      </c>
      <c r="I50" t="s">
        <v>1497</v>
      </c>
      <c r="J50" t="b">
        <v>0</v>
      </c>
    </row>
    <row r="51" spans="1:10" x14ac:dyDescent="0.3">
      <c r="A51" t="s">
        <v>1459</v>
      </c>
      <c r="C51" t="s">
        <v>1585</v>
      </c>
      <c r="D51" t="s">
        <v>2285</v>
      </c>
      <c r="E51" t="s">
        <v>51</v>
      </c>
      <c r="F51" t="s">
        <v>51</v>
      </c>
      <c r="G51" t="s">
        <v>2134</v>
      </c>
      <c r="I51" t="s">
        <v>1497</v>
      </c>
      <c r="J51" t="b">
        <v>0</v>
      </c>
    </row>
    <row r="52" spans="1:10" x14ac:dyDescent="0.3">
      <c r="A52" t="s">
        <v>1459</v>
      </c>
      <c r="C52" t="s">
        <v>1585</v>
      </c>
      <c r="D52" t="s">
        <v>2285</v>
      </c>
      <c r="E52" t="s">
        <v>51</v>
      </c>
      <c r="F52" t="s">
        <v>51</v>
      </c>
      <c r="G52" t="s">
        <v>2135</v>
      </c>
      <c r="I52" t="s">
        <v>1497</v>
      </c>
      <c r="J52" t="b">
        <v>0</v>
      </c>
    </row>
    <row r="53" spans="1:10" x14ac:dyDescent="0.3">
      <c r="A53" t="s">
        <v>1459</v>
      </c>
      <c r="C53" t="s">
        <v>1585</v>
      </c>
      <c r="D53" t="s">
        <v>2285</v>
      </c>
      <c r="E53" t="s">
        <v>51</v>
      </c>
      <c r="F53" t="s">
        <v>51</v>
      </c>
      <c r="G53" t="s">
        <v>2136</v>
      </c>
      <c r="I53" t="s">
        <v>1497</v>
      </c>
      <c r="J53" t="b">
        <v>0</v>
      </c>
    </row>
    <row r="54" spans="1:10" x14ac:dyDescent="0.3">
      <c r="A54" t="s">
        <v>1459</v>
      </c>
      <c r="C54" t="s">
        <v>1585</v>
      </c>
      <c r="D54" t="s">
        <v>2285</v>
      </c>
      <c r="E54" t="s">
        <v>51</v>
      </c>
      <c r="F54" t="s">
        <v>51</v>
      </c>
      <c r="G54" t="s">
        <v>2137</v>
      </c>
      <c r="I54" t="s">
        <v>1497</v>
      </c>
      <c r="J54" t="b">
        <v>0</v>
      </c>
    </row>
    <row r="55" spans="1:10" x14ac:dyDescent="0.3">
      <c r="A55" t="s">
        <v>1459</v>
      </c>
      <c r="C55" t="s">
        <v>1585</v>
      </c>
      <c r="D55" t="s">
        <v>2285</v>
      </c>
      <c r="E55" t="s">
        <v>51</v>
      </c>
      <c r="F55" t="s">
        <v>51</v>
      </c>
      <c r="G55" t="s">
        <v>2138</v>
      </c>
      <c r="I55" t="s">
        <v>1497</v>
      </c>
      <c r="J55" t="b">
        <v>0</v>
      </c>
    </row>
    <row r="56" spans="1:10" x14ac:dyDescent="0.3">
      <c r="A56" t="s">
        <v>1459</v>
      </c>
      <c r="C56" t="s">
        <v>1585</v>
      </c>
      <c r="D56" t="s">
        <v>2285</v>
      </c>
      <c r="E56" t="s">
        <v>51</v>
      </c>
      <c r="F56" t="s">
        <v>51</v>
      </c>
      <c r="G56" t="s">
        <v>2139</v>
      </c>
      <c r="I56" t="s">
        <v>1497</v>
      </c>
      <c r="J56" t="b">
        <v>0</v>
      </c>
    </row>
    <row r="57" spans="1:10" x14ac:dyDescent="0.3">
      <c r="A57" t="s">
        <v>1459</v>
      </c>
      <c r="C57" t="s">
        <v>1585</v>
      </c>
      <c r="D57" t="s">
        <v>2285</v>
      </c>
      <c r="E57" t="s">
        <v>51</v>
      </c>
      <c r="F57" t="s">
        <v>51</v>
      </c>
      <c r="G57" t="s">
        <v>2140</v>
      </c>
      <c r="I57" t="s">
        <v>1497</v>
      </c>
      <c r="J57" t="b">
        <v>0</v>
      </c>
    </row>
    <row r="58" spans="1:10" x14ac:dyDescent="0.3">
      <c r="A58" t="s">
        <v>1459</v>
      </c>
      <c r="C58" t="s">
        <v>1585</v>
      </c>
      <c r="D58" t="s">
        <v>2285</v>
      </c>
      <c r="E58" t="s">
        <v>51</v>
      </c>
      <c r="F58" t="s">
        <v>51</v>
      </c>
      <c r="G58" t="s">
        <v>2141</v>
      </c>
      <c r="I58" t="s">
        <v>1497</v>
      </c>
      <c r="J58" t="b">
        <v>0</v>
      </c>
    </row>
    <row r="59" spans="1:10" x14ac:dyDescent="0.3">
      <c r="A59" t="s">
        <v>1459</v>
      </c>
      <c r="C59" t="s">
        <v>1585</v>
      </c>
      <c r="D59" t="s">
        <v>2285</v>
      </c>
      <c r="E59" t="s">
        <v>51</v>
      </c>
      <c r="F59" t="s">
        <v>51</v>
      </c>
      <c r="G59" t="s">
        <v>2142</v>
      </c>
      <c r="I59" t="s">
        <v>1497</v>
      </c>
      <c r="J59" t="b">
        <v>0</v>
      </c>
    </row>
    <row r="60" spans="1:10" x14ac:dyDescent="0.3">
      <c r="A60" t="s">
        <v>1459</v>
      </c>
      <c r="C60" t="s">
        <v>1585</v>
      </c>
      <c r="D60" t="s">
        <v>2285</v>
      </c>
      <c r="E60" t="s">
        <v>51</v>
      </c>
      <c r="F60" t="s">
        <v>51</v>
      </c>
      <c r="G60" t="s">
        <v>2143</v>
      </c>
      <c r="I60" t="s">
        <v>1497</v>
      </c>
      <c r="J60" t="b">
        <v>0</v>
      </c>
    </row>
    <row r="61" spans="1:10" x14ac:dyDescent="0.3">
      <c r="A61" t="s">
        <v>1459</v>
      </c>
      <c r="C61" t="s">
        <v>1585</v>
      </c>
      <c r="D61" t="s">
        <v>2285</v>
      </c>
      <c r="E61" t="s">
        <v>51</v>
      </c>
      <c r="F61" t="s">
        <v>51</v>
      </c>
      <c r="G61" t="s">
        <v>2144</v>
      </c>
      <c r="I61" t="s">
        <v>1497</v>
      </c>
      <c r="J61" t="b">
        <v>0</v>
      </c>
    </row>
    <row r="62" spans="1:10" x14ac:dyDescent="0.3">
      <c r="A62" t="s">
        <v>1459</v>
      </c>
      <c r="C62" t="s">
        <v>1585</v>
      </c>
      <c r="D62" t="s">
        <v>2285</v>
      </c>
      <c r="E62" t="s">
        <v>51</v>
      </c>
      <c r="F62" t="s">
        <v>51</v>
      </c>
      <c r="G62" t="s">
        <v>2145</v>
      </c>
      <c r="I62" t="s">
        <v>1497</v>
      </c>
      <c r="J62" t="b">
        <v>0</v>
      </c>
    </row>
    <row r="63" spans="1:10" x14ac:dyDescent="0.3">
      <c r="A63" t="s">
        <v>1459</v>
      </c>
      <c r="C63" t="s">
        <v>1585</v>
      </c>
      <c r="D63" t="s">
        <v>2285</v>
      </c>
      <c r="E63" t="s">
        <v>51</v>
      </c>
      <c r="F63" t="s">
        <v>51</v>
      </c>
      <c r="G63" t="s">
        <v>2165</v>
      </c>
      <c r="I63" t="s">
        <v>1497</v>
      </c>
      <c r="J63" t="b">
        <v>0</v>
      </c>
    </row>
    <row r="64" spans="1:10" x14ac:dyDescent="0.3">
      <c r="A64" t="s">
        <v>1459</v>
      </c>
      <c r="C64" t="s">
        <v>1585</v>
      </c>
      <c r="D64" t="s">
        <v>2285</v>
      </c>
      <c r="E64" t="s">
        <v>51</v>
      </c>
      <c r="F64" t="s">
        <v>51</v>
      </c>
      <c r="G64" t="s">
        <v>2146</v>
      </c>
      <c r="I64" t="s">
        <v>1497</v>
      </c>
      <c r="J64" t="b">
        <v>0</v>
      </c>
    </row>
    <row r="65" spans="1:10" x14ac:dyDescent="0.3">
      <c r="A65" t="s">
        <v>1459</v>
      </c>
      <c r="C65" t="s">
        <v>1585</v>
      </c>
      <c r="D65" t="s">
        <v>2285</v>
      </c>
      <c r="E65" t="s">
        <v>51</v>
      </c>
      <c r="F65" t="s">
        <v>51</v>
      </c>
      <c r="G65" t="s">
        <v>2147</v>
      </c>
      <c r="I65" t="s">
        <v>1497</v>
      </c>
      <c r="J65" t="b">
        <v>0</v>
      </c>
    </row>
    <row r="66" spans="1:10" x14ac:dyDescent="0.3">
      <c r="A66" t="s">
        <v>1459</v>
      </c>
      <c r="C66" t="s">
        <v>1585</v>
      </c>
      <c r="D66" t="s">
        <v>2285</v>
      </c>
      <c r="E66" t="s">
        <v>51</v>
      </c>
      <c r="F66" t="s">
        <v>51</v>
      </c>
      <c r="G66" t="s">
        <v>2148</v>
      </c>
      <c r="I66" t="s">
        <v>1497</v>
      </c>
      <c r="J66" t="b">
        <v>0</v>
      </c>
    </row>
    <row r="67" spans="1:10" x14ac:dyDescent="0.3">
      <c r="A67" t="s">
        <v>1459</v>
      </c>
      <c r="C67" t="s">
        <v>1585</v>
      </c>
      <c r="D67" t="s">
        <v>2285</v>
      </c>
      <c r="E67" t="s">
        <v>51</v>
      </c>
      <c r="F67" t="s">
        <v>51</v>
      </c>
      <c r="G67" t="s">
        <v>2149</v>
      </c>
      <c r="I67" t="s">
        <v>1497</v>
      </c>
      <c r="J67" t="b">
        <v>0</v>
      </c>
    </row>
    <row r="68" spans="1:10" x14ac:dyDescent="0.3">
      <c r="A68" t="s">
        <v>1459</v>
      </c>
      <c r="C68" t="s">
        <v>1585</v>
      </c>
      <c r="D68" t="s">
        <v>2285</v>
      </c>
      <c r="E68" t="s">
        <v>51</v>
      </c>
      <c r="F68" t="s">
        <v>51</v>
      </c>
      <c r="G68" t="s">
        <v>2150</v>
      </c>
      <c r="I68" t="s">
        <v>1497</v>
      </c>
      <c r="J68" t="b">
        <v>0</v>
      </c>
    </row>
    <row r="69" spans="1:10" x14ac:dyDescent="0.3">
      <c r="A69" t="s">
        <v>1459</v>
      </c>
      <c r="C69" t="s">
        <v>1585</v>
      </c>
      <c r="D69" t="s">
        <v>2432</v>
      </c>
      <c r="E69" t="s">
        <v>51</v>
      </c>
      <c r="F69" t="s">
        <v>51</v>
      </c>
      <c r="G69" t="s">
        <v>2153</v>
      </c>
      <c r="I69" t="s">
        <v>1497</v>
      </c>
      <c r="J69" t="b">
        <v>0</v>
      </c>
    </row>
    <row r="70" spans="1:10" x14ac:dyDescent="0.3">
      <c r="A70" t="s">
        <v>1459</v>
      </c>
      <c r="C70" t="s">
        <v>1585</v>
      </c>
      <c r="D70" t="s">
        <v>2432</v>
      </c>
      <c r="E70" t="s">
        <v>51</v>
      </c>
      <c r="F70" t="s">
        <v>51</v>
      </c>
      <c r="G70" t="s">
        <v>2154</v>
      </c>
      <c r="I70" t="s">
        <v>1497</v>
      </c>
      <c r="J70" t="b">
        <v>0</v>
      </c>
    </row>
    <row r="71" spans="1:10" x14ac:dyDescent="0.3">
      <c r="A71" t="s">
        <v>1459</v>
      </c>
      <c r="C71" t="s">
        <v>1585</v>
      </c>
      <c r="D71" t="s">
        <v>2432</v>
      </c>
      <c r="E71" t="s">
        <v>51</v>
      </c>
      <c r="F71" t="s">
        <v>51</v>
      </c>
      <c r="G71" t="s">
        <v>2155</v>
      </c>
      <c r="I71" t="s">
        <v>1497</v>
      </c>
      <c r="J71" t="b">
        <v>0</v>
      </c>
    </row>
    <row r="72" spans="1:10" x14ac:dyDescent="0.3">
      <c r="A72" t="s">
        <v>1459</v>
      </c>
      <c r="C72" t="s">
        <v>1585</v>
      </c>
      <c r="D72" t="s">
        <v>2432</v>
      </c>
      <c r="E72" t="s">
        <v>51</v>
      </c>
      <c r="F72" t="s">
        <v>51</v>
      </c>
      <c r="G72" t="s">
        <v>2156</v>
      </c>
      <c r="I72" t="s">
        <v>1497</v>
      </c>
      <c r="J72" t="b">
        <v>0</v>
      </c>
    </row>
    <row r="73" spans="1:10" x14ac:dyDescent="0.3">
      <c r="A73" t="s">
        <v>1459</v>
      </c>
      <c r="C73" t="s">
        <v>1585</v>
      </c>
      <c r="D73" t="s">
        <v>2432</v>
      </c>
      <c r="E73" t="s">
        <v>51</v>
      </c>
      <c r="F73" t="s">
        <v>51</v>
      </c>
      <c r="G73" t="s">
        <v>2157</v>
      </c>
      <c r="I73" t="s">
        <v>1497</v>
      </c>
      <c r="J73" t="b">
        <v>0</v>
      </c>
    </row>
    <row r="74" spans="1:10" x14ac:dyDescent="0.3">
      <c r="A74" t="s">
        <v>1459</v>
      </c>
      <c r="C74" t="s">
        <v>1585</v>
      </c>
      <c r="D74" t="s">
        <v>2432</v>
      </c>
      <c r="E74" t="s">
        <v>51</v>
      </c>
      <c r="F74" t="s">
        <v>51</v>
      </c>
      <c r="G74" t="s">
        <v>2158</v>
      </c>
      <c r="I74" t="s">
        <v>1497</v>
      </c>
      <c r="J74" t="b">
        <v>0</v>
      </c>
    </row>
    <row r="75" spans="1:10" x14ac:dyDescent="0.3">
      <c r="A75" t="s">
        <v>1459</v>
      </c>
      <c r="C75" t="s">
        <v>1585</v>
      </c>
      <c r="D75" t="s">
        <v>2432</v>
      </c>
      <c r="E75" t="s">
        <v>51</v>
      </c>
      <c r="F75" t="s">
        <v>51</v>
      </c>
      <c r="G75" t="s">
        <v>2159</v>
      </c>
      <c r="I75" t="s">
        <v>1497</v>
      </c>
      <c r="J75" t="b">
        <v>0</v>
      </c>
    </row>
    <row r="76" spans="1:10" x14ac:dyDescent="0.3">
      <c r="A76" t="s">
        <v>1459</v>
      </c>
      <c r="C76" t="s">
        <v>1585</v>
      </c>
      <c r="D76" t="s">
        <v>2432</v>
      </c>
      <c r="E76" t="s">
        <v>51</v>
      </c>
      <c r="F76" t="s">
        <v>51</v>
      </c>
      <c r="G76" t="s">
        <v>2160</v>
      </c>
      <c r="I76" t="s">
        <v>1497</v>
      </c>
      <c r="J76" t="b">
        <v>0</v>
      </c>
    </row>
    <row r="77" spans="1:10" x14ac:dyDescent="0.3">
      <c r="A77" t="s">
        <v>1459</v>
      </c>
      <c r="C77" t="s">
        <v>1585</v>
      </c>
      <c r="D77" t="s">
        <v>2432</v>
      </c>
      <c r="E77" t="s">
        <v>51</v>
      </c>
      <c r="F77" t="s">
        <v>51</v>
      </c>
      <c r="G77" t="s">
        <v>2161</v>
      </c>
      <c r="I77" t="s">
        <v>1497</v>
      </c>
      <c r="J77" t="b">
        <v>0</v>
      </c>
    </row>
    <row r="78" spans="1:10" x14ac:dyDescent="0.3">
      <c r="A78" t="s">
        <v>1459</v>
      </c>
      <c r="C78" t="s">
        <v>1585</v>
      </c>
      <c r="D78" t="s">
        <v>2432</v>
      </c>
      <c r="E78" t="s">
        <v>51</v>
      </c>
      <c r="F78" t="s">
        <v>51</v>
      </c>
      <c r="G78" t="s">
        <v>2162</v>
      </c>
      <c r="I78" t="s">
        <v>1497</v>
      </c>
      <c r="J78" t="b">
        <v>0</v>
      </c>
    </row>
    <row r="79" spans="1:10" x14ac:dyDescent="0.3">
      <c r="A79" t="s">
        <v>1459</v>
      </c>
      <c r="C79" t="s">
        <v>1585</v>
      </c>
      <c r="D79" t="s">
        <v>2432</v>
      </c>
      <c r="E79" t="s">
        <v>51</v>
      </c>
      <c r="F79" t="s">
        <v>51</v>
      </c>
      <c r="G79" t="s">
        <v>2163</v>
      </c>
      <c r="I79" t="s">
        <v>1497</v>
      </c>
      <c r="J79" t="b">
        <v>0</v>
      </c>
    </row>
    <row r="80" spans="1:10" x14ac:dyDescent="0.3">
      <c r="A80" t="s">
        <v>1459</v>
      </c>
      <c r="C80" t="s">
        <v>1585</v>
      </c>
      <c r="D80" t="s">
        <v>2432</v>
      </c>
      <c r="E80" t="s">
        <v>51</v>
      </c>
      <c r="F80" t="s">
        <v>51</v>
      </c>
      <c r="G80" t="s">
        <v>2164</v>
      </c>
      <c r="I80" t="s">
        <v>1497</v>
      </c>
      <c r="J80" t="b">
        <v>0</v>
      </c>
    </row>
    <row r="81" spans="1:10" x14ac:dyDescent="0.3">
      <c r="A81" t="s">
        <v>1459</v>
      </c>
      <c r="C81" t="s">
        <v>1585</v>
      </c>
      <c r="D81" t="s">
        <v>2432</v>
      </c>
      <c r="E81" t="s">
        <v>51</v>
      </c>
      <c r="F81" t="s">
        <v>51</v>
      </c>
      <c r="G81" t="s">
        <v>2175</v>
      </c>
      <c r="I81" t="s">
        <v>1497</v>
      </c>
      <c r="J81" t="b">
        <v>0</v>
      </c>
    </row>
    <row r="82" spans="1:10" x14ac:dyDescent="0.3">
      <c r="A82" t="s">
        <v>1459</v>
      </c>
      <c r="C82" t="s">
        <v>1585</v>
      </c>
      <c r="D82" t="s">
        <v>2432</v>
      </c>
      <c r="E82" t="s">
        <v>51</v>
      </c>
      <c r="F82" t="s">
        <v>51</v>
      </c>
      <c r="G82" t="s">
        <v>2166</v>
      </c>
      <c r="I82" t="s">
        <v>1497</v>
      </c>
      <c r="J82" t="b">
        <v>0</v>
      </c>
    </row>
    <row r="83" spans="1:10" x14ac:dyDescent="0.3">
      <c r="A83" t="s">
        <v>1459</v>
      </c>
      <c r="C83" t="s">
        <v>1585</v>
      </c>
      <c r="D83" t="s">
        <v>2432</v>
      </c>
      <c r="E83" t="s">
        <v>51</v>
      </c>
      <c r="F83" t="s">
        <v>51</v>
      </c>
      <c r="G83" t="s">
        <v>2167</v>
      </c>
      <c r="I83" t="s">
        <v>1497</v>
      </c>
      <c r="J83" t="b">
        <v>0</v>
      </c>
    </row>
    <row r="84" spans="1:10" x14ac:dyDescent="0.3">
      <c r="A84" t="s">
        <v>1459</v>
      </c>
      <c r="C84" t="s">
        <v>1585</v>
      </c>
      <c r="D84" t="s">
        <v>2432</v>
      </c>
      <c r="E84" t="s">
        <v>51</v>
      </c>
      <c r="F84" t="s">
        <v>51</v>
      </c>
      <c r="G84" t="s">
        <v>2168</v>
      </c>
      <c r="I84" t="s">
        <v>1497</v>
      </c>
      <c r="J84" t="b">
        <v>0</v>
      </c>
    </row>
    <row r="85" spans="1:10" x14ac:dyDescent="0.3">
      <c r="A85" t="s">
        <v>1459</v>
      </c>
      <c r="C85" t="s">
        <v>1585</v>
      </c>
      <c r="D85" t="s">
        <v>2432</v>
      </c>
      <c r="E85" t="s">
        <v>51</v>
      </c>
      <c r="F85" t="s">
        <v>51</v>
      </c>
      <c r="G85" t="s">
        <v>2169</v>
      </c>
      <c r="I85" t="s">
        <v>1497</v>
      </c>
      <c r="J85" t="b">
        <v>0</v>
      </c>
    </row>
    <row r="86" spans="1:10" x14ac:dyDescent="0.3">
      <c r="A86" t="s">
        <v>1459</v>
      </c>
      <c r="C86" t="s">
        <v>1585</v>
      </c>
      <c r="D86" t="s">
        <v>2432</v>
      </c>
      <c r="E86" t="s">
        <v>51</v>
      </c>
      <c r="F86" t="s">
        <v>51</v>
      </c>
      <c r="G86" t="s">
        <v>2170</v>
      </c>
      <c r="I86" t="s">
        <v>1497</v>
      </c>
      <c r="J86" t="b">
        <v>0</v>
      </c>
    </row>
    <row r="87" spans="1:10" x14ac:dyDescent="0.3">
      <c r="A87" t="s">
        <v>1461</v>
      </c>
      <c r="D87" t="s">
        <v>2285</v>
      </c>
      <c r="G87" t="s">
        <v>2418</v>
      </c>
      <c r="I87" t="s">
        <v>1497</v>
      </c>
      <c r="J87" t="b">
        <v>0</v>
      </c>
    </row>
    <row r="88" spans="1:10" x14ac:dyDescent="0.3">
      <c r="A88" t="s">
        <v>1461</v>
      </c>
      <c r="D88" t="s">
        <v>2432</v>
      </c>
      <c r="G88" t="s">
        <v>2418</v>
      </c>
      <c r="I88" t="s">
        <v>1497</v>
      </c>
      <c r="J88" t="b">
        <v>0</v>
      </c>
    </row>
    <row r="89" spans="1:10" x14ac:dyDescent="0.3">
      <c r="A89" t="s">
        <v>1461</v>
      </c>
      <c r="D89" t="s">
        <v>2285</v>
      </c>
      <c r="G89" t="s">
        <v>2417</v>
      </c>
      <c r="I89" t="s">
        <v>1497</v>
      </c>
      <c r="J89" t="b">
        <v>0</v>
      </c>
    </row>
    <row r="90" spans="1:10" x14ac:dyDescent="0.3">
      <c r="A90" t="s">
        <v>1461</v>
      </c>
      <c r="D90" t="s">
        <v>2432</v>
      </c>
      <c r="G90" t="s">
        <v>2417</v>
      </c>
      <c r="I90" t="s">
        <v>1497</v>
      </c>
      <c r="J90" t="b">
        <v>0</v>
      </c>
    </row>
    <row r="91" spans="1:10" x14ac:dyDescent="0.3">
      <c r="A91" t="s">
        <v>1461</v>
      </c>
      <c r="D91" t="s">
        <v>2285</v>
      </c>
      <c r="G91" t="s">
        <v>2420</v>
      </c>
      <c r="I91" t="s">
        <v>1497</v>
      </c>
      <c r="J91" t="b">
        <v>0</v>
      </c>
    </row>
    <row r="92" spans="1:10" x14ac:dyDescent="0.3">
      <c r="A92" t="s">
        <v>1461</v>
      </c>
      <c r="D92" t="s">
        <v>2432</v>
      </c>
      <c r="G92" t="s">
        <v>2420</v>
      </c>
      <c r="I92" t="s">
        <v>1497</v>
      </c>
      <c r="J92" t="b">
        <v>0</v>
      </c>
    </row>
    <row r="93" spans="1:10" x14ac:dyDescent="0.3">
      <c r="A93" t="s">
        <v>1461</v>
      </c>
      <c r="D93" t="s">
        <v>2285</v>
      </c>
      <c r="G93" t="s">
        <v>2419</v>
      </c>
      <c r="I93" t="s">
        <v>1497</v>
      </c>
      <c r="J93" t="b">
        <v>0</v>
      </c>
    </row>
    <row r="94" spans="1:10" x14ac:dyDescent="0.3">
      <c r="A94" t="s">
        <v>1461</v>
      </c>
      <c r="D94" t="s">
        <v>2432</v>
      </c>
      <c r="G94" t="s">
        <v>2419</v>
      </c>
      <c r="I94" t="s">
        <v>1497</v>
      </c>
      <c r="J94" t="b">
        <v>0</v>
      </c>
    </row>
    <row r="95" spans="1:10" x14ac:dyDescent="0.3">
      <c r="A95" t="s">
        <v>1463</v>
      </c>
      <c r="C95" t="s">
        <v>1073</v>
      </c>
      <c r="D95" t="s">
        <v>2285</v>
      </c>
      <c r="E95" t="s">
        <v>51</v>
      </c>
      <c r="F95" t="s">
        <v>51</v>
      </c>
      <c r="G95" t="s">
        <v>1448</v>
      </c>
      <c r="I95" t="s">
        <v>1497</v>
      </c>
      <c r="J95" t="b">
        <v>0</v>
      </c>
    </row>
    <row r="96" spans="1:10" x14ac:dyDescent="0.3">
      <c r="A96" t="s">
        <v>1463</v>
      </c>
      <c r="C96" t="s">
        <v>1073</v>
      </c>
      <c r="D96" t="s">
        <v>2432</v>
      </c>
      <c r="E96" t="s">
        <v>51</v>
      </c>
      <c r="F96" t="s">
        <v>51</v>
      </c>
      <c r="G96" t="s">
        <v>1448</v>
      </c>
      <c r="I96" t="s">
        <v>1497</v>
      </c>
      <c r="J96" t="b">
        <v>0</v>
      </c>
    </row>
    <row r="97" spans="1:10" x14ac:dyDescent="0.3">
      <c r="A97" t="s">
        <v>1463</v>
      </c>
      <c r="C97" t="s">
        <v>1073</v>
      </c>
      <c r="D97" t="s">
        <v>39</v>
      </c>
      <c r="E97" t="s">
        <v>51</v>
      </c>
      <c r="F97" t="s">
        <v>51</v>
      </c>
      <c r="G97" t="s">
        <v>1448</v>
      </c>
      <c r="I97" t="s">
        <v>1497</v>
      </c>
      <c r="J97" t="b">
        <v>0</v>
      </c>
    </row>
    <row r="98" spans="1:10" x14ac:dyDescent="0.3">
      <c r="A98" t="s">
        <v>1463</v>
      </c>
      <c r="C98" t="s">
        <v>1076</v>
      </c>
      <c r="D98" t="s">
        <v>2285</v>
      </c>
      <c r="E98" t="s">
        <v>51</v>
      </c>
      <c r="F98" t="s">
        <v>51</v>
      </c>
      <c r="G98" t="s">
        <v>1449</v>
      </c>
      <c r="I98" t="s">
        <v>1497</v>
      </c>
      <c r="J98" t="b">
        <v>0</v>
      </c>
    </row>
    <row r="99" spans="1:10" x14ac:dyDescent="0.3">
      <c r="A99" t="s">
        <v>1463</v>
      </c>
      <c r="C99" t="s">
        <v>1076</v>
      </c>
      <c r="D99" t="s">
        <v>2432</v>
      </c>
      <c r="E99" t="s">
        <v>51</v>
      </c>
      <c r="F99" t="s">
        <v>51</v>
      </c>
      <c r="G99" t="s">
        <v>1449</v>
      </c>
      <c r="I99" t="s">
        <v>1497</v>
      </c>
      <c r="J99" t="b">
        <v>0</v>
      </c>
    </row>
    <row r="100" spans="1:10" x14ac:dyDescent="0.3">
      <c r="A100" t="s">
        <v>1463</v>
      </c>
      <c r="C100" t="s">
        <v>1076</v>
      </c>
      <c r="D100" t="s">
        <v>39</v>
      </c>
      <c r="E100" t="s">
        <v>51</v>
      </c>
      <c r="F100" t="s">
        <v>51</v>
      </c>
      <c r="G100" t="s">
        <v>1449</v>
      </c>
      <c r="I100" t="s">
        <v>1497</v>
      </c>
      <c r="J100" t="b">
        <v>0</v>
      </c>
    </row>
    <row r="101" spans="1:10" x14ac:dyDescent="0.3">
      <c r="A101" t="s">
        <v>1456</v>
      </c>
      <c r="B101" t="s">
        <v>2335</v>
      </c>
      <c r="E101">
        <v>0</v>
      </c>
      <c r="I101" t="s">
        <v>1497</v>
      </c>
      <c r="J101" t="b">
        <v>0</v>
      </c>
    </row>
  </sheetData>
  <pageMargins left="0.7" right="0.7" top="0.75" bottom="0.75" header="0.3" footer="0.3"/>
  <tableParts count="1">
    <tablePart r:id="rId1"/>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2EDC0-7047-45AF-90B5-3BD758FCA537}">
  <sheetPr>
    <tabColor theme="0"/>
  </sheetPr>
  <dimension ref="A1:P411"/>
  <sheetViews>
    <sheetView workbookViewId="0">
      <selection activeCell="D11" sqref="D11"/>
    </sheetView>
  </sheetViews>
  <sheetFormatPr defaultRowHeight="14.4" x14ac:dyDescent="0.3"/>
  <cols>
    <col min="1" max="1" width="15.5546875" bestFit="1" customWidth="1"/>
    <col min="2" max="2" width="14.6640625" bestFit="1" customWidth="1"/>
    <col min="3" max="3" width="13.6640625" bestFit="1" customWidth="1"/>
    <col min="4" max="4" width="13.88671875" bestFit="1" customWidth="1"/>
    <col min="5" max="5" width="18.6640625" bestFit="1" customWidth="1"/>
    <col min="6" max="6" width="12.33203125" bestFit="1" customWidth="1"/>
    <col min="7" max="7" width="21.109375" bestFit="1" customWidth="1"/>
    <col min="8" max="8" width="20.109375" bestFit="1" customWidth="1"/>
    <col min="9" max="9" width="52.6640625" bestFit="1" customWidth="1"/>
    <col min="10" max="10" width="8.5546875" bestFit="1" customWidth="1"/>
    <col min="11" max="11" width="12.5546875" bestFit="1" customWidth="1"/>
    <col min="12" max="12" width="14.44140625" bestFit="1" customWidth="1"/>
    <col min="13" max="13" width="20" bestFit="1" customWidth="1"/>
    <col min="14" max="14" width="12.5546875" bestFit="1" customWidth="1"/>
    <col min="15" max="15" width="12.44140625" bestFit="1" customWidth="1"/>
    <col min="16" max="16" width="13.5546875" bestFit="1" customWidth="1"/>
  </cols>
  <sheetData>
    <row r="1" spans="1:16" x14ac:dyDescent="0.3">
      <c r="A1" t="s">
        <v>1331</v>
      </c>
      <c r="B1" t="s">
        <v>893</v>
      </c>
      <c r="C1" t="s">
        <v>871</v>
      </c>
      <c r="D1" t="s">
        <v>857</v>
      </c>
      <c r="E1" t="s">
        <v>884</v>
      </c>
      <c r="F1" t="s">
        <v>49</v>
      </c>
      <c r="G1" t="s">
        <v>1136</v>
      </c>
      <c r="H1" t="s">
        <v>1382</v>
      </c>
      <c r="I1" t="s">
        <v>1383</v>
      </c>
      <c r="J1" t="s">
        <v>44</v>
      </c>
      <c r="K1" t="s">
        <v>1384</v>
      </c>
      <c r="L1" t="s">
        <v>1374</v>
      </c>
      <c r="M1" t="s">
        <v>1385</v>
      </c>
      <c r="N1" t="s">
        <v>1386</v>
      </c>
      <c r="O1" t="s">
        <v>1387</v>
      </c>
      <c r="P1" t="s">
        <v>1453</v>
      </c>
    </row>
    <row r="2" spans="1:16" x14ac:dyDescent="0.3">
      <c r="C2" t="s">
        <v>39</v>
      </c>
      <c r="G2" t="s">
        <v>1184</v>
      </c>
      <c r="H2" t="s">
        <v>1124</v>
      </c>
      <c r="I2" t="s">
        <v>1443</v>
      </c>
      <c r="L2" t="b">
        <v>1</v>
      </c>
      <c r="M2" t="s">
        <v>1410</v>
      </c>
      <c r="N2" t="b">
        <v>0</v>
      </c>
      <c r="O2">
        <v>0</v>
      </c>
      <c r="P2" t="s">
        <v>2421</v>
      </c>
    </row>
    <row r="3" spans="1:16" x14ac:dyDescent="0.3">
      <c r="C3" t="s">
        <v>2284</v>
      </c>
      <c r="G3" t="s">
        <v>1586</v>
      </c>
      <c r="H3" t="s">
        <v>1124</v>
      </c>
      <c r="I3" t="s">
        <v>2055</v>
      </c>
      <c r="L3" t="b">
        <v>1</v>
      </c>
      <c r="M3" t="s">
        <v>1410</v>
      </c>
      <c r="N3" t="b">
        <v>0</v>
      </c>
      <c r="O3">
        <v>0</v>
      </c>
      <c r="P3" t="s">
        <v>2421</v>
      </c>
    </row>
    <row r="4" spans="1:16" x14ac:dyDescent="0.3">
      <c r="C4" t="s">
        <v>2282</v>
      </c>
      <c r="G4" t="s">
        <v>1586</v>
      </c>
      <c r="H4" t="s">
        <v>1124</v>
      </c>
      <c r="I4" t="s">
        <v>2055</v>
      </c>
      <c r="L4" t="b">
        <v>1</v>
      </c>
      <c r="M4" t="s">
        <v>1410</v>
      </c>
      <c r="N4" t="b">
        <v>0</v>
      </c>
      <c r="O4">
        <v>0</v>
      </c>
      <c r="P4" t="s">
        <v>2421</v>
      </c>
    </row>
    <row r="5" spans="1:16" x14ac:dyDescent="0.3">
      <c r="C5" t="s">
        <v>2283</v>
      </c>
      <c r="G5" t="s">
        <v>1586</v>
      </c>
      <c r="H5" t="s">
        <v>1124</v>
      </c>
      <c r="I5" t="s">
        <v>2055</v>
      </c>
      <c r="L5" t="b">
        <v>1</v>
      </c>
      <c r="M5" t="s">
        <v>1410</v>
      </c>
      <c r="N5" t="b">
        <v>0</v>
      </c>
      <c r="O5">
        <v>0</v>
      </c>
      <c r="P5" t="s">
        <v>2421</v>
      </c>
    </row>
    <row r="6" spans="1:16" x14ac:dyDescent="0.3">
      <c r="C6" t="s">
        <v>2285</v>
      </c>
      <c r="G6" t="s">
        <v>1585</v>
      </c>
      <c r="H6" t="s">
        <v>1124</v>
      </c>
      <c r="I6" t="s">
        <v>2057</v>
      </c>
      <c r="L6" t="b">
        <v>1</v>
      </c>
      <c r="M6" t="s">
        <v>1410</v>
      </c>
      <c r="N6" t="b">
        <v>0</v>
      </c>
      <c r="O6">
        <v>0</v>
      </c>
      <c r="P6" t="s">
        <v>2421</v>
      </c>
    </row>
    <row r="7" spans="1:16" x14ac:dyDescent="0.3">
      <c r="C7" t="s">
        <v>2281</v>
      </c>
      <c r="G7" t="s">
        <v>1585</v>
      </c>
      <c r="H7" t="s">
        <v>1124</v>
      </c>
      <c r="I7" t="s">
        <v>2057</v>
      </c>
      <c r="L7" t="b">
        <v>1</v>
      </c>
      <c r="M7" t="s">
        <v>1410</v>
      </c>
      <c r="N7" t="b">
        <v>0</v>
      </c>
      <c r="O7">
        <v>0</v>
      </c>
      <c r="P7" t="s">
        <v>2421</v>
      </c>
    </row>
    <row r="8" spans="1:16" x14ac:dyDescent="0.3">
      <c r="C8" t="s">
        <v>2284</v>
      </c>
      <c r="G8" t="s">
        <v>1585</v>
      </c>
      <c r="H8" t="s">
        <v>1124</v>
      </c>
      <c r="I8" t="s">
        <v>2057</v>
      </c>
      <c r="L8" t="b">
        <v>1</v>
      </c>
      <c r="M8" t="s">
        <v>1410</v>
      </c>
      <c r="N8" t="b">
        <v>0</v>
      </c>
      <c r="O8">
        <v>0</v>
      </c>
      <c r="P8" t="s">
        <v>2421</v>
      </c>
    </row>
    <row r="9" spans="1:16" x14ac:dyDescent="0.3">
      <c r="C9" t="s">
        <v>2293</v>
      </c>
      <c r="G9" t="s">
        <v>1585</v>
      </c>
      <c r="H9" t="s">
        <v>1124</v>
      </c>
      <c r="I9" t="s">
        <v>2057</v>
      </c>
      <c r="L9" t="b">
        <v>1</v>
      </c>
      <c r="M9" t="s">
        <v>1410</v>
      </c>
      <c r="N9" t="b">
        <v>0</v>
      </c>
      <c r="O9">
        <v>0</v>
      </c>
      <c r="P9" t="s">
        <v>2421</v>
      </c>
    </row>
    <row r="10" spans="1:16" x14ac:dyDescent="0.3">
      <c r="C10" t="s">
        <v>2280</v>
      </c>
      <c r="G10" t="s">
        <v>1585</v>
      </c>
      <c r="H10" t="s">
        <v>1124</v>
      </c>
      <c r="I10" t="s">
        <v>2057</v>
      </c>
      <c r="L10" t="b">
        <v>1</v>
      </c>
      <c r="M10" t="s">
        <v>1410</v>
      </c>
      <c r="N10" t="b">
        <v>0</v>
      </c>
      <c r="O10">
        <v>0</v>
      </c>
      <c r="P10" t="s">
        <v>2421</v>
      </c>
    </row>
    <row r="11" spans="1:16" x14ac:dyDescent="0.3">
      <c r="C11" t="s">
        <v>2283</v>
      </c>
      <c r="G11" t="s">
        <v>1585</v>
      </c>
      <c r="H11" t="s">
        <v>1124</v>
      </c>
      <c r="I11" t="s">
        <v>2057</v>
      </c>
      <c r="L11" t="b">
        <v>1</v>
      </c>
      <c r="M11" t="s">
        <v>1410</v>
      </c>
      <c r="N11" t="b">
        <v>0</v>
      </c>
      <c r="O11">
        <v>0</v>
      </c>
      <c r="P11" t="s">
        <v>2421</v>
      </c>
    </row>
    <row r="12" spans="1:16" x14ac:dyDescent="0.3">
      <c r="C12" t="s">
        <v>2288</v>
      </c>
      <c r="G12" t="s">
        <v>904</v>
      </c>
      <c r="H12" t="s">
        <v>1124</v>
      </c>
      <c r="I12" t="s">
        <v>1764</v>
      </c>
      <c r="L12" t="b">
        <v>1</v>
      </c>
      <c r="M12" t="s">
        <v>1410</v>
      </c>
      <c r="N12" t="b">
        <v>0</v>
      </c>
      <c r="O12">
        <v>0</v>
      </c>
      <c r="P12" t="s">
        <v>2421</v>
      </c>
    </row>
    <row r="13" spans="1:16" x14ac:dyDescent="0.3">
      <c r="C13" t="s">
        <v>2284</v>
      </c>
      <c r="G13" t="s">
        <v>904</v>
      </c>
      <c r="H13" t="s">
        <v>1124</v>
      </c>
      <c r="I13" t="s">
        <v>1764</v>
      </c>
      <c r="L13" t="b">
        <v>1</v>
      </c>
      <c r="M13" t="s">
        <v>1410</v>
      </c>
      <c r="N13" t="b">
        <v>0</v>
      </c>
      <c r="O13">
        <v>0</v>
      </c>
      <c r="P13" t="s">
        <v>2421</v>
      </c>
    </row>
    <row r="14" spans="1:16" x14ac:dyDescent="0.3">
      <c r="C14" t="s">
        <v>2291</v>
      </c>
      <c r="G14" t="s">
        <v>904</v>
      </c>
      <c r="H14" t="s">
        <v>1124</v>
      </c>
      <c r="I14" t="s">
        <v>1764</v>
      </c>
      <c r="L14" t="b">
        <v>1</v>
      </c>
      <c r="M14" t="s">
        <v>1410</v>
      </c>
      <c r="N14" t="b">
        <v>0</v>
      </c>
      <c r="O14">
        <v>0</v>
      </c>
      <c r="P14" t="s">
        <v>2421</v>
      </c>
    </row>
    <row r="15" spans="1:16" x14ac:dyDescent="0.3">
      <c r="C15" t="s">
        <v>2282</v>
      </c>
      <c r="G15" t="s">
        <v>904</v>
      </c>
      <c r="H15" t="s">
        <v>1124</v>
      </c>
      <c r="I15" t="s">
        <v>1764</v>
      </c>
      <c r="L15" t="b">
        <v>1</v>
      </c>
      <c r="M15" t="s">
        <v>1410</v>
      </c>
      <c r="N15" t="b">
        <v>0</v>
      </c>
      <c r="O15">
        <v>0</v>
      </c>
      <c r="P15" t="s">
        <v>2421</v>
      </c>
    </row>
    <row r="16" spans="1:16" x14ac:dyDescent="0.3">
      <c r="C16" t="s">
        <v>2283</v>
      </c>
      <c r="G16" t="s">
        <v>904</v>
      </c>
      <c r="H16" t="s">
        <v>1124</v>
      </c>
      <c r="I16" t="s">
        <v>1764</v>
      </c>
      <c r="L16" t="b">
        <v>1</v>
      </c>
      <c r="M16" t="s">
        <v>1410</v>
      </c>
      <c r="N16" t="b">
        <v>0</v>
      </c>
      <c r="O16">
        <v>0</v>
      </c>
      <c r="P16" t="s">
        <v>2421</v>
      </c>
    </row>
    <row r="17" spans="3:16" x14ac:dyDescent="0.3">
      <c r="C17" t="s">
        <v>2285</v>
      </c>
      <c r="G17" t="s">
        <v>906</v>
      </c>
      <c r="H17" t="s">
        <v>1124</v>
      </c>
      <c r="I17" t="s">
        <v>1765</v>
      </c>
      <c r="L17" t="b">
        <v>1</v>
      </c>
      <c r="M17" t="s">
        <v>1410</v>
      </c>
      <c r="N17" t="b">
        <v>0</v>
      </c>
      <c r="O17">
        <v>0</v>
      </c>
      <c r="P17" t="s">
        <v>2421</v>
      </c>
    </row>
    <row r="18" spans="3:16" x14ac:dyDescent="0.3">
      <c r="C18" t="s">
        <v>2281</v>
      </c>
      <c r="G18" t="s">
        <v>906</v>
      </c>
      <c r="H18" t="s">
        <v>1124</v>
      </c>
      <c r="I18" t="s">
        <v>1765</v>
      </c>
      <c r="L18" t="b">
        <v>1</v>
      </c>
      <c r="M18" t="s">
        <v>1410</v>
      </c>
      <c r="N18" t="b">
        <v>0</v>
      </c>
      <c r="O18">
        <v>0</v>
      </c>
      <c r="P18" t="s">
        <v>2421</v>
      </c>
    </row>
    <row r="19" spans="3:16" x14ac:dyDescent="0.3">
      <c r="C19" t="s">
        <v>2288</v>
      </c>
      <c r="G19" t="s">
        <v>906</v>
      </c>
      <c r="H19" t="s">
        <v>1124</v>
      </c>
      <c r="I19" t="s">
        <v>1765</v>
      </c>
      <c r="L19" t="b">
        <v>1</v>
      </c>
      <c r="M19" t="s">
        <v>1410</v>
      </c>
      <c r="N19" t="b">
        <v>0</v>
      </c>
      <c r="O19">
        <v>0</v>
      </c>
      <c r="P19" t="s">
        <v>2421</v>
      </c>
    </row>
    <row r="20" spans="3:16" x14ac:dyDescent="0.3">
      <c r="C20" t="s">
        <v>2284</v>
      </c>
      <c r="G20" t="s">
        <v>906</v>
      </c>
      <c r="H20" t="s">
        <v>1124</v>
      </c>
      <c r="I20" t="s">
        <v>1765</v>
      </c>
      <c r="L20" t="b">
        <v>1</v>
      </c>
      <c r="M20" t="s">
        <v>1410</v>
      </c>
      <c r="N20" t="b">
        <v>0</v>
      </c>
      <c r="O20">
        <v>0</v>
      </c>
      <c r="P20" t="s">
        <v>2421</v>
      </c>
    </row>
    <row r="21" spans="3:16" x14ac:dyDescent="0.3">
      <c r="C21" t="s">
        <v>2291</v>
      </c>
      <c r="G21" t="s">
        <v>906</v>
      </c>
      <c r="H21" t="s">
        <v>1124</v>
      </c>
      <c r="I21" t="s">
        <v>1765</v>
      </c>
      <c r="L21" t="b">
        <v>1</v>
      </c>
      <c r="M21" t="s">
        <v>1410</v>
      </c>
      <c r="N21" t="b">
        <v>0</v>
      </c>
      <c r="O21">
        <v>0</v>
      </c>
      <c r="P21" t="s">
        <v>2421</v>
      </c>
    </row>
    <row r="22" spans="3:16" x14ac:dyDescent="0.3">
      <c r="C22" t="s">
        <v>2293</v>
      </c>
      <c r="G22" t="s">
        <v>906</v>
      </c>
      <c r="H22" t="s">
        <v>1124</v>
      </c>
      <c r="I22" t="s">
        <v>1765</v>
      </c>
      <c r="L22" t="b">
        <v>1</v>
      </c>
      <c r="M22" t="s">
        <v>1410</v>
      </c>
      <c r="N22" t="b">
        <v>0</v>
      </c>
      <c r="O22">
        <v>0</v>
      </c>
      <c r="P22" t="s">
        <v>2421</v>
      </c>
    </row>
    <row r="23" spans="3:16" x14ac:dyDescent="0.3">
      <c r="C23" t="s">
        <v>2280</v>
      </c>
      <c r="G23" t="s">
        <v>906</v>
      </c>
      <c r="H23" t="s">
        <v>1124</v>
      </c>
      <c r="I23" t="s">
        <v>1765</v>
      </c>
      <c r="L23" t="b">
        <v>1</v>
      </c>
      <c r="M23" t="s">
        <v>1410</v>
      </c>
      <c r="N23" t="b">
        <v>0</v>
      </c>
      <c r="O23">
        <v>0</v>
      </c>
      <c r="P23" t="s">
        <v>2421</v>
      </c>
    </row>
    <row r="24" spans="3:16" x14ac:dyDescent="0.3">
      <c r="C24" t="s">
        <v>2283</v>
      </c>
      <c r="G24" t="s">
        <v>906</v>
      </c>
      <c r="H24" t="s">
        <v>1124</v>
      </c>
      <c r="I24" t="s">
        <v>1765</v>
      </c>
      <c r="L24" t="b">
        <v>1</v>
      </c>
      <c r="M24" t="s">
        <v>1410</v>
      </c>
      <c r="N24" t="b">
        <v>0</v>
      </c>
      <c r="O24">
        <v>0</v>
      </c>
      <c r="P24" t="s">
        <v>2421</v>
      </c>
    </row>
    <row r="25" spans="3:16" x14ac:dyDescent="0.3">
      <c r="C25" t="s">
        <v>2284</v>
      </c>
      <c r="G25" t="s">
        <v>2047</v>
      </c>
      <c r="H25" t="s">
        <v>1124</v>
      </c>
      <c r="I25" t="s">
        <v>2056</v>
      </c>
      <c r="L25" t="b">
        <v>1</v>
      </c>
      <c r="M25" t="s">
        <v>1410</v>
      </c>
      <c r="N25" t="b">
        <v>0</v>
      </c>
      <c r="O25">
        <v>0</v>
      </c>
      <c r="P25" t="s">
        <v>2421</v>
      </c>
    </row>
    <row r="26" spans="3:16" x14ac:dyDescent="0.3">
      <c r="C26" t="s">
        <v>2282</v>
      </c>
      <c r="G26" t="s">
        <v>2047</v>
      </c>
      <c r="H26" t="s">
        <v>1124</v>
      </c>
      <c r="I26" t="s">
        <v>2056</v>
      </c>
      <c r="L26" t="b">
        <v>1</v>
      </c>
      <c r="M26" t="s">
        <v>1410</v>
      </c>
      <c r="N26" t="b">
        <v>0</v>
      </c>
      <c r="O26">
        <v>0</v>
      </c>
      <c r="P26" t="s">
        <v>2421</v>
      </c>
    </row>
    <row r="27" spans="3:16" x14ac:dyDescent="0.3">
      <c r="C27" t="s">
        <v>2283</v>
      </c>
      <c r="G27" t="s">
        <v>2047</v>
      </c>
      <c r="H27" t="s">
        <v>1124</v>
      </c>
      <c r="I27" t="s">
        <v>2056</v>
      </c>
      <c r="L27" t="b">
        <v>1</v>
      </c>
      <c r="M27" t="s">
        <v>1410</v>
      </c>
      <c r="N27" t="b">
        <v>0</v>
      </c>
      <c r="O27">
        <v>0</v>
      </c>
      <c r="P27" t="s">
        <v>2421</v>
      </c>
    </row>
    <row r="28" spans="3:16" x14ac:dyDescent="0.3">
      <c r="C28" t="s">
        <v>2284</v>
      </c>
      <c r="G28" t="s">
        <v>2019</v>
      </c>
      <c r="H28" t="s">
        <v>1118</v>
      </c>
      <c r="I28" t="s">
        <v>2020</v>
      </c>
      <c r="L28" t="b">
        <v>1</v>
      </c>
      <c r="M28" t="s">
        <v>1410</v>
      </c>
      <c r="N28" t="b">
        <v>0</v>
      </c>
      <c r="O28">
        <v>0</v>
      </c>
      <c r="P28" t="s">
        <v>2421</v>
      </c>
    </row>
    <row r="29" spans="3:16" x14ac:dyDescent="0.3">
      <c r="C29" t="s">
        <v>2282</v>
      </c>
      <c r="G29" t="s">
        <v>2019</v>
      </c>
      <c r="H29" t="s">
        <v>1118</v>
      </c>
      <c r="I29" t="s">
        <v>2020</v>
      </c>
      <c r="L29" t="b">
        <v>1</v>
      </c>
      <c r="M29" t="s">
        <v>1410</v>
      </c>
      <c r="N29" t="b">
        <v>0</v>
      </c>
      <c r="O29">
        <v>0</v>
      </c>
      <c r="P29" t="s">
        <v>2421</v>
      </c>
    </row>
    <row r="30" spans="3:16" x14ac:dyDescent="0.3">
      <c r="C30" t="s">
        <v>2283</v>
      </c>
      <c r="G30" t="s">
        <v>2019</v>
      </c>
      <c r="H30" t="s">
        <v>1118</v>
      </c>
      <c r="I30" t="s">
        <v>2020</v>
      </c>
      <c r="L30" t="b">
        <v>1</v>
      </c>
      <c r="M30" t="s">
        <v>1410</v>
      </c>
      <c r="N30" t="b">
        <v>0</v>
      </c>
      <c r="O30">
        <v>0</v>
      </c>
      <c r="P30" t="s">
        <v>2421</v>
      </c>
    </row>
    <row r="31" spans="3:16" x14ac:dyDescent="0.3">
      <c r="C31" t="s">
        <v>2284</v>
      </c>
      <c r="G31" t="s">
        <v>2021</v>
      </c>
      <c r="H31" t="s">
        <v>1120</v>
      </c>
      <c r="I31" t="s">
        <v>2022</v>
      </c>
      <c r="L31" t="b">
        <v>1</v>
      </c>
      <c r="M31" t="s">
        <v>1410</v>
      </c>
      <c r="N31" t="b">
        <v>0</v>
      </c>
      <c r="O31">
        <v>0</v>
      </c>
      <c r="P31" t="s">
        <v>2421</v>
      </c>
    </row>
    <row r="32" spans="3:16" x14ac:dyDescent="0.3">
      <c r="C32" t="s">
        <v>2282</v>
      </c>
      <c r="G32" t="s">
        <v>2021</v>
      </c>
      <c r="H32" t="s">
        <v>1120</v>
      </c>
      <c r="I32" t="s">
        <v>2022</v>
      </c>
      <c r="L32" t="b">
        <v>1</v>
      </c>
      <c r="M32" t="s">
        <v>1410</v>
      </c>
      <c r="N32" t="b">
        <v>0</v>
      </c>
      <c r="O32">
        <v>0</v>
      </c>
      <c r="P32" t="s">
        <v>2421</v>
      </c>
    </row>
    <row r="33" spans="3:16" x14ac:dyDescent="0.3">
      <c r="C33" t="s">
        <v>2283</v>
      </c>
      <c r="G33" t="s">
        <v>2021</v>
      </c>
      <c r="H33" t="s">
        <v>1120</v>
      </c>
      <c r="I33" t="s">
        <v>2022</v>
      </c>
      <c r="L33" t="b">
        <v>1</v>
      </c>
      <c r="M33" t="s">
        <v>1410</v>
      </c>
      <c r="N33" t="b">
        <v>0</v>
      </c>
      <c r="O33">
        <v>0</v>
      </c>
      <c r="P33" t="s">
        <v>2421</v>
      </c>
    </row>
    <row r="34" spans="3:16" x14ac:dyDescent="0.3">
      <c r="C34" t="s">
        <v>2285</v>
      </c>
      <c r="G34" t="s">
        <v>1945</v>
      </c>
      <c r="H34" t="s">
        <v>1118</v>
      </c>
      <c r="I34" t="s">
        <v>1946</v>
      </c>
      <c r="L34" t="b">
        <v>1</v>
      </c>
      <c r="M34" t="s">
        <v>1410</v>
      </c>
      <c r="N34" t="b">
        <v>0</v>
      </c>
      <c r="O34">
        <v>0</v>
      </c>
      <c r="P34" t="s">
        <v>2421</v>
      </c>
    </row>
    <row r="35" spans="3:16" x14ac:dyDescent="0.3">
      <c r="C35" t="s">
        <v>2281</v>
      </c>
      <c r="G35" t="s">
        <v>1945</v>
      </c>
      <c r="H35" t="s">
        <v>1118</v>
      </c>
      <c r="I35" t="s">
        <v>1946</v>
      </c>
      <c r="L35" t="b">
        <v>1</v>
      </c>
      <c r="M35" t="s">
        <v>1410</v>
      </c>
      <c r="N35" t="b">
        <v>0</v>
      </c>
      <c r="O35">
        <v>0</v>
      </c>
      <c r="P35" t="s">
        <v>2421</v>
      </c>
    </row>
    <row r="36" spans="3:16" x14ac:dyDescent="0.3">
      <c r="C36" t="s">
        <v>2288</v>
      </c>
      <c r="G36" t="s">
        <v>1945</v>
      </c>
      <c r="H36" t="s">
        <v>1118</v>
      </c>
      <c r="I36" t="s">
        <v>1946</v>
      </c>
      <c r="L36" t="b">
        <v>1</v>
      </c>
      <c r="M36" t="s">
        <v>1410</v>
      </c>
      <c r="N36" t="b">
        <v>0</v>
      </c>
      <c r="O36">
        <v>0</v>
      </c>
      <c r="P36" t="s">
        <v>2421</v>
      </c>
    </row>
    <row r="37" spans="3:16" x14ac:dyDescent="0.3">
      <c r="C37" t="s">
        <v>2284</v>
      </c>
      <c r="G37" t="s">
        <v>1945</v>
      </c>
      <c r="H37" t="s">
        <v>1118</v>
      </c>
      <c r="I37" t="s">
        <v>1946</v>
      </c>
      <c r="L37" t="b">
        <v>1</v>
      </c>
      <c r="M37" t="s">
        <v>1410</v>
      </c>
      <c r="N37" t="b">
        <v>0</v>
      </c>
      <c r="O37">
        <v>0</v>
      </c>
      <c r="P37" t="s">
        <v>2421</v>
      </c>
    </row>
    <row r="38" spans="3:16" x14ac:dyDescent="0.3">
      <c r="C38" t="s">
        <v>2291</v>
      </c>
      <c r="G38" t="s">
        <v>1945</v>
      </c>
      <c r="H38" t="s">
        <v>1118</v>
      </c>
      <c r="I38" t="s">
        <v>1946</v>
      </c>
      <c r="L38" t="b">
        <v>1</v>
      </c>
      <c r="M38" t="s">
        <v>1410</v>
      </c>
      <c r="N38" t="b">
        <v>0</v>
      </c>
      <c r="O38">
        <v>0</v>
      </c>
      <c r="P38" t="s">
        <v>2421</v>
      </c>
    </row>
    <row r="39" spans="3:16" x14ac:dyDescent="0.3">
      <c r="C39" t="s">
        <v>2293</v>
      </c>
      <c r="G39" t="s">
        <v>1945</v>
      </c>
      <c r="H39" t="s">
        <v>1118</v>
      </c>
      <c r="I39" t="s">
        <v>1946</v>
      </c>
      <c r="L39" t="b">
        <v>1</v>
      </c>
      <c r="M39" t="s">
        <v>1410</v>
      </c>
      <c r="N39" t="b">
        <v>0</v>
      </c>
      <c r="O39">
        <v>0</v>
      </c>
      <c r="P39" t="s">
        <v>2421</v>
      </c>
    </row>
    <row r="40" spans="3:16" x14ac:dyDescent="0.3">
      <c r="C40" t="s">
        <v>2280</v>
      </c>
      <c r="G40" t="s">
        <v>1945</v>
      </c>
      <c r="H40" t="s">
        <v>1118</v>
      </c>
      <c r="I40" t="s">
        <v>1946</v>
      </c>
      <c r="L40" t="b">
        <v>1</v>
      </c>
      <c r="M40" t="s">
        <v>1410</v>
      </c>
      <c r="N40" t="b">
        <v>0</v>
      </c>
      <c r="O40">
        <v>0</v>
      </c>
      <c r="P40" t="s">
        <v>2421</v>
      </c>
    </row>
    <row r="41" spans="3:16" x14ac:dyDescent="0.3">
      <c r="C41" t="s">
        <v>2283</v>
      </c>
      <c r="G41" t="s">
        <v>1945</v>
      </c>
      <c r="H41" t="s">
        <v>1118</v>
      </c>
      <c r="I41" t="s">
        <v>1946</v>
      </c>
      <c r="L41" t="b">
        <v>1</v>
      </c>
      <c r="M41" t="s">
        <v>1410</v>
      </c>
      <c r="N41" t="b">
        <v>0</v>
      </c>
      <c r="O41">
        <v>0</v>
      </c>
      <c r="P41" t="s">
        <v>2421</v>
      </c>
    </row>
    <row r="42" spans="3:16" x14ac:dyDescent="0.3">
      <c r="C42" t="s">
        <v>2285</v>
      </c>
      <c r="G42" t="s">
        <v>1947</v>
      </c>
      <c r="H42" t="s">
        <v>1120</v>
      </c>
      <c r="I42" t="s">
        <v>1948</v>
      </c>
      <c r="L42" t="b">
        <v>1</v>
      </c>
      <c r="M42" t="s">
        <v>1410</v>
      </c>
      <c r="N42" t="b">
        <v>0</v>
      </c>
      <c r="O42">
        <v>0</v>
      </c>
      <c r="P42" t="s">
        <v>2421</v>
      </c>
    </row>
    <row r="43" spans="3:16" x14ac:dyDescent="0.3">
      <c r="C43" t="s">
        <v>2281</v>
      </c>
      <c r="G43" t="s">
        <v>1947</v>
      </c>
      <c r="H43" t="s">
        <v>1120</v>
      </c>
      <c r="I43" t="s">
        <v>1948</v>
      </c>
      <c r="L43" t="b">
        <v>1</v>
      </c>
      <c r="M43" t="s">
        <v>1410</v>
      </c>
      <c r="N43" t="b">
        <v>0</v>
      </c>
      <c r="O43">
        <v>0</v>
      </c>
      <c r="P43" t="s">
        <v>2421</v>
      </c>
    </row>
    <row r="44" spans="3:16" x14ac:dyDescent="0.3">
      <c r="C44" t="s">
        <v>2288</v>
      </c>
      <c r="G44" t="s">
        <v>1947</v>
      </c>
      <c r="H44" t="s">
        <v>1120</v>
      </c>
      <c r="I44" t="s">
        <v>1948</v>
      </c>
      <c r="L44" t="b">
        <v>1</v>
      </c>
      <c r="M44" t="s">
        <v>1410</v>
      </c>
      <c r="N44" t="b">
        <v>0</v>
      </c>
      <c r="O44">
        <v>0</v>
      </c>
      <c r="P44" t="s">
        <v>2421</v>
      </c>
    </row>
    <row r="45" spans="3:16" x14ac:dyDescent="0.3">
      <c r="C45" t="s">
        <v>2284</v>
      </c>
      <c r="G45" t="s">
        <v>1947</v>
      </c>
      <c r="H45" t="s">
        <v>1120</v>
      </c>
      <c r="I45" t="s">
        <v>1948</v>
      </c>
      <c r="L45" t="b">
        <v>1</v>
      </c>
      <c r="M45" t="s">
        <v>1410</v>
      </c>
      <c r="N45" t="b">
        <v>0</v>
      </c>
      <c r="O45">
        <v>0</v>
      </c>
      <c r="P45" t="s">
        <v>2421</v>
      </c>
    </row>
    <row r="46" spans="3:16" x14ac:dyDescent="0.3">
      <c r="C46" t="s">
        <v>2291</v>
      </c>
      <c r="G46" t="s">
        <v>1947</v>
      </c>
      <c r="H46" t="s">
        <v>1120</v>
      </c>
      <c r="I46" t="s">
        <v>1948</v>
      </c>
      <c r="L46" t="b">
        <v>1</v>
      </c>
      <c r="M46" t="s">
        <v>1410</v>
      </c>
      <c r="N46" t="b">
        <v>0</v>
      </c>
      <c r="O46">
        <v>0</v>
      </c>
      <c r="P46" t="s">
        <v>2421</v>
      </c>
    </row>
    <row r="47" spans="3:16" x14ac:dyDescent="0.3">
      <c r="C47" t="s">
        <v>2293</v>
      </c>
      <c r="G47" t="s">
        <v>1947</v>
      </c>
      <c r="H47" t="s">
        <v>1120</v>
      </c>
      <c r="I47" t="s">
        <v>1948</v>
      </c>
      <c r="L47" t="b">
        <v>1</v>
      </c>
      <c r="M47" t="s">
        <v>1410</v>
      </c>
      <c r="N47" t="b">
        <v>0</v>
      </c>
      <c r="O47">
        <v>0</v>
      </c>
      <c r="P47" t="s">
        <v>2421</v>
      </c>
    </row>
    <row r="48" spans="3:16" x14ac:dyDescent="0.3">
      <c r="C48" t="s">
        <v>2280</v>
      </c>
      <c r="G48" t="s">
        <v>1947</v>
      </c>
      <c r="H48" t="s">
        <v>1120</v>
      </c>
      <c r="I48" t="s">
        <v>1948</v>
      </c>
      <c r="L48" t="b">
        <v>1</v>
      </c>
      <c r="M48" t="s">
        <v>1410</v>
      </c>
      <c r="N48" t="b">
        <v>0</v>
      </c>
      <c r="O48">
        <v>0</v>
      </c>
      <c r="P48" t="s">
        <v>2421</v>
      </c>
    </row>
    <row r="49" spans="3:16" x14ac:dyDescent="0.3">
      <c r="C49" t="s">
        <v>2283</v>
      </c>
      <c r="G49" t="s">
        <v>1947</v>
      </c>
      <c r="H49" t="s">
        <v>1120</v>
      </c>
      <c r="I49" t="s">
        <v>1948</v>
      </c>
      <c r="L49" t="b">
        <v>1</v>
      </c>
      <c r="M49" t="s">
        <v>1410</v>
      </c>
      <c r="N49" t="b">
        <v>0</v>
      </c>
      <c r="O49">
        <v>0</v>
      </c>
      <c r="P49" t="s">
        <v>2421</v>
      </c>
    </row>
    <row r="50" spans="3:16" x14ac:dyDescent="0.3">
      <c r="C50" t="s">
        <v>2285</v>
      </c>
      <c r="G50" t="s">
        <v>1314</v>
      </c>
      <c r="H50" t="s">
        <v>1118</v>
      </c>
      <c r="I50" t="s">
        <v>1315</v>
      </c>
      <c r="L50" t="b">
        <v>1</v>
      </c>
      <c r="M50" t="s">
        <v>1410</v>
      </c>
      <c r="N50" t="b">
        <v>0</v>
      </c>
      <c r="O50">
        <v>0</v>
      </c>
      <c r="P50" t="s">
        <v>2421</v>
      </c>
    </row>
    <row r="51" spans="3:16" x14ac:dyDescent="0.3">
      <c r="C51" t="s">
        <v>2281</v>
      </c>
      <c r="G51" t="s">
        <v>1314</v>
      </c>
      <c r="H51" t="s">
        <v>1118</v>
      </c>
      <c r="I51" t="s">
        <v>1315</v>
      </c>
      <c r="L51" t="b">
        <v>1</v>
      </c>
      <c r="M51" t="s">
        <v>1410</v>
      </c>
      <c r="N51" t="b">
        <v>0</v>
      </c>
      <c r="O51">
        <v>0</v>
      </c>
      <c r="P51" t="s">
        <v>2421</v>
      </c>
    </row>
    <row r="52" spans="3:16" x14ac:dyDescent="0.3">
      <c r="C52" t="s">
        <v>2288</v>
      </c>
      <c r="G52" t="s">
        <v>1314</v>
      </c>
      <c r="H52" t="s">
        <v>1118</v>
      </c>
      <c r="I52" t="s">
        <v>1315</v>
      </c>
      <c r="L52" t="b">
        <v>1</v>
      </c>
      <c r="M52" t="s">
        <v>1410</v>
      </c>
      <c r="N52" t="b">
        <v>0</v>
      </c>
      <c r="O52">
        <v>0</v>
      </c>
      <c r="P52" t="s">
        <v>2421</v>
      </c>
    </row>
    <row r="53" spans="3:16" x14ac:dyDescent="0.3">
      <c r="C53" t="s">
        <v>2291</v>
      </c>
      <c r="G53" t="s">
        <v>1314</v>
      </c>
      <c r="H53" t="s">
        <v>1118</v>
      </c>
      <c r="I53" t="s">
        <v>1315</v>
      </c>
      <c r="L53" t="b">
        <v>1</v>
      </c>
      <c r="M53" t="s">
        <v>1410</v>
      </c>
      <c r="N53" t="b">
        <v>0</v>
      </c>
      <c r="O53">
        <v>0</v>
      </c>
      <c r="P53" t="s">
        <v>2421</v>
      </c>
    </row>
    <row r="54" spans="3:16" x14ac:dyDescent="0.3">
      <c r="C54" t="s">
        <v>2293</v>
      </c>
      <c r="G54" t="s">
        <v>1314</v>
      </c>
      <c r="H54" t="s">
        <v>1118</v>
      </c>
      <c r="I54" t="s">
        <v>1315</v>
      </c>
      <c r="L54" t="b">
        <v>1</v>
      </c>
      <c r="M54" t="s">
        <v>1410</v>
      </c>
      <c r="N54" t="b">
        <v>0</v>
      </c>
      <c r="O54">
        <v>0</v>
      </c>
      <c r="P54" t="s">
        <v>2421</v>
      </c>
    </row>
    <row r="55" spans="3:16" x14ac:dyDescent="0.3">
      <c r="C55" t="s">
        <v>2280</v>
      </c>
      <c r="G55" t="s">
        <v>1314</v>
      </c>
      <c r="H55" t="s">
        <v>1118</v>
      </c>
      <c r="I55" t="s">
        <v>1315</v>
      </c>
      <c r="L55" t="b">
        <v>1</v>
      </c>
      <c r="M55" t="s">
        <v>1410</v>
      </c>
      <c r="N55" t="b">
        <v>0</v>
      </c>
      <c r="O55">
        <v>0</v>
      </c>
      <c r="P55" t="s">
        <v>2421</v>
      </c>
    </row>
    <row r="56" spans="3:16" x14ac:dyDescent="0.3">
      <c r="C56" t="s">
        <v>2283</v>
      </c>
      <c r="G56" t="s">
        <v>1314</v>
      </c>
      <c r="H56" t="s">
        <v>1118</v>
      </c>
      <c r="I56" t="s">
        <v>1315</v>
      </c>
      <c r="L56" t="b">
        <v>1</v>
      </c>
      <c r="M56" t="s">
        <v>1410</v>
      </c>
      <c r="N56" t="b">
        <v>0</v>
      </c>
      <c r="O56">
        <v>0</v>
      </c>
      <c r="P56" t="s">
        <v>2421</v>
      </c>
    </row>
    <row r="57" spans="3:16" x14ac:dyDescent="0.3">
      <c r="C57" t="s">
        <v>2285</v>
      </c>
      <c r="G57" t="s">
        <v>1316</v>
      </c>
      <c r="H57" t="s">
        <v>1120</v>
      </c>
      <c r="I57" t="s">
        <v>1317</v>
      </c>
      <c r="L57" t="b">
        <v>1</v>
      </c>
      <c r="M57" t="s">
        <v>1410</v>
      </c>
      <c r="N57" t="b">
        <v>0</v>
      </c>
      <c r="O57">
        <v>0</v>
      </c>
      <c r="P57" t="s">
        <v>2421</v>
      </c>
    </row>
    <row r="58" spans="3:16" x14ac:dyDescent="0.3">
      <c r="C58" t="s">
        <v>2281</v>
      </c>
      <c r="G58" t="s">
        <v>1316</v>
      </c>
      <c r="H58" t="s">
        <v>1120</v>
      </c>
      <c r="I58" t="s">
        <v>1317</v>
      </c>
      <c r="L58" t="b">
        <v>1</v>
      </c>
      <c r="M58" t="s">
        <v>1410</v>
      </c>
      <c r="N58" t="b">
        <v>0</v>
      </c>
      <c r="O58">
        <v>0</v>
      </c>
      <c r="P58" t="s">
        <v>2421</v>
      </c>
    </row>
    <row r="59" spans="3:16" x14ac:dyDescent="0.3">
      <c r="C59" t="s">
        <v>2288</v>
      </c>
      <c r="G59" t="s">
        <v>1316</v>
      </c>
      <c r="H59" t="s">
        <v>1120</v>
      </c>
      <c r="I59" t="s">
        <v>1317</v>
      </c>
      <c r="L59" t="b">
        <v>1</v>
      </c>
      <c r="M59" t="s">
        <v>1410</v>
      </c>
      <c r="N59" t="b">
        <v>0</v>
      </c>
      <c r="O59">
        <v>0</v>
      </c>
      <c r="P59" t="s">
        <v>2421</v>
      </c>
    </row>
    <row r="60" spans="3:16" x14ac:dyDescent="0.3">
      <c r="C60" t="s">
        <v>2291</v>
      </c>
      <c r="G60" t="s">
        <v>1316</v>
      </c>
      <c r="H60" t="s">
        <v>1120</v>
      </c>
      <c r="I60" t="s">
        <v>1317</v>
      </c>
      <c r="L60" t="b">
        <v>1</v>
      </c>
      <c r="M60" t="s">
        <v>1410</v>
      </c>
      <c r="N60" t="b">
        <v>0</v>
      </c>
      <c r="O60">
        <v>0</v>
      </c>
      <c r="P60" t="s">
        <v>2421</v>
      </c>
    </row>
    <row r="61" spans="3:16" x14ac:dyDescent="0.3">
      <c r="C61" t="s">
        <v>2293</v>
      </c>
      <c r="G61" t="s">
        <v>1316</v>
      </c>
      <c r="H61" t="s">
        <v>1120</v>
      </c>
      <c r="I61" t="s">
        <v>1317</v>
      </c>
      <c r="L61" t="b">
        <v>1</v>
      </c>
      <c r="M61" t="s">
        <v>1410</v>
      </c>
      <c r="N61" t="b">
        <v>0</v>
      </c>
      <c r="O61">
        <v>0</v>
      </c>
      <c r="P61" t="s">
        <v>2421</v>
      </c>
    </row>
    <row r="62" spans="3:16" x14ac:dyDescent="0.3">
      <c r="C62" t="s">
        <v>2280</v>
      </c>
      <c r="G62" t="s">
        <v>1316</v>
      </c>
      <c r="H62" t="s">
        <v>1120</v>
      </c>
      <c r="I62" t="s">
        <v>1317</v>
      </c>
      <c r="L62" t="b">
        <v>1</v>
      </c>
      <c r="M62" t="s">
        <v>1410</v>
      </c>
      <c r="N62" t="b">
        <v>0</v>
      </c>
      <c r="O62">
        <v>0</v>
      </c>
      <c r="P62" t="s">
        <v>2421</v>
      </c>
    </row>
    <row r="63" spans="3:16" x14ac:dyDescent="0.3">
      <c r="C63" t="s">
        <v>2283</v>
      </c>
      <c r="G63" t="s">
        <v>1316</v>
      </c>
      <c r="H63" t="s">
        <v>1120</v>
      </c>
      <c r="I63" t="s">
        <v>1317</v>
      </c>
      <c r="L63" t="b">
        <v>1</v>
      </c>
      <c r="M63" t="s">
        <v>1410</v>
      </c>
      <c r="N63" t="b">
        <v>0</v>
      </c>
      <c r="O63">
        <v>0</v>
      </c>
      <c r="P63" t="s">
        <v>2421</v>
      </c>
    </row>
    <row r="64" spans="3:16" x14ac:dyDescent="0.3">
      <c r="C64" t="s">
        <v>2288</v>
      </c>
      <c r="G64" t="s">
        <v>1318</v>
      </c>
      <c r="H64" t="s">
        <v>1118</v>
      </c>
      <c r="I64" t="s">
        <v>1319</v>
      </c>
      <c r="L64" t="b">
        <v>1</v>
      </c>
      <c r="M64" t="s">
        <v>1410</v>
      </c>
      <c r="N64" t="b">
        <v>0</v>
      </c>
      <c r="O64">
        <v>0</v>
      </c>
      <c r="P64" t="s">
        <v>2421</v>
      </c>
    </row>
    <row r="65" spans="3:16" x14ac:dyDescent="0.3">
      <c r="C65" t="s">
        <v>2284</v>
      </c>
      <c r="G65" t="s">
        <v>1318</v>
      </c>
      <c r="H65" t="s">
        <v>1118</v>
      </c>
      <c r="I65" t="s">
        <v>1319</v>
      </c>
      <c r="L65" t="b">
        <v>1</v>
      </c>
      <c r="M65" t="s">
        <v>1410</v>
      </c>
      <c r="N65" t="b">
        <v>0</v>
      </c>
      <c r="O65">
        <v>0</v>
      </c>
      <c r="P65" t="s">
        <v>2421</v>
      </c>
    </row>
    <row r="66" spans="3:16" x14ac:dyDescent="0.3">
      <c r="C66" t="s">
        <v>2291</v>
      </c>
      <c r="G66" t="s">
        <v>1318</v>
      </c>
      <c r="H66" t="s">
        <v>1118</v>
      </c>
      <c r="I66" t="s">
        <v>1319</v>
      </c>
      <c r="L66" t="b">
        <v>1</v>
      </c>
      <c r="M66" t="s">
        <v>1410</v>
      </c>
      <c r="N66" t="b">
        <v>0</v>
      </c>
      <c r="O66">
        <v>0</v>
      </c>
      <c r="P66" t="s">
        <v>2421</v>
      </c>
    </row>
    <row r="67" spans="3:16" x14ac:dyDescent="0.3">
      <c r="C67" t="s">
        <v>2280</v>
      </c>
      <c r="G67" t="s">
        <v>1318</v>
      </c>
      <c r="H67" t="s">
        <v>1118</v>
      </c>
      <c r="I67" t="s">
        <v>1319</v>
      </c>
      <c r="L67" t="b">
        <v>1</v>
      </c>
      <c r="M67" t="s">
        <v>1410</v>
      </c>
      <c r="N67" t="b">
        <v>0</v>
      </c>
      <c r="O67">
        <v>0</v>
      </c>
      <c r="P67" t="s">
        <v>2421</v>
      </c>
    </row>
    <row r="68" spans="3:16" x14ac:dyDescent="0.3">
      <c r="C68" t="s">
        <v>2283</v>
      </c>
      <c r="G68" t="s">
        <v>1318</v>
      </c>
      <c r="H68" t="s">
        <v>1118</v>
      </c>
      <c r="I68" t="s">
        <v>1319</v>
      </c>
      <c r="L68" t="b">
        <v>1</v>
      </c>
      <c r="M68" t="s">
        <v>1410</v>
      </c>
      <c r="N68" t="b">
        <v>0</v>
      </c>
      <c r="O68">
        <v>0</v>
      </c>
      <c r="P68" t="s">
        <v>2421</v>
      </c>
    </row>
    <row r="69" spans="3:16" x14ac:dyDescent="0.3">
      <c r="C69" t="s">
        <v>2288</v>
      </c>
      <c r="G69" t="s">
        <v>1320</v>
      </c>
      <c r="H69" t="s">
        <v>1120</v>
      </c>
      <c r="I69" t="s">
        <v>1321</v>
      </c>
      <c r="L69" t="b">
        <v>1</v>
      </c>
      <c r="M69" t="s">
        <v>1410</v>
      </c>
      <c r="N69" t="b">
        <v>0</v>
      </c>
      <c r="O69">
        <v>0</v>
      </c>
      <c r="P69" t="s">
        <v>2421</v>
      </c>
    </row>
    <row r="70" spans="3:16" x14ac:dyDescent="0.3">
      <c r="C70" t="s">
        <v>2284</v>
      </c>
      <c r="G70" t="s">
        <v>1320</v>
      </c>
      <c r="H70" t="s">
        <v>1120</v>
      </c>
      <c r="I70" t="s">
        <v>1321</v>
      </c>
      <c r="L70" t="b">
        <v>1</v>
      </c>
      <c r="M70" t="s">
        <v>1410</v>
      </c>
      <c r="N70" t="b">
        <v>0</v>
      </c>
      <c r="O70">
        <v>0</v>
      </c>
      <c r="P70" t="s">
        <v>2421</v>
      </c>
    </row>
    <row r="71" spans="3:16" x14ac:dyDescent="0.3">
      <c r="C71" t="s">
        <v>2291</v>
      </c>
      <c r="G71" t="s">
        <v>1320</v>
      </c>
      <c r="H71" t="s">
        <v>1120</v>
      </c>
      <c r="I71" t="s">
        <v>1321</v>
      </c>
      <c r="L71" t="b">
        <v>1</v>
      </c>
      <c r="M71" t="s">
        <v>1410</v>
      </c>
      <c r="N71" t="b">
        <v>0</v>
      </c>
      <c r="O71">
        <v>0</v>
      </c>
      <c r="P71" t="s">
        <v>2421</v>
      </c>
    </row>
    <row r="72" spans="3:16" x14ac:dyDescent="0.3">
      <c r="C72" t="s">
        <v>2280</v>
      </c>
      <c r="G72" t="s">
        <v>1320</v>
      </c>
      <c r="H72" t="s">
        <v>1120</v>
      </c>
      <c r="I72" t="s">
        <v>1321</v>
      </c>
      <c r="L72" t="b">
        <v>1</v>
      </c>
      <c r="M72" t="s">
        <v>1410</v>
      </c>
      <c r="N72" t="b">
        <v>0</v>
      </c>
      <c r="O72">
        <v>0</v>
      </c>
      <c r="P72" t="s">
        <v>2421</v>
      </c>
    </row>
    <row r="73" spans="3:16" x14ac:dyDescent="0.3">
      <c r="C73" t="s">
        <v>2283</v>
      </c>
      <c r="G73" t="s">
        <v>1320</v>
      </c>
      <c r="H73" t="s">
        <v>1120</v>
      </c>
      <c r="I73" t="s">
        <v>1321</v>
      </c>
      <c r="L73" t="b">
        <v>1</v>
      </c>
      <c r="M73" t="s">
        <v>1410</v>
      </c>
      <c r="N73" t="b">
        <v>0</v>
      </c>
      <c r="O73">
        <v>0</v>
      </c>
      <c r="P73" t="s">
        <v>2421</v>
      </c>
    </row>
    <row r="74" spans="3:16" x14ac:dyDescent="0.3">
      <c r="C74" t="s">
        <v>2285</v>
      </c>
      <c r="G74" t="s">
        <v>1324</v>
      </c>
      <c r="H74" t="s">
        <v>1118</v>
      </c>
      <c r="I74" t="s">
        <v>1325</v>
      </c>
      <c r="L74" t="b">
        <v>1</v>
      </c>
      <c r="M74" t="s">
        <v>1410</v>
      </c>
      <c r="N74" t="b">
        <v>0</v>
      </c>
      <c r="O74">
        <v>0</v>
      </c>
      <c r="P74" t="s">
        <v>2421</v>
      </c>
    </row>
    <row r="75" spans="3:16" x14ac:dyDescent="0.3">
      <c r="C75" t="s">
        <v>2281</v>
      </c>
      <c r="G75" t="s">
        <v>1324</v>
      </c>
      <c r="H75" t="s">
        <v>1118</v>
      </c>
      <c r="I75" t="s">
        <v>1325</v>
      </c>
      <c r="L75" t="b">
        <v>1</v>
      </c>
      <c r="M75" t="s">
        <v>1410</v>
      </c>
      <c r="N75" t="b">
        <v>0</v>
      </c>
      <c r="O75">
        <v>0</v>
      </c>
      <c r="P75" t="s">
        <v>2421</v>
      </c>
    </row>
    <row r="76" spans="3:16" x14ac:dyDescent="0.3">
      <c r="C76" t="s">
        <v>2288</v>
      </c>
      <c r="G76" t="s">
        <v>1324</v>
      </c>
      <c r="H76" t="s">
        <v>1118</v>
      </c>
      <c r="I76" t="s">
        <v>1325</v>
      </c>
      <c r="L76" t="b">
        <v>1</v>
      </c>
      <c r="M76" t="s">
        <v>1410</v>
      </c>
      <c r="N76" t="b">
        <v>0</v>
      </c>
      <c r="O76">
        <v>0</v>
      </c>
      <c r="P76" t="s">
        <v>2421</v>
      </c>
    </row>
    <row r="77" spans="3:16" x14ac:dyDescent="0.3">
      <c r="C77" t="s">
        <v>2284</v>
      </c>
      <c r="G77" t="s">
        <v>1324</v>
      </c>
      <c r="H77" t="s">
        <v>1118</v>
      </c>
      <c r="I77" t="s">
        <v>1325</v>
      </c>
      <c r="L77" t="b">
        <v>1</v>
      </c>
      <c r="M77" t="s">
        <v>1410</v>
      </c>
      <c r="N77" t="b">
        <v>0</v>
      </c>
      <c r="O77">
        <v>0</v>
      </c>
      <c r="P77" t="s">
        <v>2421</v>
      </c>
    </row>
    <row r="78" spans="3:16" x14ac:dyDescent="0.3">
      <c r="C78" t="s">
        <v>2291</v>
      </c>
      <c r="G78" t="s">
        <v>1324</v>
      </c>
      <c r="H78" t="s">
        <v>1118</v>
      </c>
      <c r="I78" t="s">
        <v>1325</v>
      </c>
      <c r="L78" t="b">
        <v>1</v>
      </c>
      <c r="M78" t="s">
        <v>1410</v>
      </c>
      <c r="N78" t="b">
        <v>0</v>
      </c>
      <c r="O78">
        <v>0</v>
      </c>
      <c r="P78" t="s">
        <v>2421</v>
      </c>
    </row>
    <row r="79" spans="3:16" x14ac:dyDescent="0.3">
      <c r="C79" t="s">
        <v>2293</v>
      </c>
      <c r="G79" t="s">
        <v>1324</v>
      </c>
      <c r="H79" t="s">
        <v>1118</v>
      </c>
      <c r="I79" t="s">
        <v>1325</v>
      </c>
      <c r="L79" t="b">
        <v>1</v>
      </c>
      <c r="M79" t="s">
        <v>1410</v>
      </c>
      <c r="N79" t="b">
        <v>0</v>
      </c>
      <c r="O79">
        <v>0</v>
      </c>
      <c r="P79" t="s">
        <v>2421</v>
      </c>
    </row>
    <row r="80" spans="3:16" x14ac:dyDescent="0.3">
      <c r="C80" t="s">
        <v>2280</v>
      </c>
      <c r="G80" t="s">
        <v>1324</v>
      </c>
      <c r="H80" t="s">
        <v>1118</v>
      </c>
      <c r="I80" t="s">
        <v>1325</v>
      </c>
      <c r="L80" t="b">
        <v>1</v>
      </c>
      <c r="M80" t="s">
        <v>1410</v>
      </c>
      <c r="N80" t="b">
        <v>0</v>
      </c>
      <c r="O80">
        <v>0</v>
      </c>
      <c r="P80" t="s">
        <v>2421</v>
      </c>
    </row>
    <row r="81" spans="3:16" x14ac:dyDescent="0.3">
      <c r="C81" t="s">
        <v>2283</v>
      </c>
      <c r="G81" t="s">
        <v>1324</v>
      </c>
      <c r="H81" t="s">
        <v>1118</v>
      </c>
      <c r="I81" t="s">
        <v>1325</v>
      </c>
      <c r="L81" t="b">
        <v>1</v>
      </c>
      <c r="M81" t="s">
        <v>1410</v>
      </c>
      <c r="N81" t="b">
        <v>0</v>
      </c>
      <c r="O81">
        <v>0</v>
      </c>
      <c r="P81" t="s">
        <v>2421</v>
      </c>
    </row>
    <row r="82" spans="3:16" x14ac:dyDescent="0.3">
      <c r="C82" t="s">
        <v>2285</v>
      </c>
      <c r="G82" t="s">
        <v>1326</v>
      </c>
      <c r="H82" t="s">
        <v>1120</v>
      </c>
      <c r="I82" t="s">
        <v>1327</v>
      </c>
      <c r="L82" t="b">
        <v>1</v>
      </c>
      <c r="M82" t="s">
        <v>1410</v>
      </c>
      <c r="N82" t="b">
        <v>0</v>
      </c>
      <c r="O82">
        <v>0</v>
      </c>
      <c r="P82" t="s">
        <v>2421</v>
      </c>
    </row>
    <row r="83" spans="3:16" x14ac:dyDescent="0.3">
      <c r="C83" t="s">
        <v>2281</v>
      </c>
      <c r="G83" t="s">
        <v>1326</v>
      </c>
      <c r="H83" t="s">
        <v>1120</v>
      </c>
      <c r="I83" t="s">
        <v>1327</v>
      </c>
      <c r="L83" t="b">
        <v>1</v>
      </c>
      <c r="M83" t="s">
        <v>1410</v>
      </c>
      <c r="N83" t="b">
        <v>0</v>
      </c>
      <c r="O83">
        <v>0</v>
      </c>
      <c r="P83" t="s">
        <v>2421</v>
      </c>
    </row>
    <row r="84" spans="3:16" x14ac:dyDescent="0.3">
      <c r="C84" t="s">
        <v>2288</v>
      </c>
      <c r="G84" t="s">
        <v>1326</v>
      </c>
      <c r="H84" t="s">
        <v>1120</v>
      </c>
      <c r="I84" t="s">
        <v>1327</v>
      </c>
      <c r="L84" t="b">
        <v>1</v>
      </c>
      <c r="M84" t="s">
        <v>1410</v>
      </c>
      <c r="N84" t="b">
        <v>0</v>
      </c>
      <c r="O84">
        <v>0</v>
      </c>
      <c r="P84" t="s">
        <v>2421</v>
      </c>
    </row>
    <row r="85" spans="3:16" x14ac:dyDescent="0.3">
      <c r="C85" t="s">
        <v>2284</v>
      </c>
      <c r="G85" t="s">
        <v>1326</v>
      </c>
      <c r="H85" t="s">
        <v>1120</v>
      </c>
      <c r="I85" t="s">
        <v>1327</v>
      </c>
      <c r="L85" t="b">
        <v>1</v>
      </c>
      <c r="M85" t="s">
        <v>1410</v>
      </c>
      <c r="N85" t="b">
        <v>0</v>
      </c>
      <c r="O85">
        <v>0</v>
      </c>
      <c r="P85" t="s">
        <v>2421</v>
      </c>
    </row>
    <row r="86" spans="3:16" x14ac:dyDescent="0.3">
      <c r="C86" t="s">
        <v>2291</v>
      </c>
      <c r="G86" t="s">
        <v>1326</v>
      </c>
      <c r="H86" t="s">
        <v>1120</v>
      </c>
      <c r="I86" t="s">
        <v>1327</v>
      </c>
      <c r="L86" t="b">
        <v>1</v>
      </c>
      <c r="M86" t="s">
        <v>1410</v>
      </c>
      <c r="N86" t="b">
        <v>0</v>
      </c>
      <c r="O86">
        <v>0</v>
      </c>
      <c r="P86" t="s">
        <v>2421</v>
      </c>
    </row>
    <row r="87" spans="3:16" x14ac:dyDescent="0.3">
      <c r="C87" t="s">
        <v>2293</v>
      </c>
      <c r="G87" t="s">
        <v>1326</v>
      </c>
      <c r="H87" t="s">
        <v>1120</v>
      </c>
      <c r="I87" t="s">
        <v>1327</v>
      </c>
      <c r="L87" t="b">
        <v>1</v>
      </c>
      <c r="M87" t="s">
        <v>1410</v>
      </c>
      <c r="N87" t="b">
        <v>0</v>
      </c>
      <c r="O87">
        <v>0</v>
      </c>
      <c r="P87" t="s">
        <v>2421</v>
      </c>
    </row>
    <row r="88" spans="3:16" x14ac:dyDescent="0.3">
      <c r="C88" t="s">
        <v>2280</v>
      </c>
      <c r="G88" t="s">
        <v>1326</v>
      </c>
      <c r="H88" t="s">
        <v>1120</v>
      </c>
      <c r="I88" t="s">
        <v>1327</v>
      </c>
      <c r="L88" t="b">
        <v>1</v>
      </c>
      <c r="M88" t="s">
        <v>1410</v>
      </c>
      <c r="N88" t="b">
        <v>0</v>
      </c>
      <c r="O88">
        <v>0</v>
      </c>
      <c r="P88" t="s">
        <v>2421</v>
      </c>
    </row>
    <row r="89" spans="3:16" x14ac:dyDescent="0.3">
      <c r="C89" t="s">
        <v>2283</v>
      </c>
      <c r="G89" t="s">
        <v>1326</v>
      </c>
      <c r="H89" t="s">
        <v>1120</v>
      </c>
      <c r="I89" t="s">
        <v>1327</v>
      </c>
      <c r="L89" t="b">
        <v>1</v>
      </c>
      <c r="M89" t="s">
        <v>1410</v>
      </c>
      <c r="N89" t="b">
        <v>0</v>
      </c>
      <c r="O89">
        <v>0</v>
      </c>
      <c r="P89" t="s">
        <v>2421</v>
      </c>
    </row>
    <row r="90" spans="3:16" x14ac:dyDescent="0.3">
      <c r="C90" t="s">
        <v>2285</v>
      </c>
      <c r="G90" t="s">
        <v>1536</v>
      </c>
      <c r="H90" t="s">
        <v>1124</v>
      </c>
      <c r="I90" t="s">
        <v>1540</v>
      </c>
      <c r="L90" t="b">
        <v>1</v>
      </c>
      <c r="M90" t="s">
        <v>1410</v>
      </c>
      <c r="N90" t="b">
        <v>0</v>
      </c>
      <c r="O90">
        <v>0</v>
      </c>
      <c r="P90" t="s">
        <v>2421</v>
      </c>
    </row>
    <row r="91" spans="3:16" x14ac:dyDescent="0.3">
      <c r="C91" t="s">
        <v>2281</v>
      </c>
      <c r="G91" t="s">
        <v>1536</v>
      </c>
      <c r="H91" t="s">
        <v>1124</v>
      </c>
      <c r="I91" t="s">
        <v>1540</v>
      </c>
      <c r="L91" t="b">
        <v>1</v>
      </c>
      <c r="M91" t="s">
        <v>1410</v>
      </c>
      <c r="N91" t="b">
        <v>0</v>
      </c>
      <c r="O91">
        <v>0</v>
      </c>
      <c r="P91" t="s">
        <v>2421</v>
      </c>
    </row>
    <row r="92" spans="3:16" x14ac:dyDescent="0.3">
      <c r="C92" t="s">
        <v>2288</v>
      </c>
      <c r="G92" t="s">
        <v>1536</v>
      </c>
      <c r="H92" t="s">
        <v>1124</v>
      </c>
      <c r="I92" t="s">
        <v>1540</v>
      </c>
      <c r="L92" t="b">
        <v>1</v>
      </c>
      <c r="M92" t="s">
        <v>1410</v>
      </c>
      <c r="N92" t="b">
        <v>0</v>
      </c>
      <c r="O92">
        <v>0</v>
      </c>
      <c r="P92" t="s">
        <v>2421</v>
      </c>
    </row>
    <row r="93" spans="3:16" x14ac:dyDescent="0.3">
      <c r="C93" t="s">
        <v>2284</v>
      </c>
      <c r="G93" t="s">
        <v>1536</v>
      </c>
      <c r="H93" t="s">
        <v>1124</v>
      </c>
      <c r="I93" t="s">
        <v>1540</v>
      </c>
      <c r="L93" t="b">
        <v>1</v>
      </c>
      <c r="M93" t="s">
        <v>1410</v>
      </c>
      <c r="N93" t="b">
        <v>0</v>
      </c>
      <c r="O93">
        <v>0</v>
      </c>
      <c r="P93" t="s">
        <v>2421</v>
      </c>
    </row>
    <row r="94" spans="3:16" x14ac:dyDescent="0.3">
      <c r="C94" t="s">
        <v>2291</v>
      </c>
      <c r="G94" t="s">
        <v>1536</v>
      </c>
      <c r="H94" t="s">
        <v>1124</v>
      </c>
      <c r="I94" t="s">
        <v>1540</v>
      </c>
      <c r="L94" t="b">
        <v>1</v>
      </c>
      <c r="M94" t="s">
        <v>1410</v>
      </c>
      <c r="N94" t="b">
        <v>0</v>
      </c>
      <c r="O94">
        <v>0</v>
      </c>
      <c r="P94" t="s">
        <v>2421</v>
      </c>
    </row>
    <row r="95" spans="3:16" x14ac:dyDescent="0.3">
      <c r="C95" t="s">
        <v>2293</v>
      </c>
      <c r="G95" t="s">
        <v>1536</v>
      </c>
      <c r="H95" t="s">
        <v>1124</v>
      </c>
      <c r="I95" t="s">
        <v>1540</v>
      </c>
      <c r="L95" t="b">
        <v>1</v>
      </c>
      <c r="M95" t="s">
        <v>1410</v>
      </c>
      <c r="N95" t="b">
        <v>0</v>
      </c>
      <c r="O95">
        <v>0</v>
      </c>
      <c r="P95" t="s">
        <v>2421</v>
      </c>
    </row>
    <row r="96" spans="3:16" x14ac:dyDescent="0.3">
      <c r="C96" t="s">
        <v>2282</v>
      </c>
      <c r="G96" t="s">
        <v>1536</v>
      </c>
      <c r="H96" t="s">
        <v>1124</v>
      </c>
      <c r="I96" t="s">
        <v>1540</v>
      </c>
      <c r="L96" t="b">
        <v>1</v>
      </c>
      <c r="M96" t="s">
        <v>1410</v>
      </c>
      <c r="N96" t="b">
        <v>0</v>
      </c>
      <c r="O96">
        <v>0</v>
      </c>
      <c r="P96" t="s">
        <v>2421</v>
      </c>
    </row>
    <row r="97" spans="3:16" x14ac:dyDescent="0.3">
      <c r="C97" t="s">
        <v>2280</v>
      </c>
      <c r="G97" t="s">
        <v>1536</v>
      </c>
      <c r="H97" t="s">
        <v>1124</v>
      </c>
      <c r="I97" t="s">
        <v>1540</v>
      </c>
      <c r="L97" t="b">
        <v>1</v>
      </c>
      <c r="M97" t="s">
        <v>1410</v>
      </c>
      <c r="N97" t="b">
        <v>0</v>
      </c>
      <c r="O97">
        <v>0</v>
      </c>
      <c r="P97" t="s">
        <v>2421</v>
      </c>
    </row>
    <row r="98" spans="3:16" x14ac:dyDescent="0.3">
      <c r="C98" t="s">
        <v>2283</v>
      </c>
      <c r="G98" t="s">
        <v>1536</v>
      </c>
      <c r="H98" t="s">
        <v>1124</v>
      </c>
      <c r="I98" t="s">
        <v>1540</v>
      </c>
      <c r="L98" t="b">
        <v>1</v>
      </c>
      <c r="M98" t="s">
        <v>1410</v>
      </c>
      <c r="N98" t="b">
        <v>0</v>
      </c>
      <c r="O98">
        <v>0</v>
      </c>
      <c r="P98" t="s">
        <v>2421</v>
      </c>
    </row>
    <row r="99" spans="3:16" x14ac:dyDescent="0.3">
      <c r="C99" t="s">
        <v>2285</v>
      </c>
      <c r="G99" t="s">
        <v>1537</v>
      </c>
      <c r="H99" t="s">
        <v>1124</v>
      </c>
      <c r="I99" t="s">
        <v>1541</v>
      </c>
      <c r="L99" t="b">
        <v>1</v>
      </c>
      <c r="M99" t="s">
        <v>1410</v>
      </c>
      <c r="N99" t="b">
        <v>0</v>
      </c>
      <c r="O99">
        <v>0</v>
      </c>
      <c r="P99" t="s">
        <v>2421</v>
      </c>
    </row>
    <row r="100" spans="3:16" x14ac:dyDescent="0.3">
      <c r="C100" t="s">
        <v>2281</v>
      </c>
      <c r="G100" t="s">
        <v>1537</v>
      </c>
      <c r="H100" t="s">
        <v>1124</v>
      </c>
      <c r="I100" t="s">
        <v>1541</v>
      </c>
      <c r="L100" t="b">
        <v>1</v>
      </c>
      <c r="M100" t="s">
        <v>1410</v>
      </c>
      <c r="N100" t="b">
        <v>0</v>
      </c>
      <c r="O100">
        <v>0</v>
      </c>
      <c r="P100" t="s">
        <v>2421</v>
      </c>
    </row>
    <row r="101" spans="3:16" x14ac:dyDescent="0.3">
      <c r="C101" t="s">
        <v>2288</v>
      </c>
      <c r="G101" t="s">
        <v>1537</v>
      </c>
      <c r="H101" t="s">
        <v>1124</v>
      </c>
      <c r="I101" t="s">
        <v>1541</v>
      </c>
      <c r="L101" t="b">
        <v>1</v>
      </c>
      <c r="M101" t="s">
        <v>1410</v>
      </c>
      <c r="N101" t="b">
        <v>0</v>
      </c>
      <c r="O101">
        <v>0</v>
      </c>
      <c r="P101" t="s">
        <v>2421</v>
      </c>
    </row>
    <row r="102" spans="3:16" x14ac:dyDescent="0.3">
      <c r="C102" t="s">
        <v>2284</v>
      </c>
      <c r="G102" t="s">
        <v>1537</v>
      </c>
      <c r="H102" t="s">
        <v>1124</v>
      </c>
      <c r="I102" t="s">
        <v>1541</v>
      </c>
      <c r="L102" t="b">
        <v>1</v>
      </c>
      <c r="M102" t="s">
        <v>1410</v>
      </c>
      <c r="N102" t="b">
        <v>0</v>
      </c>
      <c r="O102">
        <v>0</v>
      </c>
      <c r="P102" t="s">
        <v>2421</v>
      </c>
    </row>
    <row r="103" spans="3:16" x14ac:dyDescent="0.3">
      <c r="C103" t="s">
        <v>2291</v>
      </c>
      <c r="G103" t="s">
        <v>1537</v>
      </c>
      <c r="H103" t="s">
        <v>1124</v>
      </c>
      <c r="I103" t="s">
        <v>1541</v>
      </c>
      <c r="L103" t="b">
        <v>1</v>
      </c>
      <c r="M103" t="s">
        <v>1410</v>
      </c>
      <c r="N103" t="b">
        <v>0</v>
      </c>
      <c r="O103">
        <v>0</v>
      </c>
      <c r="P103" t="s">
        <v>2421</v>
      </c>
    </row>
    <row r="104" spans="3:16" x14ac:dyDescent="0.3">
      <c r="C104" t="s">
        <v>2293</v>
      </c>
      <c r="G104" t="s">
        <v>1537</v>
      </c>
      <c r="H104" t="s">
        <v>1124</v>
      </c>
      <c r="I104" t="s">
        <v>1541</v>
      </c>
      <c r="L104" t="b">
        <v>1</v>
      </c>
      <c r="M104" t="s">
        <v>1410</v>
      </c>
      <c r="N104" t="b">
        <v>0</v>
      </c>
      <c r="O104">
        <v>0</v>
      </c>
      <c r="P104" t="s">
        <v>2421</v>
      </c>
    </row>
    <row r="105" spans="3:16" x14ac:dyDescent="0.3">
      <c r="C105" t="s">
        <v>2282</v>
      </c>
      <c r="G105" t="s">
        <v>1537</v>
      </c>
      <c r="H105" t="s">
        <v>1124</v>
      </c>
      <c r="I105" t="s">
        <v>1541</v>
      </c>
      <c r="L105" t="b">
        <v>1</v>
      </c>
      <c r="M105" t="s">
        <v>1410</v>
      </c>
      <c r="N105" t="b">
        <v>0</v>
      </c>
      <c r="O105">
        <v>0</v>
      </c>
      <c r="P105" t="s">
        <v>2421</v>
      </c>
    </row>
    <row r="106" spans="3:16" x14ac:dyDescent="0.3">
      <c r="C106" t="s">
        <v>2280</v>
      </c>
      <c r="G106" t="s">
        <v>1537</v>
      </c>
      <c r="H106" t="s">
        <v>1124</v>
      </c>
      <c r="I106" t="s">
        <v>1541</v>
      </c>
      <c r="L106" t="b">
        <v>1</v>
      </c>
      <c r="M106" t="s">
        <v>1410</v>
      </c>
      <c r="N106" t="b">
        <v>0</v>
      </c>
      <c r="O106">
        <v>0</v>
      </c>
      <c r="P106" t="s">
        <v>2421</v>
      </c>
    </row>
    <row r="107" spans="3:16" x14ac:dyDescent="0.3">
      <c r="C107" t="s">
        <v>2283</v>
      </c>
      <c r="G107" t="s">
        <v>1537</v>
      </c>
      <c r="H107" t="s">
        <v>1124</v>
      </c>
      <c r="I107" t="s">
        <v>1541</v>
      </c>
      <c r="L107" t="b">
        <v>1</v>
      </c>
      <c r="M107" t="s">
        <v>1410</v>
      </c>
      <c r="N107" t="b">
        <v>0</v>
      </c>
      <c r="O107">
        <v>0</v>
      </c>
      <c r="P107" t="s">
        <v>2421</v>
      </c>
    </row>
    <row r="108" spans="3:16" x14ac:dyDescent="0.3">
      <c r="C108" t="s">
        <v>2285</v>
      </c>
      <c r="G108" t="s">
        <v>1294</v>
      </c>
      <c r="H108" t="s">
        <v>1124</v>
      </c>
      <c r="I108" t="s">
        <v>1444</v>
      </c>
      <c r="L108" t="b">
        <v>1</v>
      </c>
      <c r="M108" t="s">
        <v>1410</v>
      </c>
      <c r="N108" t="b">
        <v>0</v>
      </c>
      <c r="O108">
        <v>0</v>
      </c>
      <c r="P108" t="s">
        <v>2421</v>
      </c>
    </row>
    <row r="109" spans="3:16" x14ac:dyDescent="0.3">
      <c r="C109" t="s">
        <v>2281</v>
      </c>
      <c r="G109" t="s">
        <v>1294</v>
      </c>
      <c r="H109" t="s">
        <v>1124</v>
      </c>
      <c r="I109" t="s">
        <v>1444</v>
      </c>
      <c r="L109" t="b">
        <v>1</v>
      </c>
      <c r="M109" t="s">
        <v>1410</v>
      </c>
      <c r="N109" t="b">
        <v>0</v>
      </c>
      <c r="O109">
        <v>0</v>
      </c>
      <c r="P109" t="s">
        <v>2421</v>
      </c>
    </row>
    <row r="110" spans="3:16" x14ac:dyDescent="0.3">
      <c r="C110" t="s">
        <v>2288</v>
      </c>
      <c r="G110" t="s">
        <v>1294</v>
      </c>
      <c r="H110" t="s">
        <v>1124</v>
      </c>
      <c r="I110" t="s">
        <v>1444</v>
      </c>
      <c r="L110" t="b">
        <v>1</v>
      </c>
      <c r="M110" t="s">
        <v>1410</v>
      </c>
      <c r="N110" t="b">
        <v>0</v>
      </c>
      <c r="O110">
        <v>0</v>
      </c>
      <c r="P110" t="s">
        <v>2421</v>
      </c>
    </row>
    <row r="111" spans="3:16" x14ac:dyDescent="0.3">
      <c r="C111" t="s">
        <v>2291</v>
      </c>
      <c r="G111" t="s">
        <v>1294</v>
      </c>
      <c r="H111" t="s">
        <v>1124</v>
      </c>
      <c r="I111" t="s">
        <v>1444</v>
      </c>
      <c r="L111" t="b">
        <v>1</v>
      </c>
      <c r="M111" t="s">
        <v>1410</v>
      </c>
      <c r="N111" t="b">
        <v>0</v>
      </c>
      <c r="O111">
        <v>0</v>
      </c>
      <c r="P111" t="s">
        <v>2421</v>
      </c>
    </row>
    <row r="112" spans="3:16" x14ac:dyDescent="0.3">
      <c r="C112" t="s">
        <v>2293</v>
      </c>
      <c r="G112" t="s">
        <v>1294</v>
      </c>
      <c r="H112" t="s">
        <v>1124</v>
      </c>
      <c r="I112" t="s">
        <v>1444</v>
      </c>
      <c r="L112" t="b">
        <v>1</v>
      </c>
      <c r="M112" t="s">
        <v>1410</v>
      </c>
      <c r="N112" t="b">
        <v>0</v>
      </c>
      <c r="O112">
        <v>0</v>
      </c>
      <c r="P112" t="s">
        <v>2421</v>
      </c>
    </row>
    <row r="113" spans="3:16" x14ac:dyDescent="0.3">
      <c r="C113" t="s">
        <v>2280</v>
      </c>
      <c r="G113" t="s">
        <v>1294</v>
      </c>
      <c r="H113" t="s">
        <v>1124</v>
      </c>
      <c r="I113" t="s">
        <v>1444</v>
      </c>
      <c r="L113" t="b">
        <v>1</v>
      </c>
      <c r="M113" t="s">
        <v>1410</v>
      </c>
      <c r="N113" t="b">
        <v>0</v>
      </c>
      <c r="O113">
        <v>0</v>
      </c>
      <c r="P113" t="s">
        <v>2421</v>
      </c>
    </row>
    <row r="114" spans="3:16" x14ac:dyDescent="0.3">
      <c r="C114" t="s">
        <v>2283</v>
      </c>
      <c r="G114" t="s">
        <v>1294</v>
      </c>
      <c r="H114" t="s">
        <v>1124</v>
      </c>
      <c r="I114" t="s">
        <v>1444</v>
      </c>
      <c r="L114" t="b">
        <v>1</v>
      </c>
      <c r="M114" t="s">
        <v>1410</v>
      </c>
      <c r="N114" t="b">
        <v>0</v>
      </c>
      <c r="O114">
        <v>0</v>
      </c>
      <c r="P114" t="s">
        <v>2421</v>
      </c>
    </row>
    <row r="115" spans="3:16" x14ac:dyDescent="0.3">
      <c r="C115" t="s">
        <v>2285</v>
      </c>
      <c r="G115" t="s">
        <v>2050</v>
      </c>
      <c r="H115" t="s">
        <v>1124</v>
      </c>
      <c r="I115" t="s">
        <v>2051</v>
      </c>
      <c r="L115" t="b">
        <v>1</v>
      </c>
      <c r="M115" t="s">
        <v>1410</v>
      </c>
      <c r="N115" t="b">
        <v>0</v>
      </c>
      <c r="O115">
        <v>0</v>
      </c>
      <c r="P115" t="s">
        <v>2421</v>
      </c>
    </row>
    <row r="116" spans="3:16" x14ac:dyDescent="0.3">
      <c r="C116" t="s">
        <v>2281</v>
      </c>
      <c r="G116" t="s">
        <v>2050</v>
      </c>
      <c r="H116" t="s">
        <v>1124</v>
      </c>
      <c r="I116" t="s">
        <v>2051</v>
      </c>
      <c r="L116" t="b">
        <v>1</v>
      </c>
      <c r="M116" t="s">
        <v>1410</v>
      </c>
      <c r="N116" t="b">
        <v>0</v>
      </c>
      <c r="O116">
        <v>0</v>
      </c>
      <c r="P116" t="s">
        <v>2421</v>
      </c>
    </row>
    <row r="117" spans="3:16" x14ac:dyDescent="0.3">
      <c r="C117" t="s">
        <v>2288</v>
      </c>
      <c r="G117" t="s">
        <v>2050</v>
      </c>
      <c r="H117" t="s">
        <v>1124</v>
      </c>
      <c r="I117" t="s">
        <v>2051</v>
      </c>
      <c r="L117" t="b">
        <v>1</v>
      </c>
      <c r="M117" t="s">
        <v>1410</v>
      </c>
      <c r="N117" t="b">
        <v>0</v>
      </c>
      <c r="O117">
        <v>0</v>
      </c>
      <c r="P117" t="s">
        <v>2421</v>
      </c>
    </row>
    <row r="118" spans="3:16" x14ac:dyDescent="0.3">
      <c r="C118" t="s">
        <v>2291</v>
      </c>
      <c r="G118" t="s">
        <v>2050</v>
      </c>
      <c r="H118" t="s">
        <v>1124</v>
      </c>
      <c r="I118" t="s">
        <v>2051</v>
      </c>
      <c r="L118" t="b">
        <v>1</v>
      </c>
      <c r="M118" t="s">
        <v>1410</v>
      </c>
      <c r="N118" t="b">
        <v>0</v>
      </c>
      <c r="O118">
        <v>0</v>
      </c>
      <c r="P118" t="s">
        <v>2421</v>
      </c>
    </row>
    <row r="119" spans="3:16" x14ac:dyDescent="0.3">
      <c r="C119" t="s">
        <v>2283</v>
      </c>
      <c r="G119" t="s">
        <v>2050</v>
      </c>
      <c r="H119" t="s">
        <v>1124</v>
      </c>
      <c r="I119" t="s">
        <v>2051</v>
      </c>
      <c r="L119" t="b">
        <v>1</v>
      </c>
      <c r="M119" t="s">
        <v>1410</v>
      </c>
      <c r="N119" t="b">
        <v>0</v>
      </c>
      <c r="O119">
        <v>0</v>
      </c>
      <c r="P119" t="s">
        <v>2421</v>
      </c>
    </row>
    <row r="120" spans="3:16" x14ac:dyDescent="0.3">
      <c r="C120" t="s">
        <v>2285</v>
      </c>
      <c r="G120" t="s">
        <v>2052</v>
      </c>
      <c r="H120" t="s">
        <v>1124</v>
      </c>
      <c r="I120" t="s">
        <v>2053</v>
      </c>
      <c r="L120" t="b">
        <v>1</v>
      </c>
      <c r="M120" t="s">
        <v>1410</v>
      </c>
      <c r="N120" t="b">
        <v>0</v>
      </c>
      <c r="O120">
        <v>0</v>
      </c>
      <c r="P120" t="s">
        <v>2421</v>
      </c>
    </row>
    <row r="121" spans="3:16" x14ac:dyDescent="0.3">
      <c r="C121" t="s">
        <v>2281</v>
      </c>
      <c r="G121" t="s">
        <v>2052</v>
      </c>
      <c r="H121" t="s">
        <v>1124</v>
      </c>
      <c r="I121" t="s">
        <v>2053</v>
      </c>
      <c r="L121" t="b">
        <v>1</v>
      </c>
      <c r="M121" t="s">
        <v>1410</v>
      </c>
      <c r="N121" t="b">
        <v>0</v>
      </c>
      <c r="O121">
        <v>0</v>
      </c>
      <c r="P121" t="s">
        <v>2421</v>
      </c>
    </row>
    <row r="122" spans="3:16" x14ac:dyDescent="0.3">
      <c r="C122" t="s">
        <v>2288</v>
      </c>
      <c r="G122" t="s">
        <v>2052</v>
      </c>
      <c r="H122" t="s">
        <v>1124</v>
      </c>
      <c r="I122" t="s">
        <v>2053</v>
      </c>
      <c r="L122" t="b">
        <v>1</v>
      </c>
      <c r="M122" t="s">
        <v>1410</v>
      </c>
      <c r="N122" t="b">
        <v>0</v>
      </c>
      <c r="O122">
        <v>0</v>
      </c>
      <c r="P122" t="s">
        <v>2421</v>
      </c>
    </row>
    <row r="123" spans="3:16" x14ac:dyDescent="0.3">
      <c r="C123" t="s">
        <v>2291</v>
      </c>
      <c r="G123" t="s">
        <v>2052</v>
      </c>
      <c r="H123" t="s">
        <v>1124</v>
      </c>
      <c r="I123" t="s">
        <v>2053</v>
      </c>
      <c r="L123" t="b">
        <v>1</v>
      </c>
      <c r="M123" t="s">
        <v>1410</v>
      </c>
      <c r="N123" t="b">
        <v>0</v>
      </c>
      <c r="O123">
        <v>0</v>
      </c>
      <c r="P123" t="s">
        <v>2421</v>
      </c>
    </row>
    <row r="124" spans="3:16" x14ac:dyDescent="0.3">
      <c r="C124" t="s">
        <v>2283</v>
      </c>
      <c r="G124" t="s">
        <v>2052</v>
      </c>
      <c r="H124" t="s">
        <v>1124</v>
      </c>
      <c r="I124" t="s">
        <v>2053</v>
      </c>
      <c r="L124" t="b">
        <v>1</v>
      </c>
      <c r="M124" t="s">
        <v>1410</v>
      </c>
      <c r="N124" t="b">
        <v>0</v>
      </c>
      <c r="O124">
        <v>0</v>
      </c>
      <c r="P124" t="s">
        <v>2421</v>
      </c>
    </row>
    <row r="125" spans="3:16" x14ac:dyDescent="0.3">
      <c r="C125" t="s">
        <v>39</v>
      </c>
      <c r="G125" t="s">
        <v>1036</v>
      </c>
      <c r="H125" t="s">
        <v>1124</v>
      </c>
      <c r="I125" t="s">
        <v>1445</v>
      </c>
      <c r="L125" t="b">
        <v>0</v>
      </c>
      <c r="M125" t="s">
        <v>1410</v>
      </c>
      <c r="N125" t="b">
        <v>0</v>
      </c>
      <c r="O125">
        <v>0</v>
      </c>
      <c r="P125" t="s">
        <v>2421</v>
      </c>
    </row>
    <row r="126" spans="3:16" x14ac:dyDescent="0.3">
      <c r="C126" t="s">
        <v>2285</v>
      </c>
      <c r="G126" t="s">
        <v>1186</v>
      </c>
      <c r="H126" t="s">
        <v>1124</v>
      </c>
      <c r="I126" t="s">
        <v>1446</v>
      </c>
      <c r="L126" t="b">
        <v>1</v>
      </c>
      <c r="M126" t="s">
        <v>1410</v>
      </c>
      <c r="N126" t="b">
        <v>0</v>
      </c>
      <c r="O126">
        <v>0</v>
      </c>
      <c r="P126" t="s">
        <v>2421</v>
      </c>
    </row>
    <row r="127" spans="3:16" x14ac:dyDescent="0.3">
      <c r="C127" t="s">
        <v>2288</v>
      </c>
      <c r="G127" t="s">
        <v>1186</v>
      </c>
      <c r="H127" t="s">
        <v>1124</v>
      </c>
      <c r="I127" t="s">
        <v>1446</v>
      </c>
      <c r="L127" t="b">
        <v>1</v>
      </c>
      <c r="M127" t="s">
        <v>1410</v>
      </c>
      <c r="N127" t="b">
        <v>0</v>
      </c>
      <c r="O127">
        <v>0</v>
      </c>
      <c r="P127" t="s">
        <v>2421</v>
      </c>
    </row>
    <row r="128" spans="3:16" x14ac:dyDescent="0.3">
      <c r="C128" t="s">
        <v>2284</v>
      </c>
      <c r="G128" t="s">
        <v>1186</v>
      </c>
      <c r="H128" t="s">
        <v>1124</v>
      </c>
      <c r="I128" t="s">
        <v>1446</v>
      </c>
      <c r="L128" t="b">
        <v>1</v>
      </c>
      <c r="M128" t="s">
        <v>1410</v>
      </c>
      <c r="N128" t="b">
        <v>0</v>
      </c>
      <c r="O128">
        <v>0</v>
      </c>
      <c r="P128" t="s">
        <v>2421</v>
      </c>
    </row>
    <row r="129" spans="3:16" x14ac:dyDescent="0.3">
      <c r="C129" t="s">
        <v>2291</v>
      </c>
      <c r="G129" t="s">
        <v>1186</v>
      </c>
      <c r="H129" t="s">
        <v>1124</v>
      </c>
      <c r="I129" t="s">
        <v>1446</v>
      </c>
      <c r="L129" t="b">
        <v>1</v>
      </c>
      <c r="M129" t="s">
        <v>1410</v>
      </c>
      <c r="N129" t="b">
        <v>0</v>
      </c>
      <c r="O129">
        <v>0</v>
      </c>
      <c r="P129" t="s">
        <v>2421</v>
      </c>
    </row>
    <row r="130" spans="3:16" x14ac:dyDescent="0.3">
      <c r="C130" t="s">
        <v>2293</v>
      </c>
      <c r="G130" t="s">
        <v>1186</v>
      </c>
      <c r="H130" t="s">
        <v>1124</v>
      </c>
      <c r="I130" t="s">
        <v>1446</v>
      </c>
      <c r="L130" t="b">
        <v>1</v>
      </c>
      <c r="M130" t="s">
        <v>1410</v>
      </c>
      <c r="N130" t="b">
        <v>0</v>
      </c>
      <c r="O130">
        <v>0</v>
      </c>
      <c r="P130" t="s">
        <v>2421</v>
      </c>
    </row>
    <row r="131" spans="3:16" x14ac:dyDescent="0.3">
      <c r="C131" t="s">
        <v>2282</v>
      </c>
      <c r="G131" t="s">
        <v>1186</v>
      </c>
      <c r="H131" t="s">
        <v>1124</v>
      </c>
      <c r="I131" t="s">
        <v>1446</v>
      </c>
      <c r="L131" t="b">
        <v>1</v>
      </c>
      <c r="M131" t="s">
        <v>1410</v>
      </c>
      <c r="N131" t="b">
        <v>0</v>
      </c>
      <c r="O131">
        <v>0</v>
      </c>
      <c r="P131" t="s">
        <v>2421</v>
      </c>
    </row>
    <row r="132" spans="3:16" x14ac:dyDescent="0.3">
      <c r="C132" t="s">
        <v>39</v>
      </c>
      <c r="G132" t="s">
        <v>1186</v>
      </c>
      <c r="H132" t="s">
        <v>1124</v>
      </c>
      <c r="I132" t="s">
        <v>1446</v>
      </c>
      <c r="L132" t="b">
        <v>1</v>
      </c>
      <c r="M132" t="s">
        <v>1410</v>
      </c>
      <c r="N132" t="b">
        <v>0</v>
      </c>
      <c r="O132">
        <v>0</v>
      </c>
      <c r="P132" t="s">
        <v>2421</v>
      </c>
    </row>
    <row r="133" spans="3:16" x14ac:dyDescent="0.3">
      <c r="C133" t="s">
        <v>2280</v>
      </c>
      <c r="G133" t="s">
        <v>1186</v>
      </c>
      <c r="H133" t="s">
        <v>1124</v>
      </c>
      <c r="I133" t="s">
        <v>1446</v>
      </c>
      <c r="L133" t="b">
        <v>1</v>
      </c>
      <c r="M133" t="s">
        <v>1410</v>
      </c>
      <c r="N133" t="b">
        <v>0</v>
      </c>
      <c r="O133">
        <v>0</v>
      </c>
      <c r="P133" t="s">
        <v>2421</v>
      </c>
    </row>
    <row r="134" spans="3:16" x14ac:dyDescent="0.3">
      <c r="C134" t="s">
        <v>2283</v>
      </c>
      <c r="G134" t="s">
        <v>1186</v>
      </c>
      <c r="H134" t="s">
        <v>1124</v>
      </c>
      <c r="I134" t="s">
        <v>1446</v>
      </c>
      <c r="L134" t="b">
        <v>1</v>
      </c>
      <c r="M134" t="s">
        <v>1410</v>
      </c>
      <c r="N134" t="b">
        <v>0</v>
      </c>
      <c r="O134">
        <v>0</v>
      </c>
      <c r="P134" t="s">
        <v>2421</v>
      </c>
    </row>
    <row r="135" spans="3:16" x14ac:dyDescent="0.3">
      <c r="C135" t="s">
        <v>2285</v>
      </c>
      <c r="G135" t="s">
        <v>1994</v>
      </c>
      <c r="H135" t="s">
        <v>1124</v>
      </c>
      <c r="I135" t="s">
        <v>1995</v>
      </c>
      <c r="L135" t="b">
        <v>1</v>
      </c>
      <c r="M135" t="s">
        <v>1410</v>
      </c>
      <c r="N135" t="b">
        <v>0</v>
      </c>
      <c r="O135">
        <v>0</v>
      </c>
      <c r="P135" t="s">
        <v>2421</v>
      </c>
    </row>
    <row r="136" spans="3:16" x14ac:dyDescent="0.3">
      <c r="C136" t="s">
        <v>2288</v>
      </c>
      <c r="G136" t="s">
        <v>1994</v>
      </c>
      <c r="H136" t="s">
        <v>1124</v>
      </c>
      <c r="I136" t="s">
        <v>1995</v>
      </c>
      <c r="L136" t="b">
        <v>1</v>
      </c>
      <c r="M136" t="s">
        <v>1410</v>
      </c>
      <c r="N136" t="b">
        <v>0</v>
      </c>
      <c r="O136">
        <v>0</v>
      </c>
      <c r="P136" t="s">
        <v>2421</v>
      </c>
    </row>
    <row r="137" spans="3:16" x14ac:dyDescent="0.3">
      <c r="C137" t="s">
        <v>2284</v>
      </c>
      <c r="G137" t="s">
        <v>1994</v>
      </c>
      <c r="H137" t="s">
        <v>1124</v>
      </c>
      <c r="I137" t="s">
        <v>1995</v>
      </c>
      <c r="L137" t="b">
        <v>1</v>
      </c>
      <c r="M137" t="s">
        <v>1410</v>
      </c>
      <c r="N137" t="b">
        <v>0</v>
      </c>
      <c r="O137">
        <v>0</v>
      </c>
      <c r="P137" t="s">
        <v>2421</v>
      </c>
    </row>
    <row r="138" spans="3:16" x14ac:dyDescent="0.3">
      <c r="C138" t="s">
        <v>2291</v>
      </c>
      <c r="G138" t="s">
        <v>1994</v>
      </c>
      <c r="H138" t="s">
        <v>1124</v>
      </c>
      <c r="I138" t="s">
        <v>1995</v>
      </c>
      <c r="L138" t="b">
        <v>1</v>
      </c>
      <c r="M138" t="s">
        <v>1410</v>
      </c>
      <c r="N138" t="b">
        <v>0</v>
      </c>
      <c r="O138">
        <v>0</v>
      </c>
      <c r="P138" t="s">
        <v>2421</v>
      </c>
    </row>
    <row r="139" spans="3:16" x14ac:dyDescent="0.3">
      <c r="C139" t="s">
        <v>2293</v>
      </c>
      <c r="G139" t="s">
        <v>1994</v>
      </c>
      <c r="H139" t="s">
        <v>1124</v>
      </c>
      <c r="I139" t="s">
        <v>1995</v>
      </c>
      <c r="L139" t="b">
        <v>1</v>
      </c>
      <c r="M139" t="s">
        <v>1410</v>
      </c>
      <c r="N139" t="b">
        <v>0</v>
      </c>
      <c r="O139">
        <v>0</v>
      </c>
      <c r="P139" t="s">
        <v>2421</v>
      </c>
    </row>
    <row r="140" spans="3:16" x14ac:dyDescent="0.3">
      <c r="C140" t="s">
        <v>2282</v>
      </c>
      <c r="G140" t="s">
        <v>1994</v>
      </c>
      <c r="H140" t="s">
        <v>1124</v>
      </c>
      <c r="I140" t="s">
        <v>1995</v>
      </c>
      <c r="L140" t="b">
        <v>1</v>
      </c>
      <c r="M140" t="s">
        <v>1410</v>
      </c>
      <c r="N140" t="b">
        <v>0</v>
      </c>
      <c r="O140">
        <v>0</v>
      </c>
      <c r="P140" t="s">
        <v>2421</v>
      </c>
    </row>
    <row r="141" spans="3:16" x14ac:dyDescent="0.3">
      <c r="C141" t="s">
        <v>39</v>
      </c>
      <c r="G141" t="s">
        <v>1994</v>
      </c>
      <c r="H141" t="s">
        <v>1124</v>
      </c>
      <c r="I141" t="s">
        <v>1995</v>
      </c>
      <c r="L141" t="b">
        <v>1</v>
      </c>
      <c r="M141" t="s">
        <v>1410</v>
      </c>
      <c r="N141" t="b">
        <v>0</v>
      </c>
      <c r="O141">
        <v>0</v>
      </c>
      <c r="P141" t="s">
        <v>2421</v>
      </c>
    </row>
    <row r="142" spans="3:16" x14ac:dyDescent="0.3">
      <c r="C142" t="s">
        <v>2280</v>
      </c>
      <c r="G142" t="s">
        <v>1994</v>
      </c>
      <c r="H142" t="s">
        <v>1124</v>
      </c>
      <c r="I142" t="s">
        <v>1995</v>
      </c>
      <c r="L142" t="b">
        <v>1</v>
      </c>
      <c r="M142" t="s">
        <v>1410</v>
      </c>
      <c r="N142" t="b">
        <v>0</v>
      </c>
      <c r="O142">
        <v>0</v>
      </c>
      <c r="P142" t="s">
        <v>2421</v>
      </c>
    </row>
    <row r="143" spans="3:16" x14ac:dyDescent="0.3">
      <c r="C143" t="s">
        <v>2283</v>
      </c>
      <c r="G143" t="s">
        <v>1994</v>
      </c>
      <c r="H143" t="s">
        <v>1124</v>
      </c>
      <c r="I143" t="s">
        <v>1995</v>
      </c>
      <c r="L143" t="b">
        <v>1</v>
      </c>
      <c r="M143" t="s">
        <v>1410</v>
      </c>
      <c r="N143" t="b">
        <v>0</v>
      </c>
      <c r="O143">
        <v>0</v>
      </c>
      <c r="P143" t="s">
        <v>2421</v>
      </c>
    </row>
    <row r="144" spans="3:16" x14ac:dyDescent="0.3">
      <c r="C144" t="s">
        <v>2285</v>
      </c>
      <c r="G144" t="s">
        <v>2346</v>
      </c>
      <c r="H144" t="s">
        <v>1124</v>
      </c>
      <c r="I144" t="s">
        <v>2409</v>
      </c>
      <c r="L144" t="b">
        <v>1</v>
      </c>
      <c r="M144" t="s">
        <v>1410</v>
      </c>
      <c r="N144" t="b">
        <v>0</v>
      </c>
      <c r="O144">
        <v>0</v>
      </c>
      <c r="P144" t="s">
        <v>2421</v>
      </c>
    </row>
    <row r="145" spans="3:16" x14ac:dyDescent="0.3">
      <c r="C145" t="s">
        <v>2281</v>
      </c>
      <c r="G145" t="s">
        <v>2346</v>
      </c>
      <c r="H145" t="s">
        <v>1124</v>
      </c>
      <c r="I145" t="s">
        <v>2409</v>
      </c>
      <c r="L145" t="b">
        <v>1</v>
      </c>
      <c r="M145" t="s">
        <v>1410</v>
      </c>
      <c r="N145" t="b">
        <v>0</v>
      </c>
      <c r="O145">
        <v>0</v>
      </c>
      <c r="P145" t="s">
        <v>2421</v>
      </c>
    </row>
    <row r="146" spans="3:16" x14ac:dyDescent="0.3">
      <c r="C146" t="s">
        <v>2288</v>
      </c>
      <c r="G146" t="s">
        <v>2346</v>
      </c>
      <c r="H146" t="s">
        <v>1124</v>
      </c>
      <c r="I146" t="s">
        <v>2409</v>
      </c>
      <c r="L146" t="b">
        <v>1</v>
      </c>
      <c r="M146" t="s">
        <v>1410</v>
      </c>
      <c r="N146" t="b">
        <v>0</v>
      </c>
      <c r="O146">
        <v>0</v>
      </c>
      <c r="P146" t="s">
        <v>2421</v>
      </c>
    </row>
    <row r="147" spans="3:16" x14ac:dyDescent="0.3">
      <c r="C147" t="s">
        <v>2284</v>
      </c>
      <c r="G147" t="s">
        <v>2346</v>
      </c>
      <c r="H147" t="s">
        <v>1124</v>
      </c>
      <c r="I147" t="s">
        <v>2409</v>
      </c>
      <c r="L147" t="b">
        <v>1</v>
      </c>
      <c r="M147" t="s">
        <v>1410</v>
      </c>
      <c r="N147" t="b">
        <v>0</v>
      </c>
      <c r="O147">
        <v>0</v>
      </c>
      <c r="P147" t="s">
        <v>2421</v>
      </c>
    </row>
    <row r="148" spans="3:16" x14ac:dyDescent="0.3">
      <c r="C148" t="s">
        <v>2291</v>
      </c>
      <c r="G148" t="s">
        <v>2346</v>
      </c>
      <c r="H148" t="s">
        <v>1124</v>
      </c>
      <c r="I148" t="s">
        <v>2409</v>
      </c>
      <c r="L148" t="b">
        <v>1</v>
      </c>
      <c r="M148" t="s">
        <v>1410</v>
      </c>
      <c r="N148" t="b">
        <v>0</v>
      </c>
      <c r="O148">
        <v>0</v>
      </c>
      <c r="P148" t="s">
        <v>2421</v>
      </c>
    </row>
    <row r="149" spans="3:16" x14ac:dyDescent="0.3">
      <c r="C149" t="s">
        <v>2293</v>
      </c>
      <c r="G149" t="s">
        <v>2346</v>
      </c>
      <c r="H149" t="s">
        <v>1124</v>
      </c>
      <c r="I149" t="s">
        <v>2409</v>
      </c>
      <c r="L149" t="b">
        <v>1</v>
      </c>
      <c r="M149" t="s">
        <v>1410</v>
      </c>
      <c r="N149" t="b">
        <v>0</v>
      </c>
      <c r="O149">
        <v>0</v>
      </c>
      <c r="P149" t="s">
        <v>2421</v>
      </c>
    </row>
    <row r="150" spans="3:16" x14ac:dyDescent="0.3">
      <c r="C150" t="s">
        <v>2282</v>
      </c>
      <c r="G150" t="s">
        <v>2346</v>
      </c>
      <c r="H150" t="s">
        <v>1124</v>
      </c>
      <c r="I150" t="s">
        <v>2409</v>
      </c>
      <c r="L150" t="b">
        <v>1</v>
      </c>
      <c r="M150" t="s">
        <v>1410</v>
      </c>
      <c r="N150" t="b">
        <v>0</v>
      </c>
      <c r="O150">
        <v>0</v>
      </c>
      <c r="P150" t="s">
        <v>2421</v>
      </c>
    </row>
    <row r="151" spans="3:16" x14ac:dyDescent="0.3">
      <c r="C151" t="s">
        <v>39</v>
      </c>
      <c r="G151" t="s">
        <v>2346</v>
      </c>
      <c r="H151" t="s">
        <v>1124</v>
      </c>
      <c r="I151" t="s">
        <v>2409</v>
      </c>
      <c r="L151" t="b">
        <v>1</v>
      </c>
      <c r="M151" t="s">
        <v>1410</v>
      </c>
      <c r="N151" t="b">
        <v>0</v>
      </c>
      <c r="O151">
        <v>0</v>
      </c>
      <c r="P151" t="s">
        <v>2421</v>
      </c>
    </row>
    <row r="152" spans="3:16" x14ac:dyDescent="0.3">
      <c r="C152" t="s">
        <v>2280</v>
      </c>
      <c r="G152" t="s">
        <v>2346</v>
      </c>
      <c r="H152" t="s">
        <v>1124</v>
      </c>
      <c r="I152" t="s">
        <v>2409</v>
      </c>
      <c r="L152" t="b">
        <v>1</v>
      </c>
      <c r="M152" t="s">
        <v>1410</v>
      </c>
      <c r="N152" t="b">
        <v>0</v>
      </c>
      <c r="O152">
        <v>0</v>
      </c>
      <c r="P152" t="s">
        <v>2421</v>
      </c>
    </row>
    <row r="153" spans="3:16" x14ac:dyDescent="0.3">
      <c r="C153" t="s">
        <v>2283</v>
      </c>
      <c r="G153" t="s">
        <v>2346</v>
      </c>
      <c r="H153" t="s">
        <v>1124</v>
      </c>
      <c r="I153" t="s">
        <v>2409</v>
      </c>
      <c r="L153" t="b">
        <v>1</v>
      </c>
      <c r="M153" t="s">
        <v>1410</v>
      </c>
      <c r="N153" t="b">
        <v>0</v>
      </c>
      <c r="O153">
        <v>0</v>
      </c>
      <c r="P153" t="s">
        <v>2421</v>
      </c>
    </row>
    <row r="154" spans="3:16" x14ac:dyDescent="0.3">
      <c r="C154" t="s">
        <v>2285</v>
      </c>
      <c r="G154" t="s">
        <v>2347</v>
      </c>
      <c r="H154" t="s">
        <v>1124</v>
      </c>
      <c r="I154" t="s">
        <v>2408</v>
      </c>
      <c r="L154" t="b">
        <v>1</v>
      </c>
      <c r="M154" t="s">
        <v>1410</v>
      </c>
      <c r="N154" t="b">
        <v>0</v>
      </c>
      <c r="O154">
        <v>0</v>
      </c>
      <c r="P154" t="s">
        <v>2421</v>
      </c>
    </row>
    <row r="155" spans="3:16" x14ac:dyDescent="0.3">
      <c r="C155" t="s">
        <v>2281</v>
      </c>
      <c r="G155" t="s">
        <v>2347</v>
      </c>
      <c r="H155" t="s">
        <v>1124</v>
      </c>
      <c r="I155" t="s">
        <v>2408</v>
      </c>
      <c r="L155" t="b">
        <v>1</v>
      </c>
      <c r="M155" t="s">
        <v>1410</v>
      </c>
      <c r="N155" t="b">
        <v>0</v>
      </c>
      <c r="O155">
        <v>0</v>
      </c>
      <c r="P155" t="s">
        <v>2421</v>
      </c>
    </row>
    <row r="156" spans="3:16" x14ac:dyDescent="0.3">
      <c r="C156" t="s">
        <v>2288</v>
      </c>
      <c r="G156" t="s">
        <v>2347</v>
      </c>
      <c r="H156" t="s">
        <v>1124</v>
      </c>
      <c r="I156" t="s">
        <v>2408</v>
      </c>
      <c r="L156" t="b">
        <v>1</v>
      </c>
      <c r="M156" t="s">
        <v>1410</v>
      </c>
      <c r="N156" t="b">
        <v>0</v>
      </c>
      <c r="O156">
        <v>0</v>
      </c>
      <c r="P156" t="s">
        <v>2421</v>
      </c>
    </row>
    <row r="157" spans="3:16" x14ac:dyDescent="0.3">
      <c r="C157" t="s">
        <v>2284</v>
      </c>
      <c r="G157" t="s">
        <v>2347</v>
      </c>
      <c r="H157" t="s">
        <v>1124</v>
      </c>
      <c r="I157" t="s">
        <v>2408</v>
      </c>
      <c r="L157" t="b">
        <v>1</v>
      </c>
      <c r="M157" t="s">
        <v>1410</v>
      </c>
      <c r="N157" t="b">
        <v>0</v>
      </c>
      <c r="O157">
        <v>0</v>
      </c>
      <c r="P157" t="s">
        <v>2421</v>
      </c>
    </row>
    <row r="158" spans="3:16" x14ac:dyDescent="0.3">
      <c r="C158" t="s">
        <v>2291</v>
      </c>
      <c r="G158" t="s">
        <v>2347</v>
      </c>
      <c r="H158" t="s">
        <v>1124</v>
      </c>
      <c r="I158" t="s">
        <v>2408</v>
      </c>
      <c r="L158" t="b">
        <v>1</v>
      </c>
      <c r="M158" t="s">
        <v>1410</v>
      </c>
      <c r="N158" t="b">
        <v>0</v>
      </c>
      <c r="O158">
        <v>0</v>
      </c>
      <c r="P158" t="s">
        <v>2421</v>
      </c>
    </row>
    <row r="159" spans="3:16" x14ac:dyDescent="0.3">
      <c r="C159" t="s">
        <v>2293</v>
      </c>
      <c r="G159" t="s">
        <v>2347</v>
      </c>
      <c r="H159" t="s">
        <v>1124</v>
      </c>
      <c r="I159" t="s">
        <v>2408</v>
      </c>
      <c r="L159" t="b">
        <v>1</v>
      </c>
      <c r="M159" t="s">
        <v>1410</v>
      </c>
      <c r="N159" t="b">
        <v>0</v>
      </c>
      <c r="O159">
        <v>0</v>
      </c>
      <c r="P159" t="s">
        <v>2421</v>
      </c>
    </row>
    <row r="160" spans="3:16" x14ac:dyDescent="0.3">
      <c r="C160" t="s">
        <v>2282</v>
      </c>
      <c r="G160" t="s">
        <v>2347</v>
      </c>
      <c r="H160" t="s">
        <v>1124</v>
      </c>
      <c r="I160" t="s">
        <v>2408</v>
      </c>
      <c r="L160" t="b">
        <v>1</v>
      </c>
      <c r="M160" t="s">
        <v>1410</v>
      </c>
      <c r="N160" t="b">
        <v>0</v>
      </c>
      <c r="O160">
        <v>0</v>
      </c>
      <c r="P160" t="s">
        <v>2421</v>
      </c>
    </row>
    <row r="161" spans="3:16" x14ac:dyDescent="0.3">
      <c r="C161" t="s">
        <v>39</v>
      </c>
      <c r="G161" t="s">
        <v>2347</v>
      </c>
      <c r="H161" t="s">
        <v>1124</v>
      </c>
      <c r="I161" t="s">
        <v>2408</v>
      </c>
      <c r="L161" t="b">
        <v>1</v>
      </c>
      <c r="M161" t="s">
        <v>1410</v>
      </c>
      <c r="N161" t="b">
        <v>0</v>
      </c>
      <c r="O161">
        <v>0</v>
      </c>
      <c r="P161" t="s">
        <v>2421</v>
      </c>
    </row>
    <row r="162" spans="3:16" x14ac:dyDescent="0.3">
      <c r="C162" t="s">
        <v>2280</v>
      </c>
      <c r="G162" t="s">
        <v>2347</v>
      </c>
      <c r="H162" t="s">
        <v>1124</v>
      </c>
      <c r="I162" t="s">
        <v>2408</v>
      </c>
      <c r="L162" t="b">
        <v>1</v>
      </c>
      <c r="M162" t="s">
        <v>1410</v>
      </c>
      <c r="N162" t="b">
        <v>0</v>
      </c>
      <c r="O162">
        <v>0</v>
      </c>
      <c r="P162" t="s">
        <v>2421</v>
      </c>
    </row>
    <row r="163" spans="3:16" x14ac:dyDescent="0.3">
      <c r="C163" t="s">
        <v>2283</v>
      </c>
      <c r="G163" t="s">
        <v>2347</v>
      </c>
      <c r="H163" t="s">
        <v>1124</v>
      </c>
      <c r="I163" t="s">
        <v>2408</v>
      </c>
      <c r="L163" t="b">
        <v>1</v>
      </c>
      <c r="M163" t="s">
        <v>1410</v>
      </c>
      <c r="N163" t="b">
        <v>0</v>
      </c>
      <c r="O163">
        <v>0</v>
      </c>
      <c r="P163" t="s">
        <v>2421</v>
      </c>
    </row>
    <row r="164" spans="3:16" x14ac:dyDescent="0.3">
      <c r="C164" t="s">
        <v>2285</v>
      </c>
      <c r="G164" t="s">
        <v>2343</v>
      </c>
      <c r="H164" t="s">
        <v>1124</v>
      </c>
      <c r="I164" t="s">
        <v>2345</v>
      </c>
      <c r="L164" t="b">
        <v>1</v>
      </c>
      <c r="M164" t="s">
        <v>1410</v>
      </c>
      <c r="N164" t="b">
        <v>0</v>
      </c>
      <c r="O164">
        <v>0</v>
      </c>
      <c r="P164" t="s">
        <v>2421</v>
      </c>
    </row>
    <row r="165" spans="3:16" x14ac:dyDescent="0.3">
      <c r="C165" t="s">
        <v>2281</v>
      </c>
      <c r="G165" t="s">
        <v>2343</v>
      </c>
      <c r="H165" t="s">
        <v>1124</v>
      </c>
      <c r="I165" t="s">
        <v>2345</v>
      </c>
      <c r="L165" t="b">
        <v>1</v>
      </c>
      <c r="M165" t="s">
        <v>1410</v>
      </c>
      <c r="N165" t="b">
        <v>0</v>
      </c>
      <c r="O165">
        <v>0</v>
      </c>
      <c r="P165" t="s">
        <v>2421</v>
      </c>
    </row>
    <row r="166" spans="3:16" x14ac:dyDescent="0.3">
      <c r="C166" t="s">
        <v>2288</v>
      </c>
      <c r="G166" t="s">
        <v>2343</v>
      </c>
      <c r="H166" t="s">
        <v>1124</v>
      </c>
      <c r="I166" t="s">
        <v>2345</v>
      </c>
      <c r="L166" t="b">
        <v>1</v>
      </c>
      <c r="M166" t="s">
        <v>1410</v>
      </c>
      <c r="N166" t="b">
        <v>0</v>
      </c>
      <c r="O166">
        <v>0</v>
      </c>
      <c r="P166" t="s">
        <v>2421</v>
      </c>
    </row>
    <row r="167" spans="3:16" x14ac:dyDescent="0.3">
      <c r="C167" t="s">
        <v>2284</v>
      </c>
      <c r="G167" t="s">
        <v>2343</v>
      </c>
      <c r="H167" t="s">
        <v>1124</v>
      </c>
      <c r="I167" t="s">
        <v>2345</v>
      </c>
      <c r="L167" t="b">
        <v>1</v>
      </c>
      <c r="M167" t="s">
        <v>1410</v>
      </c>
      <c r="N167" t="b">
        <v>0</v>
      </c>
      <c r="O167">
        <v>0</v>
      </c>
      <c r="P167" t="s">
        <v>2421</v>
      </c>
    </row>
    <row r="168" spans="3:16" x14ac:dyDescent="0.3">
      <c r="C168" t="s">
        <v>2291</v>
      </c>
      <c r="G168" t="s">
        <v>2343</v>
      </c>
      <c r="H168" t="s">
        <v>1124</v>
      </c>
      <c r="I168" t="s">
        <v>2345</v>
      </c>
      <c r="L168" t="b">
        <v>1</v>
      </c>
      <c r="M168" t="s">
        <v>1410</v>
      </c>
      <c r="N168" t="b">
        <v>0</v>
      </c>
      <c r="O168">
        <v>0</v>
      </c>
      <c r="P168" t="s">
        <v>2421</v>
      </c>
    </row>
    <row r="169" spans="3:16" x14ac:dyDescent="0.3">
      <c r="C169" t="s">
        <v>2293</v>
      </c>
      <c r="G169" t="s">
        <v>2343</v>
      </c>
      <c r="H169" t="s">
        <v>1124</v>
      </c>
      <c r="I169" t="s">
        <v>2345</v>
      </c>
      <c r="L169" t="b">
        <v>1</v>
      </c>
      <c r="M169" t="s">
        <v>1410</v>
      </c>
      <c r="N169" t="b">
        <v>0</v>
      </c>
      <c r="O169">
        <v>0</v>
      </c>
      <c r="P169" t="s">
        <v>2421</v>
      </c>
    </row>
    <row r="170" spans="3:16" x14ac:dyDescent="0.3">
      <c r="C170" t="s">
        <v>2282</v>
      </c>
      <c r="G170" t="s">
        <v>2343</v>
      </c>
      <c r="H170" t="s">
        <v>1124</v>
      </c>
      <c r="I170" t="s">
        <v>2345</v>
      </c>
      <c r="L170" t="b">
        <v>1</v>
      </c>
      <c r="M170" t="s">
        <v>1410</v>
      </c>
      <c r="N170" t="b">
        <v>0</v>
      </c>
      <c r="O170">
        <v>0</v>
      </c>
      <c r="P170" t="s">
        <v>2421</v>
      </c>
    </row>
    <row r="171" spans="3:16" x14ac:dyDescent="0.3">
      <c r="C171" t="s">
        <v>39</v>
      </c>
      <c r="G171" t="s">
        <v>2343</v>
      </c>
      <c r="H171" t="s">
        <v>1124</v>
      </c>
      <c r="I171" t="s">
        <v>2345</v>
      </c>
      <c r="L171" t="b">
        <v>1</v>
      </c>
      <c r="M171" t="s">
        <v>1410</v>
      </c>
      <c r="N171" t="b">
        <v>0</v>
      </c>
      <c r="O171">
        <v>0</v>
      </c>
      <c r="P171" t="s">
        <v>2421</v>
      </c>
    </row>
    <row r="172" spans="3:16" x14ac:dyDescent="0.3">
      <c r="C172" t="s">
        <v>2280</v>
      </c>
      <c r="G172" t="s">
        <v>2343</v>
      </c>
      <c r="H172" t="s">
        <v>1124</v>
      </c>
      <c r="I172" t="s">
        <v>2345</v>
      </c>
      <c r="L172" t="b">
        <v>1</v>
      </c>
      <c r="M172" t="s">
        <v>1410</v>
      </c>
      <c r="N172" t="b">
        <v>0</v>
      </c>
      <c r="O172">
        <v>0</v>
      </c>
      <c r="P172" t="s">
        <v>2421</v>
      </c>
    </row>
    <row r="173" spans="3:16" x14ac:dyDescent="0.3">
      <c r="C173" t="s">
        <v>2283</v>
      </c>
      <c r="G173" t="s">
        <v>2343</v>
      </c>
      <c r="H173" t="s">
        <v>1124</v>
      </c>
      <c r="I173" t="s">
        <v>2345</v>
      </c>
      <c r="L173" t="b">
        <v>1</v>
      </c>
      <c r="M173" t="s">
        <v>1410</v>
      </c>
      <c r="N173" t="b">
        <v>0</v>
      </c>
      <c r="O173">
        <v>0</v>
      </c>
      <c r="P173" t="s">
        <v>2421</v>
      </c>
    </row>
    <row r="174" spans="3:16" x14ac:dyDescent="0.3">
      <c r="C174" t="s">
        <v>2285</v>
      </c>
      <c r="G174" t="s">
        <v>2342</v>
      </c>
      <c r="H174" t="s">
        <v>1124</v>
      </c>
      <c r="I174" t="s">
        <v>2344</v>
      </c>
      <c r="L174" t="b">
        <v>1</v>
      </c>
      <c r="M174" t="s">
        <v>1410</v>
      </c>
      <c r="N174" t="b">
        <v>0</v>
      </c>
      <c r="O174">
        <v>0</v>
      </c>
      <c r="P174" t="s">
        <v>2421</v>
      </c>
    </row>
    <row r="175" spans="3:16" x14ac:dyDescent="0.3">
      <c r="C175" t="s">
        <v>2281</v>
      </c>
      <c r="G175" t="s">
        <v>2342</v>
      </c>
      <c r="H175" t="s">
        <v>1124</v>
      </c>
      <c r="I175" t="s">
        <v>2344</v>
      </c>
      <c r="L175" t="b">
        <v>1</v>
      </c>
      <c r="M175" t="s">
        <v>1410</v>
      </c>
      <c r="N175" t="b">
        <v>0</v>
      </c>
      <c r="O175">
        <v>0</v>
      </c>
      <c r="P175" t="s">
        <v>2421</v>
      </c>
    </row>
    <row r="176" spans="3:16" x14ac:dyDescent="0.3">
      <c r="C176" t="s">
        <v>2288</v>
      </c>
      <c r="G176" t="s">
        <v>2342</v>
      </c>
      <c r="H176" t="s">
        <v>1124</v>
      </c>
      <c r="I176" t="s">
        <v>2344</v>
      </c>
      <c r="L176" t="b">
        <v>1</v>
      </c>
      <c r="M176" t="s">
        <v>1410</v>
      </c>
      <c r="N176" t="b">
        <v>0</v>
      </c>
      <c r="O176">
        <v>0</v>
      </c>
      <c r="P176" t="s">
        <v>2421</v>
      </c>
    </row>
    <row r="177" spans="3:16" x14ac:dyDescent="0.3">
      <c r="C177" t="s">
        <v>2284</v>
      </c>
      <c r="G177" t="s">
        <v>2342</v>
      </c>
      <c r="H177" t="s">
        <v>1124</v>
      </c>
      <c r="I177" t="s">
        <v>2344</v>
      </c>
      <c r="L177" t="b">
        <v>1</v>
      </c>
      <c r="M177" t="s">
        <v>1410</v>
      </c>
      <c r="N177" t="b">
        <v>0</v>
      </c>
      <c r="O177">
        <v>0</v>
      </c>
      <c r="P177" t="s">
        <v>2421</v>
      </c>
    </row>
    <row r="178" spans="3:16" x14ac:dyDescent="0.3">
      <c r="C178" t="s">
        <v>2291</v>
      </c>
      <c r="G178" t="s">
        <v>2342</v>
      </c>
      <c r="H178" t="s">
        <v>1124</v>
      </c>
      <c r="I178" t="s">
        <v>2344</v>
      </c>
      <c r="L178" t="b">
        <v>1</v>
      </c>
      <c r="M178" t="s">
        <v>1410</v>
      </c>
      <c r="N178" t="b">
        <v>0</v>
      </c>
      <c r="O178">
        <v>0</v>
      </c>
      <c r="P178" t="s">
        <v>2421</v>
      </c>
    </row>
    <row r="179" spans="3:16" x14ac:dyDescent="0.3">
      <c r="C179" t="s">
        <v>2293</v>
      </c>
      <c r="G179" t="s">
        <v>2342</v>
      </c>
      <c r="H179" t="s">
        <v>1124</v>
      </c>
      <c r="I179" t="s">
        <v>2344</v>
      </c>
      <c r="L179" t="b">
        <v>1</v>
      </c>
      <c r="M179" t="s">
        <v>1410</v>
      </c>
      <c r="N179" t="b">
        <v>0</v>
      </c>
      <c r="O179">
        <v>0</v>
      </c>
      <c r="P179" t="s">
        <v>2421</v>
      </c>
    </row>
    <row r="180" spans="3:16" x14ac:dyDescent="0.3">
      <c r="C180" t="s">
        <v>2282</v>
      </c>
      <c r="G180" t="s">
        <v>2342</v>
      </c>
      <c r="H180" t="s">
        <v>1124</v>
      </c>
      <c r="I180" t="s">
        <v>2344</v>
      </c>
      <c r="L180" t="b">
        <v>1</v>
      </c>
      <c r="M180" t="s">
        <v>1410</v>
      </c>
      <c r="N180" t="b">
        <v>0</v>
      </c>
      <c r="O180">
        <v>0</v>
      </c>
      <c r="P180" t="s">
        <v>2421</v>
      </c>
    </row>
    <row r="181" spans="3:16" x14ac:dyDescent="0.3">
      <c r="C181" t="s">
        <v>39</v>
      </c>
      <c r="G181" t="s">
        <v>2342</v>
      </c>
      <c r="H181" t="s">
        <v>1124</v>
      </c>
      <c r="I181" t="s">
        <v>2344</v>
      </c>
      <c r="L181" t="b">
        <v>1</v>
      </c>
      <c r="M181" t="s">
        <v>1410</v>
      </c>
      <c r="N181" t="b">
        <v>0</v>
      </c>
      <c r="O181">
        <v>0</v>
      </c>
      <c r="P181" t="s">
        <v>2421</v>
      </c>
    </row>
    <row r="182" spans="3:16" x14ac:dyDescent="0.3">
      <c r="C182" t="s">
        <v>2280</v>
      </c>
      <c r="G182" t="s">
        <v>2342</v>
      </c>
      <c r="H182" t="s">
        <v>1124</v>
      </c>
      <c r="I182" t="s">
        <v>2344</v>
      </c>
      <c r="L182" t="b">
        <v>1</v>
      </c>
      <c r="M182" t="s">
        <v>1410</v>
      </c>
      <c r="N182" t="b">
        <v>0</v>
      </c>
      <c r="O182">
        <v>0</v>
      </c>
      <c r="P182" t="s">
        <v>2421</v>
      </c>
    </row>
    <row r="183" spans="3:16" x14ac:dyDescent="0.3">
      <c r="C183" t="s">
        <v>2283</v>
      </c>
      <c r="G183" t="s">
        <v>2342</v>
      </c>
      <c r="H183" t="s">
        <v>1124</v>
      </c>
      <c r="I183" t="s">
        <v>2344</v>
      </c>
      <c r="L183" t="b">
        <v>1</v>
      </c>
      <c r="M183" t="s">
        <v>1410</v>
      </c>
      <c r="N183" t="b">
        <v>0</v>
      </c>
      <c r="O183">
        <v>0</v>
      </c>
      <c r="P183" t="s">
        <v>2421</v>
      </c>
    </row>
    <row r="184" spans="3:16" x14ac:dyDescent="0.3">
      <c r="C184" t="s">
        <v>2285</v>
      </c>
      <c r="G184" t="s">
        <v>1290</v>
      </c>
      <c r="H184" t="s">
        <v>1124</v>
      </c>
      <c r="I184" t="s">
        <v>1447</v>
      </c>
      <c r="L184" t="b">
        <v>0</v>
      </c>
      <c r="M184" t="s">
        <v>1410</v>
      </c>
      <c r="N184" t="b">
        <v>0</v>
      </c>
      <c r="O184">
        <v>0</v>
      </c>
      <c r="P184" t="s">
        <v>2421</v>
      </c>
    </row>
    <row r="185" spans="3:16" x14ac:dyDescent="0.3">
      <c r="C185" t="s">
        <v>2284</v>
      </c>
      <c r="G185" t="s">
        <v>1290</v>
      </c>
      <c r="H185" t="s">
        <v>1124</v>
      </c>
      <c r="I185" t="s">
        <v>1447</v>
      </c>
      <c r="L185" t="b">
        <v>0</v>
      </c>
      <c r="M185" t="s">
        <v>1410</v>
      </c>
      <c r="N185" t="b">
        <v>0</v>
      </c>
      <c r="O185">
        <v>0</v>
      </c>
      <c r="P185" t="s">
        <v>2421</v>
      </c>
    </row>
    <row r="186" spans="3:16" x14ac:dyDescent="0.3">
      <c r="C186" t="s">
        <v>2291</v>
      </c>
      <c r="G186" t="s">
        <v>1290</v>
      </c>
      <c r="H186" t="s">
        <v>1124</v>
      </c>
      <c r="I186" t="s">
        <v>1447</v>
      </c>
      <c r="L186" t="b">
        <v>0</v>
      </c>
      <c r="M186" t="s">
        <v>1410</v>
      </c>
      <c r="N186" t="b">
        <v>0</v>
      </c>
      <c r="O186">
        <v>0</v>
      </c>
      <c r="P186" t="s">
        <v>2421</v>
      </c>
    </row>
    <row r="187" spans="3:16" x14ac:dyDescent="0.3">
      <c r="C187" t="s">
        <v>2293</v>
      </c>
      <c r="G187" t="s">
        <v>1290</v>
      </c>
      <c r="H187" t="s">
        <v>1124</v>
      </c>
      <c r="I187" t="s">
        <v>1447</v>
      </c>
      <c r="L187" t="b">
        <v>0</v>
      </c>
      <c r="M187" t="s">
        <v>1410</v>
      </c>
      <c r="N187" t="b">
        <v>0</v>
      </c>
      <c r="O187">
        <v>0</v>
      </c>
      <c r="P187" t="s">
        <v>2421</v>
      </c>
    </row>
    <row r="188" spans="3:16" x14ac:dyDescent="0.3">
      <c r="C188" t="s">
        <v>2282</v>
      </c>
      <c r="G188" t="s">
        <v>1290</v>
      </c>
      <c r="H188" t="s">
        <v>1124</v>
      </c>
      <c r="I188" t="s">
        <v>1447</v>
      </c>
      <c r="L188" t="b">
        <v>0</v>
      </c>
      <c r="M188" t="s">
        <v>1410</v>
      </c>
      <c r="N188" t="b">
        <v>0</v>
      </c>
      <c r="O188">
        <v>0</v>
      </c>
      <c r="P188" t="s">
        <v>2421</v>
      </c>
    </row>
    <row r="189" spans="3:16" x14ac:dyDescent="0.3">
      <c r="C189" t="s">
        <v>39</v>
      </c>
      <c r="G189" t="s">
        <v>1290</v>
      </c>
      <c r="H189" t="s">
        <v>1124</v>
      </c>
      <c r="I189" t="s">
        <v>1447</v>
      </c>
      <c r="L189" t="b">
        <v>0</v>
      </c>
      <c r="M189" t="s">
        <v>1410</v>
      </c>
      <c r="N189" t="b">
        <v>0</v>
      </c>
      <c r="O189">
        <v>0</v>
      </c>
      <c r="P189" t="s">
        <v>2421</v>
      </c>
    </row>
    <row r="190" spans="3:16" x14ac:dyDescent="0.3">
      <c r="C190" t="s">
        <v>2285</v>
      </c>
      <c r="G190" t="s">
        <v>2083</v>
      </c>
      <c r="H190" t="s">
        <v>1124</v>
      </c>
      <c r="I190" t="s">
        <v>2089</v>
      </c>
      <c r="L190" t="b">
        <v>0</v>
      </c>
      <c r="M190" t="s">
        <v>1410</v>
      </c>
      <c r="N190" t="b">
        <v>0</v>
      </c>
      <c r="O190">
        <v>0</v>
      </c>
      <c r="P190" t="s">
        <v>2421</v>
      </c>
    </row>
    <row r="191" spans="3:16" x14ac:dyDescent="0.3">
      <c r="C191" t="s">
        <v>2284</v>
      </c>
      <c r="G191" t="s">
        <v>2083</v>
      </c>
      <c r="H191" t="s">
        <v>1124</v>
      </c>
      <c r="I191" t="s">
        <v>2089</v>
      </c>
      <c r="L191" t="b">
        <v>0</v>
      </c>
      <c r="M191" t="s">
        <v>1410</v>
      </c>
      <c r="N191" t="b">
        <v>0</v>
      </c>
      <c r="O191">
        <v>0</v>
      </c>
      <c r="P191" t="s">
        <v>2421</v>
      </c>
    </row>
    <row r="192" spans="3:16" x14ac:dyDescent="0.3">
      <c r="C192" t="s">
        <v>2282</v>
      </c>
      <c r="G192" t="s">
        <v>2083</v>
      </c>
      <c r="H192" t="s">
        <v>1124</v>
      </c>
      <c r="I192" t="s">
        <v>2089</v>
      </c>
      <c r="L192" t="b">
        <v>0</v>
      </c>
      <c r="M192" t="s">
        <v>1410</v>
      </c>
      <c r="N192" t="b">
        <v>0</v>
      </c>
      <c r="O192">
        <v>0</v>
      </c>
      <c r="P192" t="s">
        <v>2421</v>
      </c>
    </row>
    <row r="193" spans="3:16" x14ac:dyDescent="0.3">
      <c r="C193" t="s">
        <v>2283</v>
      </c>
      <c r="G193" t="s">
        <v>2083</v>
      </c>
      <c r="H193" t="s">
        <v>1124</v>
      </c>
      <c r="I193" t="s">
        <v>2089</v>
      </c>
      <c r="L193" t="b">
        <v>0</v>
      </c>
      <c r="M193" t="s">
        <v>1410</v>
      </c>
      <c r="N193" t="b">
        <v>0</v>
      </c>
      <c r="O193">
        <v>0</v>
      </c>
      <c r="P193" t="s">
        <v>2421</v>
      </c>
    </row>
    <row r="194" spans="3:16" x14ac:dyDescent="0.3">
      <c r="C194" t="s">
        <v>2280</v>
      </c>
      <c r="G194" t="s">
        <v>1587</v>
      </c>
      <c r="H194" t="s">
        <v>1124</v>
      </c>
      <c r="I194" t="s">
        <v>1447</v>
      </c>
      <c r="L194" t="b">
        <v>0</v>
      </c>
      <c r="M194" t="s">
        <v>1410</v>
      </c>
      <c r="N194" t="b">
        <v>0</v>
      </c>
      <c r="O194">
        <v>0</v>
      </c>
      <c r="P194" t="s">
        <v>2421</v>
      </c>
    </row>
    <row r="195" spans="3:16" x14ac:dyDescent="0.3">
      <c r="C195" t="s">
        <v>39</v>
      </c>
      <c r="G195" t="s">
        <v>1184</v>
      </c>
      <c r="H195" t="s">
        <v>1124</v>
      </c>
      <c r="I195" t="s">
        <v>1443</v>
      </c>
      <c r="L195" t="b">
        <v>1</v>
      </c>
      <c r="M195" t="s">
        <v>1394</v>
      </c>
      <c r="N195" t="b">
        <v>0</v>
      </c>
      <c r="O195">
        <v>0</v>
      </c>
      <c r="P195" t="s">
        <v>2421</v>
      </c>
    </row>
    <row r="196" spans="3:16" x14ac:dyDescent="0.3">
      <c r="C196" t="s">
        <v>2284</v>
      </c>
      <c r="G196" t="s">
        <v>1586</v>
      </c>
      <c r="H196" t="s">
        <v>1124</v>
      </c>
      <c r="I196" t="s">
        <v>2055</v>
      </c>
      <c r="L196" t="b">
        <v>1</v>
      </c>
      <c r="M196" t="s">
        <v>1394</v>
      </c>
      <c r="N196" t="b">
        <v>0</v>
      </c>
      <c r="O196">
        <v>0</v>
      </c>
      <c r="P196" t="s">
        <v>2421</v>
      </c>
    </row>
    <row r="197" spans="3:16" x14ac:dyDescent="0.3">
      <c r="C197" t="s">
        <v>2282</v>
      </c>
      <c r="G197" t="s">
        <v>1586</v>
      </c>
      <c r="H197" t="s">
        <v>1124</v>
      </c>
      <c r="I197" t="s">
        <v>2055</v>
      </c>
      <c r="L197" t="b">
        <v>1</v>
      </c>
      <c r="M197" t="s">
        <v>1394</v>
      </c>
      <c r="N197" t="b">
        <v>0</v>
      </c>
      <c r="O197">
        <v>0</v>
      </c>
      <c r="P197" t="s">
        <v>2421</v>
      </c>
    </row>
    <row r="198" spans="3:16" x14ac:dyDescent="0.3">
      <c r="C198" t="s">
        <v>2283</v>
      </c>
      <c r="G198" t="s">
        <v>1586</v>
      </c>
      <c r="H198" t="s">
        <v>1124</v>
      </c>
      <c r="I198" t="s">
        <v>2055</v>
      </c>
      <c r="L198" t="b">
        <v>1</v>
      </c>
      <c r="M198" t="s">
        <v>1394</v>
      </c>
      <c r="N198" t="b">
        <v>0</v>
      </c>
      <c r="O198">
        <v>0</v>
      </c>
      <c r="P198" t="s">
        <v>2421</v>
      </c>
    </row>
    <row r="199" spans="3:16" x14ac:dyDescent="0.3">
      <c r="C199" t="s">
        <v>2285</v>
      </c>
      <c r="G199" t="s">
        <v>1585</v>
      </c>
      <c r="H199" t="s">
        <v>1124</v>
      </c>
      <c r="I199" t="s">
        <v>2057</v>
      </c>
      <c r="L199" t="b">
        <v>1</v>
      </c>
      <c r="M199" t="s">
        <v>1394</v>
      </c>
      <c r="N199" t="b">
        <v>0</v>
      </c>
      <c r="O199">
        <v>0</v>
      </c>
      <c r="P199" t="s">
        <v>2421</v>
      </c>
    </row>
    <row r="200" spans="3:16" x14ac:dyDescent="0.3">
      <c r="C200" t="s">
        <v>2281</v>
      </c>
      <c r="G200" t="s">
        <v>1585</v>
      </c>
      <c r="H200" t="s">
        <v>1124</v>
      </c>
      <c r="I200" t="s">
        <v>2057</v>
      </c>
      <c r="L200" t="b">
        <v>1</v>
      </c>
      <c r="M200" t="s">
        <v>1394</v>
      </c>
      <c r="N200" t="b">
        <v>0</v>
      </c>
      <c r="O200">
        <v>0</v>
      </c>
      <c r="P200" t="s">
        <v>2421</v>
      </c>
    </row>
    <row r="201" spans="3:16" x14ac:dyDescent="0.3">
      <c r="C201" t="s">
        <v>2284</v>
      </c>
      <c r="G201" t="s">
        <v>1585</v>
      </c>
      <c r="H201" t="s">
        <v>1124</v>
      </c>
      <c r="I201" t="s">
        <v>2057</v>
      </c>
      <c r="L201" t="b">
        <v>1</v>
      </c>
      <c r="M201" t="s">
        <v>1394</v>
      </c>
      <c r="N201" t="b">
        <v>0</v>
      </c>
      <c r="O201">
        <v>0</v>
      </c>
      <c r="P201" t="s">
        <v>2421</v>
      </c>
    </row>
    <row r="202" spans="3:16" x14ac:dyDescent="0.3">
      <c r="C202" t="s">
        <v>2293</v>
      </c>
      <c r="G202" t="s">
        <v>1585</v>
      </c>
      <c r="H202" t="s">
        <v>1124</v>
      </c>
      <c r="I202" t="s">
        <v>2057</v>
      </c>
      <c r="L202" t="b">
        <v>1</v>
      </c>
      <c r="M202" t="s">
        <v>1394</v>
      </c>
      <c r="N202" t="b">
        <v>0</v>
      </c>
      <c r="O202">
        <v>0</v>
      </c>
      <c r="P202" t="s">
        <v>2421</v>
      </c>
    </row>
    <row r="203" spans="3:16" x14ac:dyDescent="0.3">
      <c r="C203" t="s">
        <v>2280</v>
      </c>
      <c r="G203" t="s">
        <v>1585</v>
      </c>
      <c r="H203" t="s">
        <v>1124</v>
      </c>
      <c r="I203" t="s">
        <v>2057</v>
      </c>
      <c r="L203" t="b">
        <v>1</v>
      </c>
      <c r="M203" t="s">
        <v>1394</v>
      </c>
      <c r="N203" t="b">
        <v>0</v>
      </c>
      <c r="O203">
        <v>0</v>
      </c>
      <c r="P203" t="s">
        <v>2421</v>
      </c>
    </row>
    <row r="204" spans="3:16" x14ac:dyDescent="0.3">
      <c r="C204" t="s">
        <v>2283</v>
      </c>
      <c r="G204" t="s">
        <v>1585</v>
      </c>
      <c r="H204" t="s">
        <v>1124</v>
      </c>
      <c r="I204" t="s">
        <v>2057</v>
      </c>
      <c r="L204" t="b">
        <v>1</v>
      </c>
      <c r="M204" t="s">
        <v>1394</v>
      </c>
      <c r="N204" t="b">
        <v>0</v>
      </c>
      <c r="O204">
        <v>0</v>
      </c>
      <c r="P204" t="s">
        <v>2421</v>
      </c>
    </row>
    <row r="205" spans="3:16" x14ac:dyDescent="0.3">
      <c r="C205" t="s">
        <v>2288</v>
      </c>
      <c r="G205" t="s">
        <v>904</v>
      </c>
      <c r="H205" t="s">
        <v>1124</v>
      </c>
      <c r="I205" t="s">
        <v>1764</v>
      </c>
      <c r="L205" t="b">
        <v>1</v>
      </c>
      <c r="M205" t="s">
        <v>1394</v>
      </c>
      <c r="N205" t="b">
        <v>0</v>
      </c>
      <c r="O205">
        <v>0</v>
      </c>
      <c r="P205" t="s">
        <v>2421</v>
      </c>
    </row>
    <row r="206" spans="3:16" x14ac:dyDescent="0.3">
      <c r="C206" t="s">
        <v>2284</v>
      </c>
      <c r="G206" t="s">
        <v>904</v>
      </c>
      <c r="H206" t="s">
        <v>1124</v>
      </c>
      <c r="I206" t="s">
        <v>1764</v>
      </c>
      <c r="L206" t="b">
        <v>1</v>
      </c>
      <c r="M206" t="s">
        <v>1394</v>
      </c>
      <c r="N206" t="b">
        <v>0</v>
      </c>
      <c r="O206">
        <v>0</v>
      </c>
      <c r="P206" t="s">
        <v>2421</v>
      </c>
    </row>
    <row r="207" spans="3:16" x14ac:dyDescent="0.3">
      <c r="C207" t="s">
        <v>2291</v>
      </c>
      <c r="G207" t="s">
        <v>904</v>
      </c>
      <c r="H207" t="s">
        <v>1124</v>
      </c>
      <c r="I207" t="s">
        <v>1764</v>
      </c>
      <c r="L207" t="b">
        <v>1</v>
      </c>
      <c r="M207" t="s">
        <v>1394</v>
      </c>
      <c r="N207" t="b">
        <v>0</v>
      </c>
      <c r="O207">
        <v>0</v>
      </c>
      <c r="P207" t="s">
        <v>2421</v>
      </c>
    </row>
    <row r="208" spans="3:16" x14ac:dyDescent="0.3">
      <c r="C208" t="s">
        <v>2282</v>
      </c>
      <c r="G208" t="s">
        <v>904</v>
      </c>
      <c r="H208" t="s">
        <v>1124</v>
      </c>
      <c r="I208" t="s">
        <v>1764</v>
      </c>
      <c r="L208" t="b">
        <v>1</v>
      </c>
      <c r="M208" t="s">
        <v>1394</v>
      </c>
      <c r="N208" t="b">
        <v>0</v>
      </c>
      <c r="O208">
        <v>0</v>
      </c>
      <c r="P208" t="s">
        <v>2421</v>
      </c>
    </row>
    <row r="209" spans="3:16" x14ac:dyDescent="0.3">
      <c r="C209" t="s">
        <v>2283</v>
      </c>
      <c r="G209" t="s">
        <v>904</v>
      </c>
      <c r="H209" t="s">
        <v>1124</v>
      </c>
      <c r="I209" t="s">
        <v>1764</v>
      </c>
      <c r="L209" t="b">
        <v>1</v>
      </c>
      <c r="M209" t="s">
        <v>1394</v>
      </c>
      <c r="N209" t="b">
        <v>0</v>
      </c>
      <c r="O209">
        <v>0</v>
      </c>
      <c r="P209" t="s">
        <v>2421</v>
      </c>
    </row>
    <row r="210" spans="3:16" x14ac:dyDescent="0.3">
      <c r="C210" t="s">
        <v>2285</v>
      </c>
      <c r="G210" t="s">
        <v>906</v>
      </c>
      <c r="H210" t="s">
        <v>1124</v>
      </c>
      <c r="I210" t="s">
        <v>1765</v>
      </c>
      <c r="L210" t="b">
        <v>1</v>
      </c>
      <c r="M210" t="s">
        <v>1394</v>
      </c>
      <c r="N210" t="b">
        <v>0</v>
      </c>
      <c r="O210">
        <v>0</v>
      </c>
      <c r="P210" t="s">
        <v>2421</v>
      </c>
    </row>
    <row r="211" spans="3:16" x14ac:dyDescent="0.3">
      <c r="C211" t="s">
        <v>2281</v>
      </c>
      <c r="G211" t="s">
        <v>906</v>
      </c>
      <c r="H211" t="s">
        <v>1124</v>
      </c>
      <c r="I211" t="s">
        <v>1765</v>
      </c>
      <c r="L211" t="b">
        <v>1</v>
      </c>
      <c r="M211" t="s">
        <v>1394</v>
      </c>
      <c r="N211" t="b">
        <v>0</v>
      </c>
      <c r="O211">
        <v>0</v>
      </c>
      <c r="P211" t="s">
        <v>2421</v>
      </c>
    </row>
    <row r="212" spans="3:16" x14ac:dyDescent="0.3">
      <c r="C212" t="s">
        <v>2288</v>
      </c>
      <c r="G212" t="s">
        <v>906</v>
      </c>
      <c r="H212" t="s">
        <v>1124</v>
      </c>
      <c r="I212" t="s">
        <v>1765</v>
      </c>
      <c r="L212" t="b">
        <v>1</v>
      </c>
      <c r="M212" t="s">
        <v>1394</v>
      </c>
      <c r="N212" t="b">
        <v>0</v>
      </c>
      <c r="O212">
        <v>0</v>
      </c>
      <c r="P212" t="s">
        <v>2421</v>
      </c>
    </row>
    <row r="213" spans="3:16" x14ac:dyDescent="0.3">
      <c r="C213" t="s">
        <v>2284</v>
      </c>
      <c r="G213" t="s">
        <v>906</v>
      </c>
      <c r="H213" t="s">
        <v>1124</v>
      </c>
      <c r="I213" t="s">
        <v>1765</v>
      </c>
      <c r="L213" t="b">
        <v>1</v>
      </c>
      <c r="M213" t="s">
        <v>1394</v>
      </c>
      <c r="N213" t="b">
        <v>0</v>
      </c>
      <c r="O213">
        <v>0</v>
      </c>
      <c r="P213" t="s">
        <v>2421</v>
      </c>
    </row>
    <row r="214" spans="3:16" x14ac:dyDescent="0.3">
      <c r="C214" t="s">
        <v>2291</v>
      </c>
      <c r="G214" t="s">
        <v>906</v>
      </c>
      <c r="H214" t="s">
        <v>1124</v>
      </c>
      <c r="I214" t="s">
        <v>1765</v>
      </c>
      <c r="L214" t="b">
        <v>1</v>
      </c>
      <c r="M214" t="s">
        <v>1394</v>
      </c>
      <c r="N214" t="b">
        <v>0</v>
      </c>
      <c r="O214">
        <v>0</v>
      </c>
      <c r="P214" t="s">
        <v>2421</v>
      </c>
    </row>
    <row r="215" spans="3:16" x14ac:dyDescent="0.3">
      <c r="C215" t="s">
        <v>2293</v>
      </c>
      <c r="G215" t="s">
        <v>906</v>
      </c>
      <c r="H215" t="s">
        <v>1124</v>
      </c>
      <c r="I215" t="s">
        <v>1765</v>
      </c>
      <c r="L215" t="b">
        <v>1</v>
      </c>
      <c r="M215" t="s">
        <v>1394</v>
      </c>
      <c r="N215" t="b">
        <v>0</v>
      </c>
      <c r="O215">
        <v>0</v>
      </c>
      <c r="P215" t="s">
        <v>2421</v>
      </c>
    </row>
    <row r="216" spans="3:16" x14ac:dyDescent="0.3">
      <c r="C216" t="s">
        <v>2280</v>
      </c>
      <c r="G216" t="s">
        <v>906</v>
      </c>
      <c r="H216" t="s">
        <v>1124</v>
      </c>
      <c r="I216" t="s">
        <v>1765</v>
      </c>
      <c r="L216" t="b">
        <v>1</v>
      </c>
      <c r="M216" t="s">
        <v>1394</v>
      </c>
      <c r="N216" t="b">
        <v>0</v>
      </c>
      <c r="O216">
        <v>0</v>
      </c>
      <c r="P216" t="s">
        <v>2421</v>
      </c>
    </row>
    <row r="217" spans="3:16" x14ac:dyDescent="0.3">
      <c r="C217" t="s">
        <v>2283</v>
      </c>
      <c r="G217" t="s">
        <v>906</v>
      </c>
      <c r="H217" t="s">
        <v>1124</v>
      </c>
      <c r="I217" t="s">
        <v>1765</v>
      </c>
      <c r="L217" t="b">
        <v>1</v>
      </c>
      <c r="M217" t="s">
        <v>1394</v>
      </c>
      <c r="N217" t="b">
        <v>0</v>
      </c>
      <c r="O217">
        <v>0</v>
      </c>
      <c r="P217" t="s">
        <v>2421</v>
      </c>
    </row>
    <row r="218" spans="3:16" x14ac:dyDescent="0.3">
      <c r="C218" t="s">
        <v>2284</v>
      </c>
      <c r="G218" t="s">
        <v>2047</v>
      </c>
      <c r="H218" t="s">
        <v>1124</v>
      </c>
      <c r="I218" t="s">
        <v>2056</v>
      </c>
      <c r="L218" t="b">
        <v>1</v>
      </c>
      <c r="M218" t="s">
        <v>1394</v>
      </c>
      <c r="N218" t="b">
        <v>0</v>
      </c>
      <c r="O218">
        <v>0</v>
      </c>
      <c r="P218" t="s">
        <v>2421</v>
      </c>
    </row>
    <row r="219" spans="3:16" x14ac:dyDescent="0.3">
      <c r="C219" t="s">
        <v>2282</v>
      </c>
      <c r="G219" t="s">
        <v>2047</v>
      </c>
      <c r="H219" t="s">
        <v>1124</v>
      </c>
      <c r="I219" t="s">
        <v>2056</v>
      </c>
      <c r="L219" t="b">
        <v>1</v>
      </c>
      <c r="M219" t="s">
        <v>1394</v>
      </c>
      <c r="N219" t="b">
        <v>0</v>
      </c>
      <c r="O219">
        <v>0</v>
      </c>
      <c r="P219" t="s">
        <v>2421</v>
      </c>
    </row>
    <row r="220" spans="3:16" x14ac:dyDescent="0.3">
      <c r="C220" t="s">
        <v>2283</v>
      </c>
      <c r="G220" t="s">
        <v>2047</v>
      </c>
      <c r="H220" t="s">
        <v>1124</v>
      </c>
      <c r="I220" t="s">
        <v>2056</v>
      </c>
      <c r="L220" t="b">
        <v>1</v>
      </c>
      <c r="M220" t="s">
        <v>1394</v>
      </c>
      <c r="N220" t="b">
        <v>0</v>
      </c>
      <c r="O220">
        <v>0</v>
      </c>
      <c r="P220" t="s">
        <v>2421</v>
      </c>
    </row>
    <row r="221" spans="3:16" x14ac:dyDescent="0.3">
      <c r="C221" t="s">
        <v>2284</v>
      </c>
      <c r="G221" t="s">
        <v>2019</v>
      </c>
      <c r="H221" t="s">
        <v>1118</v>
      </c>
      <c r="I221" t="s">
        <v>2020</v>
      </c>
      <c r="L221" t="b">
        <v>1</v>
      </c>
      <c r="M221" t="s">
        <v>1394</v>
      </c>
      <c r="N221" t="b">
        <v>0</v>
      </c>
      <c r="O221">
        <v>0</v>
      </c>
      <c r="P221" t="s">
        <v>2421</v>
      </c>
    </row>
    <row r="222" spans="3:16" x14ac:dyDescent="0.3">
      <c r="C222" t="s">
        <v>2282</v>
      </c>
      <c r="G222" t="s">
        <v>2019</v>
      </c>
      <c r="H222" t="s">
        <v>1118</v>
      </c>
      <c r="I222" t="s">
        <v>2020</v>
      </c>
      <c r="L222" t="b">
        <v>1</v>
      </c>
      <c r="M222" t="s">
        <v>1394</v>
      </c>
      <c r="N222" t="b">
        <v>0</v>
      </c>
      <c r="O222">
        <v>0</v>
      </c>
      <c r="P222" t="s">
        <v>2421</v>
      </c>
    </row>
    <row r="223" spans="3:16" x14ac:dyDescent="0.3">
      <c r="C223" t="s">
        <v>2283</v>
      </c>
      <c r="G223" t="s">
        <v>2019</v>
      </c>
      <c r="H223" t="s">
        <v>1118</v>
      </c>
      <c r="I223" t="s">
        <v>2020</v>
      </c>
      <c r="L223" t="b">
        <v>1</v>
      </c>
      <c r="M223" t="s">
        <v>1394</v>
      </c>
      <c r="N223" t="b">
        <v>0</v>
      </c>
      <c r="O223">
        <v>0</v>
      </c>
      <c r="P223" t="s">
        <v>2421</v>
      </c>
    </row>
    <row r="224" spans="3:16" x14ac:dyDescent="0.3">
      <c r="C224" t="s">
        <v>2284</v>
      </c>
      <c r="G224" t="s">
        <v>2021</v>
      </c>
      <c r="H224" t="s">
        <v>1120</v>
      </c>
      <c r="I224" t="s">
        <v>2022</v>
      </c>
      <c r="L224" t="b">
        <v>1</v>
      </c>
      <c r="M224" t="s">
        <v>1394</v>
      </c>
      <c r="N224" t="b">
        <v>0</v>
      </c>
      <c r="O224">
        <v>0</v>
      </c>
      <c r="P224" t="s">
        <v>2421</v>
      </c>
    </row>
    <row r="225" spans="3:16" x14ac:dyDescent="0.3">
      <c r="C225" t="s">
        <v>2282</v>
      </c>
      <c r="G225" t="s">
        <v>2021</v>
      </c>
      <c r="H225" t="s">
        <v>1120</v>
      </c>
      <c r="I225" t="s">
        <v>2022</v>
      </c>
      <c r="L225" t="b">
        <v>1</v>
      </c>
      <c r="M225" t="s">
        <v>1394</v>
      </c>
      <c r="N225" t="b">
        <v>0</v>
      </c>
      <c r="O225">
        <v>0</v>
      </c>
      <c r="P225" t="s">
        <v>2421</v>
      </c>
    </row>
    <row r="226" spans="3:16" x14ac:dyDescent="0.3">
      <c r="C226" t="s">
        <v>2283</v>
      </c>
      <c r="G226" t="s">
        <v>2021</v>
      </c>
      <c r="H226" t="s">
        <v>1120</v>
      </c>
      <c r="I226" t="s">
        <v>2022</v>
      </c>
      <c r="L226" t="b">
        <v>1</v>
      </c>
      <c r="M226" t="s">
        <v>1394</v>
      </c>
      <c r="N226" t="b">
        <v>0</v>
      </c>
      <c r="O226">
        <v>0</v>
      </c>
      <c r="P226" t="s">
        <v>2421</v>
      </c>
    </row>
    <row r="227" spans="3:16" x14ac:dyDescent="0.3">
      <c r="C227" t="s">
        <v>2285</v>
      </c>
      <c r="G227" t="s">
        <v>1945</v>
      </c>
      <c r="H227" t="s">
        <v>1118</v>
      </c>
      <c r="I227" t="s">
        <v>1946</v>
      </c>
      <c r="L227" t="b">
        <v>1</v>
      </c>
      <c r="M227" t="s">
        <v>1394</v>
      </c>
      <c r="N227" t="b">
        <v>0</v>
      </c>
      <c r="O227">
        <v>0</v>
      </c>
      <c r="P227" t="s">
        <v>2421</v>
      </c>
    </row>
    <row r="228" spans="3:16" x14ac:dyDescent="0.3">
      <c r="C228" t="s">
        <v>2281</v>
      </c>
      <c r="G228" t="s">
        <v>1945</v>
      </c>
      <c r="H228" t="s">
        <v>1118</v>
      </c>
      <c r="I228" t="s">
        <v>1946</v>
      </c>
      <c r="L228" t="b">
        <v>1</v>
      </c>
      <c r="M228" t="s">
        <v>1394</v>
      </c>
      <c r="N228" t="b">
        <v>0</v>
      </c>
      <c r="O228">
        <v>0</v>
      </c>
      <c r="P228" t="s">
        <v>2421</v>
      </c>
    </row>
    <row r="229" spans="3:16" x14ac:dyDescent="0.3">
      <c r="C229" t="s">
        <v>2288</v>
      </c>
      <c r="G229" t="s">
        <v>1945</v>
      </c>
      <c r="H229" t="s">
        <v>1118</v>
      </c>
      <c r="I229" t="s">
        <v>1946</v>
      </c>
      <c r="L229" t="b">
        <v>1</v>
      </c>
      <c r="M229" t="s">
        <v>1394</v>
      </c>
      <c r="N229" t="b">
        <v>0</v>
      </c>
      <c r="O229">
        <v>0</v>
      </c>
      <c r="P229" t="s">
        <v>2421</v>
      </c>
    </row>
    <row r="230" spans="3:16" x14ac:dyDescent="0.3">
      <c r="C230" t="s">
        <v>2284</v>
      </c>
      <c r="G230" t="s">
        <v>1945</v>
      </c>
      <c r="H230" t="s">
        <v>1118</v>
      </c>
      <c r="I230" t="s">
        <v>1946</v>
      </c>
      <c r="L230" t="b">
        <v>1</v>
      </c>
      <c r="M230" t="s">
        <v>1394</v>
      </c>
      <c r="N230" t="b">
        <v>0</v>
      </c>
      <c r="O230">
        <v>0</v>
      </c>
      <c r="P230" t="s">
        <v>2421</v>
      </c>
    </row>
    <row r="231" spans="3:16" x14ac:dyDescent="0.3">
      <c r="C231" t="s">
        <v>2291</v>
      </c>
      <c r="G231" t="s">
        <v>1945</v>
      </c>
      <c r="H231" t="s">
        <v>1118</v>
      </c>
      <c r="I231" t="s">
        <v>1946</v>
      </c>
      <c r="L231" t="b">
        <v>1</v>
      </c>
      <c r="M231" t="s">
        <v>1394</v>
      </c>
      <c r="N231" t="b">
        <v>0</v>
      </c>
      <c r="O231">
        <v>0</v>
      </c>
      <c r="P231" t="s">
        <v>2421</v>
      </c>
    </row>
    <row r="232" spans="3:16" x14ac:dyDescent="0.3">
      <c r="C232" t="s">
        <v>2293</v>
      </c>
      <c r="G232" t="s">
        <v>1945</v>
      </c>
      <c r="H232" t="s">
        <v>1118</v>
      </c>
      <c r="I232" t="s">
        <v>1946</v>
      </c>
      <c r="L232" t="b">
        <v>1</v>
      </c>
      <c r="M232" t="s">
        <v>1394</v>
      </c>
      <c r="N232" t="b">
        <v>0</v>
      </c>
      <c r="O232">
        <v>0</v>
      </c>
      <c r="P232" t="s">
        <v>2421</v>
      </c>
    </row>
    <row r="233" spans="3:16" x14ac:dyDescent="0.3">
      <c r="C233" t="s">
        <v>2280</v>
      </c>
      <c r="G233" t="s">
        <v>1945</v>
      </c>
      <c r="H233" t="s">
        <v>1118</v>
      </c>
      <c r="I233" t="s">
        <v>1946</v>
      </c>
      <c r="L233" t="b">
        <v>1</v>
      </c>
      <c r="M233" t="s">
        <v>1394</v>
      </c>
      <c r="N233" t="b">
        <v>0</v>
      </c>
      <c r="O233">
        <v>0</v>
      </c>
      <c r="P233" t="s">
        <v>2421</v>
      </c>
    </row>
    <row r="234" spans="3:16" x14ac:dyDescent="0.3">
      <c r="C234" t="s">
        <v>2283</v>
      </c>
      <c r="G234" t="s">
        <v>1945</v>
      </c>
      <c r="H234" t="s">
        <v>1118</v>
      </c>
      <c r="I234" t="s">
        <v>1946</v>
      </c>
      <c r="L234" t="b">
        <v>1</v>
      </c>
      <c r="M234" t="s">
        <v>1394</v>
      </c>
      <c r="N234" t="b">
        <v>0</v>
      </c>
      <c r="O234">
        <v>0</v>
      </c>
      <c r="P234" t="s">
        <v>2421</v>
      </c>
    </row>
    <row r="235" spans="3:16" x14ac:dyDescent="0.3">
      <c r="C235" t="s">
        <v>2285</v>
      </c>
      <c r="G235" t="s">
        <v>1947</v>
      </c>
      <c r="H235" t="s">
        <v>1120</v>
      </c>
      <c r="I235" t="s">
        <v>1948</v>
      </c>
      <c r="L235" t="b">
        <v>1</v>
      </c>
      <c r="M235" t="s">
        <v>1394</v>
      </c>
      <c r="N235" t="b">
        <v>0</v>
      </c>
      <c r="O235">
        <v>0</v>
      </c>
      <c r="P235" t="s">
        <v>2421</v>
      </c>
    </row>
    <row r="236" spans="3:16" x14ac:dyDescent="0.3">
      <c r="C236" t="s">
        <v>2281</v>
      </c>
      <c r="G236" t="s">
        <v>1947</v>
      </c>
      <c r="H236" t="s">
        <v>1120</v>
      </c>
      <c r="I236" t="s">
        <v>1948</v>
      </c>
      <c r="L236" t="b">
        <v>1</v>
      </c>
      <c r="M236" t="s">
        <v>1394</v>
      </c>
      <c r="N236" t="b">
        <v>0</v>
      </c>
      <c r="O236">
        <v>0</v>
      </c>
      <c r="P236" t="s">
        <v>2421</v>
      </c>
    </row>
    <row r="237" spans="3:16" x14ac:dyDescent="0.3">
      <c r="C237" t="s">
        <v>2288</v>
      </c>
      <c r="G237" t="s">
        <v>1947</v>
      </c>
      <c r="H237" t="s">
        <v>1120</v>
      </c>
      <c r="I237" t="s">
        <v>1948</v>
      </c>
      <c r="L237" t="b">
        <v>1</v>
      </c>
      <c r="M237" t="s">
        <v>1394</v>
      </c>
      <c r="N237" t="b">
        <v>0</v>
      </c>
      <c r="O237">
        <v>0</v>
      </c>
      <c r="P237" t="s">
        <v>2421</v>
      </c>
    </row>
    <row r="238" spans="3:16" x14ac:dyDescent="0.3">
      <c r="C238" t="s">
        <v>2284</v>
      </c>
      <c r="G238" t="s">
        <v>1947</v>
      </c>
      <c r="H238" t="s">
        <v>1120</v>
      </c>
      <c r="I238" t="s">
        <v>1948</v>
      </c>
      <c r="L238" t="b">
        <v>1</v>
      </c>
      <c r="M238" t="s">
        <v>1394</v>
      </c>
      <c r="N238" t="b">
        <v>0</v>
      </c>
      <c r="O238">
        <v>0</v>
      </c>
      <c r="P238" t="s">
        <v>2421</v>
      </c>
    </row>
    <row r="239" spans="3:16" x14ac:dyDescent="0.3">
      <c r="C239" t="s">
        <v>2291</v>
      </c>
      <c r="G239" t="s">
        <v>1947</v>
      </c>
      <c r="H239" t="s">
        <v>1120</v>
      </c>
      <c r="I239" t="s">
        <v>1948</v>
      </c>
      <c r="L239" t="b">
        <v>1</v>
      </c>
      <c r="M239" t="s">
        <v>1394</v>
      </c>
      <c r="N239" t="b">
        <v>0</v>
      </c>
      <c r="O239">
        <v>0</v>
      </c>
      <c r="P239" t="s">
        <v>2421</v>
      </c>
    </row>
    <row r="240" spans="3:16" x14ac:dyDescent="0.3">
      <c r="C240" t="s">
        <v>2293</v>
      </c>
      <c r="G240" t="s">
        <v>1947</v>
      </c>
      <c r="H240" t="s">
        <v>1120</v>
      </c>
      <c r="I240" t="s">
        <v>1948</v>
      </c>
      <c r="L240" t="b">
        <v>1</v>
      </c>
      <c r="M240" t="s">
        <v>1394</v>
      </c>
      <c r="N240" t="b">
        <v>0</v>
      </c>
      <c r="O240">
        <v>0</v>
      </c>
      <c r="P240" t="s">
        <v>2421</v>
      </c>
    </row>
    <row r="241" spans="3:16" x14ac:dyDescent="0.3">
      <c r="C241" t="s">
        <v>2280</v>
      </c>
      <c r="G241" t="s">
        <v>1947</v>
      </c>
      <c r="H241" t="s">
        <v>1120</v>
      </c>
      <c r="I241" t="s">
        <v>1948</v>
      </c>
      <c r="L241" t="b">
        <v>1</v>
      </c>
      <c r="M241" t="s">
        <v>1394</v>
      </c>
      <c r="N241" t="b">
        <v>0</v>
      </c>
      <c r="O241">
        <v>0</v>
      </c>
      <c r="P241" t="s">
        <v>2421</v>
      </c>
    </row>
    <row r="242" spans="3:16" x14ac:dyDescent="0.3">
      <c r="C242" t="s">
        <v>2283</v>
      </c>
      <c r="G242" t="s">
        <v>1947</v>
      </c>
      <c r="H242" t="s">
        <v>1120</v>
      </c>
      <c r="I242" t="s">
        <v>1948</v>
      </c>
      <c r="L242" t="b">
        <v>1</v>
      </c>
      <c r="M242" t="s">
        <v>1394</v>
      </c>
      <c r="N242" t="b">
        <v>0</v>
      </c>
      <c r="O242">
        <v>0</v>
      </c>
      <c r="P242" t="s">
        <v>2421</v>
      </c>
    </row>
    <row r="243" spans="3:16" x14ac:dyDescent="0.3">
      <c r="C243" t="s">
        <v>2285</v>
      </c>
      <c r="G243" t="s">
        <v>1314</v>
      </c>
      <c r="H243" t="s">
        <v>1118</v>
      </c>
      <c r="I243" t="s">
        <v>1315</v>
      </c>
      <c r="L243" t="b">
        <v>1</v>
      </c>
      <c r="M243" t="s">
        <v>1394</v>
      </c>
      <c r="N243" t="b">
        <v>0</v>
      </c>
      <c r="O243">
        <v>0</v>
      </c>
      <c r="P243" t="s">
        <v>2421</v>
      </c>
    </row>
    <row r="244" spans="3:16" x14ac:dyDescent="0.3">
      <c r="C244" t="s">
        <v>2281</v>
      </c>
      <c r="G244" t="s">
        <v>1314</v>
      </c>
      <c r="H244" t="s">
        <v>1118</v>
      </c>
      <c r="I244" t="s">
        <v>1315</v>
      </c>
      <c r="L244" t="b">
        <v>1</v>
      </c>
      <c r="M244" t="s">
        <v>1394</v>
      </c>
      <c r="N244" t="b">
        <v>0</v>
      </c>
      <c r="O244">
        <v>0</v>
      </c>
      <c r="P244" t="s">
        <v>2421</v>
      </c>
    </row>
    <row r="245" spans="3:16" x14ac:dyDescent="0.3">
      <c r="C245" t="s">
        <v>2288</v>
      </c>
      <c r="G245" t="s">
        <v>1314</v>
      </c>
      <c r="H245" t="s">
        <v>1118</v>
      </c>
      <c r="I245" t="s">
        <v>1315</v>
      </c>
      <c r="L245" t="b">
        <v>1</v>
      </c>
      <c r="M245" t="s">
        <v>1394</v>
      </c>
      <c r="N245" t="b">
        <v>0</v>
      </c>
      <c r="O245">
        <v>0</v>
      </c>
      <c r="P245" t="s">
        <v>2421</v>
      </c>
    </row>
    <row r="246" spans="3:16" x14ac:dyDescent="0.3">
      <c r="C246" t="s">
        <v>2291</v>
      </c>
      <c r="G246" t="s">
        <v>1314</v>
      </c>
      <c r="H246" t="s">
        <v>1118</v>
      </c>
      <c r="I246" t="s">
        <v>1315</v>
      </c>
      <c r="L246" t="b">
        <v>1</v>
      </c>
      <c r="M246" t="s">
        <v>1394</v>
      </c>
      <c r="N246" t="b">
        <v>0</v>
      </c>
      <c r="O246">
        <v>0</v>
      </c>
      <c r="P246" t="s">
        <v>2421</v>
      </c>
    </row>
    <row r="247" spans="3:16" x14ac:dyDescent="0.3">
      <c r="C247" t="s">
        <v>2293</v>
      </c>
      <c r="G247" t="s">
        <v>1314</v>
      </c>
      <c r="H247" t="s">
        <v>1118</v>
      </c>
      <c r="I247" t="s">
        <v>1315</v>
      </c>
      <c r="L247" t="b">
        <v>1</v>
      </c>
      <c r="M247" t="s">
        <v>1394</v>
      </c>
      <c r="N247" t="b">
        <v>0</v>
      </c>
      <c r="O247">
        <v>0</v>
      </c>
      <c r="P247" t="s">
        <v>2421</v>
      </c>
    </row>
    <row r="248" spans="3:16" x14ac:dyDescent="0.3">
      <c r="C248" t="s">
        <v>2280</v>
      </c>
      <c r="G248" t="s">
        <v>1314</v>
      </c>
      <c r="H248" t="s">
        <v>1118</v>
      </c>
      <c r="I248" t="s">
        <v>1315</v>
      </c>
      <c r="L248" t="b">
        <v>1</v>
      </c>
      <c r="M248" t="s">
        <v>1394</v>
      </c>
      <c r="N248" t="b">
        <v>0</v>
      </c>
      <c r="O248">
        <v>0</v>
      </c>
      <c r="P248" t="s">
        <v>2421</v>
      </c>
    </row>
    <row r="249" spans="3:16" x14ac:dyDescent="0.3">
      <c r="C249" t="s">
        <v>2283</v>
      </c>
      <c r="G249" t="s">
        <v>1314</v>
      </c>
      <c r="H249" t="s">
        <v>1118</v>
      </c>
      <c r="I249" t="s">
        <v>1315</v>
      </c>
      <c r="L249" t="b">
        <v>1</v>
      </c>
      <c r="M249" t="s">
        <v>1394</v>
      </c>
      <c r="N249" t="b">
        <v>0</v>
      </c>
      <c r="O249">
        <v>0</v>
      </c>
      <c r="P249" t="s">
        <v>2421</v>
      </c>
    </row>
    <row r="250" spans="3:16" x14ac:dyDescent="0.3">
      <c r="C250" t="s">
        <v>2285</v>
      </c>
      <c r="G250" t="s">
        <v>1316</v>
      </c>
      <c r="H250" t="s">
        <v>1120</v>
      </c>
      <c r="I250" t="s">
        <v>1317</v>
      </c>
      <c r="L250" t="b">
        <v>1</v>
      </c>
      <c r="M250" t="s">
        <v>1394</v>
      </c>
      <c r="N250" t="b">
        <v>0</v>
      </c>
      <c r="O250">
        <v>0</v>
      </c>
      <c r="P250" t="s">
        <v>2421</v>
      </c>
    </row>
    <row r="251" spans="3:16" x14ac:dyDescent="0.3">
      <c r="C251" t="s">
        <v>2281</v>
      </c>
      <c r="G251" t="s">
        <v>1316</v>
      </c>
      <c r="H251" t="s">
        <v>1120</v>
      </c>
      <c r="I251" t="s">
        <v>1317</v>
      </c>
      <c r="L251" t="b">
        <v>1</v>
      </c>
      <c r="M251" t="s">
        <v>1394</v>
      </c>
      <c r="N251" t="b">
        <v>0</v>
      </c>
      <c r="O251">
        <v>0</v>
      </c>
      <c r="P251" t="s">
        <v>2421</v>
      </c>
    </row>
    <row r="252" spans="3:16" x14ac:dyDescent="0.3">
      <c r="C252" t="s">
        <v>2288</v>
      </c>
      <c r="G252" t="s">
        <v>1316</v>
      </c>
      <c r="H252" t="s">
        <v>1120</v>
      </c>
      <c r="I252" t="s">
        <v>1317</v>
      </c>
      <c r="L252" t="b">
        <v>1</v>
      </c>
      <c r="M252" t="s">
        <v>1394</v>
      </c>
      <c r="N252" t="b">
        <v>0</v>
      </c>
      <c r="O252">
        <v>0</v>
      </c>
      <c r="P252" t="s">
        <v>2421</v>
      </c>
    </row>
    <row r="253" spans="3:16" x14ac:dyDescent="0.3">
      <c r="C253" t="s">
        <v>2291</v>
      </c>
      <c r="G253" t="s">
        <v>1316</v>
      </c>
      <c r="H253" t="s">
        <v>1120</v>
      </c>
      <c r="I253" t="s">
        <v>1317</v>
      </c>
      <c r="L253" t="b">
        <v>1</v>
      </c>
      <c r="M253" t="s">
        <v>1394</v>
      </c>
      <c r="N253" t="b">
        <v>0</v>
      </c>
      <c r="O253">
        <v>0</v>
      </c>
      <c r="P253" t="s">
        <v>2421</v>
      </c>
    </row>
    <row r="254" spans="3:16" x14ac:dyDescent="0.3">
      <c r="C254" t="s">
        <v>2293</v>
      </c>
      <c r="G254" t="s">
        <v>1316</v>
      </c>
      <c r="H254" t="s">
        <v>1120</v>
      </c>
      <c r="I254" t="s">
        <v>1317</v>
      </c>
      <c r="L254" t="b">
        <v>1</v>
      </c>
      <c r="M254" t="s">
        <v>1394</v>
      </c>
      <c r="N254" t="b">
        <v>0</v>
      </c>
      <c r="O254">
        <v>0</v>
      </c>
      <c r="P254" t="s">
        <v>2421</v>
      </c>
    </row>
    <row r="255" spans="3:16" x14ac:dyDescent="0.3">
      <c r="C255" t="s">
        <v>2280</v>
      </c>
      <c r="G255" t="s">
        <v>1316</v>
      </c>
      <c r="H255" t="s">
        <v>1120</v>
      </c>
      <c r="I255" t="s">
        <v>1317</v>
      </c>
      <c r="L255" t="b">
        <v>1</v>
      </c>
      <c r="M255" t="s">
        <v>1394</v>
      </c>
      <c r="N255" t="b">
        <v>0</v>
      </c>
      <c r="O255">
        <v>0</v>
      </c>
      <c r="P255" t="s">
        <v>2421</v>
      </c>
    </row>
    <row r="256" spans="3:16" x14ac:dyDescent="0.3">
      <c r="C256" t="s">
        <v>2283</v>
      </c>
      <c r="G256" t="s">
        <v>1316</v>
      </c>
      <c r="H256" t="s">
        <v>1120</v>
      </c>
      <c r="I256" t="s">
        <v>1317</v>
      </c>
      <c r="L256" t="b">
        <v>1</v>
      </c>
      <c r="M256" t="s">
        <v>1394</v>
      </c>
      <c r="N256" t="b">
        <v>0</v>
      </c>
      <c r="O256">
        <v>0</v>
      </c>
      <c r="P256" t="s">
        <v>2421</v>
      </c>
    </row>
    <row r="257" spans="3:16" x14ac:dyDescent="0.3">
      <c r="C257" t="s">
        <v>2288</v>
      </c>
      <c r="G257" t="s">
        <v>1318</v>
      </c>
      <c r="H257" t="s">
        <v>1118</v>
      </c>
      <c r="I257" t="s">
        <v>1319</v>
      </c>
      <c r="L257" t="b">
        <v>1</v>
      </c>
      <c r="M257" t="s">
        <v>1394</v>
      </c>
      <c r="N257" t="b">
        <v>0</v>
      </c>
      <c r="O257">
        <v>0</v>
      </c>
      <c r="P257" t="s">
        <v>2421</v>
      </c>
    </row>
    <row r="258" spans="3:16" x14ac:dyDescent="0.3">
      <c r="C258" t="s">
        <v>2284</v>
      </c>
      <c r="G258" t="s">
        <v>1318</v>
      </c>
      <c r="H258" t="s">
        <v>1118</v>
      </c>
      <c r="I258" t="s">
        <v>1319</v>
      </c>
      <c r="L258" t="b">
        <v>1</v>
      </c>
      <c r="M258" t="s">
        <v>1394</v>
      </c>
      <c r="N258" t="b">
        <v>0</v>
      </c>
      <c r="O258">
        <v>0</v>
      </c>
      <c r="P258" t="s">
        <v>2421</v>
      </c>
    </row>
    <row r="259" spans="3:16" x14ac:dyDescent="0.3">
      <c r="C259" t="s">
        <v>2291</v>
      </c>
      <c r="G259" t="s">
        <v>1318</v>
      </c>
      <c r="H259" t="s">
        <v>1118</v>
      </c>
      <c r="I259" t="s">
        <v>1319</v>
      </c>
      <c r="L259" t="b">
        <v>1</v>
      </c>
      <c r="M259" t="s">
        <v>1394</v>
      </c>
      <c r="N259" t="b">
        <v>0</v>
      </c>
      <c r="O259">
        <v>0</v>
      </c>
      <c r="P259" t="s">
        <v>2421</v>
      </c>
    </row>
    <row r="260" spans="3:16" x14ac:dyDescent="0.3">
      <c r="C260" t="s">
        <v>2280</v>
      </c>
      <c r="G260" t="s">
        <v>1318</v>
      </c>
      <c r="H260" t="s">
        <v>1118</v>
      </c>
      <c r="I260" t="s">
        <v>1319</v>
      </c>
      <c r="L260" t="b">
        <v>1</v>
      </c>
      <c r="M260" t="s">
        <v>1394</v>
      </c>
      <c r="N260" t="b">
        <v>0</v>
      </c>
      <c r="O260">
        <v>0</v>
      </c>
      <c r="P260" t="s">
        <v>2421</v>
      </c>
    </row>
    <row r="261" spans="3:16" x14ac:dyDescent="0.3">
      <c r="C261" t="s">
        <v>2283</v>
      </c>
      <c r="G261" t="s">
        <v>1318</v>
      </c>
      <c r="H261" t="s">
        <v>1118</v>
      </c>
      <c r="I261" t="s">
        <v>1319</v>
      </c>
      <c r="L261" t="b">
        <v>1</v>
      </c>
      <c r="M261" t="s">
        <v>1394</v>
      </c>
      <c r="N261" t="b">
        <v>0</v>
      </c>
      <c r="O261">
        <v>0</v>
      </c>
      <c r="P261" t="s">
        <v>2421</v>
      </c>
    </row>
    <row r="262" spans="3:16" x14ac:dyDescent="0.3">
      <c r="C262" t="s">
        <v>2288</v>
      </c>
      <c r="G262" t="s">
        <v>1320</v>
      </c>
      <c r="H262" t="s">
        <v>1120</v>
      </c>
      <c r="I262" t="s">
        <v>1321</v>
      </c>
      <c r="L262" t="b">
        <v>1</v>
      </c>
      <c r="M262" t="s">
        <v>1394</v>
      </c>
      <c r="N262" t="b">
        <v>0</v>
      </c>
      <c r="O262">
        <v>0</v>
      </c>
      <c r="P262" t="s">
        <v>2421</v>
      </c>
    </row>
    <row r="263" spans="3:16" x14ac:dyDescent="0.3">
      <c r="C263" t="s">
        <v>2284</v>
      </c>
      <c r="G263" t="s">
        <v>1320</v>
      </c>
      <c r="H263" t="s">
        <v>1120</v>
      </c>
      <c r="I263" t="s">
        <v>1321</v>
      </c>
      <c r="L263" t="b">
        <v>1</v>
      </c>
      <c r="M263" t="s">
        <v>1394</v>
      </c>
      <c r="N263" t="b">
        <v>0</v>
      </c>
      <c r="O263">
        <v>0</v>
      </c>
      <c r="P263" t="s">
        <v>2421</v>
      </c>
    </row>
    <row r="264" spans="3:16" x14ac:dyDescent="0.3">
      <c r="C264" t="s">
        <v>2291</v>
      </c>
      <c r="G264" t="s">
        <v>1320</v>
      </c>
      <c r="H264" t="s">
        <v>1120</v>
      </c>
      <c r="I264" t="s">
        <v>1321</v>
      </c>
      <c r="L264" t="b">
        <v>1</v>
      </c>
      <c r="M264" t="s">
        <v>1394</v>
      </c>
      <c r="N264" t="b">
        <v>0</v>
      </c>
      <c r="O264">
        <v>0</v>
      </c>
      <c r="P264" t="s">
        <v>2421</v>
      </c>
    </row>
    <row r="265" spans="3:16" x14ac:dyDescent="0.3">
      <c r="C265" t="s">
        <v>2280</v>
      </c>
      <c r="G265" t="s">
        <v>1320</v>
      </c>
      <c r="H265" t="s">
        <v>1120</v>
      </c>
      <c r="I265" t="s">
        <v>1321</v>
      </c>
      <c r="L265" t="b">
        <v>1</v>
      </c>
      <c r="M265" t="s">
        <v>1394</v>
      </c>
      <c r="N265" t="b">
        <v>0</v>
      </c>
      <c r="O265">
        <v>0</v>
      </c>
      <c r="P265" t="s">
        <v>2421</v>
      </c>
    </row>
    <row r="266" spans="3:16" x14ac:dyDescent="0.3">
      <c r="C266" t="s">
        <v>2283</v>
      </c>
      <c r="G266" t="s">
        <v>1320</v>
      </c>
      <c r="H266" t="s">
        <v>1120</v>
      </c>
      <c r="I266" t="s">
        <v>1321</v>
      </c>
      <c r="L266" t="b">
        <v>1</v>
      </c>
      <c r="M266" t="s">
        <v>1394</v>
      </c>
      <c r="N266" t="b">
        <v>0</v>
      </c>
      <c r="O266">
        <v>0</v>
      </c>
      <c r="P266" t="s">
        <v>2421</v>
      </c>
    </row>
    <row r="267" spans="3:16" x14ac:dyDescent="0.3">
      <c r="C267" t="s">
        <v>2285</v>
      </c>
      <c r="G267" t="s">
        <v>1324</v>
      </c>
      <c r="H267" t="s">
        <v>1118</v>
      </c>
      <c r="I267" t="s">
        <v>1325</v>
      </c>
      <c r="L267" t="b">
        <v>1</v>
      </c>
      <c r="M267" t="s">
        <v>1394</v>
      </c>
      <c r="N267" t="b">
        <v>0</v>
      </c>
      <c r="O267">
        <v>0</v>
      </c>
      <c r="P267" t="s">
        <v>2421</v>
      </c>
    </row>
    <row r="268" spans="3:16" x14ac:dyDescent="0.3">
      <c r="C268" t="s">
        <v>2281</v>
      </c>
      <c r="G268" t="s">
        <v>1324</v>
      </c>
      <c r="H268" t="s">
        <v>1118</v>
      </c>
      <c r="I268" t="s">
        <v>1325</v>
      </c>
      <c r="L268" t="b">
        <v>1</v>
      </c>
      <c r="M268" t="s">
        <v>1394</v>
      </c>
      <c r="N268" t="b">
        <v>0</v>
      </c>
      <c r="O268">
        <v>0</v>
      </c>
      <c r="P268" t="s">
        <v>2421</v>
      </c>
    </row>
    <row r="269" spans="3:16" x14ac:dyDescent="0.3">
      <c r="C269" t="s">
        <v>2288</v>
      </c>
      <c r="G269" t="s">
        <v>1324</v>
      </c>
      <c r="H269" t="s">
        <v>1118</v>
      </c>
      <c r="I269" t="s">
        <v>1325</v>
      </c>
      <c r="L269" t="b">
        <v>1</v>
      </c>
      <c r="M269" t="s">
        <v>1394</v>
      </c>
      <c r="N269" t="b">
        <v>0</v>
      </c>
      <c r="O269">
        <v>0</v>
      </c>
      <c r="P269" t="s">
        <v>2421</v>
      </c>
    </row>
    <row r="270" spans="3:16" x14ac:dyDescent="0.3">
      <c r="C270" t="s">
        <v>2284</v>
      </c>
      <c r="G270" t="s">
        <v>1324</v>
      </c>
      <c r="H270" t="s">
        <v>1118</v>
      </c>
      <c r="I270" t="s">
        <v>1325</v>
      </c>
      <c r="L270" t="b">
        <v>1</v>
      </c>
      <c r="M270" t="s">
        <v>1394</v>
      </c>
      <c r="N270" t="b">
        <v>0</v>
      </c>
      <c r="O270">
        <v>0</v>
      </c>
      <c r="P270" t="s">
        <v>2421</v>
      </c>
    </row>
    <row r="271" spans="3:16" x14ac:dyDescent="0.3">
      <c r="C271" t="s">
        <v>2291</v>
      </c>
      <c r="G271" t="s">
        <v>1324</v>
      </c>
      <c r="H271" t="s">
        <v>1118</v>
      </c>
      <c r="I271" t="s">
        <v>1325</v>
      </c>
      <c r="L271" t="b">
        <v>1</v>
      </c>
      <c r="M271" t="s">
        <v>1394</v>
      </c>
      <c r="N271" t="b">
        <v>0</v>
      </c>
      <c r="O271">
        <v>0</v>
      </c>
      <c r="P271" t="s">
        <v>2421</v>
      </c>
    </row>
    <row r="272" spans="3:16" x14ac:dyDescent="0.3">
      <c r="C272" t="s">
        <v>2293</v>
      </c>
      <c r="G272" t="s">
        <v>1324</v>
      </c>
      <c r="H272" t="s">
        <v>1118</v>
      </c>
      <c r="I272" t="s">
        <v>1325</v>
      </c>
      <c r="L272" t="b">
        <v>1</v>
      </c>
      <c r="M272" t="s">
        <v>1394</v>
      </c>
      <c r="N272" t="b">
        <v>0</v>
      </c>
      <c r="O272">
        <v>0</v>
      </c>
      <c r="P272" t="s">
        <v>2421</v>
      </c>
    </row>
    <row r="273" spans="3:16" x14ac:dyDescent="0.3">
      <c r="C273" t="s">
        <v>2280</v>
      </c>
      <c r="G273" t="s">
        <v>1324</v>
      </c>
      <c r="H273" t="s">
        <v>1118</v>
      </c>
      <c r="I273" t="s">
        <v>1325</v>
      </c>
      <c r="L273" t="b">
        <v>1</v>
      </c>
      <c r="M273" t="s">
        <v>1394</v>
      </c>
      <c r="N273" t="b">
        <v>0</v>
      </c>
      <c r="O273">
        <v>0</v>
      </c>
      <c r="P273" t="s">
        <v>2421</v>
      </c>
    </row>
    <row r="274" spans="3:16" x14ac:dyDescent="0.3">
      <c r="C274" t="s">
        <v>2283</v>
      </c>
      <c r="G274" t="s">
        <v>1324</v>
      </c>
      <c r="H274" t="s">
        <v>1118</v>
      </c>
      <c r="I274" t="s">
        <v>1325</v>
      </c>
      <c r="L274" t="b">
        <v>1</v>
      </c>
      <c r="M274" t="s">
        <v>1394</v>
      </c>
      <c r="N274" t="b">
        <v>0</v>
      </c>
      <c r="O274">
        <v>0</v>
      </c>
      <c r="P274" t="s">
        <v>2421</v>
      </c>
    </row>
    <row r="275" spans="3:16" x14ac:dyDescent="0.3">
      <c r="C275" t="s">
        <v>2285</v>
      </c>
      <c r="G275" t="s">
        <v>1326</v>
      </c>
      <c r="H275" t="s">
        <v>1120</v>
      </c>
      <c r="I275" t="s">
        <v>1327</v>
      </c>
      <c r="L275" t="b">
        <v>1</v>
      </c>
      <c r="M275" t="s">
        <v>1394</v>
      </c>
      <c r="N275" t="b">
        <v>0</v>
      </c>
      <c r="O275">
        <v>0</v>
      </c>
      <c r="P275" t="s">
        <v>2421</v>
      </c>
    </row>
    <row r="276" spans="3:16" x14ac:dyDescent="0.3">
      <c r="C276" t="s">
        <v>2281</v>
      </c>
      <c r="G276" t="s">
        <v>1326</v>
      </c>
      <c r="H276" t="s">
        <v>1120</v>
      </c>
      <c r="I276" t="s">
        <v>1327</v>
      </c>
      <c r="L276" t="b">
        <v>1</v>
      </c>
      <c r="M276" t="s">
        <v>1394</v>
      </c>
      <c r="N276" t="b">
        <v>0</v>
      </c>
      <c r="O276">
        <v>0</v>
      </c>
      <c r="P276" t="s">
        <v>2421</v>
      </c>
    </row>
    <row r="277" spans="3:16" x14ac:dyDescent="0.3">
      <c r="C277" t="s">
        <v>2288</v>
      </c>
      <c r="G277" t="s">
        <v>1326</v>
      </c>
      <c r="H277" t="s">
        <v>1120</v>
      </c>
      <c r="I277" t="s">
        <v>1327</v>
      </c>
      <c r="L277" t="b">
        <v>1</v>
      </c>
      <c r="M277" t="s">
        <v>1394</v>
      </c>
      <c r="N277" t="b">
        <v>0</v>
      </c>
      <c r="O277">
        <v>0</v>
      </c>
      <c r="P277" t="s">
        <v>2421</v>
      </c>
    </row>
    <row r="278" spans="3:16" x14ac:dyDescent="0.3">
      <c r="C278" t="s">
        <v>2284</v>
      </c>
      <c r="G278" t="s">
        <v>1326</v>
      </c>
      <c r="H278" t="s">
        <v>1120</v>
      </c>
      <c r="I278" t="s">
        <v>1327</v>
      </c>
      <c r="L278" t="b">
        <v>1</v>
      </c>
      <c r="M278" t="s">
        <v>1394</v>
      </c>
      <c r="N278" t="b">
        <v>0</v>
      </c>
      <c r="O278">
        <v>0</v>
      </c>
      <c r="P278" t="s">
        <v>2421</v>
      </c>
    </row>
    <row r="279" spans="3:16" x14ac:dyDescent="0.3">
      <c r="C279" t="s">
        <v>2291</v>
      </c>
      <c r="G279" t="s">
        <v>1326</v>
      </c>
      <c r="H279" t="s">
        <v>1120</v>
      </c>
      <c r="I279" t="s">
        <v>1327</v>
      </c>
      <c r="L279" t="b">
        <v>1</v>
      </c>
      <c r="M279" t="s">
        <v>1394</v>
      </c>
      <c r="N279" t="b">
        <v>0</v>
      </c>
      <c r="O279">
        <v>0</v>
      </c>
      <c r="P279" t="s">
        <v>2421</v>
      </c>
    </row>
    <row r="280" spans="3:16" x14ac:dyDescent="0.3">
      <c r="C280" t="s">
        <v>2293</v>
      </c>
      <c r="G280" t="s">
        <v>1326</v>
      </c>
      <c r="H280" t="s">
        <v>1120</v>
      </c>
      <c r="I280" t="s">
        <v>1327</v>
      </c>
      <c r="L280" t="b">
        <v>1</v>
      </c>
      <c r="M280" t="s">
        <v>1394</v>
      </c>
      <c r="N280" t="b">
        <v>0</v>
      </c>
      <c r="O280">
        <v>0</v>
      </c>
      <c r="P280" t="s">
        <v>2421</v>
      </c>
    </row>
    <row r="281" spans="3:16" x14ac:dyDescent="0.3">
      <c r="C281" t="s">
        <v>2280</v>
      </c>
      <c r="G281" t="s">
        <v>1326</v>
      </c>
      <c r="H281" t="s">
        <v>1120</v>
      </c>
      <c r="I281" t="s">
        <v>1327</v>
      </c>
      <c r="L281" t="b">
        <v>1</v>
      </c>
      <c r="M281" t="s">
        <v>1394</v>
      </c>
      <c r="N281" t="b">
        <v>0</v>
      </c>
      <c r="O281">
        <v>0</v>
      </c>
      <c r="P281" t="s">
        <v>2421</v>
      </c>
    </row>
    <row r="282" spans="3:16" x14ac:dyDescent="0.3">
      <c r="C282" t="s">
        <v>2283</v>
      </c>
      <c r="G282" t="s">
        <v>1326</v>
      </c>
      <c r="H282" t="s">
        <v>1120</v>
      </c>
      <c r="I282" t="s">
        <v>1327</v>
      </c>
      <c r="L282" t="b">
        <v>1</v>
      </c>
      <c r="M282" t="s">
        <v>1394</v>
      </c>
      <c r="N282" t="b">
        <v>0</v>
      </c>
      <c r="O282">
        <v>0</v>
      </c>
      <c r="P282" t="s">
        <v>2421</v>
      </c>
    </row>
    <row r="283" spans="3:16" x14ac:dyDescent="0.3">
      <c r="C283" t="s">
        <v>2285</v>
      </c>
      <c r="G283" t="s">
        <v>1536</v>
      </c>
      <c r="H283" t="s">
        <v>1124</v>
      </c>
      <c r="I283" t="s">
        <v>1540</v>
      </c>
      <c r="L283" t="b">
        <v>1</v>
      </c>
      <c r="M283" t="s">
        <v>1394</v>
      </c>
      <c r="N283" t="b">
        <v>0</v>
      </c>
      <c r="O283">
        <v>0</v>
      </c>
      <c r="P283" t="s">
        <v>2421</v>
      </c>
    </row>
    <row r="284" spans="3:16" x14ac:dyDescent="0.3">
      <c r="C284" t="s">
        <v>2281</v>
      </c>
      <c r="G284" t="s">
        <v>1536</v>
      </c>
      <c r="H284" t="s">
        <v>1124</v>
      </c>
      <c r="I284" t="s">
        <v>1540</v>
      </c>
      <c r="L284" t="b">
        <v>1</v>
      </c>
      <c r="M284" t="s">
        <v>1394</v>
      </c>
      <c r="N284" t="b">
        <v>0</v>
      </c>
      <c r="O284">
        <v>0</v>
      </c>
      <c r="P284" t="s">
        <v>2421</v>
      </c>
    </row>
    <row r="285" spans="3:16" x14ac:dyDescent="0.3">
      <c r="C285" t="s">
        <v>2288</v>
      </c>
      <c r="G285" t="s">
        <v>1536</v>
      </c>
      <c r="H285" t="s">
        <v>1124</v>
      </c>
      <c r="I285" t="s">
        <v>1540</v>
      </c>
      <c r="L285" t="b">
        <v>1</v>
      </c>
      <c r="M285" t="s">
        <v>1394</v>
      </c>
      <c r="N285" t="b">
        <v>0</v>
      </c>
      <c r="O285">
        <v>0</v>
      </c>
      <c r="P285" t="s">
        <v>2421</v>
      </c>
    </row>
    <row r="286" spans="3:16" x14ac:dyDescent="0.3">
      <c r="C286" t="s">
        <v>2284</v>
      </c>
      <c r="G286" t="s">
        <v>1536</v>
      </c>
      <c r="H286" t="s">
        <v>1124</v>
      </c>
      <c r="I286" t="s">
        <v>1540</v>
      </c>
      <c r="L286" t="b">
        <v>1</v>
      </c>
      <c r="M286" t="s">
        <v>1394</v>
      </c>
      <c r="N286" t="b">
        <v>0</v>
      </c>
      <c r="O286">
        <v>0</v>
      </c>
      <c r="P286" t="s">
        <v>2421</v>
      </c>
    </row>
    <row r="287" spans="3:16" x14ac:dyDescent="0.3">
      <c r="C287" t="s">
        <v>2291</v>
      </c>
      <c r="G287" t="s">
        <v>1536</v>
      </c>
      <c r="H287" t="s">
        <v>1124</v>
      </c>
      <c r="I287" t="s">
        <v>1540</v>
      </c>
      <c r="L287" t="b">
        <v>1</v>
      </c>
      <c r="M287" t="s">
        <v>1394</v>
      </c>
      <c r="N287" t="b">
        <v>0</v>
      </c>
      <c r="O287">
        <v>0</v>
      </c>
      <c r="P287" t="s">
        <v>2421</v>
      </c>
    </row>
    <row r="288" spans="3:16" x14ac:dyDescent="0.3">
      <c r="C288" t="s">
        <v>2293</v>
      </c>
      <c r="G288" t="s">
        <v>1536</v>
      </c>
      <c r="H288" t="s">
        <v>1124</v>
      </c>
      <c r="I288" t="s">
        <v>1540</v>
      </c>
      <c r="L288" t="b">
        <v>1</v>
      </c>
      <c r="M288" t="s">
        <v>1394</v>
      </c>
      <c r="N288" t="b">
        <v>0</v>
      </c>
      <c r="O288">
        <v>0</v>
      </c>
      <c r="P288" t="s">
        <v>2421</v>
      </c>
    </row>
    <row r="289" spans="3:16" x14ac:dyDescent="0.3">
      <c r="C289" t="s">
        <v>2282</v>
      </c>
      <c r="G289" t="s">
        <v>1536</v>
      </c>
      <c r="H289" t="s">
        <v>1124</v>
      </c>
      <c r="I289" t="s">
        <v>1540</v>
      </c>
      <c r="L289" t="b">
        <v>1</v>
      </c>
      <c r="M289" t="s">
        <v>1394</v>
      </c>
      <c r="N289" t="b">
        <v>0</v>
      </c>
      <c r="O289">
        <v>0</v>
      </c>
      <c r="P289" t="s">
        <v>2421</v>
      </c>
    </row>
    <row r="290" spans="3:16" x14ac:dyDescent="0.3">
      <c r="C290" t="s">
        <v>2280</v>
      </c>
      <c r="G290" t="s">
        <v>1536</v>
      </c>
      <c r="H290" t="s">
        <v>1124</v>
      </c>
      <c r="I290" t="s">
        <v>1540</v>
      </c>
      <c r="L290" t="b">
        <v>1</v>
      </c>
      <c r="M290" t="s">
        <v>1394</v>
      </c>
      <c r="N290" t="b">
        <v>0</v>
      </c>
      <c r="O290">
        <v>0</v>
      </c>
      <c r="P290" t="s">
        <v>2421</v>
      </c>
    </row>
    <row r="291" spans="3:16" x14ac:dyDescent="0.3">
      <c r="C291" t="s">
        <v>2283</v>
      </c>
      <c r="G291" t="s">
        <v>1536</v>
      </c>
      <c r="H291" t="s">
        <v>1124</v>
      </c>
      <c r="I291" t="s">
        <v>1540</v>
      </c>
      <c r="L291" t="b">
        <v>1</v>
      </c>
      <c r="M291" t="s">
        <v>1394</v>
      </c>
      <c r="N291" t="b">
        <v>0</v>
      </c>
      <c r="O291">
        <v>0</v>
      </c>
      <c r="P291" t="s">
        <v>2421</v>
      </c>
    </row>
    <row r="292" spans="3:16" x14ac:dyDescent="0.3">
      <c r="C292" t="s">
        <v>2285</v>
      </c>
      <c r="G292" t="s">
        <v>1537</v>
      </c>
      <c r="H292" t="s">
        <v>1124</v>
      </c>
      <c r="I292" t="s">
        <v>1541</v>
      </c>
      <c r="L292" t="b">
        <v>1</v>
      </c>
      <c r="M292" t="s">
        <v>1394</v>
      </c>
      <c r="N292" t="b">
        <v>0</v>
      </c>
      <c r="O292">
        <v>0</v>
      </c>
      <c r="P292" t="s">
        <v>2421</v>
      </c>
    </row>
    <row r="293" spans="3:16" x14ac:dyDescent="0.3">
      <c r="C293" t="s">
        <v>2281</v>
      </c>
      <c r="G293" t="s">
        <v>1537</v>
      </c>
      <c r="H293" t="s">
        <v>1124</v>
      </c>
      <c r="I293" t="s">
        <v>1541</v>
      </c>
      <c r="L293" t="b">
        <v>1</v>
      </c>
      <c r="M293" t="s">
        <v>1394</v>
      </c>
      <c r="N293" t="b">
        <v>0</v>
      </c>
      <c r="O293">
        <v>0</v>
      </c>
      <c r="P293" t="s">
        <v>2421</v>
      </c>
    </row>
    <row r="294" spans="3:16" x14ac:dyDescent="0.3">
      <c r="C294" t="s">
        <v>2288</v>
      </c>
      <c r="G294" t="s">
        <v>1537</v>
      </c>
      <c r="H294" t="s">
        <v>1124</v>
      </c>
      <c r="I294" t="s">
        <v>1541</v>
      </c>
      <c r="L294" t="b">
        <v>1</v>
      </c>
      <c r="M294" t="s">
        <v>1394</v>
      </c>
      <c r="N294" t="b">
        <v>0</v>
      </c>
      <c r="O294">
        <v>0</v>
      </c>
      <c r="P294" t="s">
        <v>2421</v>
      </c>
    </row>
    <row r="295" spans="3:16" x14ac:dyDescent="0.3">
      <c r="C295" t="s">
        <v>2284</v>
      </c>
      <c r="G295" t="s">
        <v>1537</v>
      </c>
      <c r="H295" t="s">
        <v>1124</v>
      </c>
      <c r="I295" t="s">
        <v>1541</v>
      </c>
      <c r="L295" t="b">
        <v>1</v>
      </c>
      <c r="M295" t="s">
        <v>1394</v>
      </c>
      <c r="N295" t="b">
        <v>0</v>
      </c>
      <c r="O295">
        <v>0</v>
      </c>
      <c r="P295" t="s">
        <v>2421</v>
      </c>
    </row>
    <row r="296" spans="3:16" x14ac:dyDescent="0.3">
      <c r="C296" t="s">
        <v>2291</v>
      </c>
      <c r="G296" t="s">
        <v>1537</v>
      </c>
      <c r="H296" t="s">
        <v>1124</v>
      </c>
      <c r="I296" t="s">
        <v>1541</v>
      </c>
      <c r="L296" t="b">
        <v>1</v>
      </c>
      <c r="M296" t="s">
        <v>1394</v>
      </c>
      <c r="N296" t="b">
        <v>0</v>
      </c>
      <c r="O296">
        <v>0</v>
      </c>
      <c r="P296" t="s">
        <v>2421</v>
      </c>
    </row>
    <row r="297" spans="3:16" x14ac:dyDescent="0.3">
      <c r="C297" t="s">
        <v>2293</v>
      </c>
      <c r="G297" t="s">
        <v>1537</v>
      </c>
      <c r="H297" t="s">
        <v>1124</v>
      </c>
      <c r="I297" t="s">
        <v>1541</v>
      </c>
      <c r="L297" t="b">
        <v>1</v>
      </c>
      <c r="M297" t="s">
        <v>1394</v>
      </c>
      <c r="N297" t="b">
        <v>0</v>
      </c>
      <c r="O297">
        <v>0</v>
      </c>
      <c r="P297" t="s">
        <v>2421</v>
      </c>
    </row>
    <row r="298" spans="3:16" x14ac:dyDescent="0.3">
      <c r="C298" t="s">
        <v>2282</v>
      </c>
      <c r="G298" t="s">
        <v>1537</v>
      </c>
      <c r="H298" t="s">
        <v>1124</v>
      </c>
      <c r="I298" t="s">
        <v>1541</v>
      </c>
      <c r="L298" t="b">
        <v>1</v>
      </c>
      <c r="M298" t="s">
        <v>1394</v>
      </c>
      <c r="N298" t="b">
        <v>0</v>
      </c>
      <c r="O298">
        <v>0</v>
      </c>
      <c r="P298" t="s">
        <v>2421</v>
      </c>
    </row>
    <row r="299" spans="3:16" x14ac:dyDescent="0.3">
      <c r="C299" t="s">
        <v>2280</v>
      </c>
      <c r="G299" t="s">
        <v>1537</v>
      </c>
      <c r="H299" t="s">
        <v>1124</v>
      </c>
      <c r="I299" t="s">
        <v>1541</v>
      </c>
      <c r="L299" t="b">
        <v>1</v>
      </c>
      <c r="M299" t="s">
        <v>1394</v>
      </c>
      <c r="N299" t="b">
        <v>0</v>
      </c>
      <c r="O299">
        <v>0</v>
      </c>
      <c r="P299" t="s">
        <v>2421</v>
      </c>
    </row>
    <row r="300" spans="3:16" x14ac:dyDescent="0.3">
      <c r="C300" t="s">
        <v>2283</v>
      </c>
      <c r="G300" t="s">
        <v>1537</v>
      </c>
      <c r="H300" t="s">
        <v>1124</v>
      </c>
      <c r="I300" t="s">
        <v>1541</v>
      </c>
      <c r="L300" t="b">
        <v>1</v>
      </c>
      <c r="M300" t="s">
        <v>1394</v>
      </c>
      <c r="N300" t="b">
        <v>0</v>
      </c>
      <c r="O300">
        <v>0</v>
      </c>
      <c r="P300" t="s">
        <v>2421</v>
      </c>
    </row>
    <row r="301" spans="3:16" x14ac:dyDescent="0.3">
      <c r="C301" t="s">
        <v>2285</v>
      </c>
      <c r="G301" t="s">
        <v>1294</v>
      </c>
      <c r="H301" t="s">
        <v>1124</v>
      </c>
      <c r="I301" t="s">
        <v>1444</v>
      </c>
      <c r="L301" t="b">
        <v>1</v>
      </c>
      <c r="M301" t="s">
        <v>1394</v>
      </c>
      <c r="N301" t="b">
        <v>0</v>
      </c>
      <c r="O301">
        <v>0</v>
      </c>
      <c r="P301" t="s">
        <v>2421</v>
      </c>
    </row>
    <row r="302" spans="3:16" x14ac:dyDescent="0.3">
      <c r="C302" t="s">
        <v>2281</v>
      </c>
      <c r="G302" t="s">
        <v>1294</v>
      </c>
      <c r="H302" t="s">
        <v>1124</v>
      </c>
      <c r="I302" t="s">
        <v>1444</v>
      </c>
      <c r="L302" t="b">
        <v>1</v>
      </c>
      <c r="M302" t="s">
        <v>1394</v>
      </c>
      <c r="N302" t="b">
        <v>0</v>
      </c>
      <c r="O302">
        <v>0</v>
      </c>
      <c r="P302" t="s">
        <v>2421</v>
      </c>
    </row>
    <row r="303" spans="3:16" x14ac:dyDescent="0.3">
      <c r="C303" t="s">
        <v>2288</v>
      </c>
      <c r="G303" t="s">
        <v>1294</v>
      </c>
      <c r="H303" t="s">
        <v>1124</v>
      </c>
      <c r="I303" t="s">
        <v>1444</v>
      </c>
      <c r="L303" t="b">
        <v>1</v>
      </c>
      <c r="M303" t="s">
        <v>1394</v>
      </c>
      <c r="N303" t="b">
        <v>0</v>
      </c>
      <c r="O303">
        <v>0</v>
      </c>
      <c r="P303" t="s">
        <v>2421</v>
      </c>
    </row>
    <row r="304" spans="3:16" x14ac:dyDescent="0.3">
      <c r="C304" t="s">
        <v>2291</v>
      </c>
      <c r="G304" t="s">
        <v>1294</v>
      </c>
      <c r="H304" t="s">
        <v>1124</v>
      </c>
      <c r="I304" t="s">
        <v>1444</v>
      </c>
      <c r="L304" t="b">
        <v>1</v>
      </c>
      <c r="M304" t="s">
        <v>1394</v>
      </c>
      <c r="N304" t="b">
        <v>0</v>
      </c>
      <c r="O304">
        <v>0</v>
      </c>
      <c r="P304" t="s">
        <v>2421</v>
      </c>
    </row>
    <row r="305" spans="3:16" x14ac:dyDescent="0.3">
      <c r="C305" t="s">
        <v>2293</v>
      </c>
      <c r="G305" t="s">
        <v>1294</v>
      </c>
      <c r="H305" t="s">
        <v>1124</v>
      </c>
      <c r="I305" t="s">
        <v>1444</v>
      </c>
      <c r="L305" t="b">
        <v>1</v>
      </c>
      <c r="M305" t="s">
        <v>1394</v>
      </c>
      <c r="N305" t="b">
        <v>0</v>
      </c>
      <c r="O305">
        <v>0</v>
      </c>
      <c r="P305" t="s">
        <v>2421</v>
      </c>
    </row>
    <row r="306" spans="3:16" x14ac:dyDescent="0.3">
      <c r="C306" t="s">
        <v>2280</v>
      </c>
      <c r="G306" t="s">
        <v>1294</v>
      </c>
      <c r="H306" t="s">
        <v>1124</v>
      </c>
      <c r="I306" t="s">
        <v>1444</v>
      </c>
      <c r="L306" t="b">
        <v>1</v>
      </c>
      <c r="M306" t="s">
        <v>1394</v>
      </c>
      <c r="N306" t="b">
        <v>0</v>
      </c>
      <c r="O306">
        <v>0</v>
      </c>
      <c r="P306" t="s">
        <v>2421</v>
      </c>
    </row>
    <row r="307" spans="3:16" x14ac:dyDescent="0.3">
      <c r="C307" t="s">
        <v>2283</v>
      </c>
      <c r="G307" t="s">
        <v>1294</v>
      </c>
      <c r="H307" t="s">
        <v>1124</v>
      </c>
      <c r="I307" t="s">
        <v>1444</v>
      </c>
      <c r="L307" t="b">
        <v>1</v>
      </c>
      <c r="M307" t="s">
        <v>1394</v>
      </c>
      <c r="N307" t="b">
        <v>0</v>
      </c>
      <c r="O307">
        <v>0</v>
      </c>
      <c r="P307" t="s">
        <v>2421</v>
      </c>
    </row>
    <row r="308" spans="3:16" x14ac:dyDescent="0.3">
      <c r="C308" t="s">
        <v>2285</v>
      </c>
      <c r="G308" t="s">
        <v>2050</v>
      </c>
      <c r="H308" t="s">
        <v>1124</v>
      </c>
      <c r="I308" t="s">
        <v>2051</v>
      </c>
      <c r="L308" t="b">
        <v>1</v>
      </c>
      <c r="M308" t="s">
        <v>1394</v>
      </c>
      <c r="N308" t="b">
        <v>0</v>
      </c>
      <c r="O308">
        <v>0</v>
      </c>
      <c r="P308" t="s">
        <v>2421</v>
      </c>
    </row>
    <row r="309" spans="3:16" x14ac:dyDescent="0.3">
      <c r="C309" t="s">
        <v>2281</v>
      </c>
      <c r="G309" t="s">
        <v>2050</v>
      </c>
      <c r="H309" t="s">
        <v>1124</v>
      </c>
      <c r="I309" t="s">
        <v>2051</v>
      </c>
      <c r="L309" t="b">
        <v>1</v>
      </c>
      <c r="M309" t="s">
        <v>1394</v>
      </c>
      <c r="N309" t="b">
        <v>0</v>
      </c>
      <c r="O309">
        <v>0</v>
      </c>
      <c r="P309" t="s">
        <v>2421</v>
      </c>
    </row>
    <row r="310" spans="3:16" x14ac:dyDescent="0.3">
      <c r="C310" t="s">
        <v>2288</v>
      </c>
      <c r="G310" t="s">
        <v>2050</v>
      </c>
      <c r="H310" t="s">
        <v>1124</v>
      </c>
      <c r="I310" t="s">
        <v>2051</v>
      </c>
      <c r="L310" t="b">
        <v>1</v>
      </c>
      <c r="M310" t="s">
        <v>1394</v>
      </c>
      <c r="N310" t="b">
        <v>0</v>
      </c>
      <c r="O310">
        <v>0</v>
      </c>
      <c r="P310" t="s">
        <v>2421</v>
      </c>
    </row>
    <row r="311" spans="3:16" x14ac:dyDescent="0.3">
      <c r="C311" t="s">
        <v>2291</v>
      </c>
      <c r="G311" t="s">
        <v>2050</v>
      </c>
      <c r="H311" t="s">
        <v>1124</v>
      </c>
      <c r="I311" t="s">
        <v>2051</v>
      </c>
      <c r="L311" t="b">
        <v>1</v>
      </c>
      <c r="M311" t="s">
        <v>1394</v>
      </c>
      <c r="N311" t="b">
        <v>0</v>
      </c>
      <c r="O311">
        <v>0</v>
      </c>
      <c r="P311" t="s">
        <v>2421</v>
      </c>
    </row>
    <row r="312" spans="3:16" x14ac:dyDescent="0.3">
      <c r="C312" t="s">
        <v>2283</v>
      </c>
      <c r="G312" t="s">
        <v>2050</v>
      </c>
      <c r="H312" t="s">
        <v>1124</v>
      </c>
      <c r="I312" t="s">
        <v>2051</v>
      </c>
      <c r="L312" t="b">
        <v>1</v>
      </c>
      <c r="M312" t="s">
        <v>1394</v>
      </c>
      <c r="N312" t="b">
        <v>0</v>
      </c>
      <c r="O312">
        <v>0</v>
      </c>
      <c r="P312" t="s">
        <v>2421</v>
      </c>
    </row>
    <row r="313" spans="3:16" x14ac:dyDescent="0.3">
      <c r="C313" t="s">
        <v>2285</v>
      </c>
      <c r="G313" t="s">
        <v>2052</v>
      </c>
      <c r="H313" t="s">
        <v>1124</v>
      </c>
      <c r="I313" t="s">
        <v>2053</v>
      </c>
      <c r="L313" t="b">
        <v>1</v>
      </c>
      <c r="M313" t="s">
        <v>1394</v>
      </c>
      <c r="N313" t="b">
        <v>0</v>
      </c>
      <c r="O313">
        <v>0</v>
      </c>
      <c r="P313" t="s">
        <v>2421</v>
      </c>
    </row>
    <row r="314" spans="3:16" x14ac:dyDescent="0.3">
      <c r="C314" t="s">
        <v>2281</v>
      </c>
      <c r="G314" t="s">
        <v>2052</v>
      </c>
      <c r="H314" t="s">
        <v>1124</v>
      </c>
      <c r="I314" t="s">
        <v>2053</v>
      </c>
      <c r="L314" t="b">
        <v>1</v>
      </c>
      <c r="M314" t="s">
        <v>1394</v>
      </c>
      <c r="N314" t="b">
        <v>0</v>
      </c>
      <c r="O314">
        <v>0</v>
      </c>
      <c r="P314" t="s">
        <v>2421</v>
      </c>
    </row>
    <row r="315" spans="3:16" x14ac:dyDescent="0.3">
      <c r="C315" t="s">
        <v>2288</v>
      </c>
      <c r="G315" t="s">
        <v>2052</v>
      </c>
      <c r="H315" t="s">
        <v>1124</v>
      </c>
      <c r="I315" t="s">
        <v>2053</v>
      </c>
      <c r="L315" t="b">
        <v>1</v>
      </c>
      <c r="M315" t="s">
        <v>1394</v>
      </c>
      <c r="N315" t="b">
        <v>0</v>
      </c>
      <c r="O315">
        <v>0</v>
      </c>
      <c r="P315" t="s">
        <v>2421</v>
      </c>
    </row>
    <row r="316" spans="3:16" x14ac:dyDescent="0.3">
      <c r="C316" t="s">
        <v>2291</v>
      </c>
      <c r="G316" t="s">
        <v>2052</v>
      </c>
      <c r="H316" t="s">
        <v>1124</v>
      </c>
      <c r="I316" t="s">
        <v>2053</v>
      </c>
      <c r="L316" t="b">
        <v>1</v>
      </c>
      <c r="M316" t="s">
        <v>1394</v>
      </c>
      <c r="N316" t="b">
        <v>0</v>
      </c>
      <c r="O316">
        <v>0</v>
      </c>
      <c r="P316" t="s">
        <v>2421</v>
      </c>
    </row>
    <row r="317" spans="3:16" x14ac:dyDescent="0.3">
      <c r="C317" t="s">
        <v>2283</v>
      </c>
      <c r="G317" t="s">
        <v>2052</v>
      </c>
      <c r="H317" t="s">
        <v>1124</v>
      </c>
      <c r="I317" t="s">
        <v>2053</v>
      </c>
      <c r="L317" t="b">
        <v>1</v>
      </c>
      <c r="M317" t="s">
        <v>1394</v>
      </c>
      <c r="N317" t="b">
        <v>0</v>
      </c>
      <c r="O317">
        <v>0</v>
      </c>
      <c r="P317" t="s">
        <v>2421</v>
      </c>
    </row>
    <row r="318" spans="3:16" x14ac:dyDescent="0.3">
      <c r="C318" t="s">
        <v>39</v>
      </c>
      <c r="G318" t="s">
        <v>1036</v>
      </c>
      <c r="H318" t="s">
        <v>1124</v>
      </c>
      <c r="I318" t="s">
        <v>1445</v>
      </c>
      <c r="L318" t="b">
        <v>0</v>
      </c>
      <c r="M318" t="s">
        <v>1394</v>
      </c>
      <c r="N318" t="b">
        <v>0</v>
      </c>
      <c r="O318">
        <v>0</v>
      </c>
      <c r="P318" t="s">
        <v>2421</v>
      </c>
    </row>
    <row r="319" spans="3:16" x14ac:dyDescent="0.3">
      <c r="C319" t="s">
        <v>2285</v>
      </c>
      <c r="G319" t="s">
        <v>1303</v>
      </c>
      <c r="H319" t="s">
        <v>1118</v>
      </c>
      <c r="I319" t="s">
        <v>2418</v>
      </c>
      <c r="L319" t="b">
        <v>0</v>
      </c>
      <c r="M319" t="s">
        <v>1394</v>
      </c>
      <c r="N319" t="b">
        <v>0</v>
      </c>
      <c r="O319">
        <v>0</v>
      </c>
      <c r="P319" t="s">
        <v>2421</v>
      </c>
    </row>
    <row r="320" spans="3:16" x14ac:dyDescent="0.3">
      <c r="C320" t="s">
        <v>2281</v>
      </c>
      <c r="G320" t="s">
        <v>1303</v>
      </c>
      <c r="H320" t="s">
        <v>1118</v>
      </c>
      <c r="I320" t="s">
        <v>2418</v>
      </c>
      <c r="L320" t="b">
        <v>0</v>
      </c>
      <c r="M320" t="s">
        <v>1394</v>
      </c>
      <c r="N320" t="b">
        <v>0</v>
      </c>
      <c r="O320">
        <v>0</v>
      </c>
      <c r="P320" t="s">
        <v>2421</v>
      </c>
    </row>
    <row r="321" spans="3:16" x14ac:dyDescent="0.3">
      <c r="C321" t="s">
        <v>2284</v>
      </c>
      <c r="G321" t="s">
        <v>1303</v>
      </c>
      <c r="H321" t="s">
        <v>1118</v>
      </c>
      <c r="I321" t="s">
        <v>2418</v>
      </c>
      <c r="L321" t="b">
        <v>0</v>
      </c>
      <c r="M321" t="s">
        <v>1394</v>
      </c>
      <c r="N321" t="b">
        <v>0</v>
      </c>
      <c r="O321">
        <v>0</v>
      </c>
      <c r="P321" t="s">
        <v>2421</v>
      </c>
    </row>
    <row r="322" spans="3:16" x14ac:dyDescent="0.3">
      <c r="C322" t="s">
        <v>2293</v>
      </c>
      <c r="G322" t="s">
        <v>1303</v>
      </c>
      <c r="H322" t="s">
        <v>1118</v>
      </c>
      <c r="I322" t="s">
        <v>2418</v>
      </c>
      <c r="L322" t="b">
        <v>0</v>
      </c>
      <c r="M322" t="s">
        <v>1394</v>
      </c>
      <c r="N322" t="b">
        <v>0</v>
      </c>
      <c r="O322">
        <v>0</v>
      </c>
      <c r="P322" t="s">
        <v>2421</v>
      </c>
    </row>
    <row r="323" spans="3:16" x14ac:dyDescent="0.3">
      <c r="C323" t="s">
        <v>2280</v>
      </c>
      <c r="G323" t="s">
        <v>1303</v>
      </c>
      <c r="H323" t="s">
        <v>1118</v>
      </c>
      <c r="I323" t="s">
        <v>2418</v>
      </c>
      <c r="L323" t="b">
        <v>0</v>
      </c>
      <c r="M323" t="s">
        <v>1394</v>
      </c>
      <c r="N323" t="b">
        <v>0</v>
      </c>
      <c r="O323">
        <v>0</v>
      </c>
      <c r="P323" t="s">
        <v>2421</v>
      </c>
    </row>
    <row r="324" spans="3:16" x14ac:dyDescent="0.3">
      <c r="C324" t="s">
        <v>2283</v>
      </c>
      <c r="G324" t="s">
        <v>1303</v>
      </c>
      <c r="H324" t="s">
        <v>1118</v>
      </c>
      <c r="I324" t="s">
        <v>2418</v>
      </c>
      <c r="L324" t="b">
        <v>0</v>
      </c>
      <c r="M324" t="s">
        <v>1394</v>
      </c>
      <c r="N324" t="b">
        <v>0</v>
      </c>
      <c r="O324">
        <v>0</v>
      </c>
      <c r="P324" t="s">
        <v>2421</v>
      </c>
    </row>
    <row r="325" spans="3:16" x14ac:dyDescent="0.3">
      <c r="C325" t="s">
        <v>2285</v>
      </c>
      <c r="G325" t="s">
        <v>1303</v>
      </c>
      <c r="H325" t="s">
        <v>1120</v>
      </c>
      <c r="I325" t="s">
        <v>2417</v>
      </c>
      <c r="L325" t="b">
        <v>0</v>
      </c>
      <c r="M325" t="s">
        <v>1394</v>
      </c>
      <c r="N325" t="b">
        <v>0</v>
      </c>
      <c r="O325">
        <v>0</v>
      </c>
      <c r="P325" t="s">
        <v>2421</v>
      </c>
    </row>
    <row r="326" spans="3:16" x14ac:dyDescent="0.3">
      <c r="C326" t="s">
        <v>2281</v>
      </c>
      <c r="G326" t="s">
        <v>1303</v>
      </c>
      <c r="H326" t="s">
        <v>1120</v>
      </c>
      <c r="I326" t="s">
        <v>2417</v>
      </c>
      <c r="L326" t="b">
        <v>0</v>
      </c>
      <c r="M326" t="s">
        <v>1394</v>
      </c>
      <c r="N326" t="b">
        <v>0</v>
      </c>
      <c r="O326">
        <v>0</v>
      </c>
      <c r="P326" t="s">
        <v>2421</v>
      </c>
    </row>
    <row r="327" spans="3:16" x14ac:dyDescent="0.3">
      <c r="C327" t="s">
        <v>2284</v>
      </c>
      <c r="G327" t="s">
        <v>1303</v>
      </c>
      <c r="H327" t="s">
        <v>1120</v>
      </c>
      <c r="I327" t="s">
        <v>2417</v>
      </c>
      <c r="L327" t="b">
        <v>0</v>
      </c>
      <c r="M327" t="s">
        <v>1394</v>
      </c>
      <c r="N327" t="b">
        <v>0</v>
      </c>
      <c r="O327">
        <v>0</v>
      </c>
      <c r="P327" t="s">
        <v>2421</v>
      </c>
    </row>
    <row r="328" spans="3:16" x14ac:dyDescent="0.3">
      <c r="C328" t="s">
        <v>2293</v>
      </c>
      <c r="G328" t="s">
        <v>1303</v>
      </c>
      <c r="H328" t="s">
        <v>1120</v>
      </c>
      <c r="I328" t="s">
        <v>2417</v>
      </c>
      <c r="L328" t="b">
        <v>0</v>
      </c>
      <c r="M328" t="s">
        <v>1394</v>
      </c>
      <c r="N328" t="b">
        <v>0</v>
      </c>
      <c r="O328">
        <v>0</v>
      </c>
      <c r="P328" t="s">
        <v>2421</v>
      </c>
    </row>
    <row r="329" spans="3:16" x14ac:dyDescent="0.3">
      <c r="C329" t="s">
        <v>2280</v>
      </c>
      <c r="G329" t="s">
        <v>1303</v>
      </c>
      <c r="H329" t="s">
        <v>1120</v>
      </c>
      <c r="I329" t="s">
        <v>2417</v>
      </c>
      <c r="L329" t="b">
        <v>0</v>
      </c>
      <c r="M329" t="s">
        <v>1394</v>
      </c>
      <c r="N329" t="b">
        <v>0</v>
      </c>
      <c r="O329">
        <v>0</v>
      </c>
      <c r="P329" t="s">
        <v>2421</v>
      </c>
    </row>
    <row r="330" spans="3:16" x14ac:dyDescent="0.3">
      <c r="C330" t="s">
        <v>2283</v>
      </c>
      <c r="G330" t="s">
        <v>1303</v>
      </c>
      <c r="H330" t="s">
        <v>1120</v>
      </c>
      <c r="I330" t="s">
        <v>2417</v>
      </c>
      <c r="L330" t="b">
        <v>0</v>
      </c>
      <c r="M330" t="s">
        <v>1394</v>
      </c>
      <c r="N330" t="b">
        <v>0</v>
      </c>
      <c r="O330">
        <v>0</v>
      </c>
      <c r="P330" t="s">
        <v>2421</v>
      </c>
    </row>
    <row r="331" spans="3:16" x14ac:dyDescent="0.3">
      <c r="C331" t="s">
        <v>2285</v>
      </c>
      <c r="G331" t="s">
        <v>1303</v>
      </c>
      <c r="H331" t="s">
        <v>1118</v>
      </c>
      <c r="I331" t="s">
        <v>2420</v>
      </c>
      <c r="L331" t="b">
        <v>0</v>
      </c>
      <c r="M331" t="s">
        <v>1394</v>
      </c>
      <c r="N331" t="b">
        <v>0</v>
      </c>
      <c r="O331">
        <v>0</v>
      </c>
      <c r="P331" t="s">
        <v>2421</v>
      </c>
    </row>
    <row r="332" spans="3:16" x14ac:dyDescent="0.3">
      <c r="C332" t="s">
        <v>2281</v>
      </c>
      <c r="G332" t="s">
        <v>1303</v>
      </c>
      <c r="H332" t="s">
        <v>1118</v>
      </c>
      <c r="I332" t="s">
        <v>2420</v>
      </c>
      <c r="L332" t="b">
        <v>0</v>
      </c>
      <c r="M332" t="s">
        <v>1394</v>
      </c>
      <c r="N332" t="b">
        <v>0</v>
      </c>
      <c r="O332">
        <v>0</v>
      </c>
      <c r="P332" t="s">
        <v>2421</v>
      </c>
    </row>
    <row r="333" spans="3:16" x14ac:dyDescent="0.3">
      <c r="C333" t="s">
        <v>2284</v>
      </c>
      <c r="G333" t="s">
        <v>1303</v>
      </c>
      <c r="H333" t="s">
        <v>1118</v>
      </c>
      <c r="I333" t="s">
        <v>2420</v>
      </c>
      <c r="L333" t="b">
        <v>0</v>
      </c>
      <c r="M333" t="s">
        <v>1394</v>
      </c>
      <c r="N333" t="b">
        <v>0</v>
      </c>
      <c r="O333">
        <v>0</v>
      </c>
      <c r="P333" t="s">
        <v>2421</v>
      </c>
    </row>
    <row r="334" spans="3:16" x14ac:dyDescent="0.3">
      <c r="C334" t="s">
        <v>2293</v>
      </c>
      <c r="G334" t="s">
        <v>1303</v>
      </c>
      <c r="H334" t="s">
        <v>1118</v>
      </c>
      <c r="I334" t="s">
        <v>2420</v>
      </c>
      <c r="L334" t="b">
        <v>0</v>
      </c>
      <c r="M334" t="s">
        <v>1394</v>
      </c>
      <c r="N334" t="b">
        <v>0</v>
      </c>
      <c r="O334">
        <v>0</v>
      </c>
      <c r="P334" t="s">
        <v>2421</v>
      </c>
    </row>
    <row r="335" spans="3:16" x14ac:dyDescent="0.3">
      <c r="C335" t="s">
        <v>2280</v>
      </c>
      <c r="G335" t="s">
        <v>1303</v>
      </c>
      <c r="H335" t="s">
        <v>1118</v>
      </c>
      <c r="I335" t="s">
        <v>2420</v>
      </c>
      <c r="L335" t="b">
        <v>0</v>
      </c>
      <c r="M335" t="s">
        <v>1394</v>
      </c>
      <c r="N335" t="b">
        <v>0</v>
      </c>
      <c r="O335">
        <v>0</v>
      </c>
      <c r="P335" t="s">
        <v>2421</v>
      </c>
    </row>
    <row r="336" spans="3:16" x14ac:dyDescent="0.3">
      <c r="C336" t="s">
        <v>2283</v>
      </c>
      <c r="G336" t="s">
        <v>1303</v>
      </c>
      <c r="H336" t="s">
        <v>1118</v>
      </c>
      <c r="I336" t="s">
        <v>2420</v>
      </c>
      <c r="L336" t="b">
        <v>0</v>
      </c>
      <c r="M336" t="s">
        <v>1394</v>
      </c>
      <c r="N336" t="b">
        <v>0</v>
      </c>
      <c r="O336">
        <v>0</v>
      </c>
      <c r="P336" t="s">
        <v>2421</v>
      </c>
    </row>
    <row r="337" spans="3:16" x14ac:dyDescent="0.3">
      <c r="C337" t="s">
        <v>2285</v>
      </c>
      <c r="G337" t="s">
        <v>1303</v>
      </c>
      <c r="H337" t="s">
        <v>1120</v>
      </c>
      <c r="I337" t="s">
        <v>2419</v>
      </c>
      <c r="L337" t="b">
        <v>0</v>
      </c>
      <c r="M337" t="s">
        <v>1394</v>
      </c>
      <c r="N337" t="b">
        <v>0</v>
      </c>
      <c r="O337">
        <v>0</v>
      </c>
      <c r="P337" t="s">
        <v>2421</v>
      </c>
    </row>
    <row r="338" spans="3:16" x14ac:dyDescent="0.3">
      <c r="C338" t="s">
        <v>2281</v>
      </c>
      <c r="G338" t="s">
        <v>1303</v>
      </c>
      <c r="H338" t="s">
        <v>1120</v>
      </c>
      <c r="I338" t="s">
        <v>2419</v>
      </c>
      <c r="L338" t="b">
        <v>0</v>
      </c>
      <c r="M338" t="s">
        <v>1394</v>
      </c>
      <c r="N338" t="b">
        <v>0</v>
      </c>
      <c r="O338">
        <v>0</v>
      </c>
      <c r="P338" t="s">
        <v>2421</v>
      </c>
    </row>
    <row r="339" spans="3:16" x14ac:dyDescent="0.3">
      <c r="C339" t="s">
        <v>2284</v>
      </c>
      <c r="G339" t="s">
        <v>1303</v>
      </c>
      <c r="H339" t="s">
        <v>1120</v>
      </c>
      <c r="I339" t="s">
        <v>2419</v>
      </c>
      <c r="L339" t="b">
        <v>0</v>
      </c>
      <c r="M339" t="s">
        <v>1394</v>
      </c>
      <c r="N339" t="b">
        <v>0</v>
      </c>
      <c r="O339">
        <v>0</v>
      </c>
      <c r="P339" t="s">
        <v>2421</v>
      </c>
    </row>
    <row r="340" spans="3:16" x14ac:dyDescent="0.3">
      <c r="C340" t="s">
        <v>2293</v>
      </c>
      <c r="G340" t="s">
        <v>1303</v>
      </c>
      <c r="H340" t="s">
        <v>1120</v>
      </c>
      <c r="I340" t="s">
        <v>2419</v>
      </c>
      <c r="L340" t="b">
        <v>0</v>
      </c>
      <c r="M340" t="s">
        <v>1394</v>
      </c>
      <c r="N340" t="b">
        <v>0</v>
      </c>
      <c r="O340">
        <v>0</v>
      </c>
      <c r="P340" t="s">
        <v>2421</v>
      </c>
    </row>
    <row r="341" spans="3:16" x14ac:dyDescent="0.3">
      <c r="C341" t="s">
        <v>2280</v>
      </c>
      <c r="G341" t="s">
        <v>1303</v>
      </c>
      <c r="H341" t="s">
        <v>1120</v>
      </c>
      <c r="I341" t="s">
        <v>2419</v>
      </c>
      <c r="L341" t="b">
        <v>0</v>
      </c>
      <c r="M341" t="s">
        <v>1394</v>
      </c>
      <c r="N341" t="b">
        <v>0</v>
      </c>
      <c r="O341">
        <v>0</v>
      </c>
      <c r="P341" t="s">
        <v>2421</v>
      </c>
    </row>
    <row r="342" spans="3:16" x14ac:dyDescent="0.3">
      <c r="C342" t="s">
        <v>2283</v>
      </c>
      <c r="G342" t="s">
        <v>1303</v>
      </c>
      <c r="H342" t="s">
        <v>1120</v>
      </c>
      <c r="I342" t="s">
        <v>2419</v>
      </c>
      <c r="L342" t="b">
        <v>0</v>
      </c>
      <c r="M342" t="s">
        <v>1394</v>
      </c>
      <c r="N342" t="b">
        <v>0</v>
      </c>
      <c r="O342">
        <v>0</v>
      </c>
      <c r="P342" t="s">
        <v>2421</v>
      </c>
    </row>
    <row r="343" spans="3:16" x14ac:dyDescent="0.3">
      <c r="C343" t="s">
        <v>2285</v>
      </c>
      <c r="G343" t="s">
        <v>1186</v>
      </c>
      <c r="H343" t="s">
        <v>1124</v>
      </c>
      <c r="I343" t="s">
        <v>1446</v>
      </c>
      <c r="L343" t="b">
        <v>1</v>
      </c>
      <c r="M343" t="s">
        <v>1394</v>
      </c>
      <c r="N343" t="b">
        <v>0</v>
      </c>
      <c r="O343">
        <v>0</v>
      </c>
      <c r="P343" t="s">
        <v>2421</v>
      </c>
    </row>
    <row r="344" spans="3:16" x14ac:dyDescent="0.3">
      <c r="C344" t="s">
        <v>2288</v>
      </c>
      <c r="G344" t="s">
        <v>1186</v>
      </c>
      <c r="H344" t="s">
        <v>1124</v>
      </c>
      <c r="I344" t="s">
        <v>1446</v>
      </c>
      <c r="L344" t="b">
        <v>1</v>
      </c>
      <c r="M344" t="s">
        <v>1394</v>
      </c>
      <c r="N344" t="b">
        <v>0</v>
      </c>
      <c r="O344">
        <v>0</v>
      </c>
      <c r="P344" t="s">
        <v>2421</v>
      </c>
    </row>
    <row r="345" spans="3:16" x14ac:dyDescent="0.3">
      <c r="C345" t="s">
        <v>2284</v>
      </c>
      <c r="G345" t="s">
        <v>1186</v>
      </c>
      <c r="H345" t="s">
        <v>1124</v>
      </c>
      <c r="I345" t="s">
        <v>1446</v>
      </c>
      <c r="L345" t="b">
        <v>1</v>
      </c>
      <c r="M345" t="s">
        <v>1394</v>
      </c>
      <c r="N345" t="b">
        <v>0</v>
      </c>
      <c r="O345">
        <v>0</v>
      </c>
      <c r="P345" t="s">
        <v>2421</v>
      </c>
    </row>
    <row r="346" spans="3:16" x14ac:dyDescent="0.3">
      <c r="C346" t="s">
        <v>2291</v>
      </c>
      <c r="G346" t="s">
        <v>1186</v>
      </c>
      <c r="H346" t="s">
        <v>1124</v>
      </c>
      <c r="I346" t="s">
        <v>1446</v>
      </c>
      <c r="L346" t="b">
        <v>1</v>
      </c>
      <c r="M346" t="s">
        <v>1394</v>
      </c>
      <c r="N346" t="b">
        <v>0</v>
      </c>
      <c r="O346">
        <v>0</v>
      </c>
      <c r="P346" t="s">
        <v>2421</v>
      </c>
    </row>
    <row r="347" spans="3:16" x14ac:dyDescent="0.3">
      <c r="C347" t="s">
        <v>2293</v>
      </c>
      <c r="G347" t="s">
        <v>1186</v>
      </c>
      <c r="H347" t="s">
        <v>1124</v>
      </c>
      <c r="I347" t="s">
        <v>1446</v>
      </c>
      <c r="L347" t="b">
        <v>1</v>
      </c>
      <c r="M347" t="s">
        <v>1394</v>
      </c>
      <c r="N347" t="b">
        <v>0</v>
      </c>
      <c r="O347">
        <v>0</v>
      </c>
      <c r="P347" t="s">
        <v>2421</v>
      </c>
    </row>
    <row r="348" spans="3:16" x14ac:dyDescent="0.3">
      <c r="C348" t="s">
        <v>2282</v>
      </c>
      <c r="G348" t="s">
        <v>1186</v>
      </c>
      <c r="H348" t="s">
        <v>1124</v>
      </c>
      <c r="I348" t="s">
        <v>1446</v>
      </c>
      <c r="L348" t="b">
        <v>1</v>
      </c>
      <c r="M348" t="s">
        <v>1394</v>
      </c>
      <c r="N348" t="b">
        <v>0</v>
      </c>
      <c r="O348">
        <v>0</v>
      </c>
      <c r="P348" t="s">
        <v>2421</v>
      </c>
    </row>
    <row r="349" spans="3:16" x14ac:dyDescent="0.3">
      <c r="C349" t="s">
        <v>39</v>
      </c>
      <c r="G349" t="s">
        <v>1186</v>
      </c>
      <c r="H349" t="s">
        <v>1124</v>
      </c>
      <c r="I349" t="s">
        <v>1446</v>
      </c>
      <c r="L349" t="b">
        <v>1</v>
      </c>
      <c r="M349" t="s">
        <v>1394</v>
      </c>
      <c r="N349" t="b">
        <v>0</v>
      </c>
      <c r="O349">
        <v>0</v>
      </c>
      <c r="P349" t="s">
        <v>2421</v>
      </c>
    </row>
    <row r="350" spans="3:16" x14ac:dyDescent="0.3">
      <c r="C350" t="s">
        <v>2280</v>
      </c>
      <c r="G350" t="s">
        <v>1186</v>
      </c>
      <c r="H350" t="s">
        <v>1124</v>
      </c>
      <c r="I350" t="s">
        <v>1446</v>
      </c>
      <c r="L350" t="b">
        <v>1</v>
      </c>
      <c r="M350" t="s">
        <v>1394</v>
      </c>
      <c r="N350" t="b">
        <v>0</v>
      </c>
      <c r="O350">
        <v>0</v>
      </c>
      <c r="P350" t="s">
        <v>2421</v>
      </c>
    </row>
    <row r="351" spans="3:16" x14ac:dyDescent="0.3">
      <c r="C351" t="s">
        <v>2283</v>
      </c>
      <c r="G351" t="s">
        <v>1186</v>
      </c>
      <c r="H351" t="s">
        <v>1124</v>
      </c>
      <c r="I351" t="s">
        <v>1446</v>
      </c>
      <c r="L351" t="b">
        <v>1</v>
      </c>
      <c r="M351" t="s">
        <v>1394</v>
      </c>
      <c r="N351" t="b">
        <v>0</v>
      </c>
      <c r="O351">
        <v>0</v>
      </c>
      <c r="P351" t="s">
        <v>2421</v>
      </c>
    </row>
    <row r="352" spans="3:16" x14ac:dyDescent="0.3">
      <c r="C352" t="s">
        <v>2285</v>
      </c>
      <c r="G352" t="s">
        <v>1994</v>
      </c>
      <c r="H352" t="s">
        <v>1124</v>
      </c>
      <c r="I352" t="s">
        <v>1995</v>
      </c>
      <c r="L352" t="b">
        <v>1</v>
      </c>
      <c r="M352" t="s">
        <v>1394</v>
      </c>
      <c r="N352" t="b">
        <v>0</v>
      </c>
      <c r="O352">
        <v>0</v>
      </c>
      <c r="P352" t="s">
        <v>2421</v>
      </c>
    </row>
    <row r="353" spans="3:16" x14ac:dyDescent="0.3">
      <c r="C353" t="s">
        <v>2288</v>
      </c>
      <c r="G353" t="s">
        <v>1994</v>
      </c>
      <c r="H353" t="s">
        <v>1124</v>
      </c>
      <c r="I353" t="s">
        <v>1995</v>
      </c>
      <c r="L353" t="b">
        <v>1</v>
      </c>
      <c r="M353" t="s">
        <v>1394</v>
      </c>
      <c r="N353" t="b">
        <v>0</v>
      </c>
      <c r="O353">
        <v>0</v>
      </c>
      <c r="P353" t="s">
        <v>2421</v>
      </c>
    </row>
    <row r="354" spans="3:16" x14ac:dyDescent="0.3">
      <c r="C354" t="s">
        <v>2284</v>
      </c>
      <c r="G354" t="s">
        <v>1994</v>
      </c>
      <c r="H354" t="s">
        <v>1124</v>
      </c>
      <c r="I354" t="s">
        <v>1995</v>
      </c>
      <c r="L354" t="b">
        <v>1</v>
      </c>
      <c r="M354" t="s">
        <v>1394</v>
      </c>
      <c r="N354" t="b">
        <v>0</v>
      </c>
      <c r="O354">
        <v>0</v>
      </c>
      <c r="P354" t="s">
        <v>2421</v>
      </c>
    </row>
    <row r="355" spans="3:16" x14ac:dyDescent="0.3">
      <c r="C355" t="s">
        <v>2291</v>
      </c>
      <c r="G355" t="s">
        <v>1994</v>
      </c>
      <c r="H355" t="s">
        <v>1124</v>
      </c>
      <c r="I355" t="s">
        <v>1995</v>
      </c>
      <c r="L355" t="b">
        <v>1</v>
      </c>
      <c r="M355" t="s">
        <v>1394</v>
      </c>
      <c r="N355" t="b">
        <v>0</v>
      </c>
      <c r="O355">
        <v>0</v>
      </c>
      <c r="P355" t="s">
        <v>2421</v>
      </c>
    </row>
    <row r="356" spans="3:16" x14ac:dyDescent="0.3">
      <c r="C356" t="s">
        <v>2293</v>
      </c>
      <c r="G356" t="s">
        <v>1994</v>
      </c>
      <c r="H356" t="s">
        <v>1124</v>
      </c>
      <c r="I356" t="s">
        <v>1995</v>
      </c>
      <c r="L356" t="b">
        <v>1</v>
      </c>
      <c r="M356" t="s">
        <v>1394</v>
      </c>
      <c r="N356" t="b">
        <v>0</v>
      </c>
      <c r="O356">
        <v>0</v>
      </c>
      <c r="P356" t="s">
        <v>2421</v>
      </c>
    </row>
    <row r="357" spans="3:16" x14ac:dyDescent="0.3">
      <c r="C357" t="s">
        <v>2282</v>
      </c>
      <c r="G357" t="s">
        <v>1994</v>
      </c>
      <c r="H357" t="s">
        <v>1124</v>
      </c>
      <c r="I357" t="s">
        <v>1995</v>
      </c>
      <c r="L357" t="b">
        <v>1</v>
      </c>
      <c r="M357" t="s">
        <v>1394</v>
      </c>
      <c r="N357" t="b">
        <v>0</v>
      </c>
      <c r="O357">
        <v>0</v>
      </c>
      <c r="P357" t="s">
        <v>2421</v>
      </c>
    </row>
    <row r="358" spans="3:16" x14ac:dyDescent="0.3">
      <c r="C358" t="s">
        <v>39</v>
      </c>
      <c r="G358" t="s">
        <v>1994</v>
      </c>
      <c r="H358" t="s">
        <v>1124</v>
      </c>
      <c r="I358" t="s">
        <v>1995</v>
      </c>
      <c r="L358" t="b">
        <v>1</v>
      </c>
      <c r="M358" t="s">
        <v>1394</v>
      </c>
      <c r="N358" t="b">
        <v>0</v>
      </c>
      <c r="O358">
        <v>0</v>
      </c>
      <c r="P358" t="s">
        <v>2421</v>
      </c>
    </row>
    <row r="359" spans="3:16" x14ac:dyDescent="0.3">
      <c r="C359" t="s">
        <v>2280</v>
      </c>
      <c r="G359" t="s">
        <v>1994</v>
      </c>
      <c r="H359" t="s">
        <v>1124</v>
      </c>
      <c r="I359" t="s">
        <v>1995</v>
      </c>
      <c r="L359" t="b">
        <v>1</v>
      </c>
      <c r="M359" t="s">
        <v>1394</v>
      </c>
      <c r="N359" t="b">
        <v>0</v>
      </c>
      <c r="O359">
        <v>0</v>
      </c>
      <c r="P359" t="s">
        <v>2421</v>
      </c>
    </row>
    <row r="360" spans="3:16" x14ac:dyDescent="0.3">
      <c r="C360" t="s">
        <v>2283</v>
      </c>
      <c r="G360" t="s">
        <v>1994</v>
      </c>
      <c r="H360" t="s">
        <v>1124</v>
      </c>
      <c r="I360" t="s">
        <v>1995</v>
      </c>
      <c r="L360" t="b">
        <v>1</v>
      </c>
      <c r="M360" t="s">
        <v>1394</v>
      </c>
      <c r="N360" t="b">
        <v>0</v>
      </c>
      <c r="O360">
        <v>0</v>
      </c>
      <c r="P360" t="s">
        <v>2421</v>
      </c>
    </row>
    <row r="361" spans="3:16" x14ac:dyDescent="0.3">
      <c r="C361" t="s">
        <v>2285</v>
      </c>
      <c r="G361" t="s">
        <v>2346</v>
      </c>
      <c r="H361" t="s">
        <v>1124</v>
      </c>
      <c r="I361" t="s">
        <v>2409</v>
      </c>
      <c r="L361" t="b">
        <v>1</v>
      </c>
      <c r="M361" t="s">
        <v>1394</v>
      </c>
      <c r="N361" t="b">
        <v>0</v>
      </c>
      <c r="O361">
        <v>0</v>
      </c>
      <c r="P361" t="s">
        <v>2421</v>
      </c>
    </row>
    <row r="362" spans="3:16" x14ac:dyDescent="0.3">
      <c r="C362" t="s">
        <v>2281</v>
      </c>
      <c r="G362" t="s">
        <v>2346</v>
      </c>
      <c r="H362" t="s">
        <v>1124</v>
      </c>
      <c r="I362" t="s">
        <v>2409</v>
      </c>
      <c r="L362" t="b">
        <v>1</v>
      </c>
      <c r="M362" t="s">
        <v>1394</v>
      </c>
      <c r="N362" t="b">
        <v>0</v>
      </c>
      <c r="O362">
        <v>0</v>
      </c>
      <c r="P362" t="s">
        <v>2421</v>
      </c>
    </row>
    <row r="363" spans="3:16" x14ac:dyDescent="0.3">
      <c r="C363" t="s">
        <v>2288</v>
      </c>
      <c r="G363" t="s">
        <v>2346</v>
      </c>
      <c r="H363" t="s">
        <v>1124</v>
      </c>
      <c r="I363" t="s">
        <v>2409</v>
      </c>
      <c r="L363" t="b">
        <v>1</v>
      </c>
      <c r="M363" t="s">
        <v>1394</v>
      </c>
      <c r="N363" t="b">
        <v>0</v>
      </c>
      <c r="O363">
        <v>0</v>
      </c>
      <c r="P363" t="s">
        <v>2421</v>
      </c>
    </row>
    <row r="364" spans="3:16" x14ac:dyDescent="0.3">
      <c r="C364" t="s">
        <v>2284</v>
      </c>
      <c r="G364" t="s">
        <v>2346</v>
      </c>
      <c r="H364" t="s">
        <v>1124</v>
      </c>
      <c r="I364" t="s">
        <v>2409</v>
      </c>
      <c r="L364" t="b">
        <v>1</v>
      </c>
      <c r="M364" t="s">
        <v>1394</v>
      </c>
      <c r="N364" t="b">
        <v>0</v>
      </c>
      <c r="O364">
        <v>0</v>
      </c>
      <c r="P364" t="s">
        <v>2421</v>
      </c>
    </row>
    <row r="365" spans="3:16" x14ac:dyDescent="0.3">
      <c r="C365" t="s">
        <v>2291</v>
      </c>
      <c r="G365" t="s">
        <v>2346</v>
      </c>
      <c r="H365" t="s">
        <v>1124</v>
      </c>
      <c r="I365" t="s">
        <v>2409</v>
      </c>
      <c r="L365" t="b">
        <v>1</v>
      </c>
      <c r="M365" t="s">
        <v>1394</v>
      </c>
      <c r="N365" t="b">
        <v>0</v>
      </c>
      <c r="O365">
        <v>0</v>
      </c>
      <c r="P365" t="s">
        <v>2421</v>
      </c>
    </row>
    <row r="366" spans="3:16" x14ac:dyDescent="0.3">
      <c r="C366" t="s">
        <v>2293</v>
      </c>
      <c r="G366" t="s">
        <v>2346</v>
      </c>
      <c r="H366" t="s">
        <v>1124</v>
      </c>
      <c r="I366" t="s">
        <v>2409</v>
      </c>
      <c r="L366" t="b">
        <v>1</v>
      </c>
      <c r="M366" t="s">
        <v>1394</v>
      </c>
      <c r="N366" t="b">
        <v>0</v>
      </c>
      <c r="O366">
        <v>0</v>
      </c>
      <c r="P366" t="s">
        <v>2421</v>
      </c>
    </row>
    <row r="367" spans="3:16" x14ac:dyDescent="0.3">
      <c r="C367" t="s">
        <v>2282</v>
      </c>
      <c r="G367" t="s">
        <v>2346</v>
      </c>
      <c r="H367" t="s">
        <v>1124</v>
      </c>
      <c r="I367" t="s">
        <v>2409</v>
      </c>
      <c r="L367" t="b">
        <v>1</v>
      </c>
      <c r="M367" t="s">
        <v>1394</v>
      </c>
      <c r="N367" t="b">
        <v>0</v>
      </c>
      <c r="O367">
        <v>0</v>
      </c>
      <c r="P367" t="s">
        <v>2421</v>
      </c>
    </row>
    <row r="368" spans="3:16" x14ac:dyDescent="0.3">
      <c r="C368" t="s">
        <v>39</v>
      </c>
      <c r="G368" t="s">
        <v>2346</v>
      </c>
      <c r="H368" t="s">
        <v>1124</v>
      </c>
      <c r="I368" t="s">
        <v>2409</v>
      </c>
      <c r="L368" t="b">
        <v>1</v>
      </c>
      <c r="M368" t="s">
        <v>1394</v>
      </c>
      <c r="N368" t="b">
        <v>0</v>
      </c>
      <c r="O368">
        <v>0</v>
      </c>
      <c r="P368" t="s">
        <v>2421</v>
      </c>
    </row>
    <row r="369" spans="3:16" x14ac:dyDescent="0.3">
      <c r="C369" t="s">
        <v>2280</v>
      </c>
      <c r="G369" t="s">
        <v>2346</v>
      </c>
      <c r="H369" t="s">
        <v>1124</v>
      </c>
      <c r="I369" t="s">
        <v>2409</v>
      </c>
      <c r="L369" t="b">
        <v>1</v>
      </c>
      <c r="M369" t="s">
        <v>1394</v>
      </c>
      <c r="N369" t="b">
        <v>0</v>
      </c>
      <c r="O369">
        <v>0</v>
      </c>
      <c r="P369" t="s">
        <v>2421</v>
      </c>
    </row>
    <row r="370" spans="3:16" x14ac:dyDescent="0.3">
      <c r="C370" t="s">
        <v>2283</v>
      </c>
      <c r="G370" t="s">
        <v>2346</v>
      </c>
      <c r="H370" t="s">
        <v>1124</v>
      </c>
      <c r="I370" t="s">
        <v>2409</v>
      </c>
      <c r="L370" t="b">
        <v>1</v>
      </c>
      <c r="M370" t="s">
        <v>1394</v>
      </c>
      <c r="N370" t="b">
        <v>0</v>
      </c>
      <c r="O370">
        <v>0</v>
      </c>
      <c r="P370" t="s">
        <v>2421</v>
      </c>
    </row>
    <row r="371" spans="3:16" x14ac:dyDescent="0.3">
      <c r="C371" t="s">
        <v>2285</v>
      </c>
      <c r="G371" t="s">
        <v>2347</v>
      </c>
      <c r="H371" t="s">
        <v>1124</v>
      </c>
      <c r="I371" t="s">
        <v>2408</v>
      </c>
      <c r="L371" t="b">
        <v>1</v>
      </c>
      <c r="M371" t="s">
        <v>1394</v>
      </c>
      <c r="N371" t="b">
        <v>0</v>
      </c>
      <c r="O371">
        <v>0</v>
      </c>
      <c r="P371" t="s">
        <v>2421</v>
      </c>
    </row>
    <row r="372" spans="3:16" x14ac:dyDescent="0.3">
      <c r="C372" t="s">
        <v>2281</v>
      </c>
      <c r="G372" t="s">
        <v>2347</v>
      </c>
      <c r="H372" t="s">
        <v>1124</v>
      </c>
      <c r="I372" t="s">
        <v>2408</v>
      </c>
      <c r="L372" t="b">
        <v>1</v>
      </c>
      <c r="M372" t="s">
        <v>1394</v>
      </c>
      <c r="N372" t="b">
        <v>0</v>
      </c>
      <c r="O372">
        <v>0</v>
      </c>
      <c r="P372" t="s">
        <v>2421</v>
      </c>
    </row>
    <row r="373" spans="3:16" x14ac:dyDescent="0.3">
      <c r="C373" t="s">
        <v>2288</v>
      </c>
      <c r="G373" t="s">
        <v>2347</v>
      </c>
      <c r="H373" t="s">
        <v>1124</v>
      </c>
      <c r="I373" t="s">
        <v>2408</v>
      </c>
      <c r="L373" t="b">
        <v>1</v>
      </c>
      <c r="M373" t="s">
        <v>1394</v>
      </c>
      <c r="N373" t="b">
        <v>0</v>
      </c>
      <c r="O373">
        <v>0</v>
      </c>
      <c r="P373" t="s">
        <v>2421</v>
      </c>
    </row>
    <row r="374" spans="3:16" x14ac:dyDescent="0.3">
      <c r="C374" t="s">
        <v>2284</v>
      </c>
      <c r="G374" t="s">
        <v>2347</v>
      </c>
      <c r="H374" t="s">
        <v>1124</v>
      </c>
      <c r="I374" t="s">
        <v>2408</v>
      </c>
      <c r="L374" t="b">
        <v>1</v>
      </c>
      <c r="M374" t="s">
        <v>1394</v>
      </c>
      <c r="N374" t="b">
        <v>0</v>
      </c>
      <c r="O374">
        <v>0</v>
      </c>
      <c r="P374" t="s">
        <v>2421</v>
      </c>
    </row>
    <row r="375" spans="3:16" x14ac:dyDescent="0.3">
      <c r="C375" t="s">
        <v>2291</v>
      </c>
      <c r="G375" t="s">
        <v>2347</v>
      </c>
      <c r="H375" t="s">
        <v>1124</v>
      </c>
      <c r="I375" t="s">
        <v>2408</v>
      </c>
      <c r="L375" t="b">
        <v>1</v>
      </c>
      <c r="M375" t="s">
        <v>1394</v>
      </c>
      <c r="N375" t="b">
        <v>0</v>
      </c>
      <c r="O375">
        <v>0</v>
      </c>
      <c r="P375" t="s">
        <v>2421</v>
      </c>
    </row>
    <row r="376" spans="3:16" x14ac:dyDescent="0.3">
      <c r="C376" t="s">
        <v>2293</v>
      </c>
      <c r="G376" t="s">
        <v>2347</v>
      </c>
      <c r="H376" t="s">
        <v>1124</v>
      </c>
      <c r="I376" t="s">
        <v>2408</v>
      </c>
      <c r="L376" t="b">
        <v>1</v>
      </c>
      <c r="M376" t="s">
        <v>1394</v>
      </c>
      <c r="N376" t="b">
        <v>0</v>
      </c>
      <c r="O376">
        <v>0</v>
      </c>
      <c r="P376" t="s">
        <v>2421</v>
      </c>
    </row>
    <row r="377" spans="3:16" x14ac:dyDescent="0.3">
      <c r="C377" t="s">
        <v>2282</v>
      </c>
      <c r="G377" t="s">
        <v>2347</v>
      </c>
      <c r="H377" t="s">
        <v>1124</v>
      </c>
      <c r="I377" t="s">
        <v>2408</v>
      </c>
      <c r="L377" t="b">
        <v>1</v>
      </c>
      <c r="M377" t="s">
        <v>1394</v>
      </c>
      <c r="N377" t="b">
        <v>0</v>
      </c>
      <c r="O377">
        <v>0</v>
      </c>
      <c r="P377" t="s">
        <v>2421</v>
      </c>
    </row>
    <row r="378" spans="3:16" x14ac:dyDescent="0.3">
      <c r="C378" t="s">
        <v>39</v>
      </c>
      <c r="G378" t="s">
        <v>2347</v>
      </c>
      <c r="H378" t="s">
        <v>1124</v>
      </c>
      <c r="I378" t="s">
        <v>2408</v>
      </c>
      <c r="L378" t="b">
        <v>1</v>
      </c>
      <c r="M378" t="s">
        <v>1394</v>
      </c>
      <c r="N378" t="b">
        <v>0</v>
      </c>
      <c r="O378">
        <v>0</v>
      </c>
      <c r="P378" t="s">
        <v>2421</v>
      </c>
    </row>
    <row r="379" spans="3:16" x14ac:dyDescent="0.3">
      <c r="C379" t="s">
        <v>2280</v>
      </c>
      <c r="G379" t="s">
        <v>2347</v>
      </c>
      <c r="H379" t="s">
        <v>1124</v>
      </c>
      <c r="I379" t="s">
        <v>2408</v>
      </c>
      <c r="L379" t="b">
        <v>1</v>
      </c>
      <c r="M379" t="s">
        <v>1394</v>
      </c>
      <c r="N379" t="b">
        <v>0</v>
      </c>
      <c r="O379">
        <v>0</v>
      </c>
      <c r="P379" t="s">
        <v>2421</v>
      </c>
    </row>
    <row r="380" spans="3:16" x14ac:dyDescent="0.3">
      <c r="C380" t="s">
        <v>2283</v>
      </c>
      <c r="G380" t="s">
        <v>2347</v>
      </c>
      <c r="H380" t="s">
        <v>1124</v>
      </c>
      <c r="I380" t="s">
        <v>2408</v>
      </c>
      <c r="L380" t="b">
        <v>1</v>
      </c>
      <c r="M380" t="s">
        <v>1394</v>
      </c>
      <c r="N380" t="b">
        <v>0</v>
      </c>
      <c r="O380">
        <v>0</v>
      </c>
      <c r="P380" t="s">
        <v>2421</v>
      </c>
    </row>
    <row r="381" spans="3:16" x14ac:dyDescent="0.3">
      <c r="C381" t="s">
        <v>2285</v>
      </c>
      <c r="G381" t="s">
        <v>2343</v>
      </c>
      <c r="H381" t="s">
        <v>1124</v>
      </c>
      <c r="I381" t="s">
        <v>2345</v>
      </c>
      <c r="L381" t="b">
        <v>1</v>
      </c>
      <c r="M381" t="s">
        <v>1394</v>
      </c>
      <c r="N381" t="b">
        <v>0</v>
      </c>
      <c r="O381">
        <v>0</v>
      </c>
      <c r="P381" t="s">
        <v>2421</v>
      </c>
    </row>
    <row r="382" spans="3:16" x14ac:dyDescent="0.3">
      <c r="C382" t="s">
        <v>2281</v>
      </c>
      <c r="G382" t="s">
        <v>2343</v>
      </c>
      <c r="H382" t="s">
        <v>1124</v>
      </c>
      <c r="I382" t="s">
        <v>2345</v>
      </c>
      <c r="L382" t="b">
        <v>1</v>
      </c>
      <c r="M382" t="s">
        <v>1394</v>
      </c>
      <c r="N382" t="b">
        <v>0</v>
      </c>
      <c r="O382">
        <v>0</v>
      </c>
      <c r="P382" t="s">
        <v>2421</v>
      </c>
    </row>
    <row r="383" spans="3:16" x14ac:dyDescent="0.3">
      <c r="C383" t="s">
        <v>2288</v>
      </c>
      <c r="G383" t="s">
        <v>2343</v>
      </c>
      <c r="H383" t="s">
        <v>1124</v>
      </c>
      <c r="I383" t="s">
        <v>2345</v>
      </c>
      <c r="L383" t="b">
        <v>1</v>
      </c>
      <c r="M383" t="s">
        <v>1394</v>
      </c>
      <c r="N383" t="b">
        <v>0</v>
      </c>
      <c r="O383">
        <v>0</v>
      </c>
      <c r="P383" t="s">
        <v>2421</v>
      </c>
    </row>
    <row r="384" spans="3:16" x14ac:dyDescent="0.3">
      <c r="C384" t="s">
        <v>2284</v>
      </c>
      <c r="G384" t="s">
        <v>2343</v>
      </c>
      <c r="H384" t="s">
        <v>1124</v>
      </c>
      <c r="I384" t="s">
        <v>2345</v>
      </c>
      <c r="L384" t="b">
        <v>1</v>
      </c>
      <c r="M384" t="s">
        <v>1394</v>
      </c>
      <c r="N384" t="b">
        <v>0</v>
      </c>
      <c r="O384">
        <v>0</v>
      </c>
      <c r="P384" t="s">
        <v>2421</v>
      </c>
    </row>
    <row r="385" spans="3:16" x14ac:dyDescent="0.3">
      <c r="C385" t="s">
        <v>2291</v>
      </c>
      <c r="G385" t="s">
        <v>2343</v>
      </c>
      <c r="H385" t="s">
        <v>1124</v>
      </c>
      <c r="I385" t="s">
        <v>2345</v>
      </c>
      <c r="L385" t="b">
        <v>1</v>
      </c>
      <c r="M385" t="s">
        <v>1394</v>
      </c>
      <c r="N385" t="b">
        <v>0</v>
      </c>
      <c r="O385">
        <v>0</v>
      </c>
      <c r="P385" t="s">
        <v>2421</v>
      </c>
    </row>
    <row r="386" spans="3:16" x14ac:dyDescent="0.3">
      <c r="C386" t="s">
        <v>2293</v>
      </c>
      <c r="G386" t="s">
        <v>2343</v>
      </c>
      <c r="H386" t="s">
        <v>1124</v>
      </c>
      <c r="I386" t="s">
        <v>2345</v>
      </c>
      <c r="L386" t="b">
        <v>1</v>
      </c>
      <c r="M386" t="s">
        <v>1394</v>
      </c>
      <c r="N386" t="b">
        <v>0</v>
      </c>
      <c r="O386">
        <v>0</v>
      </c>
      <c r="P386" t="s">
        <v>2421</v>
      </c>
    </row>
    <row r="387" spans="3:16" x14ac:dyDescent="0.3">
      <c r="C387" t="s">
        <v>2282</v>
      </c>
      <c r="G387" t="s">
        <v>2343</v>
      </c>
      <c r="H387" t="s">
        <v>1124</v>
      </c>
      <c r="I387" t="s">
        <v>2345</v>
      </c>
      <c r="L387" t="b">
        <v>1</v>
      </c>
      <c r="M387" t="s">
        <v>1394</v>
      </c>
      <c r="N387" t="b">
        <v>0</v>
      </c>
      <c r="O387">
        <v>0</v>
      </c>
      <c r="P387" t="s">
        <v>2421</v>
      </c>
    </row>
    <row r="388" spans="3:16" x14ac:dyDescent="0.3">
      <c r="C388" t="s">
        <v>39</v>
      </c>
      <c r="G388" t="s">
        <v>2343</v>
      </c>
      <c r="H388" t="s">
        <v>1124</v>
      </c>
      <c r="I388" t="s">
        <v>2345</v>
      </c>
      <c r="L388" t="b">
        <v>1</v>
      </c>
      <c r="M388" t="s">
        <v>1394</v>
      </c>
      <c r="N388" t="b">
        <v>0</v>
      </c>
      <c r="O388">
        <v>0</v>
      </c>
      <c r="P388" t="s">
        <v>2421</v>
      </c>
    </row>
    <row r="389" spans="3:16" x14ac:dyDescent="0.3">
      <c r="C389" t="s">
        <v>2280</v>
      </c>
      <c r="G389" t="s">
        <v>2343</v>
      </c>
      <c r="H389" t="s">
        <v>1124</v>
      </c>
      <c r="I389" t="s">
        <v>2345</v>
      </c>
      <c r="L389" t="b">
        <v>1</v>
      </c>
      <c r="M389" t="s">
        <v>1394</v>
      </c>
      <c r="N389" t="b">
        <v>0</v>
      </c>
      <c r="O389">
        <v>0</v>
      </c>
      <c r="P389" t="s">
        <v>2421</v>
      </c>
    </row>
    <row r="390" spans="3:16" x14ac:dyDescent="0.3">
      <c r="C390" t="s">
        <v>2283</v>
      </c>
      <c r="G390" t="s">
        <v>2343</v>
      </c>
      <c r="H390" t="s">
        <v>1124</v>
      </c>
      <c r="I390" t="s">
        <v>2345</v>
      </c>
      <c r="L390" t="b">
        <v>1</v>
      </c>
      <c r="M390" t="s">
        <v>1394</v>
      </c>
      <c r="N390" t="b">
        <v>0</v>
      </c>
      <c r="O390">
        <v>0</v>
      </c>
      <c r="P390" t="s">
        <v>2421</v>
      </c>
    </row>
    <row r="391" spans="3:16" x14ac:dyDescent="0.3">
      <c r="C391" t="s">
        <v>2285</v>
      </c>
      <c r="G391" t="s">
        <v>2342</v>
      </c>
      <c r="H391" t="s">
        <v>1124</v>
      </c>
      <c r="I391" t="s">
        <v>2344</v>
      </c>
      <c r="L391" t="b">
        <v>1</v>
      </c>
      <c r="M391" t="s">
        <v>1394</v>
      </c>
      <c r="N391" t="b">
        <v>0</v>
      </c>
      <c r="O391">
        <v>0</v>
      </c>
      <c r="P391" t="s">
        <v>2421</v>
      </c>
    </row>
    <row r="392" spans="3:16" x14ac:dyDescent="0.3">
      <c r="C392" t="s">
        <v>2281</v>
      </c>
      <c r="G392" t="s">
        <v>2342</v>
      </c>
      <c r="H392" t="s">
        <v>1124</v>
      </c>
      <c r="I392" t="s">
        <v>2344</v>
      </c>
      <c r="L392" t="b">
        <v>1</v>
      </c>
      <c r="M392" t="s">
        <v>1394</v>
      </c>
      <c r="N392" t="b">
        <v>0</v>
      </c>
      <c r="O392">
        <v>0</v>
      </c>
      <c r="P392" t="s">
        <v>2421</v>
      </c>
    </row>
    <row r="393" spans="3:16" x14ac:dyDescent="0.3">
      <c r="C393" t="s">
        <v>2288</v>
      </c>
      <c r="G393" t="s">
        <v>2342</v>
      </c>
      <c r="H393" t="s">
        <v>1124</v>
      </c>
      <c r="I393" t="s">
        <v>2344</v>
      </c>
      <c r="L393" t="b">
        <v>1</v>
      </c>
      <c r="M393" t="s">
        <v>1394</v>
      </c>
      <c r="N393" t="b">
        <v>0</v>
      </c>
      <c r="O393">
        <v>0</v>
      </c>
      <c r="P393" t="s">
        <v>2421</v>
      </c>
    </row>
    <row r="394" spans="3:16" x14ac:dyDescent="0.3">
      <c r="C394" t="s">
        <v>2284</v>
      </c>
      <c r="G394" t="s">
        <v>2342</v>
      </c>
      <c r="H394" t="s">
        <v>1124</v>
      </c>
      <c r="I394" t="s">
        <v>2344</v>
      </c>
      <c r="L394" t="b">
        <v>1</v>
      </c>
      <c r="M394" t="s">
        <v>1394</v>
      </c>
      <c r="N394" t="b">
        <v>0</v>
      </c>
      <c r="O394">
        <v>0</v>
      </c>
      <c r="P394" t="s">
        <v>2421</v>
      </c>
    </row>
    <row r="395" spans="3:16" x14ac:dyDescent="0.3">
      <c r="C395" t="s">
        <v>2291</v>
      </c>
      <c r="G395" t="s">
        <v>2342</v>
      </c>
      <c r="H395" t="s">
        <v>1124</v>
      </c>
      <c r="I395" t="s">
        <v>2344</v>
      </c>
      <c r="L395" t="b">
        <v>1</v>
      </c>
      <c r="M395" t="s">
        <v>1394</v>
      </c>
      <c r="N395" t="b">
        <v>0</v>
      </c>
      <c r="O395">
        <v>0</v>
      </c>
      <c r="P395" t="s">
        <v>2421</v>
      </c>
    </row>
    <row r="396" spans="3:16" x14ac:dyDescent="0.3">
      <c r="C396" t="s">
        <v>2293</v>
      </c>
      <c r="G396" t="s">
        <v>2342</v>
      </c>
      <c r="H396" t="s">
        <v>1124</v>
      </c>
      <c r="I396" t="s">
        <v>2344</v>
      </c>
      <c r="L396" t="b">
        <v>1</v>
      </c>
      <c r="M396" t="s">
        <v>1394</v>
      </c>
      <c r="N396" t="b">
        <v>0</v>
      </c>
      <c r="O396">
        <v>0</v>
      </c>
      <c r="P396" t="s">
        <v>2421</v>
      </c>
    </row>
    <row r="397" spans="3:16" x14ac:dyDescent="0.3">
      <c r="C397" t="s">
        <v>2282</v>
      </c>
      <c r="G397" t="s">
        <v>2342</v>
      </c>
      <c r="H397" t="s">
        <v>1124</v>
      </c>
      <c r="I397" t="s">
        <v>2344</v>
      </c>
      <c r="L397" t="b">
        <v>1</v>
      </c>
      <c r="M397" t="s">
        <v>1394</v>
      </c>
      <c r="N397" t="b">
        <v>0</v>
      </c>
      <c r="O397">
        <v>0</v>
      </c>
      <c r="P397" t="s">
        <v>2421</v>
      </c>
    </row>
    <row r="398" spans="3:16" x14ac:dyDescent="0.3">
      <c r="C398" t="s">
        <v>39</v>
      </c>
      <c r="G398" t="s">
        <v>2342</v>
      </c>
      <c r="H398" t="s">
        <v>1124</v>
      </c>
      <c r="I398" t="s">
        <v>2344</v>
      </c>
      <c r="L398" t="b">
        <v>1</v>
      </c>
      <c r="M398" t="s">
        <v>1394</v>
      </c>
      <c r="N398" t="b">
        <v>0</v>
      </c>
      <c r="O398">
        <v>0</v>
      </c>
      <c r="P398" t="s">
        <v>2421</v>
      </c>
    </row>
    <row r="399" spans="3:16" x14ac:dyDescent="0.3">
      <c r="C399" t="s">
        <v>2280</v>
      </c>
      <c r="G399" t="s">
        <v>2342</v>
      </c>
      <c r="H399" t="s">
        <v>1124</v>
      </c>
      <c r="I399" t="s">
        <v>2344</v>
      </c>
      <c r="L399" t="b">
        <v>1</v>
      </c>
      <c r="M399" t="s">
        <v>1394</v>
      </c>
      <c r="N399" t="b">
        <v>0</v>
      </c>
      <c r="O399">
        <v>0</v>
      </c>
      <c r="P399" t="s">
        <v>2421</v>
      </c>
    </row>
    <row r="400" spans="3:16" x14ac:dyDescent="0.3">
      <c r="C400" t="s">
        <v>2283</v>
      </c>
      <c r="G400" t="s">
        <v>2342</v>
      </c>
      <c r="H400" t="s">
        <v>1124</v>
      </c>
      <c r="I400" t="s">
        <v>2344</v>
      </c>
      <c r="L400" t="b">
        <v>1</v>
      </c>
      <c r="M400" t="s">
        <v>1394</v>
      </c>
      <c r="N400" t="b">
        <v>0</v>
      </c>
      <c r="O400">
        <v>0</v>
      </c>
      <c r="P400" t="s">
        <v>2421</v>
      </c>
    </row>
    <row r="401" spans="3:16" x14ac:dyDescent="0.3">
      <c r="C401" t="s">
        <v>2285</v>
      </c>
      <c r="G401" t="s">
        <v>1290</v>
      </c>
      <c r="H401" t="s">
        <v>1124</v>
      </c>
      <c r="I401" t="s">
        <v>1447</v>
      </c>
      <c r="L401" t="b">
        <v>0</v>
      </c>
      <c r="M401" t="s">
        <v>1394</v>
      </c>
      <c r="N401" t="b">
        <v>0</v>
      </c>
      <c r="O401">
        <v>0</v>
      </c>
      <c r="P401" t="s">
        <v>2421</v>
      </c>
    </row>
    <row r="402" spans="3:16" x14ac:dyDescent="0.3">
      <c r="C402" t="s">
        <v>2284</v>
      </c>
      <c r="G402" t="s">
        <v>1290</v>
      </c>
      <c r="H402" t="s">
        <v>1124</v>
      </c>
      <c r="I402" t="s">
        <v>1447</v>
      </c>
      <c r="L402" t="b">
        <v>0</v>
      </c>
      <c r="M402" t="s">
        <v>1394</v>
      </c>
      <c r="N402" t="b">
        <v>0</v>
      </c>
      <c r="O402">
        <v>0</v>
      </c>
      <c r="P402" t="s">
        <v>2421</v>
      </c>
    </row>
    <row r="403" spans="3:16" x14ac:dyDescent="0.3">
      <c r="C403" t="s">
        <v>2291</v>
      </c>
      <c r="G403" t="s">
        <v>1290</v>
      </c>
      <c r="H403" t="s">
        <v>1124</v>
      </c>
      <c r="I403" t="s">
        <v>1447</v>
      </c>
      <c r="L403" t="b">
        <v>0</v>
      </c>
      <c r="M403" t="s">
        <v>1394</v>
      </c>
      <c r="N403" t="b">
        <v>0</v>
      </c>
      <c r="O403">
        <v>0</v>
      </c>
      <c r="P403" t="s">
        <v>2421</v>
      </c>
    </row>
    <row r="404" spans="3:16" x14ac:dyDescent="0.3">
      <c r="C404" t="s">
        <v>2293</v>
      </c>
      <c r="G404" t="s">
        <v>1290</v>
      </c>
      <c r="H404" t="s">
        <v>1124</v>
      </c>
      <c r="I404" t="s">
        <v>1447</v>
      </c>
      <c r="L404" t="b">
        <v>0</v>
      </c>
      <c r="M404" t="s">
        <v>1394</v>
      </c>
      <c r="N404" t="b">
        <v>0</v>
      </c>
      <c r="O404">
        <v>0</v>
      </c>
      <c r="P404" t="s">
        <v>2421</v>
      </c>
    </row>
    <row r="405" spans="3:16" x14ac:dyDescent="0.3">
      <c r="C405" t="s">
        <v>2282</v>
      </c>
      <c r="G405" t="s">
        <v>1290</v>
      </c>
      <c r="H405" t="s">
        <v>1124</v>
      </c>
      <c r="I405" t="s">
        <v>1447</v>
      </c>
      <c r="L405" t="b">
        <v>0</v>
      </c>
      <c r="M405" t="s">
        <v>1394</v>
      </c>
      <c r="N405" t="b">
        <v>0</v>
      </c>
      <c r="O405">
        <v>0</v>
      </c>
      <c r="P405" t="s">
        <v>2421</v>
      </c>
    </row>
    <row r="406" spans="3:16" x14ac:dyDescent="0.3">
      <c r="C406" t="s">
        <v>39</v>
      </c>
      <c r="G406" t="s">
        <v>1290</v>
      </c>
      <c r="H406" t="s">
        <v>1124</v>
      </c>
      <c r="I406" t="s">
        <v>1447</v>
      </c>
      <c r="L406" t="b">
        <v>0</v>
      </c>
      <c r="M406" t="s">
        <v>1394</v>
      </c>
      <c r="N406" t="b">
        <v>0</v>
      </c>
      <c r="O406">
        <v>0</v>
      </c>
      <c r="P406" t="s">
        <v>2421</v>
      </c>
    </row>
    <row r="407" spans="3:16" x14ac:dyDescent="0.3">
      <c r="C407" t="s">
        <v>2285</v>
      </c>
      <c r="G407" t="s">
        <v>2083</v>
      </c>
      <c r="H407" t="s">
        <v>1124</v>
      </c>
      <c r="I407" t="s">
        <v>2089</v>
      </c>
      <c r="L407" t="b">
        <v>0</v>
      </c>
      <c r="M407" t="s">
        <v>1394</v>
      </c>
      <c r="N407" t="b">
        <v>0</v>
      </c>
      <c r="O407">
        <v>0</v>
      </c>
      <c r="P407" t="s">
        <v>2421</v>
      </c>
    </row>
    <row r="408" spans="3:16" x14ac:dyDescent="0.3">
      <c r="C408" t="s">
        <v>2284</v>
      </c>
      <c r="G408" t="s">
        <v>2083</v>
      </c>
      <c r="H408" t="s">
        <v>1124</v>
      </c>
      <c r="I408" t="s">
        <v>2089</v>
      </c>
      <c r="L408" t="b">
        <v>0</v>
      </c>
      <c r="M408" t="s">
        <v>1394</v>
      </c>
      <c r="N408" t="b">
        <v>0</v>
      </c>
      <c r="O408">
        <v>0</v>
      </c>
      <c r="P408" t="s">
        <v>2421</v>
      </c>
    </row>
    <row r="409" spans="3:16" x14ac:dyDescent="0.3">
      <c r="C409" t="s">
        <v>2282</v>
      </c>
      <c r="G409" t="s">
        <v>2083</v>
      </c>
      <c r="H409" t="s">
        <v>1124</v>
      </c>
      <c r="I409" t="s">
        <v>2089</v>
      </c>
      <c r="L409" t="b">
        <v>0</v>
      </c>
      <c r="M409" t="s">
        <v>1394</v>
      </c>
      <c r="N409" t="b">
        <v>0</v>
      </c>
      <c r="O409">
        <v>0</v>
      </c>
      <c r="P409" t="s">
        <v>2421</v>
      </c>
    </row>
    <row r="410" spans="3:16" x14ac:dyDescent="0.3">
      <c r="C410" t="s">
        <v>2283</v>
      </c>
      <c r="G410" t="s">
        <v>2083</v>
      </c>
      <c r="H410" t="s">
        <v>1124</v>
      </c>
      <c r="I410" t="s">
        <v>2089</v>
      </c>
      <c r="L410" t="b">
        <v>0</v>
      </c>
      <c r="M410" t="s">
        <v>1394</v>
      </c>
      <c r="N410" t="b">
        <v>0</v>
      </c>
      <c r="O410">
        <v>0</v>
      </c>
      <c r="P410" t="s">
        <v>2421</v>
      </c>
    </row>
    <row r="411" spans="3:16" x14ac:dyDescent="0.3">
      <c r="C411" t="s">
        <v>2280</v>
      </c>
      <c r="G411" t="s">
        <v>1587</v>
      </c>
      <c r="H411" t="s">
        <v>1124</v>
      </c>
      <c r="I411" t="s">
        <v>1447</v>
      </c>
      <c r="L411" t="b">
        <v>0</v>
      </c>
      <c r="M411" t="s">
        <v>1394</v>
      </c>
      <c r="N411" t="b">
        <v>0</v>
      </c>
      <c r="O411">
        <v>0</v>
      </c>
      <c r="P411" t="s">
        <v>2421</v>
      </c>
    </row>
  </sheetData>
  <pageMargins left="0.7" right="0.7" top="0.75" bottom="0.75" header="0.3" footer="0.3"/>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0E74D-8008-47D2-ADBE-B185B6C34CB4}">
  <sheetPr codeName="Sheet2">
    <tabColor theme="0"/>
  </sheetPr>
  <dimension ref="A1:J101"/>
  <sheetViews>
    <sheetView workbookViewId="0">
      <selection activeCell="I2" sqref="I2:J6"/>
    </sheetView>
  </sheetViews>
  <sheetFormatPr defaultRowHeight="14.4" x14ac:dyDescent="0.3"/>
  <cols>
    <col min="1" max="1" width="15.5546875" bestFit="1" customWidth="1"/>
    <col min="2" max="2" width="14.6640625" bestFit="1" customWidth="1"/>
    <col min="3" max="3" width="13.6640625" bestFit="1" customWidth="1"/>
    <col min="4" max="4" width="13.88671875" bestFit="1" customWidth="1"/>
    <col min="5" max="5" width="18.6640625" bestFit="1" customWidth="1"/>
    <col min="6" max="6" width="25.109375" bestFit="1" customWidth="1"/>
    <col min="7" max="7" width="20" bestFit="1" customWidth="1"/>
    <col min="8" max="8" width="12.5546875" bestFit="1" customWidth="1"/>
    <col min="9" max="9" width="30" bestFit="1" customWidth="1"/>
    <col min="10" max="11" width="14.44140625" bestFit="1" customWidth="1"/>
    <col min="12" max="12" width="20.109375" bestFit="1" customWidth="1"/>
    <col min="13" max="13" width="20.5546875" bestFit="1" customWidth="1"/>
    <col min="14" max="14" width="8.5546875" bestFit="1" customWidth="1"/>
    <col min="15" max="15" width="12.5546875" bestFit="1" customWidth="1"/>
    <col min="16" max="16" width="14.44140625" bestFit="1" customWidth="1"/>
    <col min="17" max="17" width="20" bestFit="1" customWidth="1"/>
    <col min="18" max="18" width="12.5546875" bestFit="1" customWidth="1"/>
    <col min="19" max="19" width="12.44140625" customWidth="1"/>
  </cols>
  <sheetData>
    <row r="1" spans="1:10" x14ac:dyDescent="0.3">
      <c r="A1" t="s">
        <v>1331</v>
      </c>
      <c r="B1" t="s">
        <v>893</v>
      </c>
      <c r="C1" t="s">
        <v>871</v>
      </c>
      <c r="D1" t="s">
        <v>857</v>
      </c>
      <c r="E1" t="s">
        <v>884</v>
      </c>
      <c r="F1" t="s">
        <v>1383</v>
      </c>
      <c r="G1" t="s">
        <v>1385</v>
      </c>
      <c r="H1" t="s">
        <v>1386</v>
      </c>
      <c r="I1" t="s">
        <v>2041</v>
      </c>
      <c r="J1" t="s">
        <v>2042</v>
      </c>
    </row>
    <row r="2" spans="1:10" x14ac:dyDescent="0.3">
      <c r="B2">
        <v>675110</v>
      </c>
      <c r="C2" t="s">
        <v>2588</v>
      </c>
      <c r="F2" t="s">
        <v>2345</v>
      </c>
      <c r="G2" t="s">
        <v>1497</v>
      </c>
      <c r="H2" t="b">
        <v>0</v>
      </c>
      <c r="I2">
        <v>1</v>
      </c>
      <c r="J2">
        <v>0</v>
      </c>
    </row>
    <row r="3" spans="1:10" x14ac:dyDescent="0.3">
      <c r="B3">
        <v>675110</v>
      </c>
      <c r="C3" t="s">
        <v>2588</v>
      </c>
      <c r="F3" t="s">
        <v>2345</v>
      </c>
      <c r="G3" t="s">
        <v>1497</v>
      </c>
      <c r="H3" t="b">
        <v>0</v>
      </c>
      <c r="I3">
        <v>2</v>
      </c>
      <c r="J3">
        <v>0</v>
      </c>
    </row>
    <row r="4" spans="1:10" x14ac:dyDescent="0.3">
      <c r="B4">
        <v>675110</v>
      </c>
      <c r="C4" t="s">
        <v>2588</v>
      </c>
      <c r="F4" t="s">
        <v>2345</v>
      </c>
      <c r="G4" t="s">
        <v>1497</v>
      </c>
      <c r="H4" t="b">
        <v>0</v>
      </c>
      <c r="I4">
        <v>3</v>
      </c>
      <c r="J4">
        <v>0</v>
      </c>
    </row>
    <row r="5" spans="1:10" x14ac:dyDescent="0.3">
      <c r="B5">
        <v>675110</v>
      </c>
      <c r="C5" t="s">
        <v>2588</v>
      </c>
      <c r="F5" t="s">
        <v>2345</v>
      </c>
      <c r="G5" t="s">
        <v>1497</v>
      </c>
      <c r="H5" t="b">
        <v>0</v>
      </c>
      <c r="I5">
        <v>4</v>
      </c>
      <c r="J5">
        <v>0</v>
      </c>
    </row>
    <row r="6" spans="1:10" x14ac:dyDescent="0.3">
      <c r="B6">
        <v>675110</v>
      </c>
      <c r="C6" t="s">
        <v>2588</v>
      </c>
      <c r="F6" t="s">
        <v>2345</v>
      </c>
      <c r="G6" t="s">
        <v>1497</v>
      </c>
      <c r="H6" t="b">
        <v>0</v>
      </c>
      <c r="I6">
        <v>5</v>
      </c>
      <c r="J6">
        <v>0</v>
      </c>
    </row>
    <row r="7" spans="1:10" x14ac:dyDescent="0.3">
      <c r="B7">
        <v>675100</v>
      </c>
      <c r="C7" t="s">
        <v>2588</v>
      </c>
      <c r="F7" t="s">
        <v>2344</v>
      </c>
      <c r="G7" t="s">
        <v>1497</v>
      </c>
      <c r="H7" t="b">
        <v>0</v>
      </c>
      <c r="I7">
        <v>1</v>
      </c>
      <c r="J7">
        <v>0</v>
      </c>
    </row>
    <row r="8" spans="1:10" x14ac:dyDescent="0.3">
      <c r="B8">
        <v>675100</v>
      </c>
      <c r="C8" t="s">
        <v>2588</v>
      </c>
      <c r="F8" t="s">
        <v>2344</v>
      </c>
      <c r="G8" t="s">
        <v>1497</v>
      </c>
      <c r="H8" t="b">
        <v>0</v>
      </c>
      <c r="I8">
        <v>2</v>
      </c>
      <c r="J8">
        <v>0</v>
      </c>
    </row>
    <row r="9" spans="1:10" x14ac:dyDescent="0.3">
      <c r="B9">
        <v>675100</v>
      </c>
      <c r="C9" t="s">
        <v>2588</v>
      </c>
      <c r="F9" t="s">
        <v>2344</v>
      </c>
      <c r="G9" t="s">
        <v>1497</v>
      </c>
      <c r="H9" t="b">
        <v>0</v>
      </c>
      <c r="I9">
        <v>3</v>
      </c>
      <c r="J9">
        <v>0</v>
      </c>
    </row>
    <row r="10" spans="1:10" x14ac:dyDescent="0.3">
      <c r="B10">
        <v>675100</v>
      </c>
      <c r="C10" t="s">
        <v>2588</v>
      </c>
      <c r="F10" t="s">
        <v>2344</v>
      </c>
      <c r="G10" t="s">
        <v>1497</v>
      </c>
      <c r="H10" t="b">
        <v>0</v>
      </c>
      <c r="I10">
        <v>4</v>
      </c>
      <c r="J10">
        <v>0</v>
      </c>
    </row>
    <row r="11" spans="1:10" x14ac:dyDescent="0.3">
      <c r="B11">
        <v>675100</v>
      </c>
      <c r="C11" t="s">
        <v>2588</v>
      </c>
      <c r="F11" t="s">
        <v>2344</v>
      </c>
      <c r="G11" t="s">
        <v>1497</v>
      </c>
      <c r="H11" t="b">
        <v>0</v>
      </c>
      <c r="I11">
        <v>5</v>
      </c>
      <c r="J11">
        <v>0</v>
      </c>
    </row>
    <row r="12" spans="1:10" x14ac:dyDescent="0.3">
      <c r="B12">
        <v>675110</v>
      </c>
      <c r="C12" t="s">
        <v>2591</v>
      </c>
      <c r="F12" t="s">
        <v>2345</v>
      </c>
      <c r="G12" t="s">
        <v>1497</v>
      </c>
      <c r="H12" t="b">
        <v>0</v>
      </c>
      <c r="I12">
        <v>1</v>
      </c>
      <c r="J12">
        <v>0</v>
      </c>
    </row>
    <row r="13" spans="1:10" x14ac:dyDescent="0.3">
      <c r="B13">
        <v>675110</v>
      </c>
      <c r="C13" t="s">
        <v>2591</v>
      </c>
      <c r="F13" t="s">
        <v>2345</v>
      </c>
      <c r="G13" t="s">
        <v>1497</v>
      </c>
      <c r="H13" t="b">
        <v>0</v>
      </c>
      <c r="I13">
        <v>2</v>
      </c>
      <c r="J13">
        <v>0</v>
      </c>
    </row>
    <row r="14" spans="1:10" x14ac:dyDescent="0.3">
      <c r="B14">
        <v>675110</v>
      </c>
      <c r="C14" t="s">
        <v>2591</v>
      </c>
      <c r="F14" t="s">
        <v>2345</v>
      </c>
      <c r="G14" t="s">
        <v>1497</v>
      </c>
      <c r="H14" t="b">
        <v>0</v>
      </c>
      <c r="I14">
        <v>3</v>
      </c>
      <c r="J14">
        <v>0</v>
      </c>
    </row>
    <row r="15" spans="1:10" x14ac:dyDescent="0.3">
      <c r="B15">
        <v>675110</v>
      </c>
      <c r="C15" t="s">
        <v>2591</v>
      </c>
      <c r="F15" t="s">
        <v>2345</v>
      </c>
      <c r="G15" t="s">
        <v>1497</v>
      </c>
      <c r="H15" t="b">
        <v>0</v>
      </c>
      <c r="I15">
        <v>4</v>
      </c>
      <c r="J15">
        <v>0</v>
      </c>
    </row>
    <row r="16" spans="1:10" x14ac:dyDescent="0.3">
      <c r="B16">
        <v>675110</v>
      </c>
      <c r="C16" t="s">
        <v>2591</v>
      </c>
      <c r="F16" t="s">
        <v>2345</v>
      </c>
      <c r="G16" t="s">
        <v>1497</v>
      </c>
      <c r="H16" t="b">
        <v>0</v>
      </c>
      <c r="I16">
        <v>5</v>
      </c>
      <c r="J16">
        <v>0</v>
      </c>
    </row>
    <row r="17" spans="2:10" x14ac:dyDescent="0.3">
      <c r="B17">
        <v>675100</v>
      </c>
      <c r="C17" t="s">
        <v>2591</v>
      </c>
      <c r="F17" t="s">
        <v>2344</v>
      </c>
      <c r="G17" t="s">
        <v>1497</v>
      </c>
      <c r="H17" t="b">
        <v>0</v>
      </c>
      <c r="I17">
        <v>1</v>
      </c>
      <c r="J17">
        <v>0</v>
      </c>
    </row>
    <row r="18" spans="2:10" x14ac:dyDescent="0.3">
      <c r="B18">
        <v>675100</v>
      </c>
      <c r="C18" t="s">
        <v>2591</v>
      </c>
      <c r="F18" t="s">
        <v>2344</v>
      </c>
      <c r="G18" t="s">
        <v>1497</v>
      </c>
      <c r="H18" t="b">
        <v>0</v>
      </c>
      <c r="I18">
        <v>2</v>
      </c>
      <c r="J18">
        <v>0</v>
      </c>
    </row>
    <row r="19" spans="2:10" x14ac:dyDescent="0.3">
      <c r="B19">
        <v>675100</v>
      </c>
      <c r="C19" t="s">
        <v>2591</v>
      </c>
      <c r="F19" t="s">
        <v>2344</v>
      </c>
      <c r="G19" t="s">
        <v>1497</v>
      </c>
      <c r="H19" t="b">
        <v>0</v>
      </c>
      <c r="I19">
        <v>3</v>
      </c>
      <c r="J19">
        <v>0</v>
      </c>
    </row>
    <row r="20" spans="2:10" x14ac:dyDescent="0.3">
      <c r="B20">
        <v>675100</v>
      </c>
      <c r="C20" t="s">
        <v>2591</v>
      </c>
      <c r="F20" t="s">
        <v>2344</v>
      </c>
      <c r="G20" t="s">
        <v>1497</v>
      </c>
      <c r="H20" t="b">
        <v>0</v>
      </c>
      <c r="I20">
        <v>4</v>
      </c>
      <c r="J20">
        <v>0</v>
      </c>
    </row>
    <row r="21" spans="2:10" x14ac:dyDescent="0.3">
      <c r="B21">
        <v>675100</v>
      </c>
      <c r="C21" t="s">
        <v>2591</v>
      </c>
      <c r="F21" t="s">
        <v>2344</v>
      </c>
      <c r="G21" t="s">
        <v>1497</v>
      </c>
      <c r="H21" t="b">
        <v>0</v>
      </c>
      <c r="I21">
        <v>5</v>
      </c>
      <c r="J21">
        <v>0</v>
      </c>
    </row>
    <row r="22" spans="2:10" x14ac:dyDescent="0.3">
      <c r="B22">
        <v>675110</v>
      </c>
      <c r="C22" t="s">
        <v>2594</v>
      </c>
      <c r="F22" t="s">
        <v>2345</v>
      </c>
      <c r="G22" t="s">
        <v>1497</v>
      </c>
      <c r="H22" t="b">
        <v>0</v>
      </c>
      <c r="I22">
        <v>1</v>
      </c>
      <c r="J22">
        <v>0</v>
      </c>
    </row>
    <row r="23" spans="2:10" x14ac:dyDescent="0.3">
      <c r="B23">
        <v>675110</v>
      </c>
      <c r="C23" t="s">
        <v>2594</v>
      </c>
      <c r="F23" t="s">
        <v>2345</v>
      </c>
      <c r="G23" t="s">
        <v>1497</v>
      </c>
      <c r="H23" t="b">
        <v>0</v>
      </c>
      <c r="I23">
        <v>2</v>
      </c>
      <c r="J23">
        <v>0</v>
      </c>
    </row>
    <row r="24" spans="2:10" x14ac:dyDescent="0.3">
      <c r="B24">
        <v>675110</v>
      </c>
      <c r="C24" t="s">
        <v>2594</v>
      </c>
      <c r="F24" t="s">
        <v>2345</v>
      </c>
      <c r="G24" t="s">
        <v>1497</v>
      </c>
      <c r="H24" t="b">
        <v>0</v>
      </c>
      <c r="I24">
        <v>3</v>
      </c>
      <c r="J24">
        <v>0</v>
      </c>
    </row>
    <row r="25" spans="2:10" x14ac:dyDescent="0.3">
      <c r="B25">
        <v>675110</v>
      </c>
      <c r="C25" t="s">
        <v>2594</v>
      </c>
      <c r="F25" t="s">
        <v>2345</v>
      </c>
      <c r="G25" t="s">
        <v>1497</v>
      </c>
      <c r="H25" t="b">
        <v>0</v>
      </c>
      <c r="I25">
        <v>4</v>
      </c>
      <c r="J25">
        <v>0</v>
      </c>
    </row>
    <row r="26" spans="2:10" x14ac:dyDescent="0.3">
      <c r="B26">
        <v>675110</v>
      </c>
      <c r="C26" t="s">
        <v>2594</v>
      </c>
      <c r="F26" t="s">
        <v>2345</v>
      </c>
      <c r="G26" t="s">
        <v>1497</v>
      </c>
      <c r="H26" t="b">
        <v>0</v>
      </c>
      <c r="I26">
        <v>5</v>
      </c>
      <c r="J26">
        <v>0</v>
      </c>
    </row>
    <row r="27" spans="2:10" x14ac:dyDescent="0.3">
      <c r="B27">
        <v>675100</v>
      </c>
      <c r="C27" t="s">
        <v>2594</v>
      </c>
      <c r="F27" t="s">
        <v>2344</v>
      </c>
      <c r="G27" t="s">
        <v>1497</v>
      </c>
      <c r="H27" t="b">
        <v>0</v>
      </c>
      <c r="I27">
        <v>1</v>
      </c>
      <c r="J27">
        <v>0</v>
      </c>
    </row>
    <row r="28" spans="2:10" x14ac:dyDescent="0.3">
      <c r="B28">
        <v>675100</v>
      </c>
      <c r="C28" t="s">
        <v>2594</v>
      </c>
      <c r="F28" t="s">
        <v>2344</v>
      </c>
      <c r="G28" t="s">
        <v>1497</v>
      </c>
      <c r="H28" t="b">
        <v>0</v>
      </c>
      <c r="I28">
        <v>2</v>
      </c>
      <c r="J28">
        <v>0</v>
      </c>
    </row>
    <row r="29" spans="2:10" x14ac:dyDescent="0.3">
      <c r="B29">
        <v>675100</v>
      </c>
      <c r="C29" t="s">
        <v>2594</v>
      </c>
      <c r="F29" t="s">
        <v>2344</v>
      </c>
      <c r="G29" t="s">
        <v>1497</v>
      </c>
      <c r="H29" t="b">
        <v>0</v>
      </c>
      <c r="I29">
        <v>3</v>
      </c>
      <c r="J29">
        <v>0</v>
      </c>
    </row>
    <row r="30" spans="2:10" x14ac:dyDescent="0.3">
      <c r="B30">
        <v>675100</v>
      </c>
      <c r="C30" t="s">
        <v>2594</v>
      </c>
      <c r="F30" t="s">
        <v>2344</v>
      </c>
      <c r="G30" t="s">
        <v>1497</v>
      </c>
      <c r="H30" t="b">
        <v>0</v>
      </c>
      <c r="I30">
        <v>4</v>
      </c>
      <c r="J30">
        <v>0</v>
      </c>
    </row>
    <row r="31" spans="2:10" x14ac:dyDescent="0.3">
      <c r="B31">
        <v>675100</v>
      </c>
      <c r="C31" t="s">
        <v>2594</v>
      </c>
      <c r="F31" t="s">
        <v>2344</v>
      </c>
      <c r="G31" t="s">
        <v>1497</v>
      </c>
      <c r="H31" t="b">
        <v>0</v>
      </c>
      <c r="I31">
        <v>5</v>
      </c>
      <c r="J31">
        <v>0</v>
      </c>
    </row>
    <row r="32" spans="2:10" x14ac:dyDescent="0.3">
      <c r="B32">
        <v>675110</v>
      </c>
      <c r="C32" t="s">
        <v>2597</v>
      </c>
      <c r="F32" t="s">
        <v>2345</v>
      </c>
      <c r="G32" t="s">
        <v>1497</v>
      </c>
      <c r="H32" t="b">
        <v>0</v>
      </c>
      <c r="I32">
        <v>1</v>
      </c>
      <c r="J32">
        <v>0</v>
      </c>
    </row>
    <row r="33" spans="2:10" x14ac:dyDescent="0.3">
      <c r="B33">
        <v>675110</v>
      </c>
      <c r="C33" t="s">
        <v>2597</v>
      </c>
      <c r="F33" t="s">
        <v>2345</v>
      </c>
      <c r="G33" t="s">
        <v>1497</v>
      </c>
      <c r="H33" t="b">
        <v>0</v>
      </c>
      <c r="I33">
        <v>2</v>
      </c>
      <c r="J33">
        <v>0</v>
      </c>
    </row>
    <row r="34" spans="2:10" x14ac:dyDescent="0.3">
      <c r="B34">
        <v>675110</v>
      </c>
      <c r="C34" t="s">
        <v>2597</v>
      </c>
      <c r="F34" t="s">
        <v>2345</v>
      </c>
      <c r="G34" t="s">
        <v>1497</v>
      </c>
      <c r="H34" t="b">
        <v>0</v>
      </c>
      <c r="I34">
        <v>3</v>
      </c>
      <c r="J34">
        <v>0</v>
      </c>
    </row>
    <row r="35" spans="2:10" x14ac:dyDescent="0.3">
      <c r="B35">
        <v>675110</v>
      </c>
      <c r="C35" t="s">
        <v>2597</v>
      </c>
      <c r="F35" t="s">
        <v>2345</v>
      </c>
      <c r="G35" t="s">
        <v>1497</v>
      </c>
      <c r="H35" t="b">
        <v>0</v>
      </c>
      <c r="I35">
        <v>4</v>
      </c>
      <c r="J35">
        <v>0</v>
      </c>
    </row>
    <row r="36" spans="2:10" x14ac:dyDescent="0.3">
      <c r="B36">
        <v>675110</v>
      </c>
      <c r="C36" t="s">
        <v>2597</v>
      </c>
      <c r="F36" t="s">
        <v>2345</v>
      </c>
      <c r="G36" t="s">
        <v>1497</v>
      </c>
      <c r="H36" t="b">
        <v>0</v>
      </c>
      <c r="I36">
        <v>5</v>
      </c>
      <c r="J36">
        <v>0</v>
      </c>
    </row>
    <row r="37" spans="2:10" x14ac:dyDescent="0.3">
      <c r="B37">
        <v>675100</v>
      </c>
      <c r="C37" t="s">
        <v>2597</v>
      </c>
      <c r="F37" t="s">
        <v>2344</v>
      </c>
      <c r="G37" t="s">
        <v>1497</v>
      </c>
      <c r="H37" t="b">
        <v>0</v>
      </c>
      <c r="I37">
        <v>1</v>
      </c>
      <c r="J37">
        <v>0</v>
      </c>
    </row>
    <row r="38" spans="2:10" x14ac:dyDescent="0.3">
      <c r="B38">
        <v>675100</v>
      </c>
      <c r="C38" t="s">
        <v>2597</v>
      </c>
      <c r="F38" t="s">
        <v>2344</v>
      </c>
      <c r="G38" t="s">
        <v>1497</v>
      </c>
      <c r="H38" t="b">
        <v>0</v>
      </c>
      <c r="I38">
        <v>2</v>
      </c>
      <c r="J38">
        <v>0</v>
      </c>
    </row>
    <row r="39" spans="2:10" x14ac:dyDescent="0.3">
      <c r="B39">
        <v>675100</v>
      </c>
      <c r="C39" t="s">
        <v>2597</v>
      </c>
      <c r="F39" t="s">
        <v>2344</v>
      </c>
      <c r="G39" t="s">
        <v>1497</v>
      </c>
      <c r="H39" t="b">
        <v>0</v>
      </c>
      <c r="I39">
        <v>3</v>
      </c>
      <c r="J39">
        <v>0</v>
      </c>
    </row>
    <row r="40" spans="2:10" x14ac:dyDescent="0.3">
      <c r="B40">
        <v>675100</v>
      </c>
      <c r="C40" t="s">
        <v>2597</v>
      </c>
      <c r="F40" t="s">
        <v>2344</v>
      </c>
      <c r="G40" t="s">
        <v>1497</v>
      </c>
      <c r="H40" t="b">
        <v>0</v>
      </c>
      <c r="I40">
        <v>4</v>
      </c>
      <c r="J40">
        <v>0</v>
      </c>
    </row>
    <row r="41" spans="2:10" x14ac:dyDescent="0.3">
      <c r="B41">
        <v>675100</v>
      </c>
      <c r="C41" t="s">
        <v>2597</v>
      </c>
      <c r="F41" t="s">
        <v>2344</v>
      </c>
      <c r="G41" t="s">
        <v>1497</v>
      </c>
      <c r="H41" t="b">
        <v>0</v>
      </c>
      <c r="I41">
        <v>5</v>
      </c>
      <c r="J41">
        <v>0</v>
      </c>
    </row>
    <row r="42" spans="2:10" x14ac:dyDescent="0.3">
      <c r="B42">
        <v>675110</v>
      </c>
      <c r="C42" t="s">
        <v>2599</v>
      </c>
      <c r="F42" t="s">
        <v>2345</v>
      </c>
      <c r="G42" t="s">
        <v>1497</v>
      </c>
      <c r="H42" t="b">
        <v>0</v>
      </c>
      <c r="I42">
        <v>1</v>
      </c>
      <c r="J42">
        <v>0</v>
      </c>
    </row>
    <row r="43" spans="2:10" x14ac:dyDescent="0.3">
      <c r="B43">
        <v>675110</v>
      </c>
      <c r="C43" t="s">
        <v>2599</v>
      </c>
      <c r="F43" t="s">
        <v>2345</v>
      </c>
      <c r="G43" t="s">
        <v>1497</v>
      </c>
      <c r="H43" t="b">
        <v>0</v>
      </c>
      <c r="I43">
        <v>2</v>
      </c>
      <c r="J43">
        <v>0</v>
      </c>
    </row>
    <row r="44" spans="2:10" x14ac:dyDescent="0.3">
      <c r="B44">
        <v>675110</v>
      </c>
      <c r="C44" t="s">
        <v>2599</v>
      </c>
      <c r="F44" t="s">
        <v>2345</v>
      </c>
      <c r="G44" t="s">
        <v>1497</v>
      </c>
      <c r="H44" t="b">
        <v>0</v>
      </c>
      <c r="I44">
        <v>3</v>
      </c>
      <c r="J44">
        <v>0</v>
      </c>
    </row>
    <row r="45" spans="2:10" x14ac:dyDescent="0.3">
      <c r="B45">
        <v>675110</v>
      </c>
      <c r="C45" t="s">
        <v>2599</v>
      </c>
      <c r="F45" t="s">
        <v>2345</v>
      </c>
      <c r="G45" t="s">
        <v>1497</v>
      </c>
      <c r="H45" t="b">
        <v>0</v>
      </c>
      <c r="I45">
        <v>4</v>
      </c>
      <c r="J45">
        <v>0</v>
      </c>
    </row>
    <row r="46" spans="2:10" x14ac:dyDescent="0.3">
      <c r="B46">
        <v>675110</v>
      </c>
      <c r="C46" t="s">
        <v>2599</v>
      </c>
      <c r="F46" t="s">
        <v>2345</v>
      </c>
      <c r="G46" t="s">
        <v>1497</v>
      </c>
      <c r="H46" t="b">
        <v>0</v>
      </c>
      <c r="I46">
        <v>5</v>
      </c>
      <c r="J46">
        <v>0</v>
      </c>
    </row>
    <row r="47" spans="2:10" x14ac:dyDescent="0.3">
      <c r="B47">
        <v>675100</v>
      </c>
      <c r="C47" t="s">
        <v>2599</v>
      </c>
      <c r="F47" t="s">
        <v>2344</v>
      </c>
      <c r="G47" t="s">
        <v>1497</v>
      </c>
      <c r="H47" t="b">
        <v>0</v>
      </c>
      <c r="I47">
        <v>1</v>
      </c>
      <c r="J47">
        <v>0</v>
      </c>
    </row>
    <row r="48" spans="2:10" x14ac:dyDescent="0.3">
      <c r="B48">
        <v>675100</v>
      </c>
      <c r="C48" t="s">
        <v>2599</v>
      </c>
      <c r="F48" t="s">
        <v>2344</v>
      </c>
      <c r="G48" t="s">
        <v>1497</v>
      </c>
      <c r="H48" t="b">
        <v>0</v>
      </c>
      <c r="I48">
        <v>2</v>
      </c>
      <c r="J48">
        <v>0</v>
      </c>
    </row>
    <row r="49" spans="2:10" x14ac:dyDescent="0.3">
      <c r="B49">
        <v>675100</v>
      </c>
      <c r="C49" t="s">
        <v>2599</v>
      </c>
      <c r="F49" t="s">
        <v>2344</v>
      </c>
      <c r="G49" t="s">
        <v>1497</v>
      </c>
      <c r="H49" t="b">
        <v>0</v>
      </c>
      <c r="I49">
        <v>3</v>
      </c>
      <c r="J49">
        <v>0</v>
      </c>
    </row>
    <row r="50" spans="2:10" x14ac:dyDescent="0.3">
      <c r="B50">
        <v>675100</v>
      </c>
      <c r="C50" t="s">
        <v>2599</v>
      </c>
      <c r="F50" t="s">
        <v>2344</v>
      </c>
      <c r="G50" t="s">
        <v>1497</v>
      </c>
      <c r="H50" t="b">
        <v>0</v>
      </c>
      <c r="I50">
        <v>4</v>
      </c>
      <c r="J50">
        <v>0</v>
      </c>
    </row>
    <row r="51" spans="2:10" x14ac:dyDescent="0.3">
      <c r="B51">
        <v>675100</v>
      </c>
      <c r="C51" t="s">
        <v>2599</v>
      </c>
      <c r="F51" t="s">
        <v>2344</v>
      </c>
      <c r="G51" t="s">
        <v>1497</v>
      </c>
      <c r="H51" t="b">
        <v>0</v>
      </c>
      <c r="I51">
        <v>5</v>
      </c>
      <c r="J51">
        <v>0</v>
      </c>
    </row>
    <row r="52" spans="2:10" x14ac:dyDescent="0.3">
      <c r="B52">
        <v>675110</v>
      </c>
      <c r="C52" t="s">
        <v>2601</v>
      </c>
      <c r="F52" t="s">
        <v>2345</v>
      </c>
      <c r="G52" t="s">
        <v>1497</v>
      </c>
      <c r="H52" t="b">
        <v>0</v>
      </c>
      <c r="I52">
        <v>1</v>
      </c>
      <c r="J52">
        <v>0</v>
      </c>
    </row>
    <row r="53" spans="2:10" x14ac:dyDescent="0.3">
      <c r="B53">
        <v>675110</v>
      </c>
      <c r="C53" t="s">
        <v>2601</v>
      </c>
      <c r="F53" t="s">
        <v>2345</v>
      </c>
      <c r="G53" t="s">
        <v>1497</v>
      </c>
      <c r="H53" t="b">
        <v>0</v>
      </c>
      <c r="I53">
        <v>2</v>
      </c>
      <c r="J53">
        <v>0</v>
      </c>
    </row>
    <row r="54" spans="2:10" x14ac:dyDescent="0.3">
      <c r="B54">
        <v>675110</v>
      </c>
      <c r="C54" t="s">
        <v>2601</v>
      </c>
      <c r="F54" t="s">
        <v>2345</v>
      </c>
      <c r="G54" t="s">
        <v>1497</v>
      </c>
      <c r="H54" t="b">
        <v>0</v>
      </c>
      <c r="I54">
        <v>3</v>
      </c>
      <c r="J54">
        <v>0</v>
      </c>
    </row>
    <row r="55" spans="2:10" x14ac:dyDescent="0.3">
      <c r="B55">
        <v>675110</v>
      </c>
      <c r="C55" t="s">
        <v>2601</v>
      </c>
      <c r="F55" t="s">
        <v>2345</v>
      </c>
      <c r="G55" t="s">
        <v>1497</v>
      </c>
      <c r="H55" t="b">
        <v>0</v>
      </c>
      <c r="I55">
        <v>4</v>
      </c>
      <c r="J55">
        <v>0</v>
      </c>
    </row>
    <row r="56" spans="2:10" x14ac:dyDescent="0.3">
      <c r="B56">
        <v>675110</v>
      </c>
      <c r="C56" t="s">
        <v>2601</v>
      </c>
      <c r="F56" t="s">
        <v>2345</v>
      </c>
      <c r="G56" t="s">
        <v>1497</v>
      </c>
      <c r="H56" t="b">
        <v>0</v>
      </c>
      <c r="I56">
        <v>5</v>
      </c>
      <c r="J56">
        <v>0</v>
      </c>
    </row>
    <row r="57" spans="2:10" x14ac:dyDescent="0.3">
      <c r="B57">
        <v>675100</v>
      </c>
      <c r="C57" t="s">
        <v>2601</v>
      </c>
      <c r="F57" t="s">
        <v>2344</v>
      </c>
      <c r="G57" t="s">
        <v>1497</v>
      </c>
      <c r="H57" t="b">
        <v>0</v>
      </c>
      <c r="I57">
        <v>1</v>
      </c>
      <c r="J57">
        <v>0</v>
      </c>
    </row>
    <row r="58" spans="2:10" x14ac:dyDescent="0.3">
      <c r="B58">
        <v>675100</v>
      </c>
      <c r="C58" t="s">
        <v>2601</v>
      </c>
      <c r="F58" t="s">
        <v>2344</v>
      </c>
      <c r="G58" t="s">
        <v>1497</v>
      </c>
      <c r="H58" t="b">
        <v>0</v>
      </c>
      <c r="I58">
        <v>2</v>
      </c>
      <c r="J58">
        <v>0</v>
      </c>
    </row>
    <row r="59" spans="2:10" x14ac:dyDescent="0.3">
      <c r="B59">
        <v>675100</v>
      </c>
      <c r="C59" t="s">
        <v>2601</v>
      </c>
      <c r="F59" t="s">
        <v>2344</v>
      </c>
      <c r="G59" t="s">
        <v>1497</v>
      </c>
      <c r="H59" t="b">
        <v>0</v>
      </c>
      <c r="I59">
        <v>3</v>
      </c>
      <c r="J59">
        <v>0</v>
      </c>
    </row>
    <row r="60" spans="2:10" x14ac:dyDescent="0.3">
      <c r="B60">
        <v>675100</v>
      </c>
      <c r="C60" t="s">
        <v>2601</v>
      </c>
      <c r="F60" t="s">
        <v>2344</v>
      </c>
      <c r="G60" t="s">
        <v>1497</v>
      </c>
      <c r="H60" t="b">
        <v>0</v>
      </c>
      <c r="I60">
        <v>4</v>
      </c>
      <c r="J60">
        <v>0</v>
      </c>
    </row>
    <row r="61" spans="2:10" x14ac:dyDescent="0.3">
      <c r="B61">
        <v>675100</v>
      </c>
      <c r="C61" t="s">
        <v>2601</v>
      </c>
      <c r="F61" t="s">
        <v>2344</v>
      </c>
      <c r="G61" t="s">
        <v>1497</v>
      </c>
      <c r="H61" t="b">
        <v>0</v>
      </c>
      <c r="I61">
        <v>5</v>
      </c>
      <c r="J61">
        <v>0</v>
      </c>
    </row>
    <row r="62" spans="2:10" x14ac:dyDescent="0.3">
      <c r="B62">
        <v>675110</v>
      </c>
      <c r="C62" t="s">
        <v>2603</v>
      </c>
      <c r="F62" t="s">
        <v>2345</v>
      </c>
      <c r="G62" t="s">
        <v>1497</v>
      </c>
      <c r="H62" t="b">
        <v>0</v>
      </c>
      <c r="I62">
        <v>1</v>
      </c>
      <c r="J62">
        <v>0</v>
      </c>
    </row>
    <row r="63" spans="2:10" x14ac:dyDescent="0.3">
      <c r="B63">
        <v>675110</v>
      </c>
      <c r="C63" t="s">
        <v>2603</v>
      </c>
      <c r="F63" t="s">
        <v>2345</v>
      </c>
      <c r="G63" t="s">
        <v>1497</v>
      </c>
      <c r="H63" t="b">
        <v>0</v>
      </c>
      <c r="I63">
        <v>2</v>
      </c>
      <c r="J63">
        <v>0</v>
      </c>
    </row>
    <row r="64" spans="2:10" x14ac:dyDescent="0.3">
      <c r="B64">
        <v>675110</v>
      </c>
      <c r="C64" t="s">
        <v>2603</v>
      </c>
      <c r="F64" t="s">
        <v>2345</v>
      </c>
      <c r="G64" t="s">
        <v>1497</v>
      </c>
      <c r="H64" t="b">
        <v>0</v>
      </c>
      <c r="I64">
        <v>3</v>
      </c>
      <c r="J64">
        <v>0</v>
      </c>
    </row>
    <row r="65" spans="2:10" x14ac:dyDescent="0.3">
      <c r="B65">
        <v>675110</v>
      </c>
      <c r="C65" t="s">
        <v>2603</v>
      </c>
      <c r="F65" t="s">
        <v>2345</v>
      </c>
      <c r="G65" t="s">
        <v>1497</v>
      </c>
      <c r="H65" t="b">
        <v>0</v>
      </c>
      <c r="I65">
        <v>4</v>
      </c>
      <c r="J65">
        <v>0</v>
      </c>
    </row>
    <row r="66" spans="2:10" x14ac:dyDescent="0.3">
      <c r="B66">
        <v>675110</v>
      </c>
      <c r="C66" t="s">
        <v>2603</v>
      </c>
      <c r="F66" t="s">
        <v>2345</v>
      </c>
      <c r="G66" t="s">
        <v>1497</v>
      </c>
      <c r="H66" t="b">
        <v>0</v>
      </c>
      <c r="I66">
        <v>5</v>
      </c>
      <c r="J66">
        <v>0</v>
      </c>
    </row>
    <row r="67" spans="2:10" x14ac:dyDescent="0.3">
      <c r="B67">
        <v>675100</v>
      </c>
      <c r="C67" t="s">
        <v>2603</v>
      </c>
      <c r="F67" t="s">
        <v>2344</v>
      </c>
      <c r="G67" t="s">
        <v>1497</v>
      </c>
      <c r="H67" t="b">
        <v>0</v>
      </c>
      <c r="I67">
        <v>1</v>
      </c>
      <c r="J67">
        <v>0</v>
      </c>
    </row>
    <row r="68" spans="2:10" x14ac:dyDescent="0.3">
      <c r="B68">
        <v>675100</v>
      </c>
      <c r="C68" t="s">
        <v>2603</v>
      </c>
      <c r="F68" t="s">
        <v>2344</v>
      </c>
      <c r="G68" t="s">
        <v>1497</v>
      </c>
      <c r="H68" t="b">
        <v>0</v>
      </c>
      <c r="I68">
        <v>2</v>
      </c>
      <c r="J68">
        <v>0</v>
      </c>
    </row>
    <row r="69" spans="2:10" x14ac:dyDescent="0.3">
      <c r="B69">
        <v>675100</v>
      </c>
      <c r="C69" t="s">
        <v>2603</v>
      </c>
      <c r="F69" t="s">
        <v>2344</v>
      </c>
      <c r="G69" t="s">
        <v>1497</v>
      </c>
      <c r="H69" t="b">
        <v>0</v>
      </c>
      <c r="I69">
        <v>3</v>
      </c>
      <c r="J69">
        <v>0</v>
      </c>
    </row>
    <row r="70" spans="2:10" x14ac:dyDescent="0.3">
      <c r="B70">
        <v>675100</v>
      </c>
      <c r="C70" t="s">
        <v>2603</v>
      </c>
      <c r="F70" t="s">
        <v>2344</v>
      </c>
      <c r="G70" t="s">
        <v>1497</v>
      </c>
      <c r="H70" t="b">
        <v>0</v>
      </c>
      <c r="I70">
        <v>4</v>
      </c>
      <c r="J70">
        <v>0</v>
      </c>
    </row>
    <row r="71" spans="2:10" x14ac:dyDescent="0.3">
      <c r="B71">
        <v>675100</v>
      </c>
      <c r="C71" t="s">
        <v>2603</v>
      </c>
      <c r="F71" t="s">
        <v>2344</v>
      </c>
      <c r="G71" t="s">
        <v>1497</v>
      </c>
      <c r="H71" t="b">
        <v>0</v>
      </c>
      <c r="I71">
        <v>5</v>
      </c>
      <c r="J71">
        <v>0</v>
      </c>
    </row>
    <row r="72" spans="2:10" x14ac:dyDescent="0.3">
      <c r="B72">
        <v>675110</v>
      </c>
      <c r="C72" t="s">
        <v>2605</v>
      </c>
      <c r="F72" t="s">
        <v>2345</v>
      </c>
      <c r="G72" t="s">
        <v>1497</v>
      </c>
      <c r="H72" t="b">
        <v>0</v>
      </c>
      <c r="I72">
        <v>1</v>
      </c>
      <c r="J72">
        <v>0</v>
      </c>
    </row>
    <row r="73" spans="2:10" x14ac:dyDescent="0.3">
      <c r="B73">
        <v>675110</v>
      </c>
      <c r="C73" t="s">
        <v>2605</v>
      </c>
      <c r="F73" t="s">
        <v>2345</v>
      </c>
      <c r="G73" t="s">
        <v>1497</v>
      </c>
      <c r="H73" t="b">
        <v>0</v>
      </c>
      <c r="I73">
        <v>2</v>
      </c>
      <c r="J73">
        <v>0</v>
      </c>
    </row>
    <row r="74" spans="2:10" x14ac:dyDescent="0.3">
      <c r="B74">
        <v>675110</v>
      </c>
      <c r="C74" t="s">
        <v>2605</v>
      </c>
      <c r="F74" t="s">
        <v>2345</v>
      </c>
      <c r="G74" t="s">
        <v>1497</v>
      </c>
      <c r="H74" t="b">
        <v>0</v>
      </c>
      <c r="I74">
        <v>3</v>
      </c>
      <c r="J74">
        <v>0</v>
      </c>
    </row>
    <row r="75" spans="2:10" x14ac:dyDescent="0.3">
      <c r="B75">
        <v>675110</v>
      </c>
      <c r="C75" t="s">
        <v>2605</v>
      </c>
      <c r="F75" t="s">
        <v>2345</v>
      </c>
      <c r="G75" t="s">
        <v>1497</v>
      </c>
      <c r="H75" t="b">
        <v>0</v>
      </c>
      <c r="I75">
        <v>4</v>
      </c>
      <c r="J75">
        <v>0</v>
      </c>
    </row>
    <row r="76" spans="2:10" x14ac:dyDescent="0.3">
      <c r="B76">
        <v>675110</v>
      </c>
      <c r="C76" t="s">
        <v>2605</v>
      </c>
      <c r="F76" t="s">
        <v>2345</v>
      </c>
      <c r="G76" t="s">
        <v>1497</v>
      </c>
      <c r="H76" t="b">
        <v>0</v>
      </c>
      <c r="I76">
        <v>5</v>
      </c>
      <c r="J76">
        <v>0</v>
      </c>
    </row>
    <row r="77" spans="2:10" x14ac:dyDescent="0.3">
      <c r="B77">
        <v>675100</v>
      </c>
      <c r="C77" t="s">
        <v>2605</v>
      </c>
      <c r="F77" t="s">
        <v>2344</v>
      </c>
      <c r="G77" t="s">
        <v>1497</v>
      </c>
      <c r="H77" t="b">
        <v>0</v>
      </c>
      <c r="I77">
        <v>1</v>
      </c>
      <c r="J77">
        <v>0</v>
      </c>
    </row>
    <row r="78" spans="2:10" x14ac:dyDescent="0.3">
      <c r="B78">
        <v>675100</v>
      </c>
      <c r="C78" t="s">
        <v>2605</v>
      </c>
      <c r="F78" t="s">
        <v>2344</v>
      </c>
      <c r="G78" t="s">
        <v>1497</v>
      </c>
      <c r="H78" t="b">
        <v>0</v>
      </c>
      <c r="I78">
        <v>2</v>
      </c>
      <c r="J78">
        <v>0</v>
      </c>
    </row>
    <row r="79" spans="2:10" x14ac:dyDescent="0.3">
      <c r="B79">
        <v>675100</v>
      </c>
      <c r="C79" t="s">
        <v>2605</v>
      </c>
      <c r="F79" t="s">
        <v>2344</v>
      </c>
      <c r="G79" t="s">
        <v>1497</v>
      </c>
      <c r="H79" t="b">
        <v>0</v>
      </c>
      <c r="I79">
        <v>3</v>
      </c>
      <c r="J79">
        <v>0</v>
      </c>
    </row>
    <row r="80" spans="2:10" x14ac:dyDescent="0.3">
      <c r="B80">
        <v>675100</v>
      </c>
      <c r="C80" t="s">
        <v>2605</v>
      </c>
      <c r="F80" t="s">
        <v>2344</v>
      </c>
      <c r="G80" t="s">
        <v>1497</v>
      </c>
      <c r="H80" t="b">
        <v>0</v>
      </c>
      <c r="I80">
        <v>4</v>
      </c>
      <c r="J80">
        <v>0</v>
      </c>
    </row>
    <row r="81" spans="2:10" x14ac:dyDescent="0.3">
      <c r="B81">
        <v>675100</v>
      </c>
      <c r="C81" t="s">
        <v>2605</v>
      </c>
      <c r="F81" t="s">
        <v>2344</v>
      </c>
      <c r="G81" t="s">
        <v>1497</v>
      </c>
      <c r="H81" t="b">
        <v>0</v>
      </c>
      <c r="I81">
        <v>5</v>
      </c>
      <c r="J81">
        <v>0</v>
      </c>
    </row>
    <row r="82" spans="2:10" x14ac:dyDescent="0.3">
      <c r="B82">
        <v>675110</v>
      </c>
      <c r="C82" t="s">
        <v>2607</v>
      </c>
      <c r="F82" t="s">
        <v>2345</v>
      </c>
      <c r="G82" t="s">
        <v>1497</v>
      </c>
      <c r="H82" t="b">
        <v>0</v>
      </c>
      <c r="I82">
        <v>1</v>
      </c>
      <c r="J82">
        <v>0</v>
      </c>
    </row>
    <row r="83" spans="2:10" x14ac:dyDescent="0.3">
      <c r="B83">
        <v>675110</v>
      </c>
      <c r="C83" t="s">
        <v>2607</v>
      </c>
      <c r="F83" t="s">
        <v>2345</v>
      </c>
      <c r="G83" t="s">
        <v>1497</v>
      </c>
      <c r="H83" t="b">
        <v>0</v>
      </c>
      <c r="I83">
        <v>2</v>
      </c>
      <c r="J83">
        <v>0</v>
      </c>
    </row>
    <row r="84" spans="2:10" x14ac:dyDescent="0.3">
      <c r="B84">
        <v>675110</v>
      </c>
      <c r="C84" t="s">
        <v>2607</v>
      </c>
      <c r="F84" t="s">
        <v>2345</v>
      </c>
      <c r="G84" t="s">
        <v>1497</v>
      </c>
      <c r="H84" t="b">
        <v>0</v>
      </c>
      <c r="I84">
        <v>3</v>
      </c>
      <c r="J84">
        <v>0</v>
      </c>
    </row>
    <row r="85" spans="2:10" x14ac:dyDescent="0.3">
      <c r="B85">
        <v>675110</v>
      </c>
      <c r="C85" t="s">
        <v>2607</v>
      </c>
      <c r="F85" t="s">
        <v>2345</v>
      </c>
      <c r="G85" t="s">
        <v>1497</v>
      </c>
      <c r="H85" t="b">
        <v>0</v>
      </c>
      <c r="I85">
        <v>4</v>
      </c>
      <c r="J85">
        <v>0</v>
      </c>
    </row>
    <row r="86" spans="2:10" x14ac:dyDescent="0.3">
      <c r="B86">
        <v>675110</v>
      </c>
      <c r="C86" t="s">
        <v>2607</v>
      </c>
      <c r="F86" t="s">
        <v>2345</v>
      </c>
      <c r="G86" t="s">
        <v>1497</v>
      </c>
      <c r="H86" t="b">
        <v>0</v>
      </c>
      <c r="I86">
        <v>5</v>
      </c>
      <c r="J86">
        <v>0</v>
      </c>
    </row>
    <row r="87" spans="2:10" x14ac:dyDescent="0.3">
      <c r="B87">
        <v>675100</v>
      </c>
      <c r="C87" t="s">
        <v>2607</v>
      </c>
      <c r="F87" t="s">
        <v>2344</v>
      </c>
      <c r="G87" t="s">
        <v>1497</v>
      </c>
      <c r="H87" t="b">
        <v>0</v>
      </c>
      <c r="I87">
        <v>1</v>
      </c>
      <c r="J87">
        <v>0</v>
      </c>
    </row>
    <row r="88" spans="2:10" x14ac:dyDescent="0.3">
      <c r="B88">
        <v>675100</v>
      </c>
      <c r="C88" t="s">
        <v>2607</v>
      </c>
      <c r="F88" t="s">
        <v>2344</v>
      </c>
      <c r="G88" t="s">
        <v>1497</v>
      </c>
      <c r="H88" t="b">
        <v>0</v>
      </c>
      <c r="I88">
        <v>2</v>
      </c>
      <c r="J88">
        <v>0</v>
      </c>
    </row>
    <row r="89" spans="2:10" x14ac:dyDescent="0.3">
      <c r="B89">
        <v>675100</v>
      </c>
      <c r="C89" t="s">
        <v>2607</v>
      </c>
      <c r="F89" t="s">
        <v>2344</v>
      </c>
      <c r="G89" t="s">
        <v>1497</v>
      </c>
      <c r="H89" t="b">
        <v>0</v>
      </c>
      <c r="I89">
        <v>3</v>
      </c>
      <c r="J89">
        <v>0</v>
      </c>
    </row>
    <row r="90" spans="2:10" x14ac:dyDescent="0.3">
      <c r="B90">
        <v>675100</v>
      </c>
      <c r="C90" t="s">
        <v>2607</v>
      </c>
      <c r="F90" t="s">
        <v>2344</v>
      </c>
      <c r="G90" t="s">
        <v>1497</v>
      </c>
      <c r="H90" t="b">
        <v>0</v>
      </c>
      <c r="I90">
        <v>4</v>
      </c>
      <c r="J90">
        <v>0</v>
      </c>
    </row>
    <row r="91" spans="2:10" x14ac:dyDescent="0.3">
      <c r="B91">
        <v>675100</v>
      </c>
      <c r="C91" t="s">
        <v>2607</v>
      </c>
      <c r="F91" t="s">
        <v>2344</v>
      </c>
      <c r="G91" t="s">
        <v>1497</v>
      </c>
      <c r="H91" t="b">
        <v>0</v>
      </c>
      <c r="I91">
        <v>5</v>
      </c>
      <c r="J91">
        <v>0</v>
      </c>
    </row>
    <row r="92" spans="2:10" x14ac:dyDescent="0.3">
      <c r="B92">
        <v>675110</v>
      </c>
      <c r="C92" t="s">
        <v>2609</v>
      </c>
      <c r="F92" t="s">
        <v>2345</v>
      </c>
      <c r="G92" t="s">
        <v>1497</v>
      </c>
      <c r="H92" t="b">
        <v>0</v>
      </c>
      <c r="I92">
        <v>1</v>
      </c>
      <c r="J92">
        <v>0</v>
      </c>
    </row>
    <row r="93" spans="2:10" x14ac:dyDescent="0.3">
      <c r="B93">
        <v>675110</v>
      </c>
      <c r="C93" t="s">
        <v>2609</v>
      </c>
      <c r="F93" t="s">
        <v>2345</v>
      </c>
      <c r="G93" t="s">
        <v>1497</v>
      </c>
      <c r="H93" t="b">
        <v>0</v>
      </c>
      <c r="I93">
        <v>2</v>
      </c>
      <c r="J93">
        <v>0</v>
      </c>
    </row>
    <row r="94" spans="2:10" x14ac:dyDescent="0.3">
      <c r="B94">
        <v>675110</v>
      </c>
      <c r="C94" t="s">
        <v>2609</v>
      </c>
      <c r="F94" t="s">
        <v>2345</v>
      </c>
      <c r="G94" t="s">
        <v>1497</v>
      </c>
      <c r="H94" t="b">
        <v>0</v>
      </c>
      <c r="I94">
        <v>3</v>
      </c>
      <c r="J94">
        <v>0</v>
      </c>
    </row>
    <row r="95" spans="2:10" x14ac:dyDescent="0.3">
      <c r="B95">
        <v>675110</v>
      </c>
      <c r="C95" t="s">
        <v>2609</v>
      </c>
      <c r="F95" t="s">
        <v>2345</v>
      </c>
      <c r="G95" t="s">
        <v>1497</v>
      </c>
      <c r="H95" t="b">
        <v>0</v>
      </c>
      <c r="I95">
        <v>4</v>
      </c>
      <c r="J95">
        <v>0</v>
      </c>
    </row>
    <row r="96" spans="2:10" x14ac:dyDescent="0.3">
      <c r="B96">
        <v>675110</v>
      </c>
      <c r="C96" t="s">
        <v>2609</v>
      </c>
      <c r="F96" t="s">
        <v>2345</v>
      </c>
      <c r="G96" t="s">
        <v>1497</v>
      </c>
      <c r="H96" t="b">
        <v>0</v>
      </c>
      <c r="I96">
        <v>5</v>
      </c>
      <c r="J96">
        <v>0</v>
      </c>
    </row>
    <row r="97" spans="2:10" x14ac:dyDescent="0.3">
      <c r="B97">
        <v>675100</v>
      </c>
      <c r="C97" t="s">
        <v>2609</v>
      </c>
      <c r="F97" t="s">
        <v>2344</v>
      </c>
      <c r="G97" t="s">
        <v>1497</v>
      </c>
      <c r="H97" t="b">
        <v>0</v>
      </c>
      <c r="I97">
        <v>1</v>
      </c>
      <c r="J97">
        <v>0</v>
      </c>
    </row>
    <row r="98" spans="2:10" x14ac:dyDescent="0.3">
      <c r="B98">
        <v>675100</v>
      </c>
      <c r="C98" t="s">
        <v>2609</v>
      </c>
      <c r="F98" t="s">
        <v>2344</v>
      </c>
      <c r="G98" t="s">
        <v>1497</v>
      </c>
      <c r="H98" t="b">
        <v>0</v>
      </c>
      <c r="I98">
        <v>2</v>
      </c>
      <c r="J98">
        <v>0</v>
      </c>
    </row>
    <row r="99" spans="2:10" x14ac:dyDescent="0.3">
      <c r="B99">
        <v>675100</v>
      </c>
      <c r="C99" t="s">
        <v>2609</v>
      </c>
      <c r="F99" t="s">
        <v>2344</v>
      </c>
      <c r="G99" t="s">
        <v>1497</v>
      </c>
      <c r="H99" t="b">
        <v>0</v>
      </c>
      <c r="I99">
        <v>3</v>
      </c>
      <c r="J99">
        <v>0</v>
      </c>
    </row>
    <row r="100" spans="2:10" x14ac:dyDescent="0.3">
      <c r="B100">
        <v>675100</v>
      </c>
      <c r="C100" t="s">
        <v>2609</v>
      </c>
      <c r="F100" t="s">
        <v>2344</v>
      </c>
      <c r="G100" t="s">
        <v>1497</v>
      </c>
      <c r="H100" t="b">
        <v>0</v>
      </c>
      <c r="I100">
        <v>4</v>
      </c>
      <c r="J100">
        <v>0</v>
      </c>
    </row>
    <row r="101" spans="2:10" x14ac:dyDescent="0.3">
      <c r="B101">
        <v>675100</v>
      </c>
      <c r="C101" t="s">
        <v>2609</v>
      </c>
      <c r="F101" t="s">
        <v>2344</v>
      </c>
      <c r="G101" t="s">
        <v>1497</v>
      </c>
      <c r="H101" t="b">
        <v>0</v>
      </c>
      <c r="I101">
        <v>5</v>
      </c>
      <c r="J101">
        <v>0</v>
      </c>
    </row>
  </sheetData>
  <phoneticPr fontId="2" type="noConversion"/>
  <pageMargins left="0.7" right="0.7" top="0.75" bottom="0.75" header="0.3" footer="0.3"/>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F144A-CBF4-4BCD-96E9-3B15B368C085}">
  <sheetPr codeName="Sheet210">
    <tabColor theme="0"/>
  </sheetPr>
  <dimension ref="A1:D8"/>
  <sheetViews>
    <sheetView workbookViewId="0">
      <pane xSplit="2" ySplit="2" topLeftCell="C3" activePane="bottomRight" state="frozen"/>
      <selection activeCell="D2" sqref="D2"/>
      <selection pane="topRight" activeCell="D2" sqref="D2"/>
      <selection pane="bottomLeft" activeCell="D2" sqref="D2"/>
      <selection pane="bottomRight" activeCell="C9" sqref="C9"/>
    </sheetView>
  </sheetViews>
  <sheetFormatPr defaultColWidth="9.33203125" defaultRowHeight="14.4" x14ac:dyDescent="0.3"/>
  <cols>
    <col min="1" max="1" width="3.33203125" customWidth="1"/>
    <col min="2" max="2" width="26" bestFit="1" customWidth="1"/>
    <col min="3" max="3" width="12.5546875" bestFit="1" customWidth="1"/>
    <col min="4" max="4" width="15" bestFit="1" customWidth="1"/>
  </cols>
  <sheetData>
    <row r="1" spans="1:4" x14ac:dyDescent="0.3">
      <c r="A1" s="104"/>
      <c r="B1" s="104" t="s">
        <v>1471</v>
      </c>
      <c r="C1" s="104" t="s">
        <v>1472</v>
      </c>
      <c r="D1" s="104" t="s">
        <v>1473</v>
      </c>
    </row>
    <row r="2" spans="1:4" x14ac:dyDescent="0.3">
      <c r="A2" s="104"/>
      <c r="B2" s="104"/>
      <c r="C2" s="104" t="s">
        <v>1474</v>
      </c>
      <c r="D2" s="104" t="s">
        <v>1475</v>
      </c>
    </row>
    <row r="3" spans="1:4" x14ac:dyDescent="0.3">
      <c r="A3" s="104">
        <v>1</v>
      </c>
      <c r="B3" s="105" t="s">
        <v>2444</v>
      </c>
      <c r="C3" s="17">
        <v>1</v>
      </c>
      <c r="D3" s="17"/>
    </row>
    <row r="4" spans="1:4" x14ac:dyDescent="0.3">
      <c r="A4" s="104">
        <v>2</v>
      </c>
      <c r="B4" s="105" t="s">
        <v>2442</v>
      </c>
      <c r="C4" s="17">
        <v>1</v>
      </c>
      <c r="D4" s="17"/>
    </row>
    <row r="5" spans="1:4" x14ac:dyDescent="0.3">
      <c r="A5" s="104">
        <v>3</v>
      </c>
      <c r="B5" s="105" t="s">
        <v>2443</v>
      </c>
      <c r="C5" s="17">
        <v>1</v>
      </c>
      <c r="D5" s="17"/>
    </row>
    <row r="6" spans="1:4" x14ac:dyDescent="0.3">
      <c r="A6" s="104">
        <v>4</v>
      </c>
      <c r="B6" s="105" t="s">
        <v>2439</v>
      </c>
      <c r="C6" s="17">
        <v>1</v>
      </c>
      <c r="D6" s="17"/>
    </row>
    <row r="7" spans="1:4" x14ac:dyDescent="0.3">
      <c r="A7" s="104">
        <v>5</v>
      </c>
      <c r="B7" s="105" t="s">
        <v>2440</v>
      </c>
      <c r="C7" s="17">
        <v>1</v>
      </c>
      <c r="D7" s="17"/>
    </row>
    <row r="8" spans="1:4" x14ac:dyDescent="0.3">
      <c r="A8" s="104">
        <v>6</v>
      </c>
      <c r="B8" s="105" t="s">
        <v>2441</v>
      </c>
      <c r="C8" s="17">
        <v>1</v>
      </c>
    </row>
  </sheetData>
  <phoneticPr fontId="2" type="noConversion"/>
  <hyperlinks>
    <hyperlink ref="B6" location="ScenarioYearValues!A1" display="ScenarioYearValues" xr:uid="{002B426D-EF26-43F8-9A82-807544581611}"/>
    <hyperlink ref="B7" location="'Finance Codes S3'!A1" display="Finance Codes S3" xr:uid="{F5350FA9-168A-4639-8E64-49B8E0E06445}"/>
    <hyperlink ref="B8" location="MonthlyValues!A1" display="MonthlyValues" xr:uid="{3642B8DD-9CF2-437C-9C58-DC9FD5992803}"/>
    <hyperlink ref="B4" location="Calculators!A1" display="Calculators" xr:uid="{B874EFDF-8BD9-4185-B12D-9A659DEC9EAB}"/>
    <hyperlink ref="B5" location="MonthProfiles!A1" display="MonthProfiles" xr:uid="{14A76A88-1A1A-4183-B33E-92364C907D24}"/>
  </hyperlinks>
  <pageMargins left="0.7" right="0.7" top="0.75" bottom="0.75" header="0.3" footer="0.3"/>
  <pageSetup orientation="portrait" horizontalDpi="300" verticalDpi="300"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8E43E-F300-4E1B-84B3-9ABD48CB64C5}">
  <sheetPr codeName="Sheet371"/>
  <dimension ref="A1:B7"/>
  <sheetViews>
    <sheetView workbookViewId="0">
      <selection activeCell="G13" sqref="G13"/>
    </sheetView>
  </sheetViews>
  <sheetFormatPr defaultRowHeight="14.4" x14ac:dyDescent="0.3"/>
  <cols>
    <col min="1" max="1" width="18.5546875" bestFit="1" customWidth="1"/>
  </cols>
  <sheetData>
    <row r="1" spans="1:2" x14ac:dyDescent="0.3">
      <c r="A1" s="6" t="s">
        <v>1482</v>
      </c>
      <c r="B1" s="6"/>
    </row>
    <row r="2" spans="1:2" x14ac:dyDescent="0.3">
      <c r="A2" t="s">
        <v>978</v>
      </c>
    </row>
    <row r="3" spans="1:2" x14ac:dyDescent="0.3">
      <c r="A3" t="s">
        <v>1476</v>
      </c>
    </row>
    <row r="4" spans="1:2" x14ac:dyDescent="0.3">
      <c r="A4" t="s">
        <v>900</v>
      </c>
    </row>
    <row r="5" spans="1:2" x14ac:dyDescent="0.3">
      <c r="A5" t="s">
        <v>922</v>
      </c>
    </row>
    <row r="6" spans="1:2" x14ac:dyDescent="0.3">
      <c r="A6" t="s">
        <v>1075</v>
      </c>
    </row>
    <row r="7" spans="1:2" x14ac:dyDescent="0.3">
      <c r="A7" t="s">
        <v>1078</v>
      </c>
    </row>
  </sheetData>
  <phoneticPr fontId="2" type="noConversion"/>
  <pageMargins left="0.7" right="0.7" top="0.75" bottom="0.75" header="0.3" footer="0.3"/>
  <pageSetup paperSize="9"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F6D79-D3EB-4147-9110-06C9B2F5E0C0}">
  <sheetPr codeName="Sheet321"/>
  <dimension ref="A1:O27"/>
  <sheetViews>
    <sheetView topLeftCell="A10" workbookViewId="0">
      <selection activeCell="D28" sqref="D28"/>
    </sheetView>
  </sheetViews>
  <sheetFormatPr defaultColWidth="9.33203125" defaultRowHeight="14.4" x14ac:dyDescent="0.3"/>
  <cols>
    <col min="1" max="1" width="16.33203125" bestFit="1" customWidth="1"/>
    <col min="2" max="2" width="5" bestFit="1" customWidth="1"/>
    <col min="3" max="3" width="3.33203125" customWidth="1"/>
    <col min="7" max="7" width="9.33203125" style="7"/>
    <col min="15" max="15" width="20.88671875" customWidth="1"/>
  </cols>
  <sheetData>
    <row r="1" spans="1:15" x14ac:dyDescent="0.3">
      <c r="A1" s="6" t="s">
        <v>1483</v>
      </c>
      <c r="B1" s="6"/>
      <c r="C1" s="6"/>
      <c r="E1" s="6" t="s">
        <v>1484</v>
      </c>
      <c r="M1" s="6" t="s">
        <v>1485</v>
      </c>
      <c r="O1" t="s">
        <v>1841</v>
      </c>
    </row>
    <row r="2" spans="1:15" x14ac:dyDescent="0.3">
      <c r="A2" t="s">
        <v>1486</v>
      </c>
      <c r="B2">
        <v>0</v>
      </c>
      <c r="E2" t="s">
        <v>1487</v>
      </c>
      <c r="G2" t="b">
        <v>1</v>
      </c>
      <c r="I2" s="2" t="s">
        <v>1488</v>
      </c>
      <c r="K2" t="s">
        <v>1489</v>
      </c>
      <c r="M2" t="s">
        <v>1390</v>
      </c>
      <c r="O2" t="s">
        <v>51</v>
      </c>
    </row>
    <row r="3" spans="1:15" x14ac:dyDescent="0.3">
      <c r="A3" t="s">
        <v>1490</v>
      </c>
      <c r="B3">
        <v>0.5</v>
      </c>
      <c r="E3" t="s">
        <v>3</v>
      </c>
      <c r="G3" t="b">
        <v>0</v>
      </c>
      <c r="I3" s="8" t="s">
        <v>1491</v>
      </c>
      <c r="K3" t="s">
        <v>1492</v>
      </c>
      <c r="M3" t="s">
        <v>1933</v>
      </c>
      <c r="O3" t="s">
        <v>900</v>
      </c>
    </row>
    <row r="4" spans="1:15" x14ac:dyDescent="0.3">
      <c r="A4" t="s">
        <v>1493</v>
      </c>
      <c r="B4">
        <v>0.75</v>
      </c>
      <c r="I4" s="9" t="s">
        <v>1494</v>
      </c>
      <c r="M4" t="s">
        <v>6</v>
      </c>
      <c r="O4" t="s">
        <v>1476</v>
      </c>
    </row>
    <row r="5" spans="1:15" x14ac:dyDescent="0.3">
      <c r="A5" t="s">
        <v>1495</v>
      </c>
      <c r="B5">
        <v>1</v>
      </c>
      <c r="M5" t="s">
        <v>1332</v>
      </c>
      <c r="O5" t="s">
        <v>922</v>
      </c>
    </row>
    <row r="6" spans="1:15" x14ac:dyDescent="0.3">
      <c r="A6" t="s">
        <v>1496</v>
      </c>
      <c r="B6">
        <v>0</v>
      </c>
      <c r="M6" t="s">
        <v>1394</v>
      </c>
      <c r="O6" t="s">
        <v>978</v>
      </c>
    </row>
    <row r="7" spans="1:15" x14ac:dyDescent="0.3">
      <c r="A7" t="s">
        <v>1498</v>
      </c>
      <c r="B7">
        <v>0</v>
      </c>
      <c r="G7" s="7" t="s">
        <v>1094</v>
      </c>
      <c r="H7" t="s">
        <v>1095</v>
      </c>
      <c r="M7" t="s">
        <v>1410</v>
      </c>
    </row>
    <row r="8" spans="1:15" x14ac:dyDescent="0.3">
      <c r="A8" t="s">
        <v>1500</v>
      </c>
      <c r="G8" s="7" t="s">
        <v>1096</v>
      </c>
      <c r="H8" t="s">
        <v>1097</v>
      </c>
      <c r="M8" t="s">
        <v>1497</v>
      </c>
    </row>
    <row r="9" spans="1:15" x14ac:dyDescent="0.3">
      <c r="G9" s="7" t="s">
        <v>1098</v>
      </c>
      <c r="H9" t="s">
        <v>1099</v>
      </c>
      <c r="M9" t="s">
        <v>1499</v>
      </c>
    </row>
    <row r="10" spans="1:15" x14ac:dyDescent="0.3">
      <c r="A10" t="s">
        <v>1015</v>
      </c>
      <c r="G10" s="7" t="s">
        <v>1100</v>
      </c>
      <c r="H10" t="s">
        <v>1101</v>
      </c>
      <c r="M10" t="s">
        <v>1931</v>
      </c>
    </row>
    <row r="11" spans="1:15" x14ac:dyDescent="0.3">
      <c r="A11" t="s">
        <v>1016</v>
      </c>
      <c r="G11" s="7" t="s">
        <v>1102</v>
      </c>
      <c r="H11" t="s">
        <v>1103</v>
      </c>
      <c r="M11" t="s">
        <v>2411</v>
      </c>
    </row>
    <row r="12" spans="1:15" x14ac:dyDescent="0.3">
      <c r="A12" t="s">
        <v>1014</v>
      </c>
      <c r="G12" s="7" t="s">
        <v>1104</v>
      </c>
      <c r="H12" t="s">
        <v>1105</v>
      </c>
    </row>
    <row r="13" spans="1:15" x14ac:dyDescent="0.3">
      <c r="A13" t="s">
        <v>878</v>
      </c>
      <c r="G13" s="7" t="s">
        <v>1106</v>
      </c>
      <c r="H13" t="s">
        <v>1107</v>
      </c>
    </row>
    <row r="14" spans="1:15" x14ac:dyDescent="0.3">
      <c r="G14" s="7" t="s">
        <v>1108</v>
      </c>
      <c r="H14" t="s">
        <v>1109</v>
      </c>
    </row>
    <row r="15" spans="1:15" x14ac:dyDescent="0.3">
      <c r="A15" t="s">
        <v>879</v>
      </c>
      <c r="G15" s="7" t="s">
        <v>1110</v>
      </c>
      <c r="H15" t="s">
        <v>1111</v>
      </c>
    </row>
    <row r="16" spans="1:15" x14ac:dyDescent="0.3">
      <c r="A16" t="s">
        <v>1548</v>
      </c>
      <c r="G16" s="7" t="s">
        <v>1112</v>
      </c>
      <c r="H16" t="s">
        <v>1113</v>
      </c>
    </row>
    <row r="17" spans="1:8" x14ac:dyDescent="0.3">
      <c r="A17" t="s">
        <v>880</v>
      </c>
      <c r="G17" s="7" t="s">
        <v>1114</v>
      </c>
      <c r="H17" t="s">
        <v>1115</v>
      </c>
    </row>
    <row r="18" spans="1:8" x14ac:dyDescent="0.3">
      <c r="A18" t="s">
        <v>2179</v>
      </c>
      <c r="G18" s="7" t="s">
        <v>1116</v>
      </c>
      <c r="H18" t="s">
        <v>1117</v>
      </c>
    </row>
    <row r="19" spans="1:8" x14ac:dyDescent="0.3">
      <c r="A19" t="s">
        <v>2178</v>
      </c>
      <c r="G19" s="7" t="s">
        <v>1118</v>
      </c>
      <c r="H19" t="s">
        <v>1119</v>
      </c>
    </row>
    <row r="20" spans="1:8" x14ac:dyDescent="0.3">
      <c r="A20" t="s">
        <v>2177</v>
      </c>
      <c r="G20" s="7" t="s">
        <v>1120</v>
      </c>
      <c r="H20" t="s">
        <v>1121</v>
      </c>
    </row>
    <row r="21" spans="1:8" x14ac:dyDescent="0.3">
      <c r="A21" t="s">
        <v>2180</v>
      </c>
      <c r="G21" s="7" t="s">
        <v>1122</v>
      </c>
      <c r="H21" t="s">
        <v>1123</v>
      </c>
    </row>
    <row r="22" spans="1:8" x14ac:dyDescent="0.3">
      <c r="A22" t="s">
        <v>2181</v>
      </c>
      <c r="G22" s="7" t="s">
        <v>1124</v>
      </c>
      <c r="H22" t="s">
        <v>1125</v>
      </c>
    </row>
    <row r="23" spans="1:8" x14ac:dyDescent="0.3">
      <c r="A23" t="s">
        <v>858</v>
      </c>
      <c r="G23" s="7" t="s">
        <v>1126</v>
      </c>
      <c r="H23" t="s">
        <v>1127</v>
      </c>
    </row>
    <row r="24" spans="1:8" x14ac:dyDescent="0.3">
      <c r="A24" t="s">
        <v>2422</v>
      </c>
      <c r="G24" s="7" t="s">
        <v>1128</v>
      </c>
      <c r="H24" t="s">
        <v>1129</v>
      </c>
    </row>
    <row r="25" spans="1:8" x14ac:dyDescent="0.3">
      <c r="A25" t="s">
        <v>859</v>
      </c>
      <c r="G25" s="7" t="s">
        <v>1130</v>
      </c>
      <c r="H25" t="s">
        <v>1131</v>
      </c>
    </row>
    <row r="26" spans="1:8" x14ac:dyDescent="0.3">
      <c r="A26" t="s">
        <v>2431</v>
      </c>
      <c r="G26" s="7" t="s">
        <v>1132</v>
      </c>
      <c r="H26" t="s">
        <v>1133</v>
      </c>
    </row>
    <row r="27" spans="1:8" x14ac:dyDescent="0.3">
      <c r="A27" t="s">
        <v>860</v>
      </c>
    </row>
  </sheetData>
  <sortState xmlns:xlrd2="http://schemas.microsoft.com/office/spreadsheetml/2017/richdata2" ref="A15:A26">
    <sortCondition ref="A15:A26"/>
  </sortState>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SharedWithUsers xmlns="9f2f73ca-e186-41ca-9b39-17400bef97b2">
      <UserInfo>
        <DisplayName>Simon Pidduck</DisplayName>
        <AccountId>39</AccountId>
        <AccountType/>
      </UserInfo>
      <UserInfo>
        <DisplayName>Sarah Martin</DisplayName>
        <AccountId>48</AccountId>
        <AccountType/>
      </UserInfo>
      <UserInfo>
        <DisplayName>Gill Edwards</DisplayName>
        <AccountId>27</AccountId>
        <AccountType/>
      </UserInfo>
      <UserInfo>
        <DisplayName>Paul Ramster</DisplayName>
        <AccountId>25</AccountId>
        <AccountType/>
      </UserInfo>
    </SharedWithUsers>
    <TaxCatchAll xmlns="9f2f73ca-e186-41ca-9b39-17400bef97b2" xsi:nil="true"/>
    <lcf76f155ced4ddcb4097134ff3c332f xmlns="05c74e94-00cb-4960-9681-9403ecb617b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FA0EDB4919DEF46A3F9004875D57D86" ma:contentTypeVersion="17" ma:contentTypeDescription="Create a new document." ma:contentTypeScope="" ma:versionID="df779710d3984a72ef90d6987b1ced28">
  <xsd:schema xmlns:xsd="http://www.w3.org/2001/XMLSchema" xmlns:xs="http://www.w3.org/2001/XMLSchema" xmlns:p="http://schemas.microsoft.com/office/2006/metadata/properties" xmlns:ns2="05c74e94-00cb-4960-9681-9403ecb617b0" xmlns:ns3="9f2f73ca-e186-41ca-9b39-17400bef97b2" targetNamespace="http://schemas.microsoft.com/office/2006/metadata/properties" ma:root="true" ma:fieldsID="145e04b88160d965f24fa293422ed3b2" ns2:_="" ns3:_="">
    <xsd:import namespace="05c74e94-00cb-4960-9681-9403ecb617b0"/>
    <xsd:import namespace="9f2f73ca-e186-41ca-9b39-17400bef97b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c74e94-00cb-4960-9681-9403ecb617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642ee81-b0db-44ae-be3d-cd622bfef65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f2f73ca-e186-41ca-9b39-17400bef97b2"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e102cf62-306d-4988-945c-4383bcab73be}" ma:internalName="TaxCatchAll" ma:showField="CatchAllData" ma:web="9f2f73ca-e186-41ca-9b39-17400bef97b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81F9116-D2BA-4473-8094-4A6CA5676166}">
  <ds:schemaRefs>
    <ds:schemaRef ds:uri="http://schemas.microsoft.com/DataMashup"/>
  </ds:schemaRefs>
</ds:datastoreItem>
</file>

<file path=customXml/itemProps2.xml><?xml version="1.0" encoding="utf-8"?>
<ds:datastoreItem xmlns:ds="http://schemas.openxmlformats.org/officeDocument/2006/customXml" ds:itemID="{E0619F97-77E5-4DF6-A4A4-AC7F9A0CBAB1}">
  <ds:schemaRefs>
    <ds:schemaRef ds:uri="http://schemas.microsoft.com/office/2006/metadata/properties"/>
    <ds:schemaRef ds:uri="http://schemas.microsoft.com/office/infopath/2007/PartnerControls"/>
    <ds:schemaRef ds:uri="9f2f73ca-e186-41ca-9b39-17400bef97b2"/>
    <ds:schemaRef ds:uri="05c74e94-00cb-4960-9681-9403ecb617b0"/>
  </ds:schemaRefs>
</ds:datastoreItem>
</file>

<file path=customXml/itemProps3.xml><?xml version="1.0" encoding="utf-8"?>
<ds:datastoreItem xmlns:ds="http://schemas.openxmlformats.org/officeDocument/2006/customXml" ds:itemID="{D71892C6-2F82-470F-865E-B94D9DFCDB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c74e94-00cb-4960-9681-9403ecb617b0"/>
    <ds:schemaRef ds:uri="9f2f73ca-e186-41ca-9b39-17400bef97b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EDCBCF4-ECEF-4317-8F8C-293D7FBBD21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52</vt:i4>
      </vt:variant>
      <vt:variant>
        <vt:lpstr>Named Ranges</vt:lpstr>
      </vt:variant>
      <vt:variant>
        <vt:i4>2</vt:i4>
      </vt:variant>
    </vt:vector>
  </HeadingPairs>
  <TitlesOfParts>
    <vt:vector size="54" baseType="lpstr">
      <vt:lpstr>Parameters</vt:lpstr>
      <vt:lpstr>Notes</vt:lpstr>
      <vt:lpstr>Strand 3 Checklist</vt:lpstr>
      <vt:lpstr>Build Checks Dashboard</vt:lpstr>
      <vt:lpstr>Import Checklist</vt:lpstr>
      <vt:lpstr>System Grouping Codes</vt:lpstr>
      <vt:lpstr>Funds</vt:lpstr>
      <vt:lpstr>Activity</vt:lpstr>
      <vt:lpstr>Ledger</vt:lpstr>
      <vt:lpstr>CustGroup</vt:lpstr>
      <vt:lpstr>SchHub</vt:lpstr>
      <vt:lpstr>SchType</vt:lpstr>
      <vt:lpstr>LocalAuth</vt:lpstr>
      <vt:lpstr>Schools</vt:lpstr>
      <vt:lpstr>Depts</vt:lpstr>
      <vt:lpstr>11_Finance Codes S3</vt:lpstr>
      <vt:lpstr>SourceFinanceCodes</vt:lpstr>
      <vt:lpstr>FinanceCodes Budget</vt:lpstr>
      <vt:lpstr>CalculatorsTempl</vt:lpstr>
      <vt:lpstr>CalcFinCodes</vt:lpstr>
      <vt:lpstr>14_Calculators</vt:lpstr>
      <vt:lpstr>CalculatorFC</vt:lpstr>
      <vt:lpstr>15_MonthProfiles</vt:lpstr>
      <vt:lpstr>ProjPupilNum</vt:lpstr>
      <vt:lpstr>StfRoleGroup</vt:lpstr>
      <vt:lpstr>Pupils Insert Table</vt:lpstr>
      <vt:lpstr>Pupil Number Checks</vt:lpstr>
      <vt:lpstr>ScenarioPupilNum</vt:lpstr>
      <vt:lpstr>ScenarioStatistics</vt:lpstr>
      <vt:lpstr>ScenarioFunding</vt:lpstr>
      <vt:lpstr>Pupils</vt:lpstr>
      <vt:lpstr>Statistics</vt:lpstr>
      <vt:lpstr>FS Mapping</vt:lpstr>
      <vt:lpstr>Funding Insert Table</vt:lpstr>
      <vt:lpstr>Funding</vt:lpstr>
      <vt:lpstr>Income</vt:lpstr>
      <vt:lpstr>ScenarioIncome</vt:lpstr>
      <vt:lpstr>Expenditure</vt:lpstr>
      <vt:lpstr>ScenarioExpenditure</vt:lpstr>
      <vt:lpstr>BF Balances</vt:lpstr>
      <vt:lpstr>ScenarioBFBalances</vt:lpstr>
      <vt:lpstr>ScenarioApBud</vt:lpstr>
      <vt:lpstr>Funding Check</vt:lpstr>
      <vt:lpstr>ScenarioSummary</vt:lpstr>
      <vt:lpstr>ScenarioAppend</vt:lpstr>
      <vt:lpstr>35_ScenarioRows</vt:lpstr>
      <vt:lpstr>36_ScenarioYearValues</vt:lpstr>
      <vt:lpstr>PreviousYears</vt:lpstr>
      <vt:lpstr>37_Monthly Values</vt:lpstr>
      <vt:lpstr>Checklist</vt:lpstr>
      <vt:lpstr>Lookup</vt:lpstr>
      <vt:lpstr>Validation</vt:lpstr>
      <vt:lpstr>BuildYear</vt:lpstr>
      <vt:lpstr>Scenario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Dave Hall</dc:creator>
  <cp:keywords/>
  <dc:description/>
  <cp:lastModifiedBy>Eve Walton</cp:lastModifiedBy>
  <cp:revision/>
  <dcterms:created xsi:type="dcterms:W3CDTF">2019-04-25T10:54:11Z</dcterms:created>
  <dcterms:modified xsi:type="dcterms:W3CDTF">2026-02-04T10:49:38Z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0x0101006FA0EDB4919DEF46A3F9004875D57D86</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xd_Signature">
    <vt:lpwstr/>
  </property>
  <property fmtid="{D5CDD505-2E9C-101B-9397-08002B2CF9AE}" pid="9" name="MediaServiceImageTags">
    <vt:lpwstr/>
  </property>
</Properties>
</file>